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wsl.localhost\Ubuntu\home\sebastian\tv_auto_measure\templates\"/>
    </mc:Choice>
  </mc:AlternateContent>
  <xr:revisionPtr revIDLastSave="0" documentId="13_ncr:1_{1076B9CC-E81C-48D5-BF42-5087DDBEA36E}" xr6:coauthVersionLast="47" xr6:coauthVersionMax="47" xr10:uidLastSave="{00000000-0000-0000-0000-000000000000}"/>
  <bookViews>
    <workbookView xWindow="28680" yWindow="-9480" windowWidth="29040" windowHeight="16440" xr2:uid="{CFA8205C-1130-498C-83A2-6534A62A2C23}"/>
  </bookViews>
  <sheets>
    <sheet name="Consolidado Punto" sheetId="11" r:id="rId1"/>
    <sheet name="Información Gral" sheetId="2" r:id="rId2"/>
    <sheet name="template" sheetId="33" r:id="rId3"/>
    <sheet name="SEGUIMIENTO_ANE" sheetId="12" r:id="rId4"/>
    <sheet name="referencias" sheetId="4" state="hidden" r:id="rId5"/>
    <sheet name="TRANSACCION_ANE_TDT" sheetId="34" r:id="rId6"/>
    <sheet name="Control de Cambios" sheetId="13" r:id="rId7"/>
  </sheets>
  <definedNames>
    <definedName name="_xlnm._FilterDatabase" localSheetId="4" hidden="1">referencias!$AF$1:$AG$268</definedName>
    <definedName name="_xlnm.Print_Area" localSheetId="0">'Consolidado Punto'!$A$1:$T$22</definedName>
    <definedName name="_xlnm.Print_Area" localSheetId="6">'Control de Cambios'!$A$1:$F$10</definedName>
    <definedName name="_xlnm.Print_Area" localSheetId="1">'Información Gral'!$A$1:$AI$151</definedName>
    <definedName name="_xlnm.Print_Area" localSheetId="3">SEGUIMIENTO_ANE!$A$1:$AE$18</definedName>
    <definedName name="_xlnm.Print_Area" localSheetId="5">TRANSACCION_ANE_TDT!$A$1:$Z$17</definedName>
    <definedName name="Estación_de_procedencia">'Información Gral'!$A$20:$A$27</definedName>
    <definedName name="Fecha_de_medición">'Información Gral'!$AE$31</definedName>
    <definedName name="Ingeniero">referencias!$E$2:$E$21</definedName>
    <definedName name="LLAVE_X_RES">referencias!$B$101:$B$644</definedName>
    <definedName name="OPERADOR">referencias!$A$56:$A$73</definedName>
    <definedName name="repetirNveces">_xlfn.LAMBDA(_xlpm.vTextos,_xlpm.vRepetir,_xlpm.PorColoFil,_xlfn.LET(_xlpm.nFilas,COUNTA(_xlpm.vTextos),_xlpm.nColumnas,MAX(_xlpm.vRepetir),_xlfn.TOCOL(_xlfn.MAKEARRAY(_xlpm.nFilas,_xlpm.nColumnas,_xlfn.LAMBDA(_xlpm.ndFila,_xlpm.ndColumna,IF(_xlpm.ndColumna&lt;=INDEX(_xlpm.vRepetir,_xlpm.ndFila),INDEX(_xlpm.vTextos,_xlpm.ndFila),NA()))),2,_xlpm.PorColoFil)))</definedName>
    <definedName name="TX_TDT">referencias!$Q$2:$Q$277</definedName>
    <definedName name="Z_BA4963B4_701A_48A7_837E_96DE4E1ADCF3_.wvu.PrintArea" localSheetId="0" hidden="1">'Consolidado Punto'!$A$1:$T$9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33" l="1" a="1"/>
  <c r="A4" i="33" s="1"/>
  <c r="L20" i="33" l="1"/>
  <c r="R21" i="33"/>
  <c r="U21" i="33" l="1"/>
  <c r="S21" i="33"/>
  <c r="T21" i="33"/>
  <c r="AB9" i="2"/>
  <c r="V9" i="2"/>
  <c r="AB140" i="2" l="1"/>
  <c r="AB139" i="2"/>
  <c r="N140" i="2"/>
  <c r="N139" i="2"/>
  <c r="A140" i="2"/>
  <c r="A139" i="2"/>
  <c r="A3" i="34" a="1"/>
  <c r="A3" i="34" s="1"/>
  <c r="A4" i="34" a="1"/>
  <c r="A4" i="34" s="1"/>
  <c r="A5" i="34" a="1"/>
  <c r="A5" i="34" s="1"/>
  <c r="A6" i="34" a="1"/>
  <c r="A6" i="34" s="1"/>
  <c r="A7" i="34" a="1"/>
  <c r="A7" i="34" s="1"/>
  <c r="A8" i="34" a="1"/>
  <c r="A8" i="34" s="1"/>
  <c r="A9" i="34" a="1"/>
  <c r="A9" i="34" s="1"/>
  <c r="A10" i="34" a="1"/>
  <c r="A10" i="34" s="1"/>
  <c r="A11" i="34" a="1"/>
  <c r="A11" i="34" s="1"/>
  <c r="A12" i="34" a="1"/>
  <c r="A12" i="34" s="1"/>
  <c r="A13" i="34" a="1"/>
  <c r="A13" i="34" s="1"/>
  <c r="A14" i="34" a="1"/>
  <c r="A14" i="34" s="1"/>
  <c r="A15" i="34" a="1"/>
  <c r="A15" i="34" s="1"/>
  <c r="A16" i="34" a="1"/>
  <c r="A16" i="34" s="1"/>
  <c r="A17" i="34" a="1"/>
  <c r="A17" i="34" s="1"/>
  <c r="A2" i="34" a="1"/>
  <c r="A2" i="34" s="1"/>
  <c r="C18" i="12"/>
  <c r="D18" i="12"/>
  <c r="E18" i="12"/>
  <c r="A91" i="2"/>
  <c r="A100" i="2"/>
  <c r="A96" i="2"/>
  <c r="A37" i="2"/>
  <c r="AE37" i="2" s="1"/>
  <c r="A38" i="2"/>
  <c r="AE38" i="2" s="1"/>
  <c r="A36" i="2"/>
  <c r="AE36" i="2" s="1"/>
  <c r="AC8" i="33"/>
  <c r="J18" i="11" a="1"/>
  <c r="S19" i="11" a="1"/>
  <c r="J13" i="11" a="1"/>
  <c r="C18" i="11" a="1"/>
  <c r="C20" i="11" a="1"/>
  <c r="L18" i="11" a="1"/>
  <c r="K18" i="11" a="1"/>
  <c r="N20" i="11" a="1"/>
  <c r="R18" i="11" a="1"/>
  <c r="M20" i="11" a="1"/>
  <c r="G19" i="11" a="1"/>
  <c r="B20" i="11" a="1"/>
  <c r="E18" i="11" a="1"/>
  <c r="Q20" i="11" a="1"/>
  <c r="D20" i="11" a="1"/>
  <c r="J19" i="11" a="1"/>
  <c r="G20" i="11" a="1"/>
  <c r="C21" i="11" a="1"/>
  <c r="P21" i="11" a="1"/>
  <c r="J14" i="11" a="1"/>
  <c r="O19" i="11" a="1"/>
  <c r="M19" i="11" a="1"/>
  <c r="K20" i="11" a="1"/>
  <c r="B19" i="11" a="1"/>
  <c r="O18" i="11" a="1"/>
  <c r="F18" i="12" a="1"/>
  <c r="E21" i="11" a="1"/>
  <c r="G21" i="11" a="1"/>
  <c r="E20" i="11" a="1"/>
  <c r="B21" i="11" a="1"/>
  <c r="J7" i="11" a="1"/>
  <c r="Q18" i="11" a="1"/>
  <c r="K21" i="11" a="1"/>
  <c r="L20" i="11" a="1"/>
  <c r="D19" i="11" a="1"/>
  <c r="R21" i="11" a="1"/>
  <c r="S18" i="11" a="1"/>
  <c r="S21" i="11" a="1"/>
  <c r="G18" i="11" a="1"/>
  <c r="S20" i="11" a="1"/>
  <c r="M18" i="11" a="1"/>
  <c r="P19" i="11" a="1"/>
  <c r="J17" i="11" a="1"/>
  <c r="J10" i="11" a="1"/>
  <c r="P20" i="11" a="1"/>
  <c r="M21" i="11" a="1"/>
  <c r="J11" i="11" a="1"/>
  <c r="D21" i="11" a="1"/>
  <c r="R20" i="11" a="1"/>
  <c r="J12" i="11" a="1"/>
  <c r="Q21" i="11" a="1"/>
  <c r="N18" i="11" a="1"/>
  <c r="R19" i="11" a="1"/>
  <c r="B18" i="11" a="1"/>
  <c r="J15" i="11" a="1"/>
  <c r="K19" i="11" a="1"/>
  <c r="L21" i="11" a="1"/>
  <c r="O20" i="11" a="1"/>
  <c r="J8" i="11" a="1"/>
  <c r="O21" i="11" a="1"/>
  <c r="J21" i="11" a="1"/>
  <c r="Q19" i="11" a="1"/>
  <c r="E19" i="11" a="1"/>
  <c r="N19" i="11" a="1"/>
  <c r="L19" i="11" a="1"/>
  <c r="D18" i="11" a="1"/>
  <c r="J16" i="11" a="1"/>
  <c r="P18" i="11" a="1"/>
  <c r="J9" i="11" a="1"/>
  <c r="C19" i="11" a="1"/>
  <c r="J20" i="11" a="1"/>
  <c r="N21" i="11" a="1"/>
  <c r="J20" i="11" l="1"/>
  <c r="J8" i="11"/>
  <c r="J15" i="11"/>
  <c r="J7" i="11"/>
  <c r="J18" i="11"/>
  <c r="J14" i="11"/>
  <c r="J10" i="11"/>
  <c r="J16" i="11"/>
  <c r="J12" i="11"/>
  <c r="J19" i="11"/>
  <c r="J11" i="11"/>
  <c r="J21" i="11"/>
  <c r="J17" i="11"/>
  <c r="J13" i="11"/>
  <c r="J9" i="11"/>
  <c r="O17" i="34"/>
  <c r="W17" i="34"/>
  <c r="H17" i="34"/>
  <c r="M16" i="34"/>
  <c r="U16" i="34"/>
  <c r="N16" i="34"/>
  <c r="V16" i="34"/>
  <c r="O16" i="34"/>
  <c r="W16" i="34"/>
  <c r="Q16" i="34"/>
  <c r="R16" i="34"/>
  <c r="H16" i="34"/>
  <c r="P16" i="34"/>
  <c r="X16" i="34"/>
  <c r="I16" i="34"/>
  <c r="Y16" i="34"/>
  <c r="J16" i="34"/>
  <c r="Z16" i="34"/>
  <c r="K16" i="34"/>
  <c r="S16" i="34"/>
  <c r="T16" i="34"/>
  <c r="L16" i="34"/>
  <c r="J15" i="34"/>
  <c r="R15" i="34"/>
  <c r="Z15" i="34"/>
  <c r="K15" i="34"/>
  <c r="S15" i="34"/>
  <c r="L15" i="34"/>
  <c r="T15" i="34"/>
  <c r="V15" i="34"/>
  <c r="W15" i="34"/>
  <c r="H15" i="34"/>
  <c r="X15" i="34"/>
  <c r="M15" i="34"/>
  <c r="U15" i="34"/>
  <c r="N15" i="34"/>
  <c r="O15" i="34"/>
  <c r="P15" i="34"/>
  <c r="Q15" i="34"/>
  <c r="Y15" i="34"/>
  <c r="I15" i="34"/>
  <c r="O14" i="34"/>
  <c r="W14" i="34"/>
  <c r="H14" i="34"/>
  <c r="P14" i="34"/>
  <c r="X14" i="34"/>
  <c r="I14" i="34"/>
  <c r="Q14" i="34"/>
  <c r="Y14" i="34"/>
  <c r="T14" i="34"/>
  <c r="U14" i="34"/>
  <c r="J14" i="34"/>
  <c r="R14" i="34"/>
  <c r="Z14" i="34"/>
  <c r="L14" i="34"/>
  <c r="M14" i="34"/>
  <c r="N14" i="34"/>
  <c r="V14" i="34"/>
  <c r="K14" i="34"/>
  <c r="S14" i="34"/>
  <c r="V17" i="34"/>
  <c r="N17" i="34"/>
  <c r="U17" i="34"/>
  <c r="T17" i="34"/>
  <c r="S17" i="34"/>
  <c r="K17" i="34"/>
  <c r="M17" i="34"/>
  <c r="L17" i="34"/>
  <c r="Z17" i="34"/>
  <c r="R17" i="34"/>
  <c r="J17" i="34"/>
  <c r="Y17" i="34"/>
  <c r="Q17" i="34"/>
  <c r="I17" i="34"/>
  <c r="X17" i="34"/>
  <c r="P17" i="34"/>
  <c r="F18" i="12"/>
  <c r="P21" i="11"/>
  <c r="G21" i="11"/>
  <c r="C21" i="11"/>
  <c r="R20" i="11"/>
  <c r="E20" i="11"/>
  <c r="P19" i="11"/>
  <c r="L19" i="11"/>
  <c r="G19" i="11"/>
  <c r="C19" i="11"/>
  <c r="R18" i="11"/>
  <c r="N18" i="11"/>
  <c r="E18" i="11"/>
  <c r="R21" i="11"/>
  <c r="N19" i="11"/>
  <c r="L21" i="11"/>
  <c r="N20" i="11"/>
  <c r="R19" i="11"/>
  <c r="O21" i="11"/>
  <c r="B21" i="11"/>
  <c r="M20" i="11"/>
  <c r="S19" i="11"/>
  <c r="O19" i="11"/>
  <c r="K19" i="11"/>
  <c r="B19" i="11"/>
  <c r="Q18" i="11"/>
  <c r="M18" i="11"/>
  <c r="D18" i="11"/>
  <c r="E21" i="11"/>
  <c r="C20" i="11"/>
  <c r="S21" i="11"/>
  <c r="K21" i="11"/>
  <c r="Q20" i="11"/>
  <c r="D20" i="11"/>
  <c r="P20" i="11"/>
  <c r="E19" i="11"/>
  <c r="P18" i="11"/>
  <c r="L18" i="11"/>
  <c r="G18" i="11"/>
  <c r="C18" i="11"/>
  <c r="L20" i="11"/>
  <c r="N21" i="11"/>
  <c r="G20" i="11"/>
  <c r="Q21" i="11"/>
  <c r="M21" i="11"/>
  <c r="D21" i="11"/>
  <c r="S20" i="11"/>
  <c r="O20" i="11"/>
  <c r="K20" i="11"/>
  <c r="B20" i="11"/>
  <c r="Q19" i="11"/>
  <c r="M19" i="11"/>
  <c r="D19" i="11"/>
  <c r="S18" i="11"/>
  <c r="O18" i="11"/>
  <c r="K18" i="11"/>
  <c r="B18" i="11"/>
  <c r="O18" i="12" a="1"/>
  <c r="G18" i="12" a="1"/>
  <c r="M18" i="12" a="1"/>
  <c r="I18" i="12" a="1"/>
  <c r="J18" i="12" a="1"/>
  <c r="T18" i="12" a="1"/>
  <c r="L18" i="12" a="1"/>
  <c r="U18" i="12" a="1"/>
  <c r="S18" i="12" a="1"/>
  <c r="P18" i="12" a="1"/>
  <c r="Q18" i="12" a="1"/>
  <c r="K18" i="12" a="1"/>
  <c r="N18" i="12" a="1"/>
  <c r="H18" i="12" a="1"/>
  <c r="R18" i="12" a="1"/>
  <c r="S18" i="12" l="1"/>
  <c r="I18" i="12"/>
  <c r="J18" i="12"/>
  <c r="M18" i="12"/>
  <c r="N18" i="12"/>
  <c r="Q18" i="12"/>
  <c r="P18" i="12"/>
  <c r="K18" i="12"/>
  <c r="H18" i="12"/>
  <c r="G18" i="12"/>
  <c r="T18" i="12"/>
  <c r="R18" i="12"/>
  <c r="U18" i="12"/>
  <c r="O18" i="12"/>
  <c r="L18" i="12"/>
  <c r="F18" i="11" a="1"/>
  <c r="F18" i="11" s="1"/>
  <c r="T18" i="11" a="1"/>
  <c r="T18" i="11" s="1"/>
  <c r="F19" i="11" a="1"/>
  <c r="F19" i="11" s="1"/>
  <c r="T19" i="11" a="1"/>
  <c r="T19" i="11" s="1"/>
  <c r="F20" i="11" a="1"/>
  <c r="F20" i="11" s="1"/>
  <c r="T20" i="11" a="1"/>
  <c r="T20" i="11" s="1"/>
  <c r="T21" i="11" a="1"/>
  <c r="F21" i="11" a="1"/>
  <c r="F21" i="11" l="1"/>
  <c r="T21" i="11"/>
  <c r="V18" i="12"/>
  <c r="X18" i="12"/>
  <c r="W18" i="12"/>
  <c r="AB18" i="12"/>
  <c r="Y18" i="12"/>
  <c r="Z18" i="12"/>
  <c r="AA18" i="12"/>
  <c r="AC18" i="12"/>
  <c r="Z25" i="2"/>
  <c r="Z26" i="2"/>
  <c r="Z27" i="2"/>
  <c r="Y25" i="2"/>
  <c r="Y26" i="2"/>
  <c r="Y27" i="2"/>
  <c r="X25" i="2"/>
  <c r="X26" i="2"/>
  <c r="X27" i="2"/>
  <c r="P25" i="2"/>
  <c r="P26" i="2"/>
  <c r="P27" i="2"/>
  <c r="Q25" i="2"/>
  <c r="Q26" i="2"/>
  <c r="Q27" i="2"/>
  <c r="I25" i="2"/>
  <c r="I26" i="2"/>
  <c r="I27" i="2"/>
  <c r="I38" i="2" l="1"/>
  <c r="V38" i="2"/>
  <c r="I37" i="2"/>
  <c r="V37" i="2"/>
  <c r="V36" i="2"/>
  <c r="I36" i="2"/>
  <c r="G644" i="4"/>
  <c r="F614" i="4"/>
  <c r="F609" i="4"/>
  <c r="E2" i="34" a="1"/>
  <c r="E2" i="34" s="1"/>
  <c r="M6" i="34"/>
  <c r="K7" i="34"/>
  <c r="I8" i="34"/>
  <c r="H11" i="34"/>
  <c r="H3" i="34"/>
  <c r="H4" i="34"/>
  <c r="H5" i="34"/>
  <c r="H2" i="34"/>
  <c r="B2" i="34" a="1"/>
  <c r="B2" i="34" s="1"/>
  <c r="G2" i="34" a="1"/>
  <c r="G2" i="34" s="1"/>
  <c r="C2" i="34" a="1"/>
  <c r="C2" i="34" s="1"/>
  <c r="D2" i="34" a="1"/>
  <c r="D2" i="34" s="1"/>
  <c r="F2" i="34"/>
  <c r="Z7" i="34" l="1"/>
  <c r="H10" i="34"/>
  <c r="R7" i="34"/>
  <c r="J7" i="34"/>
  <c r="T6" i="34"/>
  <c r="L6" i="34"/>
  <c r="X8" i="34"/>
  <c r="P8" i="34"/>
  <c r="W8" i="34"/>
  <c r="O8" i="34"/>
  <c r="Y7" i="34"/>
  <c r="Q7" i="34"/>
  <c r="I7" i="34"/>
  <c r="S6" i="34"/>
  <c r="K6" i="34"/>
  <c r="H9" i="34"/>
  <c r="V8" i="34"/>
  <c r="N8" i="34"/>
  <c r="X7" i="34"/>
  <c r="P7" i="34"/>
  <c r="Z6" i="34"/>
  <c r="R6" i="34"/>
  <c r="J6" i="34"/>
  <c r="H8" i="34"/>
  <c r="U8" i="34"/>
  <c r="M8" i="34"/>
  <c r="W7" i="34"/>
  <c r="O7" i="34"/>
  <c r="Y6" i="34"/>
  <c r="Q6" i="34"/>
  <c r="I6" i="34"/>
  <c r="H7" i="34"/>
  <c r="T8" i="34"/>
  <c r="L8" i="34"/>
  <c r="V7" i="34"/>
  <c r="N7" i="34"/>
  <c r="X6" i="34"/>
  <c r="P6" i="34"/>
  <c r="H6" i="34"/>
  <c r="S8" i="34"/>
  <c r="K8" i="34"/>
  <c r="U7" i="34"/>
  <c r="M7" i="34"/>
  <c r="W6" i="34"/>
  <c r="O6" i="34"/>
  <c r="H13" i="34"/>
  <c r="Z8" i="34"/>
  <c r="R8" i="34"/>
  <c r="J8" i="34"/>
  <c r="T7" i="34"/>
  <c r="L7" i="34"/>
  <c r="V6" i="34"/>
  <c r="N6" i="34"/>
  <c r="H12" i="34"/>
  <c r="Y8" i="34"/>
  <c r="Q8" i="34"/>
  <c r="S7" i="34"/>
  <c r="U6" i="34"/>
  <c r="A3" i="12" l="1"/>
  <c r="C3" i="12"/>
  <c r="D3" i="12"/>
  <c r="C4" i="12"/>
  <c r="D4" i="12"/>
  <c r="C5" i="12"/>
  <c r="D5" i="12"/>
  <c r="C6" i="12"/>
  <c r="D6" i="12"/>
  <c r="C7" i="12"/>
  <c r="D7" i="12"/>
  <c r="C8" i="12"/>
  <c r="D8" i="12"/>
  <c r="C9" i="12"/>
  <c r="D9" i="12"/>
  <c r="C10" i="12"/>
  <c r="D10" i="12"/>
  <c r="C11" i="12"/>
  <c r="D11" i="12"/>
  <c r="C12" i="12"/>
  <c r="D12" i="12"/>
  <c r="C13" i="12"/>
  <c r="D13" i="12"/>
  <c r="C14" i="12"/>
  <c r="D14" i="12"/>
  <c r="C15" i="12"/>
  <c r="D15" i="12"/>
  <c r="C16" i="12"/>
  <c r="D16" i="12"/>
  <c r="C17" i="12"/>
  <c r="D17" i="12"/>
  <c r="F643" i="4"/>
  <c r="F630" i="4"/>
  <c r="F632" i="4" l="1"/>
  <c r="F633" i="4"/>
  <c r="F634" i="4"/>
  <c r="F635" i="4"/>
  <c r="F636" i="4"/>
  <c r="F637" i="4"/>
  <c r="F638" i="4"/>
  <c r="F639" i="4"/>
  <c r="F640" i="4"/>
  <c r="F641" i="4"/>
  <c r="F642" i="4"/>
  <c r="F631" i="4"/>
  <c r="S14" i="33" l="1"/>
  <c r="L14" i="33"/>
  <c r="T89" i="33" l="1"/>
  <c r="X94" i="33"/>
  <c r="A24" i="33"/>
  <c r="A25" i="33"/>
  <c r="T103" i="33" l="1"/>
  <c r="T102" i="33"/>
  <c r="T101" i="33"/>
  <c r="T100" i="33"/>
  <c r="T99" i="33"/>
  <c r="T98" i="33"/>
  <c r="T97" i="33"/>
  <c r="X97" i="33" s="1"/>
  <c r="T96" i="33"/>
  <c r="X96" i="33" s="1"/>
  <c r="T95" i="33"/>
  <c r="X95" i="33" s="1"/>
  <c r="T93" i="33"/>
  <c r="T92" i="33"/>
  <c r="T91" i="33"/>
  <c r="X91" i="33" s="1"/>
  <c r="T90" i="33"/>
  <c r="X90" i="33" s="1"/>
  <c r="T88" i="33"/>
  <c r="X88" i="33" s="1"/>
  <c r="T87" i="33"/>
  <c r="A19" i="33"/>
  <c r="I9" i="33"/>
  <c r="Y269" i="4"/>
  <c r="H27" i="33" l="1"/>
  <c r="D100" i="33" s="1"/>
  <c r="H25" i="33"/>
  <c r="D98" i="33" s="1"/>
  <c r="P98" i="33" s="1"/>
  <c r="F27" i="33"/>
  <c r="A27" i="33" s="1"/>
  <c r="H24" i="33"/>
  <c r="D97" i="33" s="1"/>
  <c r="F25" i="33"/>
  <c r="F26" i="33"/>
  <c r="A26" i="33" s="1"/>
  <c r="F24" i="33"/>
  <c r="H26" i="33"/>
  <c r="D99" i="33" s="1"/>
  <c r="P99" i="33" s="1"/>
  <c r="Z14" i="33"/>
  <c r="Z12" i="33"/>
  <c r="Z13" i="33"/>
  <c r="J19" i="33"/>
  <c r="P88" i="33"/>
  <c r="P90" i="33"/>
  <c r="P92" i="33"/>
  <c r="X92" i="33" s="1"/>
  <c r="A20" i="33"/>
  <c r="J95" i="33"/>
  <c r="J20" i="33"/>
  <c r="P95" i="33"/>
  <c r="J87" i="33"/>
  <c r="P89" i="33"/>
  <c r="X89" i="33" s="1"/>
  <c r="P91" i="33"/>
  <c r="J96" i="33"/>
  <c r="P96" i="33"/>
  <c r="P10" i="34"/>
  <c r="P12" i="34"/>
  <c r="P13" i="34"/>
  <c r="A87" i="2"/>
  <c r="T271" i="4"/>
  <c r="Y277" i="4"/>
  <c r="Y275" i="4"/>
  <c r="Y274" i="4"/>
  <c r="Y273" i="4"/>
  <c r="Y272" i="4"/>
  <c r="Y271" i="4"/>
  <c r="Y270" i="4"/>
  <c r="Y156" i="4"/>
  <c r="T277" i="4"/>
  <c r="E4" i="12"/>
  <c r="E5" i="12"/>
  <c r="E6" i="12"/>
  <c r="E7" i="12"/>
  <c r="E8" i="12"/>
  <c r="E9" i="12"/>
  <c r="E10" i="12"/>
  <c r="E11" i="12"/>
  <c r="E12" i="12"/>
  <c r="E13" i="12"/>
  <c r="E14" i="12"/>
  <c r="E15" i="12"/>
  <c r="E16" i="12"/>
  <c r="E17" i="12"/>
  <c r="E3" i="12"/>
  <c r="P9" i="34" l="1"/>
  <c r="P11" i="34"/>
  <c r="P97" i="33"/>
  <c r="J97" i="33"/>
  <c r="P100" i="33"/>
  <c r="X100" i="33" s="1"/>
  <c r="X99" i="33"/>
  <c r="X98" i="33"/>
  <c r="S13" i="33"/>
  <c r="S12" i="33"/>
  <c r="J98" i="33"/>
  <c r="J99" i="33"/>
  <c r="J100" i="33"/>
  <c r="Z21" i="2" l="1"/>
  <c r="P84" i="33" s="1"/>
  <c r="Z22" i="2"/>
  <c r="Z23" i="2"/>
  <c r="Z24" i="2"/>
  <c r="Y21" i="2"/>
  <c r="Y22" i="2"/>
  <c r="Y23" i="2"/>
  <c r="Y24" i="2"/>
  <c r="Y20" i="2"/>
  <c r="Z20" i="2"/>
  <c r="R84" i="33" l="1"/>
  <c r="P87" i="33" s="1"/>
  <c r="X21" i="2"/>
  <c r="X22" i="2"/>
  <c r="X23" i="2"/>
  <c r="X24" i="2"/>
  <c r="X20" i="2"/>
  <c r="P21" i="2"/>
  <c r="P22" i="2"/>
  <c r="P23" i="2"/>
  <c r="P24" i="2"/>
  <c r="P20" i="2"/>
  <c r="G483" i="4"/>
  <c r="G485" i="4"/>
  <c r="G486" i="4"/>
  <c r="G487" i="4"/>
  <c r="G489" i="4"/>
  <c r="G490" i="4"/>
  <c r="G491" i="4"/>
  <c r="G492" i="4"/>
  <c r="G493" i="4"/>
  <c r="G496" i="4"/>
  <c r="G497" i="4"/>
  <c r="G498" i="4"/>
  <c r="G499" i="4"/>
  <c r="G501" i="4"/>
  <c r="G503" i="4"/>
  <c r="G505" i="4"/>
  <c r="G507" i="4"/>
  <c r="G508" i="4"/>
  <c r="G509" i="4"/>
  <c r="G511" i="4"/>
  <c r="G513" i="4"/>
  <c r="G515" i="4"/>
  <c r="G608" i="4"/>
  <c r="G609" i="4"/>
  <c r="G610" i="4"/>
  <c r="G611" i="4"/>
  <c r="G612" i="4"/>
  <c r="G613" i="4"/>
  <c r="G614" i="4"/>
  <c r="G615" i="4"/>
  <c r="G616" i="4"/>
  <c r="G617" i="4"/>
  <c r="G618" i="4"/>
  <c r="G619" i="4"/>
  <c r="G620" i="4"/>
  <c r="G621" i="4"/>
  <c r="G622" i="4"/>
  <c r="G623" i="4"/>
  <c r="G624" i="4"/>
  <c r="G625" i="4"/>
  <c r="G626" i="4"/>
  <c r="G627" i="4"/>
  <c r="G628" i="4"/>
  <c r="G629" i="4"/>
  <c r="T270" i="4"/>
  <c r="T272" i="4"/>
  <c r="T273" i="4"/>
  <c r="T274" i="4"/>
  <c r="T275"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T269" i="4"/>
  <c r="Q7" i="11" a="1"/>
  <c r="D13" i="11" a="1"/>
  <c r="K4" i="12" a="1"/>
  <c r="O13" i="11" a="1"/>
  <c r="H3" i="12" a="1"/>
  <c r="Q10" i="11" a="1"/>
  <c r="T17" i="12" a="1"/>
  <c r="T13" i="12" a="1"/>
  <c r="C6" i="11" a="1"/>
  <c r="N6" i="11" a="1"/>
  <c r="H8" i="12" a="1"/>
  <c r="S17" i="12" a="1"/>
  <c r="O17" i="12" a="1"/>
  <c r="R6" i="12" a="1"/>
  <c r="K16" i="12" a="1"/>
  <c r="L6" i="12" a="1"/>
  <c r="S6" i="11" a="1"/>
  <c r="R15" i="12" a="1"/>
  <c r="G14" i="12" a="1"/>
  <c r="O8" i="12" a="1"/>
  <c r="M8" i="11" a="1"/>
  <c r="S14" i="12" a="1"/>
  <c r="N14" i="12" a="1"/>
  <c r="F11" i="12" a="1"/>
  <c r="E17" i="11" a="1"/>
  <c r="F8" i="12" a="1"/>
  <c r="I6" i="12" a="1"/>
  <c r="I11" i="12" a="1"/>
  <c r="P8" i="12" a="1"/>
  <c r="R15" i="11" a="1"/>
  <c r="G14" i="11" a="1"/>
  <c r="J6" i="12" a="1"/>
  <c r="N15" i="12" a="1"/>
  <c r="Q16" i="12" a="1"/>
  <c r="G17" i="12" a="1"/>
  <c r="Q9" i="12" a="1"/>
  <c r="I13" i="12" a="1"/>
  <c r="S5" i="12" a="1"/>
  <c r="E8" i="11" a="1"/>
  <c r="K6" i="12" a="1"/>
  <c r="F17" i="12" a="1"/>
  <c r="R7" i="11" a="1"/>
  <c r="S15" i="11" a="1"/>
  <c r="B16" i="11" a="1"/>
  <c r="E13" i="11" a="1"/>
  <c r="D7" i="11" a="1"/>
  <c r="H10" i="12" a="1"/>
  <c r="O9" i="11" a="1"/>
  <c r="I4" i="12" a="1"/>
  <c r="R12" i="11" a="1"/>
  <c r="G7" i="11" a="1"/>
  <c r="C8" i="11" a="1"/>
  <c r="P16" i="12" a="1"/>
  <c r="K14" i="12" a="1"/>
  <c r="K17" i="12" a="1"/>
  <c r="L5" i="12" a="1"/>
  <c r="R11" i="11" a="1"/>
  <c r="M17" i="11" a="1"/>
  <c r="P7" i="12" a="1"/>
  <c r="M9" i="12" a="1"/>
  <c r="K11" i="12" a="1"/>
  <c r="H6" i="12" a="1"/>
  <c r="L14" i="11" a="1"/>
  <c r="C13" i="11" a="1"/>
  <c r="Q8" i="11" a="1"/>
  <c r="S8" i="12" a="1"/>
  <c r="H16" i="12" a="1"/>
  <c r="R14" i="12" a="1"/>
  <c r="J7" i="12" a="1"/>
  <c r="E14" i="11" a="1"/>
  <c r="M17" i="12" a="1"/>
  <c r="L16" i="11" a="1"/>
  <c r="D15" i="11" a="1"/>
  <c r="G15" i="11" a="1"/>
  <c r="K7" i="12" a="1"/>
  <c r="O14" i="11" a="1"/>
  <c r="R17" i="12" a="1"/>
  <c r="C15" i="11" a="1"/>
  <c r="U9" i="12" a="1"/>
  <c r="N7" i="11" a="1"/>
  <c r="Q3" i="12" a="1"/>
  <c r="R14" i="11" a="1"/>
  <c r="K12" i="12" a="1"/>
  <c r="P10" i="12" a="1"/>
  <c r="J13" i="12" a="1"/>
  <c r="Q5" i="12" a="1"/>
  <c r="K6" i="11" a="1"/>
  <c r="S8" i="11" a="1"/>
  <c r="J9" i="12" a="1"/>
  <c r="B7" i="11" a="1"/>
  <c r="G6" i="12" a="1"/>
  <c r="G11" i="11" a="1"/>
  <c r="T11" i="12" a="1"/>
  <c r="I10" i="12" a="1"/>
  <c r="L17" i="12" a="1"/>
  <c r="R10" i="11" a="1"/>
  <c r="P14" i="11" a="1"/>
  <c r="Q4" i="12" a="1"/>
  <c r="M16" i="11" a="1"/>
  <c r="K12" i="11" a="1"/>
  <c r="C9" i="11" a="1"/>
  <c r="H5" i="12" a="1"/>
  <c r="O6" i="12" a="1"/>
  <c r="E11" i="11" a="1"/>
  <c r="K9" i="12" a="1"/>
  <c r="N13" i="12" a="1"/>
  <c r="R5" i="12" a="1"/>
  <c r="P12" i="11" a="1"/>
  <c r="M15" i="12" a="1"/>
  <c r="C17" i="11" a="1"/>
  <c r="O12" i="11" a="1"/>
  <c r="C14" i="11" a="1"/>
  <c r="B13" i="11" a="1"/>
  <c r="M16" i="12" a="1"/>
  <c r="O7" i="12" a="1"/>
  <c r="G13" i="11" a="1"/>
  <c r="L8" i="12" a="1"/>
  <c r="N9" i="11" a="1"/>
  <c r="B14" i="11" a="1"/>
  <c r="B8" i="11" a="1"/>
  <c r="I14" i="12" a="1"/>
  <c r="L17" i="11" a="1"/>
  <c r="N8" i="11" a="1"/>
  <c r="S7" i="12" a="1"/>
  <c r="U13" i="12" a="1"/>
  <c r="U6" i="12" a="1"/>
  <c r="M14" i="12" a="1"/>
  <c r="L11" i="12" a="1"/>
  <c r="G11" i="12" a="1"/>
  <c r="J16" i="12" a="1"/>
  <c r="K7" i="11" a="1"/>
  <c r="N17" i="12" a="1"/>
  <c r="B12" i="11" a="1"/>
  <c r="D10" i="11" a="1"/>
  <c r="M12" i="11" a="1"/>
  <c r="D6" i="11" a="1"/>
  <c r="M8" i="12" a="1"/>
  <c r="O11" i="12" a="1"/>
  <c r="S16" i="11" a="1"/>
  <c r="M11" i="11" a="1"/>
  <c r="J4" i="12" a="1"/>
  <c r="G5" i="12" a="1"/>
  <c r="P13" i="11" a="1"/>
  <c r="L15" i="12" a="1"/>
  <c r="Q15" i="11" a="1"/>
  <c r="U12" i="12" a="1"/>
  <c r="P11" i="12" a="1"/>
  <c r="N11" i="12" a="1"/>
  <c r="P9" i="11" a="1"/>
  <c r="S11" i="11" a="1"/>
  <c r="T14" i="12" a="1"/>
  <c r="U8" i="12" a="1"/>
  <c r="U14" i="12" a="1"/>
  <c r="P9" i="12" a="1"/>
  <c r="Q12" i="12" a="1"/>
  <c r="K11" i="11" a="1"/>
  <c r="O5" i="12" a="1"/>
  <c r="S17" i="11" a="1"/>
  <c r="G6" i="11" a="1"/>
  <c r="K15" i="11" a="1"/>
  <c r="T16" i="12" a="1"/>
  <c r="R12" i="12" a="1"/>
  <c r="S10" i="12" a="1"/>
  <c r="P15" i="12" a="1"/>
  <c r="O3" i="12" a="1"/>
  <c r="P7" i="11" a="1"/>
  <c r="N16" i="12" a="1"/>
  <c r="P5" i="12" a="1"/>
  <c r="I9" i="12" a="1"/>
  <c r="S12" i="11" a="1"/>
  <c r="I8" i="12" a="1"/>
  <c r="O10" i="12" a="1"/>
  <c r="L3" i="12" a="1"/>
  <c r="P6" i="12" a="1"/>
  <c r="L14" i="12" a="1"/>
  <c r="Q12" i="11" a="1"/>
  <c r="E10" i="11" a="1"/>
  <c r="Q9" i="11" a="1"/>
  <c r="N16" i="11" a="1"/>
  <c r="G12" i="12" a="1"/>
  <c r="P16" i="11" a="1"/>
  <c r="G9" i="11" a="1"/>
  <c r="E9" i="11" a="1"/>
  <c r="E12" i="11" a="1"/>
  <c r="F7" i="12" a="1"/>
  <c r="R11" i="12" a="1"/>
  <c r="H13" i="12" a="1"/>
  <c r="G8" i="12" a="1"/>
  <c r="M7" i="11" a="1"/>
  <c r="B17" i="11" a="1"/>
  <c r="T12" i="12" a="1"/>
  <c r="L10" i="12" a="1"/>
  <c r="I15" i="12" a="1"/>
  <c r="J15" i="12" a="1"/>
  <c r="G16" i="12" a="1"/>
  <c r="N9" i="12" a="1"/>
  <c r="G10" i="11" a="1"/>
  <c r="N6" i="12" a="1"/>
  <c r="J11" i="12" a="1"/>
  <c r="C16" i="11" a="1"/>
  <c r="M9" i="11" a="1"/>
  <c r="U17" i="12" a="1"/>
  <c r="G17" i="11" a="1"/>
  <c r="S13" i="11" a="1"/>
  <c r="D9" i="11" a="1"/>
  <c r="L13" i="11" a="1"/>
  <c r="M12" i="12" a="1"/>
  <c r="K13" i="12" a="1"/>
  <c r="I7" i="12" a="1"/>
  <c r="M7" i="12" a="1"/>
  <c r="B10" i="11" a="1"/>
  <c r="P15" i="11" a="1"/>
  <c r="R13" i="11" a="1"/>
  <c r="Q15" i="12" a="1"/>
  <c r="N15" i="11" a="1"/>
  <c r="S12" i="12" a="1"/>
  <c r="H11" i="12" a="1"/>
  <c r="O15" i="11" a="1"/>
  <c r="F10" i="12" a="1"/>
  <c r="Q17" i="11" a="1"/>
  <c r="O13" i="12" a="1"/>
  <c r="L16" i="12" a="1"/>
  <c r="I12" i="12" a="1"/>
  <c r="T10" i="12" a="1"/>
  <c r="K10" i="12" a="1"/>
  <c r="N14" i="11" a="1"/>
  <c r="F13" i="12" a="1"/>
  <c r="K8" i="12" a="1"/>
  <c r="E7" i="11" a="1"/>
  <c r="H9" i="12" a="1"/>
  <c r="O14" i="12" a="1"/>
  <c r="M11" i="12" a="1"/>
  <c r="N7" i="12" a="1"/>
  <c r="T7" i="12" a="1"/>
  <c r="K15" i="12" a="1"/>
  <c r="D16" i="11" a="1"/>
  <c r="K9" i="11" a="1"/>
  <c r="Q11" i="11" a="1"/>
  <c r="I5" i="12" a="1"/>
  <c r="Q13" i="11" a="1"/>
  <c r="N5" i="12" a="1"/>
  <c r="O9" i="12" a="1"/>
  <c r="H7" i="12" a="1"/>
  <c r="K8" i="11" a="1"/>
  <c r="D11" i="11" a="1"/>
  <c r="D12" i="11" a="1"/>
  <c r="L4" i="12" a="1"/>
  <c r="T9" i="12" a="1"/>
  <c r="F15" i="12" a="1"/>
  <c r="R16" i="12" a="1"/>
  <c r="E16" i="11" a="1"/>
  <c r="D14" i="11" a="1"/>
  <c r="L11" i="11" a="1"/>
  <c r="S14" i="11" a="1"/>
  <c r="M6" i="11" a="1"/>
  <c r="R9" i="11" a="1"/>
  <c r="H14" i="12" a="1"/>
  <c r="M14" i="11" a="1"/>
  <c r="T6" i="12" a="1"/>
  <c r="J14" i="12" a="1"/>
  <c r="T4" i="12" a="1"/>
  <c r="Q6" i="11" a="1"/>
  <c r="S13" i="12" a="1"/>
  <c r="K10" i="11" a="1"/>
  <c r="S3" i="12" a="1"/>
  <c r="C12" i="11" a="1"/>
  <c r="P8" i="11" a="1"/>
  <c r="N10" i="12" a="1"/>
  <c r="M3" i="12" a="1"/>
  <c r="R17" i="11" a="1"/>
  <c r="O16" i="11" a="1"/>
  <c r="C11" i="11" a="1"/>
  <c r="C10" i="11" a="1"/>
  <c r="L12" i="12" a="1"/>
  <c r="T3" i="12" a="1"/>
  <c r="H4" i="12" a="1"/>
  <c r="D8" i="11" a="1"/>
  <c r="H15" i="12" a="1"/>
  <c r="U15" i="12" a="1"/>
  <c r="N3" i="12" a="1"/>
  <c r="O7" i="11" a="1"/>
  <c r="R16" i="11" a="1"/>
  <c r="L9" i="12" a="1"/>
  <c r="E15" i="11" a="1"/>
  <c r="O4" i="12" a="1"/>
  <c r="U10" i="12" a="1"/>
  <c r="Q10" i="12" a="1"/>
  <c r="G7" i="12" a="1"/>
  <c r="R3" i="12" a="1"/>
  <c r="G15" i="12" a="1"/>
  <c r="B11" i="11" a="1"/>
  <c r="O10" i="11" a="1"/>
  <c r="G12" i="11" a="1"/>
  <c r="K17" i="11" a="1"/>
  <c r="P17" i="12" a="1"/>
  <c r="L8" i="11" a="1"/>
  <c r="F14" i="12" a="1"/>
  <c r="R8" i="11" a="1"/>
  <c r="O17" i="11" a="1"/>
  <c r="K14" i="11" a="1"/>
  <c r="L7" i="11" a="1"/>
  <c r="I3" i="12" a="1"/>
  <c r="R6" i="11" a="1"/>
  <c r="F5" i="12" a="1"/>
  <c r="N10" i="11" a="1"/>
  <c r="T5" i="12" a="1"/>
  <c r="U16" i="12" a="1"/>
  <c r="M4" i="12" a="1"/>
  <c r="R9" i="12" a="1"/>
  <c r="G13" i="12" a="1"/>
  <c r="U11" i="12" a="1"/>
  <c r="Q11" i="12" a="1"/>
  <c r="U4" i="12" a="1"/>
  <c r="S11" i="12" a="1"/>
  <c r="B15" i="11" a="1"/>
  <c r="N17" i="11" a="1"/>
  <c r="M15" i="11" a="1"/>
  <c r="S9" i="12" a="1"/>
  <c r="C7" i="11" a="1"/>
  <c r="U5" i="12" a="1"/>
  <c r="O16" i="12" a="1"/>
  <c r="F4" i="12" a="1"/>
  <c r="T15" i="12" a="1"/>
  <c r="L15" i="11" a="1"/>
  <c r="Q7" i="12" a="1"/>
  <c r="L12" i="11" a="1"/>
  <c r="P10" i="11" a="1"/>
  <c r="J12" i="12" a="1"/>
  <c r="J17" i="12" a="1"/>
  <c r="P3" i="12" a="1"/>
  <c r="S6" i="12" a="1"/>
  <c r="G9" i="12" a="1"/>
  <c r="S7" i="11" a="1"/>
  <c r="L9" i="11" a="1"/>
  <c r="Q14" i="11" a="1"/>
  <c r="S10" i="11" a="1"/>
  <c r="K3" i="12" a="1"/>
  <c r="P17" i="11" a="1"/>
  <c r="N4" i="12" a="1"/>
  <c r="M10" i="11" a="1"/>
  <c r="M5" i="12" a="1"/>
  <c r="K5" i="12" a="1"/>
  <c r="P12" i="12" a="1"/>
  <c r="U3" i="12" a="1"/>
  <c r="O8" i="11" a="1"/>
  <c r="S15" i="12" a="1"/>
  <c r="U7" i="12" a="1"/>
  <c r="S16" i="12" a="1"/>
  <c r="L7" i="12" a="1"/>
  <c r="Q6" i="12" a="1"/>
  <c r="P14" i="12" a="1"/>
  <c r="K13" i="11" a="1"/>
  <c r="G8" i="11" a="1"/>
  <c r="F12" i="12" a="1"/>
  <c r="N12" i="11" a="1"/>
  <c r="N13" i="11" a="1"/>
  <c r="G16" i="11" a="1"/>
  <c r="S9" i="11" a="1"/>
  <c r="G10" i="12" a="1"/>
  <c r="N8" i="12" a="1"/>
  <c r="P11" i="11" a="1"/>
  <c r="R13" i="12" a="1"/>
  <c r="J8" i="12" a="1"/>
  <c r="H17" i="12" a="1"/>
  <c r="H12" i="12" a="1"/>
  <c r="L10" i="11" a="1"/>
  <c r="I17" i="12" a="1"/>
  <c r="Q16" i="11" a="1"/>
  <c r="N12" i="12" a="1"/>
  <c r="F16" i="12" a="1"/>
  <c r="R8" i="12" a="1"/>
  <c r="S4" i="12" a="1"/>
  <c r="M13" i="11" a="1"/>
  <c r="P6" i="11" a="1"/>
  <c r="T8" i="12" a="1"/>
  <c r="O15" i="12" a="1"/>
  <c r="L6" i="11" a="1"/>
  <c r="M10" i="12" a="1"/>
  <c r="P4" i="12" a="1"/>
  <c r="L13" i="12" a="1"/>
  <c r="O11" i="11" a="1"/>
  <c r="Q13" i="12" a="1"/>
  <c r="O6" i="11" a="1"/>
  <c r="N11" i="11" a="1"/>
  <c r="K16" i="11" a="1"/>
  <c r="P13" i="12" a="1"/>
  <c r="F9" i="12" a="1"/>
  <c r="I16" i="12" a="1"/>
  <c r="M6" i="12" a="1"/>
  <c r="Q14" i="12" a="1"/>
  <c r="Q8" i="12" a="1"/>
  <c r="Q17" i="12" a="1"/>
  <c r="R4" i="12" a="1"/>
  <c r="J5" i="12" a="1"/>
  <c r="D17" i="11" a="1"/>
  <c r="O12" i="12" a="1"/>
  <c r="R7" i="12" a="1"/>
  <c r="E6" i="11" a="1"/>
  <c r="J10" i="12" a="1"/>
  <c r="M13" i="12" a="1"/>
  <c r="R10" i="12" a="1"/>
  <c r="I33" i="2" l="1"/>
  <c r="V33" i="2"/>
  <c r="V35" i="2"/>
  <c r="I35" i="2"/>
  <c r="I34" i="2"/>
  <c r="V34" i="2"/>
  <c r="L10" i="11"/>
  <c r="N7" i="12"/>
  <c r="I6" i="12"/>
  <c r="P13" i="11"/>
  <c r="R16" i="11"/>
  <c r="X12" i="34" s="1"/>
  <c r="D17" i="11"/>
  <c r="J13" i="34" s="1"/>
  <c r="O13" i="11"/>
  <c r="P15" i="11"/>
  <c r="O10" i="11"/>
  <c r="S12" i="12"/>
  <c r="M16" i="12"/>
  <c r="G14" i="11"/>
  <c r="P14" i="12"/>
  <c r="U14" i="12"/>
  <c r="M14" i="11"/>
  <c r="S10" i="34" s="1"/>
  <c r="R7" i="12"/>
  <c r="U17" i="12"/>
  <c r="J11" i="12"/>
  <c r="O10" i="12"/>
  <c r="H15" i="12"/>
  <c r="D6" i="11"/>
  <c r="J2" i="34" s="1"/>
  <c r="B10" i="11"/>
  <c r="I4" i="12"/>
  <c r="G15" i="12"/>
  <c r="P11" i="12"/>
  <c r="S7" i="12"/>
  <c r="L12" i="11"/>
  <c r="O15" i="11"/>
  <c r="R12" i="12"/>
  <c r="C6" i="11"/>
  <c r="I2" i="34" s="1"/>
  <c r="L15" i="12"/>
  <c r="L15" i="11"/>
  <c r="J9" i="12"/>
  <c r="L17" i="11"/>
  <c r="R13" i="34" s="1"/>
  <c r="N15" i="12"/>
  <c r="B17" i="11"/>
  <c r="G16" i="11"/>
  <c r="U9" i="12"/>
  <c r="R10" i="12"/>
  <c r="O16" i="11"/>
  <c r="U12" i="34" s="1"/>
  <c r="N14" i="11"/>
  <c r="T10" i="34" s="1"/>
  <c r="E8" i="11"/>
  <c r="K4" i="34" s="1"/>
  <c r="R13" i="11"/>
  <c r="Q10" i="12"/>
  <c r="G13" i="11"/>
  <c r="E16" i="11"/>
  <c r="K12" i="34" s="1"/>
  <c r="T11" i="12"/>
  <c r="G8" i="11"/>
  <c r="L7" i="12"/>
  <c r="M15" i="12"/>
  <c r="P17" i="11"/>
  <c r="V13" i="34" s="1"/>
  <c r="P8" i="12"/>
  <c r="S17" i="11"/>
  <c r="Y13" i="34" s="1"/>
  <c r="I14" i="12"/>
  <c r="L6" i="12"/>
  <c r="K15" i="11"/>
  <c r="O13" i="12"/>
  <c r="S13" i="12"/>
  <c r="L17" i="12"/>
  <c r="G15" i="11"/>
  <c r="P16" i="12"/>
  <c r="H14" i="12"/>
  <c r="N13" i="11"/>
  <c r="R3" i="12"/>
  <c r="M14" i="12"/>
  <c r="M15" i="11"/>
  <c r="L6" i="11"/>
  <c r="R2" i="34" s="1"/>
  <c r="O16" i="12"/>
  <c r="H6" i="12"/>
  <c r="S10" i="12"/>
  <c r="G17" i="12"/>
  <c r="H11" i="12"/>
  <c r="Q11" i="11"/>
  <c r="K10" i="11"/>
  <c r="R15" i="11"/>
  <c r="U6" i="12"/>
  <c r="H16" i="12"/>
  <c r="R12" i="11"/>
  <c r="K10" i="12"/>
  <c r="I16" i="12"/>
  <c r="N12" i="11"/>
  <c r="R15" i="12"/>
  <c r="L16" i="12"/>
  <c r="O6" i="11"/>
  <c r="U2" i="34" s="1"/>
  <c r="D8" i="11"/>
  <c r="J4" i="34" s="1"/>
  <c r="Q14" i="11"/>
  <c r="W10" i="34" s="1"/>
  <c r="K6" i="12"/>
  <c r="I5" i="12"/>
  <c r="N14" i="12"/>
  <c r="AC14" i="12" s="1"/>
  <c r="K12" i="12"/>
  <c r="P13" i="12"/>
  <c r="O8" i="11"/>
  <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 r="K5" i="34" s="1"/>
  <c r="K16" i="12"/>
  <c r="T8" i="12"/>
  <c r="Q13" i="12"/>
  <c r="S7" i="11"/>
  <c r="Y3" i="34" s="1"/>
  <c r="J14" i="12"/>
  <c r="I17" i="12"/>
  <c r="M3" i="12"/>
  <c r="M9" i="11"/>
  <c r="S5" i="34" s="1"/>
  <c r="S13" i="11"/>
  <c r="O17" i="12"/>
  <c r="I11" i="12"/>
  <c r="J4" i="12"/>
  <c r="K9" i="12"/>
  <c r="M5" i="12"/>
  <c r="I12" i="12"/>
  <c r="D7" i="11"/>
  <c r="J3" i="34" s="1"/>
  <c r="R17" i="12"/>
  <c r="P6" i="11"/>
  <c r="V2" i="34" s="1"/>
  <c r="C9" i="11"/>
  <c r="T9" i="11" s="1" a="1"/>
  <c r="T9" i="11" s="1"/>
  <c r="Z5" i="34" s="1"/>
  <c r="M11" i="11"/>
  <c r="G12" i="12"/>
  <c r="K3" i="12"/>
  <c r="R16" i="12"/>
  <c r="L10" i="12"/>
  <c r="N6" i="12"/>
  <c r="R9" i="12"/>
  <c r="S11" i="11"/>
  <c r="G12" i="11"/>
  <c r="R5" i="12"/>
  <c r="O4" i="12"/>
  <c r="M10" i="12"/>
  <c r="D11" i="11"/>
  <c r="F12" i="12"/>
  <c r="Q9" i="12"/>
  <c r="T4" i="12"/>
  <c r="O15" i="12"/>
  <c r="H10" i="12"/>
  <c r="Q3" i="12"/>
  <c r="N7" i="11"/>
  <c r="T3" i="34" s="1"/>
  <c r="O17" i="11"/>
  <c r="U13" i="34" s="1"/>
  <c r="E10" i="11"/>
  <c r="N5" i="12"/>
  <c r="K8" i="12"/>
  <c r="P16" i="11"/>
  <c r="V12" i="34" s="1"/>
  <c r="D14" i="11"/>
  <c r="J10" i="34" s="1"/>
  <c r="R8" i="11"/>
  <c r="X4" i="34" s="1"/>
  <c r="F9" i="12"/>
  <c r="L4" i="12"/>
  <c r="G9" i="11"/>
  <c r="Q11" i="12"/>
  <c r="K9" i="11"/>
  <c r="Q5" i="34" s="1"/>
  <c r="U8" i="12"/>
  <c r="J8" i="12"/>
  <c r="K4" i="12"/>
  <c r="D16" i="11"/>
  <c r="J12" i="34" s="1"/>
  <c r="T7" i="12"/>
  <c r="N8" i="11"/>
  <c r="T4" i="34" s="1"/>
  <c r="K7" i="11"/>
  <c r="Q3" i="34" s="1"/>
  <c r="N15" i="11"/>
  <c r="E12" i="11"/>
  <c r="P7" i="11"/>
  <c r="V3" i="34" s="1"/>
  <c r="D10" i="11"/>
  <c r="C11" i="11"/>
  <c r="T11" i="11" s="1" a="1"/>
  <c r="T11" i="11" s="1"/>
  <c r="F4" i="12"/>
  <c r="M12" i="12"/>
  <c r="N11" i="12"/>
  <c r="Q14" i="12"/>
  <c r="N9" i="11"/>
  <c r="T5" i="34" s="1"/>
  <c r="M4" i="12"/>
  <c r="C10" i="11"/>
  <c r="F16" i="12"/>
  <c r="O8" i="12"/>
  <c r="L5" i="12"/>
  <c r="S16" i="12"/>
  <c r="G10" i="12"/>
  <c r="S4" i="12"/>
  <c r="L13" i="11"/>
  <c r="J15" i="12"/>
  <c r="K17" i="11"/>
  <c r="Q13" i="34" s="1"/>
  <c r="R6" i="11"/>
  <c r="X2" i="34" s="1"/>
  <c r="E7" i="11"/>
  <c r="K3" i="34" s="1"/>
  <c r="I3" i="12"/>
  <c r="N6" i="11"/>
  <c r="T2" i="34" s="1"/>
  <c r="N10" i="12"/>
  <c r="D13" i="11"/>
  <c r="K16" i="11"/>
  <c r="Q12" i="34" s="1"/>
  <c r="N16" i="12"/>
  <c r="O3" i="12"/>
  <c r="K5" i="12"/>
  <c r="E15" i="11"/>
  <c r="M17" i="11"/>
  <c r="S13" i="34" s="1"/>
  <c r="S6" i="11"/>
  <c r="Y2" i="34" s="1"/>
  <c r="J5" i="12"/>
  <c r="K15" i="12"/>
  <c r="O9" i="11"/>
  <c r="U5" i="34" s="1"/>
  <c r="Q8" i="11"/>
  <c r="W4" i="34" s="1"/>
  <c r="F17" i="12"/>
  <c r="U11" i="12"/>
  <c r="T12" i="12"/>
  <c r="K12" i="11"/>
  <c r="O11" i="12"/>
  <c r="P3" i="12"/>
  <c r="R14" i="12"/>
  <c r="G11" i="11"/>
  <c r="J12" i="12"/>
  <c r="H12" i="12"/>
  <c r="G7" i="12"/>
  <c r="E17" i="11"/>
  <c r="K13" i="34" s="1"/>
  <c r="I9" i="12"/>
  <c r="S16" i="11"/>
  <c r="Y12" i="34" s="1"/>
  <c r="Q17" i="11"/>
  <c r="W13" i="34" s="1"/>
  <c r="H4" i="12"/>
  <c r="O6" i="12"/>
  <c r="T6" i="12"/>
  <c r="B13" i="11"/>
  <c r="S10" i="11"/>
  <c r="I13" i="12"/>
  <c r="N17" i="12"/>
  <c r="T10" i="12"/>
  <c r="J17" i="12"/>
  <c r="U12" i="12"/>
  <c r="R11" i="11"/>
  <c r="K11" i="12"/>
  <c r="Q16" i="12"/>
  <c r="U13" i="12"/>
  <c r="P17" i="12"/>
  <c r="P4" i="12"/>
  <c r="M8" i="11"/>
  <c r="S4" i="34" s="1"/>
  <c r="S15" i="12"/>
  <c r="O12" i="11"/>
  <c r="T5" i="12"/>
  <c r="O11" i="11"/>
  <c r="R6" i="12"/>
  <c r="Q8" i="12"/>
  <c r="M9" i="12"/>
  <c r="H9" i="12"/>
  <c r="O9" i="12"/>
  <c r="S17" i="12"/>
  <c r="Q7" i="11"/>
  <c r="W3" i="34" s="1"/>
  <c r="M12" i="11"/>
  <c r="E11" i="11"/>
  <c r="L13" i="12"/>
  <c r="T13" i="12"/>
  <c r="P8" i="11"/>
  <c r="V4" i="34" s="1"/>
  <c r="M10" i="11"/>
  <c r="Q16" i="11"/>
  <c r="W12" i="34" s="1"/>
  <c r="K17" i="12"/>
  <c r="U7" i="12"/>
  <c r="P14" i="11"/>
  <c r="V10" i="34" s="1"/>
  <c r="G9" i="12"/>
  <c r="T14" i="12"/>
  <c r="O14" i="11"/>
  <c r="U10" i="34" s="1"/>
  <c r="C7" i="11"/>
  <c r="I3" i="34" s="1"/>
  <c r="C14" i="11"/>
  <c r="F10" i="12"/>
  <c r="Q7" i="12"/>
  <c r="M8" i="12"/>
  <c r="G17" i="11"/>
  <c r="E14" i="11"/>
  <c r="K10" i="34" s="1"/>
  <c r="M6" i="11"/>
  <c r="S2" i="34" s="1"/>
  <c r="G6" i="11"/>
  <c r="B16" i="11"/>
  <c r="B11" i="11"/>
  <c r="G16" i="12"/>
  <c r="P10" i="11"/>
  <c r="G7" i="11"/>
  <c r="D15" i="11"/>
  <c r="P15" i="12"/>
  <c r="P9" i="12"/>
  <c r="K13" i="12"/>
  <c r="Q6" i="12"/>
  <c r="B8" i="11"/>
  <c r="N17" i="11"/>
  <c r="T13" i="34" s="1"/>
  <c r="H13" i="12"/>
  <c r="S11" i="12"/>
  <c r="P5" i="12"/>
  <c r="C13" i="11"/>
  <c r="M6" i="12"/>
  <c r="U10" i="12"/>
  <c r="L3" i="12"/>
  <c r="J10" i="12"/>
  <c r="D9" i="11"/>
  <c r="J5" i="34" s="1"/>
  <c r="U5" i="12"/>
  <c r="I8" i="12"/>
  <c r="N9" i="12"/>
  <c r="AB9" i="12" s="1"/>
  <c r="L12" i="12"/>
  <c r="P12" i="11"/>
  <c r="G8" i="12"/>
  <c r="I10" i="12"/>
  <c r="J13" i="12"/>
  <c r="C16" i="11"/>
  <c r="I12" i="34" s="1"/>
  <c r="P12" i="12"/>
  <c r="N16" i="11"/>
  <c r="T12" i="34" s="1"/>
  <c r="H7" i="12"/>
  <c r="L11" i="11"/>
  <c r="Q15" i="11"/>
  <c r="G14" i="12"/>
  <c r="N11" i="11"/>
  <c r="L7" i="11"/>
  <c r="R3" i="34" s="1"/>
  <c r="C12" i="11"/>
  <c r="S8" i="11"/>
  <c r="Y4" i="34" s="1"/>
  <c r="N13" i="12"/>
  <c r="AA13" i="12" s="1"/>
  <c r="G13" i="12"/>
  <c r="S6" i="12"/>
  <c r="O14" i="12"/>
  <c r="Q15" i="12"/>
  <c r="H5" i="12"/>
  <c r="B15" i="11"/>
  <c r="F8" i="12"/>
  <c r="N10" i="11"/>
  <c r="O7" i="12"/>
  <c r="F5" i="12"/>
  <c r="Q17" i="12"/>
  <c r="P10" i="12"/>
  <c r="O12" i="12"/>
  <c r="R9" i="11"/>
  <c r="X5" i="34" s="1"/>
  <c r="Q12" i="12"/>
  <c r="C17" i="11"/>
  <c r="I13" i="34" s="1"/>
  <c r="R8" i="12"/>
  <c r="R14" i="11"/>
  <c r="X10" i="34" s="1"/>
  <c r="F7" i="12"/>
  <c r="K13" i="11"/>
  <c r="F15" i="12"/>
  <c r="K11" i="11"/>
  <c r="U3" i="12"/>
  <c r="J7" i="12"/>
  <c r="L14" i="11"/>
  <c r="R10" i="34" s="1"/>
  <c r="K8" i="11"/>
  <c r="Q4" i="34" s="1"/>
  <c r="K14" i="11"/>
  <c r="Q10" i="34" s="1"/>
  <c r="F13" i="12"/>
  <c r="Q5" i="12"/>
  <c r="S3" i="12"/>
  <c r="B7" i="11"/>
  <c r="N12" i="12"/>
  <c r="L11" i="12"/>
  <c r="Q12" i="11"/>
  <c r="B12" i="11"/>
  <c r="T16" i="12"/>
  <c r="P6" i="12"/>
  <c r="J6" i="12"/>
  <c r="Q6" i="11"/>
  <c r="W2" i="34" s="1"/>
  <c r="K14" i="12"/>
  <c r="T15" i="12"/>
  <c r="L8" i="12"/>
  <c r="Q4" i="12"/>
  <c r="B14" i="11"/>
  <c r="U4" i="12"/>
  <c r="S9" i="12"/>
  <c r="Q9" i="11"/>
  <c r="W5" i="34" s="1"/>
  <c r="N4" i="12"/>
  <c r="Y4" i="12" s="1"/>
  <c r="G10" i="11"/>
  <c r="J16" i="12"/>
  <c r="K6" i="11"/>
  <c r="Q2" i="34" s="1"/>
  <c r="M7" i="11"/>
  <c r="S3" i="34" s="1"/>
  <c r="I15" i="12"/>
  <c r="M13" i="12"/>
  <c r="D12" i="11"/>
  <c r="P7" i="12"/>
  <c r="T3" i="12"/>
  <c r="H17" i="12"/>
  <c r="U16" i="12"/>
  <c r="O5" i="12"/>
  <c r="E13" i="11"/>
  <c r="L9" i="11"/>
  <c r="R5" i="34" s="1"/>
  <c r="L8" i="11"/>
  <c r="R4" i="34" s="1"/>
  <c r="S5" i="12"/>
  <c r="C15" i="11"/>
  <c r="F15" i="11" s="1" a="1"/>
  <c r="Q13" i="11"/>
  <c r="S9" i="11"/>
  <c r="Y5" i="34" s="1"/>
  <c r="L14" i="12"/>
  <c r="C8" i="11"/>
  <c r="I4" i="34" s="1"/>
  <c r="K7" i="12"/>
  <c r="M13" i="11"/>
  <c r="N8" i="12"/>
  <c r="R11" i="12"/>
  <c r="U15" i="12"/>
  <c r="S14" i="11"/>
  <c r="Y10" i="34" s="1"/>
  <c r="H3" i="12"/>
  <c r="P9" i="11"/>
  <c r="V5" i="34" s="1"/>
  <c r="T17" i="12"/>
  <c r="R10" i="11"/>
  <c r="F14" i="12"/>
  <c r="I7" i="12"/>
  <c r="S14" i="12"/>
  <c r="Q10" i="11"/>
  <c r="R13" i="12"/>
  <c r="H8" i="12"/>
  <c r="M16" i="11"/>
  <c r="S12" i="34" s="1"/>
  <c r="I5" i="34"/>
  <c r="J88" i="33"/>
  <c r="J93" i="33" s="1"/>
  <c r="I21" i="2"/>
  <c r="L13" i="33"/>
  <c r="L12" i="33"/>
  <c r="P3" i="34"/>
  <c r="P4" i="34"/>
  <c r="P5" i="34"/>
  <c r="G5" i="12"/>
  <c r="G6" i="12"/>
  <c r="D37" i="4"/>
  <c r="D36" i="4"/>
  <c r="A4" i="2"/>
  <c r="G4" i="12" a="1"/>
  <c r="F6" i="12" a="1"/>
  <c r="J6" i="11" a="1"/>
  <c r="G3" i="12" a="1"/>
  <c r="J3" i="12" a="1"/>
  <c r="F8" i="11" l="1" a="1"/>
  <c r="F8" i="11" s="1"/>
  <c r="L4" i="34" s="1"/>
  <c r="J6" i="11"/>
  <c r="P2" i="34" s="1"/>
  <c r="Y3" i="12"/>
  <c r="J3" i="12"/>
  <c r="Z3" i="12" s="1"/>
  <c r="X87" i="33"/>
  <c r="M4" i="34"/>
  <c r="M3" i="34"/>
  <c r="M13" i="34"/>
  <c r="M12" i="34"/>
  <c r="M10" i="34"/>
  <c r="M5" i="34"/>
  <c r="M2" i="34"/>
  <c r="F15" i="11"/>
  <c r="T9" i="34"/>
  <c r="T11" i="34"/>
  <c r="K9" i="34"/>
  <c r="K11" i="34"/>
  <c r="U9" i="34"/>
  <c r="U11" i="34"/>
  <c r="S9" i="34"/>
  <c r="S11" i="34"/>
  <c r="Q9" i="34"/>
  <c r="Q11" i="34"/>
  <c r="J9" i="34"/>
  <c r="J11" i="34"/>
  <c r="R9" i="34"/>
  <c r="R11" i="34"/>
  <c r="M9" i="34"/>
  <c r="M11" i="34"/>
  <c r="V9" i="34"/>
  <c r="V11" i="34"/>
  <c r="X9" i="34"/>
  <c r="X11" i="34"/>
  <c r="W9" i="34"/>
  <c r="W11" i="34"/>
  <c r="I9" i="34"/>
  <c r="I11" i="34"/>
  <c r="Y9" i="34"/>
  <c r="Y11" i="34"/>
  <c r="I10" i="34"/>
  <c r="X8" i="12"/>
  <c r="AB17" i="12"/>
  <c r="AC16" i="12"/>
  <c r="AC10" i="12"/>
  <c r="W11" i="12"/>
  <c r="V5" i="12"/>
  <c r="AB6" i="12"/>
  <c r="AA3" i="12"/>
  <c r="AB15" i="12"/>
  <c r="AC7" i="12"/>
  <c r="X7" i="12"/>
  <c r="Y6" i="12"/>
  <c r="Y9" i="12"/>
  <c r="V7" i="12"/>
  <c r="Z14" i="12"/>
  <c r="X6" i="12"/>
  <c r="W7" i="12"/>
  <c r="X3" i="12"/>
  <c r="Y14" i="12"/>
  <c r="W5" i="12"/>
  <c r="AC11" i="12"/>
  <c r="V14" i="12"/>
  <c r="W6" i="12"/>
  <c r="AC9" i="12"/>
  <c r="Y17" i="12"/>
  <c r="Y5" i="12"/>
  <c r="X5" i="12"/>
  <c r="AC17" i="12"/>
  <c r="AB3" i="12"/>
  <c r="AB14" i="12"/>
  <c r="W13" i="12"/>
  <c r="X13" i="12"/>
  <c r="AC15" i="12"/>
  <c r="W15" i="12"/>
  <c r="AA15" i="12"/>
  <c r="V15" i="12"/>
  <c r="V16" i="12"/>
  <c r="X15" i="12"/>
  <c r="Z10" i="12"/>
  <c r="Z15" i="12"/>
  <c r="F9" i="11" a="1"/>
  <c r="F9" i="11" s="1"/>
  <c r="L5" i="34" s="1"/>
  <c r="AB16" i="12"/>
  <c r="Z9" i="12"/>
  <c r="X16" i="12"/>
  <c r="Y15" i="12"/>
  <c r="AA10" i="12"/>
  <c r="Y10" i="12"/>
  <c r="AC4" i="12"/>
  <c r="AA8" i="12"/>
  <c r="Y8" i="12"/>
  <c r="AA11" i="12"/>
  <c r="AC13" i="12"/>
  <c r="V8" i="12"/>
  <c r="AA17" i="12"/>
  <c r="AC3" i="12"/>
  <c r="AA14" i="12"/>
  <c r="Z5" i="12"/>
  <c r="Z13" i="12"/>
  <c r="AC5" i="12"/>
  <c r="F12" i="11" a="1"/>
  <c r="F12" i="11" s="1"/>
  <c r="T12" i="11" a="1"/>
  <c r="T12" i="11" s="1"/>
  <c r="W10" i="12"/>
  <c r="X10" i="12"/>
  <c r="V10" i="12"/>
  <c r="AB10" i="12"/>
  <c r="Y16" i="12"/>
  <c r="Z16" i="12"/>
  <c r="AA16" i="12"/>
  <c r="Z8" i="12"/>
  <c r="AB8" i="12"/>
  <c r="AC8" i="12"/>
  <c r="AB4" i="12"/>
  <c r="V4" i="12"/>
  <c r="Z4" i="12"/>
  <c r="X4" i="12"/>
  <c r="AA4" i="12"/>
  <c r="Z12" i="12"/>
  <c r="V12" i="12"/>
  <c r="W12" i="12"/>
  <c r="X12" i="12"/>
  <c r="Y12" i="12"/>
  <c r="AC12" i="12"/>
  <c r="AA12" i="12"/>
  <c r="AB12" i="12"/>
  <c r="AB13" i="12"/>
  <c r="V13" i="12"/>
  <c r="Y13" i="12"/>
  <c r="Z17" i="12"/>
  <c r="V17" i="12"/>
  <c r="X17" i="12"/>
  <c r="W17" i="12"/>
  <c r="F10" i="11" a="1"/>
  <c r="F10" i="11" s="1"/>
  <c r="T10" i="11" a="1"/>
  <c r="T10" i="11" s="1"/>
  <c r="Y11" i="12"/>
  <c r="AB11" i="12"/>
  <c r="X11" i="12"/>
  <c r="AA5" i="12"/>
  <c r="AB5" i="12"/>
  <c r="X14" i="12"/>
  <c r="W14" i="12"/>
  <c r="Y7" i="12"/>
  <c r="AB7" i="12"/>
  <c r="AA7" i="12"/>
  <c r="Z7" i="12"/>
  <c r="W8" i="12"/>
  <c r="W16" i="12"/>
  <c r="Z11" i="12"/>
  <c r="V11" i="12"/>
  <c r="F11" i="11" a="1"/>
  <c r="F11" i="11" s="1"/>
  <c r="W9" i="12"/>
  <c r="AA9" i="12"/>
  <c r="V9" i="12"/>
  <c r="X9" i="12"/>
  <c r="Z6" i="12"/>
  <c r="AC6" i="12"/>
  <c r="AA6" i="12"/>
  <c r="J91" i="33"/>
  <c r="J89" i="33"/>
  <c r="J90" i="33"/>
  <c r="J94" i="33"/>
  <c r="J92" i="33"/>
  <c r="F6" i="12"/>
  <c r="V6" i="12" s="1"/>
  <c r="G4" i="12"/>
  <c r="W4" i="12" s="1"/>
  <c r="G3" i="12"/>
  <c r="W3" i="12" s="1"/>
  <c r="T17" i="11" a="1"/>
  <c r="F17" i="11" a="1"/>
  <c r="F16" i="11" a="1"/>
  <c r="T16" i="11" a="1"/>
  <c r="T15" i="11" a="1"/>
  <c r="T13" i="11" a="1"/>
  <c r="F13" i="11" a="1"/>
  <c r="T14" i="11" a="1"/>
  <c r="F14" i="11" a="1"/>
  <c r="T8" i="11" a="1"/>
  <c r="T7" i="11" a="1"/>
  <c r="F7" i="11" a="1"/>
  <c r="F6" i="11" a="1"/>
  <c r="T6" i="11" a="1"/>
  <c r="T8" i="11" l="1"/>
  <c r="Z4" i="34" s="1"/>
  <c r="F7" i="11"/>
  <c r="L3" i="34" s="1"/>
  <c r="T7" i="11"/>
  <c r="Z3" i="34" s="1"/>
  <c r="F6" i="11"/>
  <c r="L2" i="34" s="1"/>
  <c r="T6" i="11"/>
  <c r="Z2" i="34" s="1"/>
  <c r="F17" i="11"/>
  <c r="L13" i="34" s="1"/>
  <c r="T17" i="11"/>
  <c r="Z13" i="34" s="1"/>
  <c r="T16" i="11"/>
  <c r="Z12" i="34" s="1"/>
  <c r="F16" i="11"/>
  <c r="L12" i="34" s="1"/>
  <c r="T15" i="11"/>
  <c r="F13" i="11"/>
  <c r="T13" i="11"/>
  <c r="F14" i="11"/>
  <c r="L10" i="34" s="1"/>
  <c r="T14" i="11"/>
  <c r="Z10" i="34" s="1"/>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Q21" i="2" s="1"/>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 i="4"/>
  <c r="L9" i="34" l="1"/>
  <c r="L11" i="34"/>
  <c r="Z9" i="34"/>
  <c r="Z11" i="34"/>
  <c r="Q23" i="2"/>
  <c r="Q24" i="2"/>
  <c r="Q22" i="2"/>
  <c r="I23" i="2"/>
  <c r="I24" i="2"/>
  <c r="I20" i="2"/>
  <c r="I22" i="2"/>
  <c r="Q20" i="2"/>
  <c r="AB16" i="2"/>
  <c r="AB15" i="2"/>
  <c r="D31" i="4"/>
  <c r="D32" i="4"/>
  <c r="D35" i="4"/>
  <c r="D34" i="4"/>
  <c r="G531" i="4" s="1"/>
  <c r="D33" i="4"/>
  <c r="G288" i="4" s="1"/>
  <c r="D30" i="4"/>
  <c r="G632" i="4" s="1"/>
  <c r="D29" i="4"/>
  <c r="D28" i="4"/>
  <c r="D27" i="4"/>
  <c r="D26" i="4"/>
  <c r="D25" i="4"/>
  <c r="D24" i="4"/>
  <c r="D23" i="4"/>
  <c r="D22" i="4"/>
  <c r="G639" i="4" s="1"/>
  <c r="D21" i="4"/>
  <c r="D20" i="4"/>
  <c r="D19" i="4"/>
  <c r="D18" i="4"/>
  <c r="D17" i="4"/>
  <c r="D16" i="4"/>
  <c r="D15" i="4"/>
  <c r="D14" i="4"/>
  <c r="D13" i="4"/>
  <c r="G634" i="4" s="1"/>
  <c r="D12" i="4"/>
  <c r="D11" i="4"/>
  <c r="D10" i="4"/>
  <c r="G630" i="4" s="1"/>
  <c r="D9" i="4"/>
  <c r="D8" i="4"/>
  <c r="D7" i="4"/>
  <c r="G444" i="4" s="1"/>
  <c r="D6" i="4"/>
  <c r="G636" i="4" s="1"/>
  <c r="D5" i="4"/>
  <c r="D4" i="4"/>
  <c r="D3" i="4"/>
  <c r="D2" i="4"/>
  <c r="K1119" i="4"/>
  <c r="K1118" i="4"/>
  <c r="K1117" i="4"/>
  <c r="K1116" i="4"/>
  <c r="K1115" i="4"/>
  <c r="K1114" i="4"/>
  <c r="K1113" i="4"/>
  <c r="K1112" i="4"/>
  <c r="K1111" i="4"/>
  <c r="K1110" i="4"/>
  <c r="K1109" i="4"/>
  <c r="K1108" i="4"/>
  <c r="K1107" i="4"/>
  <c r="K1106" i="4"/>
  <c r="K1105" i="4"/>
  <c r="K1104" i="4"/>
  <c r="K1103" i="4"/>
  <c r="K1102" i="4"/>
  <c r="K1101" i="4"/>
  <c r="K1100" i="4"/>
  <c r="K1099" i="4"/>
  <c r="K1098" i="4"/>
  <c r="K1097" i="4"/>
  <c r="K1096" i="4"/>
  <c r="K1095" i="4"/>
  <c r="K1094" i="4"/>
  <c r="K1093" i="4"/>
  <c r="K1092" i="4"/>
  <c r="K1091" i="4"/>
  <c r="K1090" i="4"/>
  <c r="K1089" i="4"/>
  <c r="K1088" i="4"/>
  <c r="K1087" i="4"/>
  <c r="K1086" i="4"/>
  <c r="K1085" i="4"/>
  <c r="K1084" i="4"/>
  <c r="K1083" i="4"/>
  <c r="K1082" i="4"/>
  <c r="K1081" i="4"/>
  <c r="K1080" i="4"/>
  <c r="K1079" i="4"/>
  <c r="K1078" i="4"/>
  <c r="K1077" i="4"/>
  <c r="K1076" i="4"/>
  <c r="K1075" i="4"/>
  <c r="K1074" i="4"/>
  <c r="K1073" i="4"/>
  <c r="K1072" i="4"/>
  <c r="K1071" i="4"/>
  <c r="K1070" i="4"/>
  <c r="K1069" i="4"/>
  <c r="K1068" i="4"/>
  <c r="K1067" i="4"/>
  <c r="K1066" i="4"/>
  <c r="K1065" i="4"/>
  <c r="K1064" i="4"/>
  <c r="K1063" i="4"/>
  <c r="K1062" i="4"/>
  <c r="K1061" i="4"/>
  <c r="K1060" i="4"/>
  <c r="K1059" i="4"/>
  <c r="K1058" i="4"/>
  <c r="K1057" i="4"/>
  <c r="K1056" i="4"/>
  <c r="K1055" i="4"/>
  <c r="K1054" i="4"/>
  <c r="K1053" i="4"/>
  <c r="K1052" i="4"/>
  <c r="K1051" i="4"/>
  <c r="K1050" i="4"/>
  <c r="K1049" i="4"/>
  <c r="K1048" i="4"/>
  <c r="K1047" i="4"/>
  <c r="K1046" i="4"/>
  <c r="K1045" i="4"/>
  <c r="K1044" i="4"/>
  <c r="K1043" i="4"/>
  <c r="K1042" i="4"/>
  <c r="K1041" i="4"/>
  <c r="K1040" i="4"/>
  <c r="K1039" i="4"/>
  <c r="K1038" i="4"/>
  <c r="K1037" i="4"/>
  <c r="K1036" i="4"/>
  <c r="K1035" i="4"/>
  <c r="K1034" i="4"/>
  <c r="K1033" i="4"/>
  <c r="K1032" i="4"/>
  <c r="K1031" i="4"/>
  <c r="K1030" i="4"/>
  <c r="K1029" i="4"/>
  <c r="K1028" i="4"/>
  <c r="K1027" i="4"/>
  <c r="K1026" i="4"/>
  <c r="K1025" i="4"/>
  <c r="K1024" i="4"/>
  <c r="K1023" i="4"/>
  <c r="K1022" i="4"/>
  <c r="K1021" i="4"/>
  <c r="K1020" i="4"/>
  <c r="K1019" i="4"/>
  <c r="K1018" i="4"/>
  <c r="K1017" i="4"/>
  <c r="K1016" i="4"/>
  <c r="K1015" i="4"/>
  <c r="K1014" i="4"/>
  <c r="K1013" i="4"/>
  <c r="K1012" i="4"/>
  <c r="K1011" i="4"/>
  <c r="K1010" i="4"/>
  <c r="K1009" i="4"/>
  <c r="K1008" i="4"/>
  <c r="K1007" i="4"/>
  <c r="K1006" i="4"/>
  <c r="K1005" i="4"/>
  <c r="K1004" i="4"/>
  <c r="K1003" i="4"/>
  <c r="K1002" i="4"/>
  <c r="K1001" i="4"/>
  <c r="K1000" i="4"/>
  <c r="K999" i="4"/>
  <c r="K998" i="4"/>
  <c r="K997" i="4"/>
  <c r="K996" i="4"/>
  <c r="K995" i="4"/>
  <c r="K994" i="4"/>
  <c r="K993" i="4"/>
  <c r="K992" i="4"/>
  <c r="K991" i="4"/>
  <c r="K990" i="4"/>
  <c r="K989" i="4"/>
  <c r="K988" i="4"/>
  <c r="K987" i="4"/>
  <c r="K986" i="4"/>
  <c r="K985" i="4"/>
  <c r="K984" i="4"/>
  <c r="K983" i="4"/>
  <c r="K982" i="4"/>
  <c r="K981" i="4"/>
  <c r="K980" i="4"/>
  <c r="K979" i="4"/>
  <c r="K978" i="4"/>
  <c r="K977" i="4"/>
  <c r="K976" i="4"/>
  <c r="K975" i="4"/>
  <c r="K974" i="4"/>
  <c r="K973" i="4"/>
  <c r="K972" i="4"/>
  <c r="K971" i="4"/>
  <c r="K970" i="4"/>
  <c r="K969" i="4"/>
  <c r="K968" i="4"/>
  <c r="K967" i="4"/>
  <c r="K966" i="4"/>
  <c r="K965" i="4"/>
  <c r="K964" i="4"/>
  <c r="K963" i="4"/>
  <c r="K962" i="4"/>
  <c r="K961" i="4"/>
  <c r="K960" i="4"/>
  <c r="K959" i="4"/>
  <c r="K958" i="4"/>
  <c r="K957" i="4"/>
  <c r="K956" i="4"/>
  <c r="K955" i="4"/>
  <c r="K954" i="4"/>
  <c r="K953" i="4"/>
  <c r="K952" i="4"/>
  <c r="K951" i="4"/>
  <c r="K950" i="4"/>
  <c r="K949" i="4"/>
  <c r="K948" i="4"/>
  <c r="K947" i="4"/>
  <c r="K946" i="4"/>
  <c r="K945" i="4"/>
  <c r="K944" i="4"/>
  <c r="K943" i="4"/>
  <c r="K942" i="4"/>
  <c r="K941" i="4"/>
  <c r="K940" i="4"/>
  <c r="K939" i="4"/>
  <c r="K938" i="4"/>
  <c r="K937" i="4"/>
  <c r="K936" i="4"/>
  <c r="K935" i="4"/>
  <c r="K934" i="4"/>
  <c r="K933" i="4"/>
  <c r="K932" i="4"/>
  <c r="K931" i="4"/>
  <c r="K930" i="4"/>
  <c r="K929" i="4"/>
  <c r="K928" i="4"/>
  <c r="K927" i="4"/>
  <c r="K926" i="4"/>
  <c r="K925" i="4"/>
  <c r="K924" i="4"/>
  <c r="K923" i="4"/>
  <c r="K922" i="4"/>
  <c r="K921" i="4"/>
  <c r="K920" i="4"/>
  <c r="K919" i="4"/>
  <c r="K918" i="4"/>
  <c r="K917" i="4"/>
  <c r="K916" i="4"/>
  <c r="K915" i="4"/>
  <c r="K914" i="4"/>
  <c r="K913" i="4"/>
  <c r="K912" i="4"/>
  <c r="K911" i="4"/>
  <c r="K910" i="4"/>
  <c r="K909" i="4"/>
  <c r="K908" i="4"/>
  <c r="K907" i="4"/>
  <c r="K906" i="4"/>
  <c r="K905" i="4"/>
  <c r="K904" i="4"/>
  <c r="K903" i="4"/>
  <c r="K902" i="4"/>
  <c r="K901" i="4"/>
  <c r="K900" i="4"/>
  <c r="K899" i="4"/>
  <c r="K898" i="4"/>
  <c r="K897" i="4"/>
  <c r="K896" i="4"/>
  <c r="K895" i="4"/>
  <c r="K894" i="4"/>
  <c r="K893" i="4"/>
  <c r="K892" i="4"/>
  <c r="K891" i="4"/>
  <c r="K890" i="4"/>
  <c r="K889" i="4"/>
  <c r="K888" i="4"/>
  <c r="K887" i="4"/>
  <c r="K886" i="4"/>
  <c r="K885" i="4"/>
  <c r="K884" i="4"/>
  <c r="K883" i="4"/>
  <c r="K882" i="4"/>
  <c r="K881" i="4"/>
  <c r="K880" i="4"/>
  <c r="K879" i="4"/>
  <c r="K878" i="4"/>
  <c r="K877" i="4"/>
  <c r="K876" i="4"/>
  <c r="K875" i="4"/>
  <c r="K874" i="4"/>
  <c r="K873" i="4"/>
  <c r="K872" i="4"/>
  <c r="K871" i="4"/>
  <c r="K870" i="4"/>
  <c r="K869" i="4"/>
  <c r="K868" i="4"/>
  <c r="K867" i="4"/>
  <c r="K866" i="4"/>
  <c r="K865" i="4"/>
  <c r="K864" i="4"/>
  <c r="K863" i="4"/>
  <c r="K862" i="4"/>
  <c r="K861" i="4"/>
  <c r="K860" i="4"/>
  <c r="K859" i="4"/>
  <c r="K858" i="4"/>
  <c r="K857" i="4"/>
  <c r="K856" i="4"/>
  <c r="K855" i="4"/>
  <c r="K854" i="4"/>
  <c r="K853" i="4"/>
  <c r="K852" i="4"/>
  <c r="K851" i="4"/>
  <c r="K850" i="4"/>
  <c r="K849" i="4"/>
  <c r="K848" i="4"/>
  <c r="K847" i="4"/>
  <c r="K846" i="4"/>
  <c r="K845" i="4"/>
  <c r="K844" i="4"/>
  <c r="K843" i="4"/>
  <c r="K842" i="4"/>
  <c r="K841" i="4"/>
  <c r="K840" i="4"/>
  <c r="K839" i="4"/>
  <c r="K838" i="4"/>
  <c r="K837" i="4"/>
  <c r="K836" i="4"/>
  <c r="K835" i="4"/>
  <c r="K834" i="4"/>
  <c r="K833" i="4"/>
  <c r="K832" i="4"/>
  <c r="K831" i="4"/>
  <c r="K830" i="4"/>
  <c r="K829" i="4"/>
  <c r="K828" i="4"/>
  <c r="K827" i="4"/>
  <c r="K826" i="4"/>
  <c r="K825" i="4"/>
  <c r="K824" i="4"/>
  <c r="K823" i="4"/>
  <c r="K822" i="4"/>
  <c r="K821" i="4"/>
  <c r="K820" i="4"/>
  <c r="K819" i="4"/>
  <c r="K818" i="4"/>
  <c r="K817" i="4"/>
  <c r="K816" i="4"/>
  <c r="K815" i="4"/>
  <c r="K814" i="4"/>
  <c r="K813" i="4"/>
  <c r="K812" i="4"/>
  <c r="K811" i="4"/>
  <c r="K810" i="4"/>
  <c r="K809" i="4"/>
  <c r="K808" i="4"/>
  <c r="K807" i="4"/>
  <c r="K806" i="4"/>
  <c r="K805" i="4"/>
  <c r="K804" i="4"/>
  <c r="K803" i="4"/>
  <c r="K802" i="4"/>
  <c r="K801" i="4"/>
  <c r="K800" i="4"/>
  <c r="K799" i="4"/>
  <c r="K798" i="4"/>
  <c r="K797" i="4"/>
  <c r="K796" i="4"/>
  <c r="K795" i="4"/>
  <c r="K794" i="4"/>
  <c r="K793" i="4"/>
  <c r="K792" i="4"/>
  <c r="K791" i="4"/>
  <c r="K790" i="4"/>
  <c r="K789" i="4"/>
  <c r="K788" i="4"/>
  <c r="K787" i="4"/>
  <c r="K786" i="4"/>
  <c r="K785" i="4"/>
  <c r="K784" i="4"/>
  <c r="K783" i="4"/>
  <c r="K782" i="4"/>
  <c r="K781" i="4"/>
  <c r="K780" i="4"/>
  <c r="K779" i="4"/>
  <c r="K778" i="4"/>
  <c r="K777" i="4"/>
  <c r="K776" i="4"/>
  <c r="K775" i="4"/>
  <c r="K774" i="4"/>
  <c r="K773" i="4"/>
  <c r="K772" i="4"/>
  <c r="K771" i="4"/>
  <c r="K770" i="4"/>
  <c r="K769" i="4"/>
  <c r="K768" i="4"/>
  <c r="K767" i="4"/>
  <c r="K766" i="4"/>
  <c r="K765" i="4"/>
  <c r="K764" i="4"/>
  <c r="K763" i="4"/>
  <c r="K762" i="4"/>
  <c r="K761" i="4"/>
  <c r="K760" i="4"/>
  <c r="K759" i="4"/>
  <c r="K758" i="4"/>
  <c r="K757" i="4"/>
  <c r="K756" i="4"/>
  <c r="K755" i="4"/>
  <c r="K754" i="4"/>
  <c r="K753" i="4"/>
  <c r="K752" i="4"/>
  <c r="K751" i="4"/>
  <c r="K750" i="4"/>
  <c r="K749" i="4"/>
  <c r="K748" i="4"/>
  <c r="K747" i="4"/>
  <c r="K746" i="4"/>
  <c r="K745" i="4"/>
  <c r="K744" i="4"/>
  <c r="K743" i="4"/>
  <c r="K742" i="4"/>
  <c r="K741" i="4"/>
  <c r="K740" i="4"/>
  <c r="K739" i="4"/>
  <c r="K738" i="4"/>
  <c r="K737" i="4"/>
  <c r="K736" i="4"/>
  <c r="K735" i="4"/>
  <c r="K734" i="4"/>
  <c r="K733" i="4"/>
  <c r="K732" i="4"/>
  <c r="K731" i="4"/>
  <c r="K730" i="4"/>
  <c r="K729" i="4"/>
  <c r="K728" i="4"/>
  <c r="K727" i="4"/>
  <c r="K726" i="4"/>
  <c r="K725" i="4"/>
  <c r="K724" i="4"/>
  <c r="K723" i="4"/>
  <c r="K722" i="4"/>
  <c r="K721" i="4"/>
  <c r="K720" i="4"/>
  <c r="K719" i="4"/>
  <c r="K718" i="4"/>
  <c r="K717" i="4"/>
  <c r="K716" i="4"/>
  <c r="K715" i="4"/>
  <c r="K714" i="4"/>
  <c r="K713" i="4"/>
  <c r="K712" i="4"/>
  <c r="K711" i="4"/>
  <c r="K710" i="4"/>
  <c r="K709" i="4"/>
  <c r="K708" i="4"/>
  <c r="K707" i="4"/>
  <c r="K706" i="4"/>
  <c r="K705" i="4"/>
  <c r="K704" i="4"/>
  <c r="K703" i="4"/>
  <c r="K702" i="4"/>
  <c r="K701" i="4"/>
  <c r="K700" i="4"/>
  <c r="K699" i="4"/>
  <c r="K698" i="4"/>
  <c r="K697" i="4"/>
  <c r="K696" i="4"/>
  <c r="K695" i="4"/>
  <c r="K694" i="4"/>
  <c r="K693" i="4"/>
  <c r="K692" i="4"/>
  <c r="K691" i="4"/>
  <c r="K690" i="4"/>
  <c r="K689" i="4"/>
  <c r="K688" i="4"/>
  <c r="K687" i="4"/>
  <c r="K686" i="4"/>
  <c r="K685" i="4"/>
  <c r="K684" i="4"/>
  <c r="K683" i="4"/>
  <c r="K682" i="4"/>
  <c r="K681" i="4"/>
  <c r="K680" i="4"/>
  <c r="K679" i="4"/>
  <c r="K678" i="4"/>
  <c r="K677" i="4"/>
  <c r="K676" i="4"/>
  <c r="K675" i="4"/>
  <c r="K674" i="4"/>
  <c r="K673" i="4"/>
  <c r="K672" i="4"/>
  <c r="K671" i="4"/>
  <c r="K670" i="4"/>
  <c r="K669" i="4"/>
  <c r="K668" i="4"/>
  <c r="K667" i="4"/>
  <c r="K666" i="4"/>
  <c r="K665" i="4"/>
  <c r="K664" i="4"/>
  <c r="K663" i="4"/>
  <c r="K662" i="4"/>
  <c r="K661" i="4"/>
  <c r="K660" i="4"/>
  <c r="K659" i="4"/>
  <c r="K658" i="4"/>
  <c r="K657" i="4"/>
  <c r="K656" i="4"/>
  <c r="K655" i="4"/>
  <c r="K654" i="4"/>
  <c r="K653" i="4"/>
  <c r="K652" i="4"/>
  <c r="K651" i="4"/>
  <c r="K650" i="4"/>
  <c r="K649" i="4"/>
  <c r="K648" i="4"/>
  <c r="K647" i="4"/>
  <c r="K646" i="4"/>
  <c r="K645" i="4"/>
  <c r="K644" i="4"/>
  <c r="K643" i="4"/>
  <c r="K642" i="4"/>
  <c r="K641" i="4"/>
  <c r="K640" i="4"/>
  <c r="K639" i="4"/>
  <c r="K638" i="4"/>
  <c r="K637" i="4"/>
  <c r="K636" i="4"/>
  <c r="K635" i="4"/>
  <c r="K634" i="4"/>
  <c r="K633" i="4"/>
  <c r="K632" i="4"/>
  <c r="K631" i="4"/>
  <c r="K630" i="4"/>
  <c r="K629" i="4"/>
  <c r="K628" i="4"/>
  <c r="K627" i="4"/>
  <c r="K626" i="4"/>
  <c r="K625" i="4"/>
  <c r="K624" i="4"/>
  <c r="K623" i="4"/>
  <c r="K622" i="4"/>
  <c r="K621" i="4"/>
  <c r="K620" i="4"/>
  <c r="K619" i="4"/>
  <c r="K618" i="4"/>
  <c r="K617" i="4"/>
  <c r="K616" i="4"/>
  <c r="K615" i="4"/>
  <c r="K614" i="4"/>
  <c r="K613" i="4"/>
  <c r="K612" i="4"/>
  <c r="K611" i="4"/>
  <c r="K610" i="4"/>
  <c r="K609" i="4"/>
  <c r="K608" i="4"/>
  <c r="K607" i="4"/>
  <c r="K606" i="4"/>
  <c r="K605" i="4"/>
  <c r="K604" i="4"/>
  <c r="K603" i="4"/>
  <c r="K602" i="4"/>
  <c r="K601" i="4"/>
  <c r="K600" i="4"/>
  <c r="K599" i="4"/>
  <c r="K598" i="4"/>
  <c r="K597" i="4"/>
  <c r="K596" i="4"/>
  <c r="K595" i="4"/>
  <c r="K594" i="4"/>
  <c r="K593" i="4"/>
  <c r="K592" i="4"/>
  <c r="K591" i="4"/>
  <c r="K590" i="4"/>
  <c r="K589" i="4"/>
  <c r="K588" i="4"/>
  <c r="K587" i="4"/>
  <c r="K586" i="4"/>
  <c r="K585" i="4"/>
  <c r="K584" i="4"/>
  <c r="K583" i="4"/>
  <c r="K582" i="4"/>
  <c r="K581" i="4"/>
  <c r="K580" i="4"/>
  <c r="K579" i="4"/>
  <c r="K578" i="4"/>
  <c r="K577" i="4"/>
  <c r="K576" i="4"/>
  <c r="K575" i="4"/>
  <c r="K574" i="4"/>
  <c r="K573" i="4"/>
  <c r="K572" i="4"/>
  <c r="K571" i="4"/>
  <c r="K570" i="4"/>
  <c r="K569" i="4"/>
  <c r="K568" i="4"/>
  <c r="K567" i="4"/>
  <c r="K566" i="4"/>
  <c r="K565" i="4"/>
  <c r="K564" i="4"/>
  <c r="K563" i="4"/>
  <c r="K562" i="4"/>
  <c r="K561" i="4"/>
  <c r="K560" i="4"/>
  <c r="K559" i="4"/>
  <c r="K558" i="4"/>
  <c r="K557" i="4"/>
  <c r="K556" i="4"/>
  <c r="K555" i="4"/>
  <c r="K554" i="4"/>
  <c r="K553" i="4"/>
  <c r="K552" i="4"/>
  <c r="K551" i="4"/>
  <c r="K550" i="4"/>
  <c r="K549" i="4"/>
  <c r="K548" i="4"/>
  <c r="K547" i="4"/>
  <c r="K546" i="4"/>
  <c r="K545" i="4"/>
  <c r="K544" i="4"/>
  <c r="K543" i="4"/>
  <c r="K542" i="4"/>
  <c r="K541" i="4"/>
  <c r="K540" i="4"/>
  <c r="K539" i="4"/>
  <c r="K538" i="4"/>
  <c r="K537" i="4"/>
  <c r="K536" i="4"/>
  <c r="K535" i="4"/>
  <c r="K534" i="4"/>
  <c r="K533" i="4"/>
  <c r="K532" i="4"/>
  <c r="K531" i="4"/>
  <c r="K530" i="4"/>
  <c r="K529" i="4"/>
  <c r="K528" i="4"/>
  <c r="K527" i="4"/>
  <c r="K526" i="4"/>
  <c r="K525" i="4"/>
  <c r="K524" i="4"/>
  <c r="K523" i="4"/>
  <c r="K522" i="4"/>
  <c r="K521" i="4"/>
  <c r="K520" i="4"/>
  <c r="K519" i="4"/>
  <c r="K518" i="4"/>
  <c r="K517" i="4"/>
  <c r="K516" i="4"/>
  <c r="K515" i="4"/>
  <c r="K514" i="4"/>
  <c r="K513" i="4"/>
  <c r="K512" i="4"/>
  <c r="K511" i="4"/>
  <c r="K510" i="4"/>
  <c r="K509" i="4"/>
  <c r="K508" i="4"/>
  <c r="K507" i="4"/>
  <c r="K506" i="4"/>
  <c r="K505" i="4"/>
  <c r="K504" i="4"/>
  <c r="K503" i="4"/>
  <c r="K502" i="4"/>
  <c r="K501" i="4"/>
  <c r="K500" i="4"/>
  <c r="K499" i="4"/>
  <c r="K498" i="4"/>
  <c r="K497" i="4"/>
  <c r="K496" i="4"/>
  <c r="K495" i="4"/>
  <c r="K494" i="4"/>
  <c r="K493" i="4"/>
  <c r="K492" i="4"/>
  <c r="K491" i="4"/>
  <c r="K490" i="4"/>
  <c r="K489" i="4"/>
  <c r="K488" i="4"/>
  <c r="K487" i="4"/>
  <c r="K486" i="4"/>
  <c r="K485" i="4"/>
  <c r="K484" i="4"/>
  <c r="K483" i="4"/>
  <c r="K482" i="4"/>
  <c r="K481" i="4"/>
  <c r="K480" i="4"/>
  <c r="K479" i="4"/>
  <c r="K478" i="4"/>
  <c r="K477" i="4"/>
  <c r="K476" i="4"/>
  <c r="K475" i="4"/>
  <c r="K474" i="4"/>
  <c r="K473" i="4"/>
  <c r="K472" i="4"/>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K1" i="4"/>
  <c r="A83" i="2"/>
  <c r="A35" i="2"/>
  <c r="AE35" i="2" s="1"/>
  <c r="A79" i="2"/>
  <c r="A75" i="2"/>
  <c r="A71" i="2"/>
  <c r="A34" i="2"/>
  <c r="AE34" i="2" s="1"/>
  <c r="A33" i="2"/>
  <c r="A32" i="2"/>
  <c r="A31" i="2"/>
  <c r="AE32" i="2" l="1"/>
  <c r="I32" i="2"/>
  <c r="V32" i="2"/>
  <c r="V31" i="2"/>
  <c r="I31" i="2"/>
  <c r="I18" i="11"/>
  <c r="H19" i="11"/>
  <c r="I19" i="11"/>
  <c r="H21" i="11"/>
  <c r="I20" i="11"/>
  <c r="I21" i="11"/>
  <c r="H18" i="11"/>
  <c r="H20" i="11"/>
  <c r="I8" i="11"/>
  <c r="O4" i="34" s="1"/>
  <c r="H15" i="11"/>
  <c r="I6" i="11"/>
  <c r="O2" i="34" s="1"/>
  <c r="I9" i="11"/>
  <c r="I15" i="11"/>
  <c r="H17" i="11"/>
  <c r="H6" i="11"/>
  <c r="N2" i="34" s="1"/>
  <c r="I16" i="11"/>
  <c r="H11" i="11"/>
  <c r="H10" i="11"/>
  <c r="I7" i="11"/>
  <c r="O3" i="34" s="1"/>
  <c r="I11" i="11"/>
  <c r="I10" i="11"/>
  <c r="H16" i="11"/>
  <c r="I17" i="11"/>
  <c r="H13" i="11"/>
  <c r="I14" i="11"/>
  <c r="I13" i="11"/>
  <c r="H8" i="11"/>
  <c r="N4" i="34" s="1"/>
  <c r="H14" i="11"/>
  <c r="I12" i="11"/>
  <c r="H7" i="11"/>
  <c r="N3" i="34" s="1"/>
  <c r="H12" i="11"/>
  <c r="H9" i="11"/>
  <c r="AE33" i="2"/>
  <c r="G643" i="4"/>
  <c r="G631" i="4"/>
  <c r="G642" i="4"/>
  <c r="G633" i="4"/>
  <c r="G635" i="4"/>
  <c r="G641" i="4"/>
  <c r="G640" i="4"/>
  <c r="G638" i="4"/>
  <c r="G637" i="4"/>
  <c r="G536" i="4"/>
  <c r="G538" i="4"/>
  <c r="N12" i="34"/>
  <c r="O12" i="34"/>
  <c r="N10" i="34"/>
  <c r="O10" i="34"/>
  <c r="O13" i="34"/>
  <c r="N5" i="34"/>
  <c r="N13" i="34"/>
  <c r="O5" i="34"/>
  <c r="G375" i="4"/>
  <c r="G607" i="4"/>
  <c r="G600" i="4"/>
  <c r="G329" i="4"/>
  <c r="G131" i="4"/>
  <c r="G435" i="4"/>
  <c r="G596" i="4"/>
  <c r="G455" i="4"/>
  <c r="G481" i="4"/>
  <c r="G420" i="4"/>
  <c r="G576" i="4"/>
  <c r="G553" i="4"/>
  <c r="G554" i="4"/>
  <c r="G547" i="4"/>
  <c r="G549" i="4"/>
  <c r="G417" i="4"/>
  <c r="G425" i="4"/>
  <c r="G106" i="4"/>
  <c r="G282" i="4"/>
  <c r="G452" i="4"/>
  <c r="G516" i="4"/>
  <c r="G588" i="4"/>
  <c r="G517" i="4"/>
  <c r="G518" i="4"/>
  <c r="G558" i="4"/>
  <c r="G239" i="4"/>
  <c r="G488" i="4"/>
  <c r="G409" i="4"/>
  <c r="G427" i="4"/>
  <c r="G268" i="4"/>
  <c r="G428" i="4"/>
  <c r="G460" i="4"/>
  <c r="G495" i="4"/>
  <c r="G128" i="4"/>
  <c r="G184" i="4"/>
  <c r="G200" i="4"/>
  <c r="G169" i="4"/>
  <c r="G185" i="4"/>
  <c r="G178" i="4"/>
  <c r="G194" i="4"/>
  <c r="G450" i="4"/>
  <c r="G123" i="4"/>
  <c r="G179" i="4"/>
  <c r="G116" i="4"/>
  <c r="G205" i="4"/>
  <c r="G229" i="4"/>
  <c r="G110" i="4"/>
  <c r="G134" i="4"/>
  <c r="G174" i="4"/>
  <c r="G535" i="4"/>
  <c r="G543" i="4"/>
  <c r="G540" i="4"/>
  <c r="G534" i="4"/>
  <c r="G542" i="4"/>
  <c r="G584" i="4"/>
  <c r="G585" i="4"/>
  <c r="G390" i="4"/>
  <c r="G379" i="4"/>
  <c r="G157" i="4"/>
  <c r="G103" i="4"/>
  <c r="G119" i="4"/>
  <c r="G135" i="4"/>
  <c r="G151" i="4"/>
  <c r="G159" i="4"/>
  <c r="G167" i="4"/>
  <c r="G183" i="4"/>
  <c r="G191" i="4"/>
  <c r="G199" i="4"/>
  <c r="G207" i="4"/>
  <c r="G215" i="4"/>
  <c r="G223" i="4"/>
  <c r="G247" i="4"/>
  <c r="G104" i="4"/>
  <c r="G112" i="4"/>
  <c r="G120" i="4"/>
  <c r="G136" i="4"/>
  <c r="G144" i="4"/>
  <c r="G152" i="4"/>
  <c r="G160" i="4"/>
  <c r="G168" i="4"/>
  <c r="G176" i="4"/>
  <c r="G192" i="4"/>
  <c r="G208" i="4"/>
  <c r="G216" i="4"/>
  <c r="G232" i="4"/>
  <c r="G240" i="4"/>
  <c r="G113" i="4"/>
  <c r="G121" i="4"/>
  <c r="G129" i="4"/>
  <c r="G145" i="4"/>
  <c r="G153" i="4"/>
  <c r="G161" i="4"/>
  <c r="G177" i="4"/>
  <c r="G193" i="4"/>
  <c r="G201" i="4"/>
  <c r="G209" i="4"/>
  <c r="G217" i="4"/>
  <c r="G233" i="4"/>
  <c r="G241" i="4"/>
  <c r="G249" i="4"/>
  <c r="G114" i="4"/>
  <c r="G122" i="4"/>
  <c r="G130" i="4"/>
  <c r="G146" i="4"/>
  <c r="G154" i="4"/>
  <c r="G170" i="4"/>
  <c r="G186" i="4"/>
  <c r="G202" i="4"/>
  <c r="G210" i="4"/>
  <c r="G218" i="4"/>
  <c r="G226" i="4"/>
  <c r="G234" i="4"/>
  <c r="G242" i="4"/>
  <c r="G250" i="4"/>
  <c r="G107" i="4"/>
  <c r="G115" i="4"/>
  <c r="G139" i="4"/>
  <c r="G147" i="4"/>
  <c r="G155" i="4"/>
  <c r="G171" i="4"/>
  <c r="G187" i="4"/>
  <c r="G195" i="4"/>
  <c r="G203" i="4"/>
  <c r="G219" i="4"/>
  <c r="G227" i="4"/>
  <c r="G235" i="4"/>
  <c r="G243" i="4"/>
  <c r="G251" i="4"/>
  <c r="G108" i="4"/>
  <c r="G140" i="4"/>
  <c r="G148" i="4"/>
  <c r="G156" i="4"/>
  <c r="G164" i="4"/>
  <c r="G172" i="4"/>
  <c r="G180" i="4"/>
  <c r="G188" i="4"/>
  <c r="G204" i="4"/>
  <c r="G212" i="4"/>
  <c r="G220" i="4"/>
  <c r="G236" i="4"/>
  <c r="G244" i="4"/>
  <c r="G101" i="4"/>
  <c r="G109" i="4"/>
  <c r="G149" i="4"/>
  <c r="G165" i="4"/>
  <c r="G173" i="4"/>
  <c r="G181" i="4"/>
  <c r="G189" i="4"/>
  <c r="G221" i="4"/>
  <c r="G237" i="4"/>
  <c r="G245" i="4"/>
  <c r="G118" i="4"/>
  <c r="G150" i="4"/>
  <c r="G158" i="4"/>
  <c r="G166" i="4"/>
  <c r="G190" i="4"/>
  <c r="G206" i="4"/>
  <c r="G214" i="4"/>
  <c r="G222" i="4"/>
  <c r="G230" i="4"/>
  <c r="G279" i="4"/>
  <c r="G335" i="4"/>
  <c r="G320" i="4"/>
  <c r="G105" i="4"/>
  <c r="G225" i="4"/>
  <c r="G345" i="4"/>
  <c r="G330" i="4"/>
  <c r="G474" i="4"/>
  <c r="G267" i="4"/>
  <c r="G331" i="4"/>
  <c r="G324" i="4"/>
  <c r="G484" i="4"/>
  <c r="G197" i="4"/>
  <c r="G261" i="4"/>
  <c r="G285" i="4"/>
  <c r="G325" i="4"/>
  <c r="G198" i="4"/>
  <c r="G406" i="4"/>
  <c r="G414" i="4"/>
  <c r="G606" i="4"/>
  <c r="G257" i="4"/>
  <c r="G393" i="4"/>
  <c r="G466" i="4"/>
  <c r="G476" i="4"/>
  <c r="G399" i="4"/>
  <c r="G228" i="4"/>
  <c r="G255" i="4"/>
  <c r="G271" i="4"/>
  <c r="G287" i="4"/>
  <c r="G303" i="4"/>
  <c r="G311" i="4"/>
  <c r="G319" i="4"/>
  <c r="G327" i="4"/>
  <c r="G343" i="4"/>
  <c r="G367" i="4"/>
  <c r="G383" i="4"/>
  <c r="G391" i="4"/>
  <c r="G264" i="4"/>
  <c r="G272" i="4"/>
  <c r="G280" i="4"/>
  <c r="G296" i="4"/>
  <c r="G304" i="4"/>
  <c r="G328" i="4"/>
  <c r="G344" i="4"/>
  <c r="G352" i="4"/>
  <c r="G360" i="4"/>
  <c r="G368" i="4"/>
  <c r="G384" i="4"/>
  <c r="G392" i="4"/>
  <c r="G400" i="4"/>
  <c r="G265" i="4"/>
  <c r="G273" i="4"/>
  <c r="G281" i="4"/>
  <c r="G297" i="4"/>
  <c r="G305" i="4"/>
  <c r="G321" i="4"/>
  <c r="G337" i="4"/>
  <c r="G353" i="4"/>
  <c r="G361" i="4"/>
  <c r="G369" i="4"/>
  <c r="G377" i="4"/>
  <c r="G385" i="4"/>
  <c r="G401" i="4"/>
  <c r="G258" i="4"/>
  <c r="G266" i="4"/>
  <c r="G290" i="4"/>
  <c r="G298" i="4"/>
  <c r="G306" i="4"/>
  <c r="G322" i="4"/>
  <c r="G346" i="4"/>
  <c r="G354" i="4"/>
  <c r="G370" i="4"/>
  <c r="G378" i="4"/>
  <c r="G386" i="4"/>
  <c r="G394" i="4"/>
  <c r="G402" i="4"/>
  <c r="G259" i="4"/>
  <c r="G291" i="4"/>
  <c r="G307" i="4"/>
  <c r="G315" i="4"/>
  <c r="G323" i="4"/>
  <c r="G339" i="4"/>
  <c r="G355" i="4"/>
  <c r="G363" i="4"/>
  <c r="G371" i="4"/>
  <c r="G387" i="4"/>
  <c r="G395" i="4"/>
  <c r="G252" i="4"/>
  <c r="G260" i="4"/>
  <c r="G284" i="4"/>
  <c r="G292" i="4"/>
  <c r="G300" i="4"/>
  <c r="G316" i="4"/>
  <c r="G340" i="4"/>
  <c r="G388" i="4"/>
  <c r="G396" i="4"/>
  <c r="G133" i="4"/>
  <c r="G141" i="4"/>
  <c r="G269" i="4"/>
  <c r="G301" i="4"/>
  <c r="G309" i="4"/>
  <c r="G317" i="4"/>
  <c r="G341" i="4"/>
  <c r="G357" i="4"/>
  <c r="G365" i="4"/>
  <c r="G373" i="4"/>
  <c r="G381" i="4"/>
  <c r="G254" i="4"/>
  <c r="G286" i="4"/>
  <c r="G302" i="4"/>
  <c r="G310" i="4"/>
  <c r="G318" i="4"/>
  <c r="G334" i="4"/>
  <c r="G342" i="4"/>
  <c r="G358" i="4"/>
  <c r="G374" i="4"/>
  <c r="G398" i="4"/>
  <c r="G545" i="4"/>
  <c r="G546" i="4"/>
  <c r="G603" i="4"/>
  <c r="G446" i="4"/>
  <c r="G583" i="4"/>
  <c r="G591" i="4"/>
  <c r="G313" i="4"/>
  <c r="G523" i="4"/>
  <c r="G571" i="4"/>
  <c r="G276" i="4"/>
  <c r="G364" i="4"/>
  <c r="G580" i="4"/>
  <c r="G253" i="4"/>
  <c r="G293" i="4"/>
  <c r="G262" i="4"/>
  <c r="G326" i="4"/>
  <c r="G127" i="4"/>
  <c r="G143" i="4"/>
  <c r="G231" i="4"/>
  <c r="G520" i="4"/>
  <c r="G137" i="4"/>
  <c r="G138" i="4"/>
  <c r="G211" i="4"/>
  <c r="G124" i="4"/>
  <c r="G117" i="4"/>
  <c r="G246" i="4"/>
  <c r="G526" i="4"/>
  <c r="G289" i="4"/>
  <c r="G362" i="4"/>
  <c r="G308" i="4"/>
  <c r="G382" i="4"/>
  <c r="G263" i="4"/>
  <c r="G295" i="4"/>
  <c r="G359" i="4"/>
  <c r="G407" i="4"/>
  <c r="G415" i="4"/>
  <c r="G423" i="4"/>
  <c r="G431" i="4"/>
  <c r="G439" i="4"/>
  <c r="G463" i="4"/>
  <c r="G479" i="4"/>
  <c r="G312" i="4"/>
  <c r="G416" i="4"/>
  <c r="G424" i="4"/>
  <c r="G440" i="4"/>
  <c r="G448" i="4"/>
  <c r="G456" i="4"/>
  <c r="G480" i="4"/>
  <c r="G504" i="4"/>
  <c r="G512" i="4"/>
  <c r="G433" i="4"/>
  <c r="G441" i="4"/>
  <c r="G449" i="4"/>
  <c r="G457" i="4"/>
  <c r="G338" i="4"/>
  <c r="G418" i="4"/>
  <c r="G426" i="4"/>
  <c r="G434" i="4"/>
  <c r="G442" i="4"/>
  <c r="G482" i="4"/>
  <c r="G506" i="4"/>
  <c r="G514" i="4"/>
  <c r="G299" i="4"/>
  <c r="G403" i="4"/>
  <c r="G411" i="4"/>
  <c r="G419" i="4"/>
  <c r="G443" i="4"/>
  <c r="G332" i="4"/>
  <c r="G372" i="4"/>
  <c r="G404" i="4"/>
  <c r="G412" i="4"/>
  <c r="G436" i="4"/>
  <c r="G468" i="4"/>
  <c r="G500" i="4"/>
  <c r="G421" i="4"/>
  <c r="G437" i="4"/>
  <c r="G445" i="4"/>
  <c r="G453" i="4"/>
  <c r="G469" i="4"/>
  <c r="G270" i="4"/>
  <c r="G350" i="4"/>
  <c r="G366" i="4"/>
  <c r="G422" i="4"/>
  <c r="G438" i="4"/>
  <c r="G454" i="4"/>
  <c r="G494" i="4"/>
  <c r="G502" i="4"/>
  <c r="G559" i="4"/>
  <c r="G575" i="4"/>
  <c r="G256" i="4"/>
  <c r="G336" i="4"/>
  <c r="G376" i="4"/>
  <c r="G274" i="4"/>
  <c r="G283" i="4"/>
  <c r="G348" i="4"/>
  <c r="G349" i="4"/>
  <c r="G408" i="4"/>
  <c r="G451" i="4"/>
  <c r="G213" i="4"/>
  <c r="G510" i="4"/>
  <c r="G351" i="4"/>
  <c r="G519" i="4"/>
  <c r="G602" i="4"/>
  <c r="G275" i="4"/>
  <c r="G356" i="4"/>
  <c r="G333" i="4"/>
  <c r="G278" i="4"/>
  <c r="G294" i="4"/>
  <c r="G551" i="4"/>
  <c r="G567" i="4"/>
  <c r="G544" i="4"/>
  <c r="G560" i="4"/>
  <c r="G568" i="4"/>
  <c r="G592" i="4"/>
  <c r="G521" i="4"/>
  <c r="G537" i="4"/>
  <c r="G561" i="4"/>
  <c r="G569" i="4"/>
  <c r="G577" i="4"/>
  <c r="G522" i="4"/>
  <c r="G562" i="4"/>
  <c r="G570" i="4"/>
  <c r="G578" i="4"/>
  <c r="G586" i="4"/>
  <c r="G539" i="4"/>
  <c r="G555" i="4"/>
  <c r="G563" i="4"/>
  <c r="G579" i="4"/>
  <c r="G587" i="4"/>
  <c r="G532" i="4"/>
  <c r="G548" i="4"/>
  <c r="G556" i="4"/>
  <c r="G564" i="4"/>
  <c r="G572" i="4"/>
  <c r="G533" i="4"/>
  <c r="G541" i="4"/>
  <c r="G557" i="4"/>
  <c r="G565" i="4"/>
  <c r="G589" i="4"/>
  <c r="G550" i="4"/>
  <c r="G566" i="4"/>
  <c r="G574" i="4"/>
  <c r="G582" i="4"/>
  <c r="G590" i="4"/>
  <c r="G314" i="4"/>
  <c r="G347" i="4"/>
  <c r="G380" i="4"/>
  <c r="G389" i="4"/>
  <c r="G111" i="4"/>
  <c r="G175" i="4"/>
  <c r="G432" i="4"/>
  <c r="G464" i="4"/>
  <c r="G162" i="4"/>
  <c r="G458" i="4"/>
  <c r="G125" i="4"/>
  <c r="G461" i="4"/>
  <c r="G102" i="4"/>
  <c r="G142" i="4"/>
  <c r="G462" i="4"/>
  <c r="G478" i="4"/>
  <c r="G248" i="4"/>
  <c r="G126" i="4"/>
  <c r="G182" i="4"/>
  <c r="G447" i="4"/>
  <c r="G471" i="4"/>
  <c r="G599" i="4"/>
  <c r="G473" i="4"/>
  <c r="G593" i="4"/>
  <c r="G601" i="4"/>
  <c r="G410" i="4"/>
  <c r="G594" i="4"/>
  <c r="G459" i="4"/>
  <c r="G467" i="4"/>
  <c r="G475" i="4"/>
  <c r="G595" i="4"/>
  <c r="G413" i="4"/>
  <c r="G429" i="4"/>
  <c r="G477" i="4"/>
  <c r="G525" i="4"/>
  <c r="G573" i="4"/>
  <c r="G581" i="4"/>
  <c r="G597" i="4"/>
  <c r="G430" i="4"/>
  <c r="G470" i="4"/>
  <c r="G598" i="4"/>
  <c r="G224" i="4"/>
  <c r="G472" i="4"/>
  <c r="G163" i="4"/>
  <c r="G132" i="4"/>
  <c r="G196" i="4"/>
  <c r="G604" i="4"/>
  <c r="G405" i="4"/>
  <c r="G605" i="4"/>
  <c r="G238" i="4"/>
  <c r="G552" i="4"/>
  <c r="G465" i="4"/>
  <c r="G527" i="4"/>
  <c r="G528" i="4"/>
  <c r="G529" i="4"/>
  <c r="G530" i="4"/>
  <c r="G524" i="4"/>
  <c r="G277" i="4"/>
  <c r="G397" i="4"/>
  <c r="B9" i="11" a="1"/>
  <c r="B6" i="11" a="1"/>
  <c r="O9" i="34" l="1"/>
  <c r="O11" i="34"/>
  <c r="N9" i="34"/>
  <c r="N11" i="34"/>
  <c r="P93" i="33"/>
  <c r="X93" i="33" s="1"/>
  <c r="B6" i="11"/>
  <c r="A41" i="33"/>
  <c r="A83" i="33"/>
  <c r="B9" i="11"/>
  <c r="F3" i="12" a="1"/>
  <c r="B22" i="11" l="1"/>
  <c r="F3" i="12"/>
  <c r="V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Edna Rocio Ardila Rios</author>
    <author>Edna Rocio Ardila</author>
  </authors>
  <commentList>
    <comment ref="D107" authorId="0" shapeId="0" xr:uid="{7841B82E-E5E7-492E-8918-F29DE8059DD2}">
      <text>
        <r>
          <rPr>
            <b/>
            <sz val="9"/>
            <color indexed="81"/>
            <rFont val="Tahoma"/>
            <family val="2"/>
          </rPr>
          <t>Edna Rocio Ardila Rios:</t>
        </r>
        <r>
          <rPr>
            <sz val="9"/>
            <color indexed="81"/>
            <rFont val="Tahoma"/>
            <family val="2"/>
          </rPr>
          <t xml:space="preserve">
LAS RESOLUCIONES CNTV NO ASOCIABAN CCTR</t>
        </r>
      </text>
    </comment>
    <comment ref="D113" authorId="0" shapeId="0" xr:uid="{AFF25668-0E4E-4135-869B-2C0A7ABDB340}">
      <text>
        <r>
          <rPr>
            <b/>
            <sz val="9"/>
            <color indexed="81"/>
            <rFont val="Tahoma"/>
            <family val="2"/>
          </rPr>
          <t>Edna Rocio Ardila Rios:</t>
        </r>
        <r>
          <rPr>
            <sz val="9"/>
            <color indexed="81"/>
            <rFont val="Tahoma"/>
            <family val="2"/>
          </rPr>
          <t xml:space="preserve">
LAS RESOLUCIONES CNTV NO ASOCIABAN CCTR</t>
        </r>
      </text>
    </comment>
    <comment ref="D124" authorId="0" shapeId="0" xr:uid="{63E2273C-2B60-4C05-89DB-399778B76EBF}">
      <text>
        <r>
          <rPr>
            <b/>
            <sz val="9"/>
            <color indexed="81"/>
            <rFont val="Tahoma"/>
            <family val="2"/>
          </rPr>
          <t>Edna Rocio Ardila Rios:</t>
        </r>
        <r>
          <rPr>
            <sz val="9"/>
            <color indexed="81"/>
            <rFont val="Tahoma"/>
            <family val="2"/>
          </rPr>
          <t xml:space="preserve">
LAS RESOLUCIONES CNTV NO ASOCIABAN CCTR</t>
        </r>
      </text>
    </comment>
    <comment ref="D133" authorId="0" shapeId="0" xr:uid="{04A85300-74FE-470E-82F7-F1E497C6D62B}">
      <text>
        <r>
          <rPr>
            <b/>
            <sz val="9"/>
            <color indexed="81"/>
            <rFont val="Tahoma"/>
            <family val="2"/>
          </rPr>
          <t>Edna Rocio Ardila Rios:</t>
        </r>
        <r>
          <rPr>
            <sz val="9"/>
            <color indexed="81"/>
            <rFont val="Tahoma"/>
            <family val="2"/>
          </rPr>
          <t xml:space="preserve">
LAS RESOLUCIONES CNTV NO ASOCIABAN CCTR</t>
        </r>
      </text>
    </comment>
    <comment ref="D141" authorId="0" shapeId="0" xr:uid="{2C25B61C-1FB8-4D01-9C32-7BF8249777C9}">
      <text>
        <r>
          <rPr>
            <b/>
            <sz val="9"/>
            <color indexed="81"/>
            <rFont val="Tahoma"/>
            <family val="2"/>
          </rPr>
          <t>Edna Rocio Ardila Rios:</t>
        </r>
        <r>
          <rPr>
            <sz val="9"/>
            <color indexed="81"/>
            <rFont val="Tahoma"/>
            <family val="2"/>
          </rPr>
          <t xml:space="preserve">
LAS RESOLUCIONES CNTV NO ASOCIABAN CCTR</t>
        </r>
      </text>
    </comment>
    <comment ref="D165" authorId="0" shapeId="0" xr:uid="{83A2BAE4-5FC6-4281-8D30-7573201EBEB9}">
      <text>
        <r>
          <rPr>
            <b/>
            <sz val="9"/>
            <color indexed="81"/>
            <rFont val="Tahoma"/>
            <family val="2"/>
          </rPr>
          <t>Edna Rocio Ardila Rios:</t>
        </r>
        <r>
          <rPr>
            <sz val="9"/>
            <color indexed="81"/>
            <rFont val="Tahoma"/>
            <family val="2"/>
          </rPr>
          <t xml:space="preserve">
LAS RESOLUCIONES CNTV NO ASOCIABAN CCTR</t>
        </r>
      </text>
    </comment>
    <comment ref="D168" authorId="0" shapeId="0" xr:uid="{DEE64587-21AA-4A14-9D0D-47AFCA238D82}">
      <text>
        <r>
          <rPr>
            <b/>
            <sz val="9"/>
            <color indexed="81"/>
            <rFont val="Tahoma"/>
            <family val="2"/>
          </rPr>
          <t>Edna Rocio Ardila Rios:</t>
        </r>
        <r>
          <rPr>
            <sz val="9"/>
            <color indexed="81"/>
            <rFont val="Tahoma"/>
            <family val="2"/>
          </rPr>
          <t xml:space="preserve">
LAS RESOLUCIONES CNTV NO ASOCIABAN CCTR</t>
        </r>
      </text>
    </comment>
    <comment ref="D172" authorId="0" shapeId="0" xr:uid="{BF2AF165-56FB-426D-A155-99EADEB8142E}">
      <text>
        <r>
          <rPr>
            <b/>
            <sz val="9"/>
            <color indexed="81"/>
            <rFont val="Tahoma"/>
            <family val="2"/>
          </rPr>
          <t>Edna Rocio Ardila Rios:</t>
        </r>
        <r>
          <rPr>
            <sz val="9"/>
            <color indexed="81"/>
            <rFont val="Tahoma"/>
            <family val="2"/>
          </rPr>
          <t xml:space="preserve">
LAS RESOLUCIONES CNTV NO ASOCIABAN CCTR</t>
        </r>
      </text>
    </comment>
    <comment ref="D222" authorId="0" shapeId="0" xr:uid="{13158A6C-A414-4BE9-8229-8AB77DC388BC}">
      <text>
        <r>
          <rPr>
            <b/>
            <sz val="9"/>
            <color indexed="81"/>
            <rFont val="Tahoma"/>
            <family val="2"/>
          </rPr>
          <t>Edna Rocio Ardila Rios:</t>
        </r>
        <r>
          <rPr>
            <sz val="9"/>
            <color indexed="81"/>
            <rFont val="Tahoma"/>
            <family val="2"/>
          </rPr>
          <t xml:space="preserve">
LAS RESOLUCIONES CNTV NO ASOCIABAN CCTR</t>
        </r>
      </text>
    </comment>
    <comment ref="D223" authorId="0" shapeId="0" xr:uid="{C91BBC9D-8E25-42F5-B322-EF81E1C1BC96}">
      <text>
        <r>
          <rPr>
            <b/>
            <sz val="9"/>
            <color indexed="81"/>
            <rFont val="Tahoma"/>
            <family val="2"/>
          </rPr>
          <t>Edna Rocio Ardila Rios:</t>
        </r>
        <r>
          <rPr>
            <sz val="9"/>
            <color indexed="81"/>
            <rFont val="Tahoma"/>
            <family val="2"/>
          </rPr>
          <t xml:space="preserve">
LAS RESOLUCIONES CNTV NO ASOCIABAN CCTR</t>
        </r>
      </text>
    </comment>
    <comment ref="D227" authorId="0" shapeId="0" xr:uid="{F7C4E4F9-62EB-41C5-96C1-9AA155BCC037}">
      <text>
        <r>
          <rPr>
            <b/>
            <sz val="9"/>
            <color indexed="81"/>
            <rFont val="Tahoma"/>
            <family val="2"/>
          </rPr>
          <t>Edna Rocio Ardila Rios:</t>
        </r>
        <r>
          <rPr>
            <sz val="9"/>
            <color indexed="81"/>
            <rFont val="Tahoma"/>
            <family val="2"/>
          </rPr>
          <t xml:space="preserve">
LAS RESOLUCIONES CNTV NO ASOCIABAN CCTR</t>
        </r>
      </text>
    </comment>
    <comment ref="D234" authorId="0" shapeId="0" xr:uid="{2B0C95AE-7536-4C42-B9F0-01848FD2E02F}">
      <text>
        <r>
          <rPr>
            <b/>
            <sz val="9"/>
            <color indexed="81"/>
            <rFont val="Tahoma"/>
            <family val="2"/>
          </rPr>
          <t>Edna Rocio Ardila Rios:</t>
        </r>
        <r>
          <rPr>
            <sz val="9"/>
            <color indexed="81"/>
            <rFont val="Tahoma"/>
            <family val="2"/>
          </rPr>
          <t xml:space="preserve">
LAS RESOLUCIONES CNTV NO ASOCIABAN CCTR</t>
        </r>
      </text>
    </comment>
    <comment ref="D239" authorId="1" shapeId="0" xr:uid="{6DE58162-F03C-41DE-A66C-04B71C5C4DA3}">
      <text>
        <r>
          <rPr>
            <sz val="9"/>
            <color indexed="81"/>
            <rFont val="Tahoma"/>
            <family val="2"/>
          </rPr>
          <t>Con está Resolución se renovó la asignación de frecuencias</t>
        </r>
      </text>
    </comment>
    <comment ref="D245" authorId="0" shapeId="0" xr:uid="{0088DA41-8B2E-48F0-A042-DC97C4CCD9D5}">
      <text>
        <r>
          <rPr>
            <b/>
            <sz val="9"/>
            <color indexed="81"/>
            <rFont val="Tahoma"/>
            <family val="2"/>
          </rPr>
          <t>Edna Rocio Ardila Rios:</t>
        </r>
        <r>
          <rPr>
            <sz val="9"/>
            <color indexed="81"/>
            <rFont val="Tahoma"/>
            <family val="2"/>
          </rPr>
          <t xml:space="preserve">
LAS RESOLUCIONES CNTV NO ASOCIABAN CCTR</t>
        </r>
      </text>
    </comment>
    <comment ref="D258" authorId="0" shapeId="0" xr:uid="{DE6F554B-08D3-4AE4-9B44-B0FF731EE83A}">
      <text>
        <r>
          <rPr>
            <b/>
            <sz val="9"/>
            <color indexed="81"/>
            <rFont val="Tahoma"/>
            <family val="2"/>
          </rPr>
          <t>Edna Rocio Ardila Rios:</t>
        </r>
        <r>
          <rPr>
            <sz val="9"/>
            <color indexed="81"/>
            <rFont val="Tahoma"/>
            <family val="2"/>
          </rPr>
          <t xml:space="preserve">
LAS RESOLUCIONES CNTV, NO ASOCIABAN CCTR</t>
        </r>
      </text>
    </comment>
    <comment ref="D264" authorId="0" shapeId="0" xr:uid="{76A4996B-7DD6-44E0-A7BD-8A9AA9FBB427}">
      <text>
        <r>
          <rPr>
            <b/>
            <sz val="9"/>
            <color indexed="81"/>
            <rFont val="Tahoma"/>
            <family val="2"/>
          </rPr>
          <t>Edna Rocio Ardila Rios:</t>
        </r>
        <r>
          <rPr>
            <sz val="9"/>
            <color indexed="81"/>
            <rFont val="Tahoma"/>
            <family val="2"/>
          </rPr>
          <t xml:space="preserve">
LAS RESOLUCIONES CNTV, NO ASOCIABAN CCTR</t>
        </r>
      </text>
    </comment>
    <comment ref="D275" authorId="0" shapeId="0" xr:uid="{3D0A68F0-AA96-44D2-92B5-CF4769EB1298}">
      <text>
        <r>
          <rPr>
            <b/>
            <sz val="9"/>
            <color indexed="81"/>
            <rFont val="Tahoma"/>
            <family val="2"/>
          </rPr>
          <t>Edna Rocio Ardila Rios:</t>
        </r>
        <r>
          <rPr>
            <sz val="9"/>
            <color indexed="81"/>
            <rFont val="Tahoma"/>
            <family val="2"/>
          </rPr>
          <t xml:space="preserve">
LAS RESOLUCIONES CNTV, NO ASOCIABAN CCTR</t>
        </r>
      </text>
    </comment>
    <comment ref="D284" authorId="0" shapeId="0" xr:uid="{986E7876-0242-429D-A807-569E6E1943D9}">
      <text>
        <r>
          <rPr>
            <b/>
            <sz val="9"/>
            <color indexed="81"/>
            <rFont val="Tahoma"/>
            <family val="2"/>
          </rPr>
          <t>Edna Rocio Ardila Rios:</t>
        </r>
        <r>
          <rPr>
            <sz val="9"/>
            <color indexed="81"/>
            <rFont val="Tahoma"/>
            <family val="2"/>
          </rPr>
          <t xml:space="preserve">
LAS RESOLUCIONES CNTV, NO ASOCIABAN CCTR</t>
        </r>
      </text>
    </comment>
    <comment ref="D292" authorId="0" shapeId="0" xr:uid="{FF32F7D3-2212-4DFB-9661-0CE7CDF0CB68}">
      <text>
        <r>
          <rPr>
            <b/>
            <sz val="9"/>
            <color indexed="81"/>
            <rFont val="Tahoma"/>
            <family val="2"/>
          </rPr>
          <t>Edna Rocio Ardila Rios:</t>
        </r>
        <r>
          <rPr>
            <sz val="9"/>
            <color indexed="81"/>
            <rFont val="Tahoma"/>
            <family val="2"/>
          </rPr>
          <t xml:space="preserve">
LAS RESOLUCIONES CNTV, NO ASOCIABAN CCTR</t>
        </r>
      </text>
    </comment>
    <comment ref="D316" authorId="0" shapeId="0" xr:uid="{B8C0C393-ACD7-4B26-AF59-411E3A9B95CA}">
      <text>
        <r>
          <rPr>
            <b/>
            <sz val="9"/>
            <color indexed="81"/>
            <rFont val="Tahoma"/>
            <family val="2"/>
          </rPr>
          <t>Edna Rocio Ardila Rios:</t>
        </r>
        <r>
          <rPr>
            <sz val="9"/>
            <color indexed="81"/>
            <rFont val="Tahoma"/>
            <family val="2"/>
          </rPr>
          <t xml:space="preserve">
LAS RESOLUCIONES CNTV, NO ASOCIABAN CCTR</t>
        </r>
      </text>
    </comment>
    <comment ref="D319" authorId="0" shapeId="0" xr:uid="{732C393B-7470-467B-ADBB-9D2ABACEB60A}">
      <text>
        <r>
          <rPr>
            <b/>
            <sz val="9"/>
            <color indexed="81"/>
            <rFont val="Tahoma"/>
            <family val="2"/>
          </rPr>
          <t>Edna Rocio Ardila Rios:</t>
        </r>
        <r>
          <rPr>
            <sz val="9"/>
            <color indexed="81"/>
            <rFont val="Tahoma"/>
            <family val="2"/>
          </rPr>
          <t xml:space="preserve">
LAS RESOLUCIONES CNTV, NO ASOCIABAN CCTR</t>
        </r>
      </text>
    </comment>
    <comment ref="D323" authorId="0" shapeId="0" xr:uid="{5B625550-0E57-447B-80FC-E0BC1030191B}">
      <text>
        <r>
          <rPr>
            <b/>
            <sz val="9"/>
            <color indexed="81"/>
            <rFont val="Tahoma"/>
            <family val="2"/>
          </rPr>
          <t>Edna Rocio Ardila Rios:</t>
        </r>
        <r>
          <rPr>
            <sz val="9"/>
            <color indexed="81"/>
            <rFont val="Tahoma"/>
            <family val="2"/>
          </rPr>
          <t xml:space="preserve">
LAS RESOLUCIONES CNTV, NO ASOCIABAN CCTR</t>
        </r>
      </text>
    </comment>
    <comment ref="D373" authorId="0" shapeId="0" xr:uid="{A5CEAF40-6351-4801-86B8-359EE514F774}">
      <text>
        <r>
          <rPr>
            <b/>
            <sz val="9"/>
            <color indexed="81"/>
            <rFont val="Tahoma"/>
            <family val="2"/>
          </rPr>
          <t>Edna Rocio Ardila Rios:</t>
        </r>
        <r>
          <rPr>
            <sz val="9"/>
            <color indexed="81"/>
            <rFont val="Tahoma"/>
            <family val="2"/>
          </rPr>
          <t xml:space="preserve">
LAS RESOLUCIONES CNTV, NO ASOCIABAN CCTR</t>
        </r>
      </text>
    </comment>
    <comment ref="D374" authorId="0" shapeId="0" xr:uid="{37D8EFD8-5D2A-4F2C-A3EE-4A80A841E0B1}">
      <text>
        <r>
          <rPr>
            <b/>
            <sz val="9"/>
            <color indexed="81"/>
            <rFont val="Tahoma"/>
            <family val="2"/>
          </rPr>
          <t>Edna Rocio Ardila Rios:</t>
        </r>
        <r>
          <rPr>
            <sz val="9"/>
            <color indexed="81"/>
            <rFont val="Tahoma"/>
            <family val="2"/>
          </rPr>
          <t xml:space="preserve">
LAS RESOLUCIONES CNTV, NO ASOCIABAN CCTR</t>
        </r>
      </text>
    </comment>
    <comment ref="D378" authorId="0" shapeId="0" xr:uid="{3D08A4E5-EF8F-4C33-BF18-D5D562445AC7}">
      <text>
        <r>
          <rPr>
            <b/>
            <sz val="9"/>
            <color indexed="81"/>
            <rFont val="Tahoma"/>
            <family val="2"/>
          </rPr>
          <t>Edna Rocio Ardila Rios:</t>
        </r>
        <r>
          <rPr>
            <sz val="9"/>
            <color indexed="81"/>
            <rFont val="Tahoma"/>
            <family val="2"/>
          </rPr>
          <t xml:space="preserve">
LAS RESOLUCIONES CNTV, NO ASOCIABAN CCTR</t>
        </r>
      </text>
    </comment>
    <comment ref="D380" authorId="1" shapeId="0" xr:uid="{03A2BB12-4B7E-4D89-A0B2-E7CB82BC5701}">
      <text>
        <r>
          <rPr>
            <b/>
            <sz val="9"/>
            <color indexed="81"/>
            <rFont val="Tahoma"/>
            <family val="2"/>
          </rPr>
          <t>Edna Rocio Ardila:</t>
        </r>
        <r>
          <rPr>
            <sz val="9"/>
            <color indexed="81"/>
            <rFont val="Tahoma"/>
            <family val="2"/>
          </rPr>
          <t xml:space="preserve">
Se modificó la asignación de la Resolución 1904 de 2018 del canal radielectrico, por solicitud del operador</t>
        </r>
      </text>
    </comment>
    <comment ref="D385" authorId="0" shapeId="0" xr:uid="{DA8D619D-C24C-4E7E-A706-48EB1F5CC632}">
      <text>
        <r>
          <rPr>
            <b/>
            <sz val="9"/>
            <color indexed="81"/>
            <rFont val="Tahoma"/>
            <family val="2"/>
          </rPr>
          <t>Edna Rocio Ardila Rios:</t>
        </r>
        <r>
          <rPr>
            <sz val="9"/>
            <color indexed="81"/>
            <rFont val="Tahoma"/>
            <family val="2"/>
          </rPr>
          <t xml:space="preserve">
LAS RESOLUCIONES CNTV, NO ASOCIABAN CCTR</t>
        </r>
      </text>
    </comment>
    <comment ref="D390" authorId="1" shapeId="0" xr:uid="{9CFDE4B1-A158-4CF9-8097-F4D60428371B}">
      <text>
        <r>
          <rPr>
            <sz val="9"/>
            <color indexed="81"/>
            <rFont val="Tahoma"/>
            <family val="2"/>
          </rPr>
          <t>Con está Resolución se renovó la asignación de frecuencias</t>
        </r>
      </text>
    </comment>
    <comment ref="D396" authorId="0" shapeId="0" xr:uid="{8D0D5E8C-738D-486D-B907-33DEED2FEDE1}">
      <text>
        <r>
          <rPr>
            <b/>
            <sz val="9"/>
            <color indexed="81"/>
            <rFont val="Tahoma"/>
            <family val="2"/>
          </rPr>
          <t>Edna Rocio Ardila Rios:</t>
        </r>
        <r>
          <rPr>
            <sz val="9"/>
            <color indexed="81"/>
            <rFont val="Tahoma"/>
            <family val="2"/>
          </rPr>
          <t xml:space="preserve">
LAS RESOLUCIONES CNTV, NO ASOCIABAN CCTR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<sst xmlns="http://schemas.openxmlformats.org/spreadsheetml/2006/main" count="5996" uniqueCount="2371">
  <si>
    <t>Niveles de servicio y Calidad de Imagen</t>
  </si>
  <si>
    <t>Información relacionada con la Estación</t>
  </si>
  <si>
    <t>Parámetros DVB-T2</t>
  </si>
  <si>
    <t>Punto</t>
  </si>
  <si>
    <t xml:space="preserve">Operador </t>
  </si>
  <si>
    <r>
      <rPr>
        <b/>
        <sz val="8"/>
        <color theme="0"/>
        <rFont val="Verdana"/>
        <family val="2"/>
      </rPr>
      <t>Frecuencia del Canal</t>
    </r>
    <r>
      <rPr>
        <b/>
        <sz val="9"/>
        <color theme="0"/>
        <rFont val="Verdana"/>
        <family val="2"/>
      </rPr>
      <t xml:space="preserve"> (MHz)</t>
    </r>
  </si>
  <si>
    <t>Potencia del Canal           (dBµV/m)</t>
  </si>
  <si>
    <t>Recepción (Falla/No Falla)</t>
  </si>
  <si>
    <t>Estación de Procedencia</t>
  </si>
  <si>
    <t>Acimut                (°)</t>
  </si>
  <si>
    <r>
      <rPr>
        <b/>
        <sz val="8"/>
        <color theme="0"/>
        <rFont val="Verdana"/>
        <family val="2"/>
      </rPr>
      <t>Distancia a la Estación</t>
    </r>
    <r>
      <rPr>
        <b/>
        <sz val="9"/>
        <color theme="0"/>
        <rFont val="Verdana"/>
        <family val="2"/>
      </rPr>
      <t xml:space="preserve">              (km)</t>
    </r>
  </si>
  <si>
    <r>
      <rPr>
        <b/>
        <sz val="8"/>
        <color theme="0"/>
        <rFont val="Verdana"/>
        <family val="2"/>
      </rPr>
      <t>Umbral Calculado Planificación</t>
    </r>
    <r>
      <rPr>
        <b/>
        <sz val="9"/>
        <color theme="0"/>
        <rFont val="Verdana"/>
        <family val="2"/>
      </rPr>
      <t xml:space="preserve">             (dBµV/m)</t>
    </r>
  </si>
  <si>
    <t>MER               (dB)</t>
  </si>
  <si>
    <t>BER Before LDPC</t>
  </si>
  <si>
    <t>MOD</t>
  </si>
  <si>
    <t>FEC</t>
  </si>
  <si>
    <t>FFT</t>
  </si>
  <si>
    <t>Intervalo de Guarda</t>
  </si>
  <si>
    <t>Patrón Pilotos</t>
  </si>
  <si>
    <t xml:space="preserve"> ID de Red</t>
  </si>
  <si>
    <t xml:space="preserve"> ID Trama de Transporte</t>
  </si>
  <si>
    <t>EPG
(Sí/No)</t>
  </si>
  <si>
    <t>INFORMACIÓN GENERAL DEL PUNTO DE MEDICIÓN</t>
  </si>
  <si>
    <t>CARACTERÍSTICAS DEL PUNTO DE MEDICIÓN</t>
  </si>
  <si>
    <t>Ciudad o Municipio</t>
  </si>
  <si>
    <t>Departamento</t>
  </si>
  <si>
    <t>Latitud - WGS 84</t>
  </si>
  <si>
    <t>Longitud - WGS 84</t>
  </si>
  <si>
    <t>Altura (msnm)</t>
  </si>
  <si>
    <t>Entorno</t>
  </si>
  <si>
    <t>Tipo de Terreno</t>
  </si>
  <si>
    <t>Trayecto de la señal</t>
  </si>
  <si>
    <t>Obstrucción de la señal</t>
  </si>
  <si>
    <t>Dirección</t>
  </si>
  <si>
    <t>EQUIPO UTILIZADO PARA LA MEDICIÓN</t>
  </si>
  <si>
    <t>Tipo de Equipo</t>
  </si>
  <si>
    <t>Marca</t>
  </si>
  <si>
    <t>Modelo</t>
  </si>
  <si>
    <t>Serie</t>
  </si>
  <si>
    <t>Vencimiento Calibración</t>
  </si>
  <si>
    <t>Analizador de Televisión</t>
  </si>
  <si>
    <t>Rohde&amp;Schwarz</t>
  </si>
  <si>
    <t>ETL</t>
  </si>
  <si>
    <t>CARACTERÍSTICAS DE LAS  ESTACIONES QUE SE RECIBEN EN EL PUNTO DONDE SE REALIZA LA MEDICIÓN</t>
  </si>
  <si>
    <t>Estación de procedencia</t>
  </si>
  <si>
    <t>Latitud Estación (WGS 84)</t>
  </si>
  <si>
    <t>Longitud Estación (WGS 84)</t>
  </si>
  <si>
    <t>Umbral calculado en planificación (dBµV/m)</t>
  </si>
  <si>
    <t>CAUCHOS - RTVC</t>
  </si>
  <si>
    <t>CERRO SUBA - CITYTV</t>
  </si>
  <si>
    <t>NO APLICA</t>
  </si>
  <si>
    <t>CARACTERÍSTICAS DE LA MEDICIÓN</t>
  </si>
  <si>
    <t>Acimut de medición
(°)</t>
  </si>
  <si>
    <t>Altura de medición (msns)</t>
  </si>
  <si>
    <r>
      <rPr>
        <b/>
        <sz val="10"/>
        <color theme="0"/>
        <rFont val="Verdana"/>
        <family val="2"/>
      </rPr>
      <t xml:space="preserve">Distancia del punto
a la estación
</t>
    </r>
    <r>
      <rPr>
        <b/>
        <sz val="10.5"/>
        <color theme="0"/>
        <rFont val="Verdana"/>
        <family val="2"/>
      </rPr>
      <t>(km)</t>
    </r>
  </si>
  <si>
    <t>RBW
(kHz)</t>
  </si>
  <si>
    <t>Fecha de medición</t>
  </si>
  <si>
    <t>REGISTRO FOTOGRÁFICO - PANORÁMICA (0°, 90°, 180° y 270°), GPS y ALTURA DE MEDICIÓN</t>
  </si>
  <si>
    <t>PANORÁMICA 0°</t>
  </si>
  <si>
    <t>PANORÁMICA 90°</t>
  </si>
  <si>
    <t>PANORÁMICA 180°</t>
  </si>
  <si>
    <t>PANORÁMICA 270°</t>
  </si>
  <si>
    <t>COORDENADA DEL PUNTO</t>
  </si>
  <si>
    <t>ALTURA DEL PUNTO</t>
  </si>
  <si>
    <t>UNIDAD MÓVIL</t>
  </si>
  <si>
    <t>PERFILES DE TERRENO DESDE EL PUNTO DONDE SE REALIZA LA MEDICIÓN A LAS ESTACIONES MONITOREADAS</t>
  </si>
  <si>
    <t>NA</t>
  </si>
  <si>
    <r>
      <t>Distancia</t>
    </r>
    <r>
      <rPr>
        <sz val="11"/>
        <color theme="0"/>
        <rFont val="Verdana"/>
        <family val="2"/>
      </rPr>
      <t>s</t>
    </r>
    <r>
      <rPr>
        <b/>
        <sz val="11"/>
        <color theme="0"/>
        <rFont val="Verdana"/>
        <family val="2"/>
      </rPr>
      <t xml:space="preserve"> desde el punto de medición a las estaciones monitoreadas</t>
    </r>
  </si>
  <si>
    <t>Realizó Visita:</t>
  </si>
  <si>
    <t>Elaboró Informe:</t>
  </si>
  <si>
    <t>Subdirección de Vigilancia y Control</t>
  </si>
  <si>
    <t>Agencia Nacional del Espectro</t>
  </si>
  <si>
    <t>FIRMA POR EL REPRESENTANTE DEL OPERADOR:</t>
  </si>
  <si>
    <t>Acepto(amos) la notificación de actos administrativos a través de medios electrónicos conforme lo establece el artículo 56  de la Ley 1437 de 2011.</t>
  </si>
  <si>
    <t>Nombres y Apellidos</t>
  </si>
  <si>
    <t>Manifiesto que he recibido copia del Acta y Análisis de Mediciones.</t>
  </si>
  <si>
    <t>Cargo</t>
  </si>
  <si>
    <t>C.C. No.</t>
  </si>
  <si>
    <t>Operador</t>
  </si>
  <si>
    <t>Frecuencia del Canal (MHz)</t>
  </si>
  <si>
    <r>
      <t xml:space="preserve">Tipo de Canal </t>
    </r>
    <r>
      <rPr>
        <b/>
        <sz val="9"/>
        <color theme="0"/>
        <rFont val="Verdana"/>
        <family val="2"/>
      </rPr>
      <t>(Gauss/Rice/Rayleigh)</t>
    </r>
  </si>
  <si>
    <t>Hora de medición</t>
  </si>
  <si>
    <t>CARACOL</t>
  </si>
  <si>
    <t xml:space="preserve">CARACTERÍSTICAS DE LAS  ESTACIONES EN RED SFN QUE SE RECIBEN EN EL PUNTO DONDE SE REALIZA LA MEDICIÓN																																	</t>
  </si>
  <si>
    <t xml:space="preserve">Longitud Estación (WGS 84)						</t>
  </si>
  <si>
    <t>REGISTRO DE VERIFICACIÓN DE COBERTURA Y PARÁMETROS DE CALIDAD DEL SERVICIO TDT</t>
  </si>
  <si>
    <t>RESULTADOS DE MEDICIÓN POR PLP</t>
  </si>
  <si>
    <t>PLP</t>
  </si>
  <si>
    <t>Potencia del canal
(dBµV/m)</t>
  </si>
  <si>
    <t>MER
(PLP, rms)
(dB)</t>
  </si>
  <si>
    <t>BER before LDCP</t>
  </si>
  <si>
    <t>2/3</t>
  </si>
  <si>
    <t>1/8</t>
  </si>
  <si>
    <t>ND</t>
  </si>
  <si>
    <t>ANÁLISIS DE TRANSPORT STREAM</t>
  </si>
  <si>
    <t>Servicio Decodificado</t>
  </si>
  <si>
    <t>ID de Servicio</t>
  </si>
  <si>
    <t>ID de Red</t>
  </si>
  <si>
    <t>ID Trama de Transporte</t>
  </si>
  <si>
    <t>Errores P1</t>
  </si>
  <si>
    <t>Errores P2</t>
  </si>
  <si>
    <t>Errores P3</t>
  </si>
  <si>
    <r>
      <rPr>
        <b/>
        <sz val="10"/>
        <color theme="0"/>
        <rFont val="Verdana"/>
        <family val="2"/>
      </rPr>
      <t>Fallo en Imagen</t>
    </r>
    <r>
      <rPr>
        <b/>
        <sz val="11"/>
        <color theme="0"/>
        <rFont val="Verdana"/>
        <family val="2"/>
      </rPr>
      <t xml:space="preserve"> </t>
    </r>
    <r>
      <rPr>
        <b/>
        <sz val="9"/>
        <color theme="0"/>
        <rFont val="Verdana"/>
        <family val="2"/>
      </rPr>
      <t>(Falla/No Falla)</t>
    </r>
  </si>
  <si>
    <r>
      <rPr>
        <b/>
        <sz val="10.5"/>
        <color theme="0"/>
        <rFont val="Verdana"/>
        <family val="2"/>
      </rPr>
      <t>EPG</t>
    </r>
    <r>
      <rPr>
        <b/>
        <sz val="11"/>
        <color theme="0"/>
        <rFont val="Verdana"/>
        <family val="2"/>
      </rPr>
      <t xml:space="preserve"> </t>
    </r>
    <r>
      <rPr>
        <b/>
        <sz val="10"/>
        <color theme="0"/>
        <rFont val="Verdana"/>
        <family val="2"/>
      </rPr>
      <t>(Si/No)</t>
    </r>
  </si>
  <si>
    <t>Observaciones</t>
  </si>
  <si>
    <t>NO</t>
  </si>
  <si>
    <t>INTERFERENCIAS</t>
  </si>
  <si>
    <t>No</t>
  </si>
  <si>
    <t>Intensidad de Campo (dBµV/m)</t>
  </si>
  <si>
    <t>Frecuencia Central (MHz)</t>
  </si>
  <si>
    <t>Ancho de Banda (MHz)</t>
  </si>
  <si>
    <t>Tipo de Servicio</t>
  </si>
  <si>
    <t>OBSERVACIONES</t>
  </si>
  <si>
    <t>SOPORTES DE MEDICIÓN</t>
  </si>
  <si>
    <t>Potencia del canal</t>
  </si>
  <si>
    <t>MER (L1,rms)</t>
  </si>
  <si>
    <t>BER bef. LPDC (Overview)</t>
  </si>
  <si>
    <t>Constelación</t>
  </si>
  <si>
    <t>Patrón de Ecos</t>
  </si>
  <si>
    <t>Shoulders</t>
  </si>
  <si>
    <t>COMPARACIÓN CON PARÁMETROS AUTORIZADOS</t>
  </si>
  <si>
    <t>Parámetro</t>
  </si>
  <si>
    <t>Resolución</t>
  </si>
  <si>
    <t>Autorizado / Planificado</t>
  </si>
  <si>
    <t>Medido / Verificado</t>
  </si>
  <si>
    <t>Cumple / 
No Cumple</t>
  </si>
  <si>
    <t>Observaciones Generales - Requerimientos</t>
  </si>
  <si>
    <t>Potencia del canal (dBµV/m)</t>
  </si>
  <si>
    <t>Modulación</t>
  </si>
  <si>
    <t>Patrón de Pilotos</t>
  </si>
  <si>
    <t>Frecuencia Central de Operación(MHz)</t>
  </si>
  <si>
    <t>Ancho de banda del Canal (MHz)</t>
  </si>
  <si>
    <t>Error Prioridad 1</t>
  </si>
  <si>
    <t>Error Prioridad 2</t>
  </si>
  <si>
    <t>Error Prioridad 3</t>
  </si>
  <si>
    <t xml:space="preserve">INGENIERO RESPONSABLE </t>
  </si>
  <si>
    <t>FECHA DE ENTREGA</t>
  </si>
  <si>
    <t>MUNICIPIO</t>
  </si>
  <si>
    <t>DEPARTAMENTO</t>
  </si>
  <si>
    <t>CANAL</t>
  </si>
  <si>
    <t>CANALES PARAMETROS AUTORIZADO</t>
  </si>
  <si>
    <t>CANALES PARAMETROS MEDIDO</t>
  </si>
  <si>
    <t>Cumple / No Cumple</t>
  </si>
  <si>
    <t>REVISION POR EL INGENIERO</t>
  </si>
  <si>
    <t>Frecuencia Central de Operación
(MHz)</t>
  </si>
  <si>
    <t>Frecuencia Central de Operación</t>
  </si>
  <si>
    <t>Ancho de banda del Canal</t>
  </si>
  <si>
    <t>Imagen</t>
  </si>
  <si>
    <t>Canales TDT</t>
  </si>
  <si>
    <t>Fcia Central (MHz)</t>
  </si>
  <si>
    <t>Ingeniero</t>
  </si>
  <si>
    <t>Tarjeta</t>
  </si>
  <si>
    <t>contrato</t>
  </si>
  <si>
    <t>Abejorral</t>
  </si>
  <si>
    <t>Antioquia</t>
  </si>
  <si>
    <t>Amazonas</t>
  </si>
  <si>
    <t>TX_TDT</t>
  </si>
  <si>
    <t>LAT_D</t>
  </si>
  <si>
    <t>LONG_D</t>
  </si>
  <si>
    <t>Latitud</t>
  </si>
  <si>
    <t>G</t>
  </si>
  <si>
    <t>M</t>
  </si>
  <si>
    <t>S</t>
  </si>
  <si>
    <t>Norte</t>
  </si>
  <si>
    <t>Longitud</t>
  </si>
  <si>
    <t>GG</t>
  </si>
  <si>
    <t>MM</t>
  </si>
  <si>
    <t>SS</t>
  </si>
  <si>
    <t>Weter</t>
  </si>
  <si>
    <t>UMBRAL</t>
  </si>
  <si>
    <t>UMBRAL_2</t>
  </si>
  <si>
    <t>OPERADOR</t>
  </si>
  <si>
    <t>PLP1</t>
  </si>
  <si>
    <t>SERVICIOS1</t>
  </si>
  <si>
    <t>SERVICIOS2</t>
  </si>
  <si>
    <t>SERVICIOS3</t>
  </si>
  <si>
    <t>SERVICIOS4</t>
  </si>
  <si>
    <t>SERVICIOS5</t>
  </si>
  <si>
    <t>Resolucion de ID de Servicio, RED, Trama de Transporte</t>
  </si>
  <si>
    <t>ID de Trama de Transporte</t>
  </si>
  <si>
    <t>ID de Servicio 1</t>
  </si>
  <si>
    <t>ID de Servicio 2</t>
  </si>
  <si>
    <t>ID de Servicio 3</t>
  </si>
  <si>
    <t>ID de Servicio 4</t>
  </si>
  <si>
    <t>Urbano</t>
  </si>
  <si>
    <t>Falla</t>
  </si>
  <si>
    <t>Angela Yulieth Rivera Gomez</t>
  </si>
  <si>
    <t>SN206</t>
  </si>
  <si>
    <t>Contratista</t>
  </si>
  <si>
    <t>Abrego</t>
  </si>
  <si>
    <t>Norte de Santander</t>
  </si>
  <si>
    <t>ACEVEDO - CCNP</t>
  </si>
  <si>
    <t>N</t>
  </si>
  <si>
    <t>W</t>
  </si>
  <si>
    <t>RTVC</t>
  </si>
  <si>
    <t>SEÑAL COLOMBIA</t>
  </si>
  <si>
    <t>CANAL INSTITUCIONAL</t>
  </si>
  <si>
    <t>CANAL 1</t>
  </si>
  <si>
    <t>Resolución CRC No. 4651 de 2014</t>
  </si>
  <si>
    <t>Suburbano</t>
  </si>
  <si>
    <t>No Falla</t>
  </si>
  <si>
    <t>Camilo Andrés Velasco Triana</t>
  </si>
  <si>
    <t xml:space="preserve">CL206-69274 </t>
  </si>
  <si>
    <t>Abriaquí</t>
  </si>
  <si>
    <t>Arauca</t>
  </si>
  <si>
    <t>AGUSTÍN CODAZZI - CCNP</t>
  </si>
  <si>
    <t>Rural</t>
  </si>
  <si>
    <t>Carolina Villamizar Rivera</t>
  </si>
  <si>
    <t>SN206-168305</t>
  </si>
  <si>
    <t>Acacías</t>
  </si>
  <si>
    <t>Meta</t>
  </si>
  <si>
    <t>Archipielago de San Andres</t>
  </si>
  <si>
    <t>ALGECIRAS - CCNP</t>
  </si>
  <si>
    <t>PLP_S1</t>
  </si>
  <si>
    <t>PLP_S2</t>
  </si>
  <si>
    <t>PLP_S3</t>
  </si>
  <si>
    <t>PLP_S4</t>
  </si>
  <si>
    <t>PLP_S5</t>
  </si>
  <si>
    <t>ID de Servicio 5</t>
  </si>
  <si>
    <t>MOD PLP</t>
  </si>
  <si>
    <t>MOD  PLP1</t>
  </si>
  <si>
    <t>FEC PLP</t>
  </si>
  <si>
    <t>FEC PLP1</t>
  </si>
  <si>
    <t>FFT PLP</t>
  </si>
  <si>
    <t>FFT PLP1</t>
  </si>
  <si>
    <t>Intervalo de Guarda PLP</t>
  </si>
  <si>
    <t>Intervalo de Guarda PLP1</t>
  </si>
  <si>
    <t>Deisy Xiomara Rivera Rozo</t>
  </si>
  <si>
    <t>NS206-77610</t>
  </si>
  <si>
    <t>Acandí</t>
  </si>
  <si>
    <t>Choco</t>
  </si>
  <si>
    <t>Atlantico</t>
  </si>
  <si>
    <t>ALGECIRAS - RTVC</t>
  </si>
  <si>
    <t>64QAM</t>
  </si>
  <si>
    <t>16k ext</t>
  </si>
  <si>
    <t>PP3</t>
  </si>
  <si>
    <t>16QAM</t>
  </si>
  <si>
    <t>QPSK</t>
  </si>
  <si>
    <t>3/4</t>
  </si>
  <si>
    <t>3/5</t>
  </si>
  <si>
    <t>PP2</t>
  </si>
  <si>
    <t>Tipo de terreno</t>
  </si>
  <si>
    <t>Diego Fernándo Gutiérrez Junco</t>
  </si>
  <si>
    <t>BY206-126318</t>
  </si>
  <si>
    <t>Acevedo</t>
  </si>
  <si>
    <t>Huila</t>
  </si>
  <si>
    <t>Bogotá D.C.</t>
  </si>
  <si>
    <t>ALTO EL TIGRE - RTVC</t>
  </si>
  <si>
    <t>CARACOL TV HD</t>
  </si>
  <si>
    <t>CARACOL HD 2</t>
  </si>
  <si>
    <t xml:space="preserve">LA KALLE </t>
  </si>
  <si>
    <t>CARACOL MÓVIL</t>
  </si>
  <si>
    <t>Resolución CRC No.  4650 DE 2014</t>
  </si>
  <si>
    <t>21-40</t>
  </si>
  <si>
    <t>8k ext</t>
  </si>
  <si>
    <t>1/16</t>
  </si>
  <si>
    <t>Plano</t>
  </si>
  <si>
    <t>Haider Oswaldo Navarro Navarro</t>
  </si>
  <si>
    <t>NS206-116032</t>
  </si>
  <si>
    <t>Achí</t>
  </si>
  <si>
    <t>Bolivar</t>
  </si>
  <si>
    <t>ANDES - CCNP</t>
  </si>
  <si>
    <t>RCN</t>
  </si>
  <si>
    <t>RCN HD</t>
  </si>
  <si>
    <t>RCNHD 2</t>
  </si>
  <si>
    <t>RCN MÓVIL</t>
  </si>
  <si>
    <t>Resolución CRC No.  4649 DE 2014</t>
  </si>
  <si>
    <t>1-20</t>
  </si>
  <si>
    <t>1/2</t>
  </si>
  <si>
    <t>PP4</t>
  </si>
  <si>
    <t>Montañoso</t>
  </si>
  <si>
    <t>Heider Jair Lopez Giraldo</t>
  </si>
  <si>
    <t>AT206-84315</t>
  </si>
  <si>
    <t>Agrado</t>
  </si>
  <si>
    <t>Boyaca</t>
  </si>
  <si>
    <t>ARAUCA - CCNP</t>
  </si>
  <si>
    <t>CITYTV</t>
  </si>
  <si>
    <t>CITY TV</t>
  </si>
  <si>
    <t>EL TIEMPO TELEVISION</t>
  </si>
  <si>
    <t>Resolución CRC No.  7194 de 2023</t>
  </si>
  <si>
    <t>Jennifer Leidy Cespedes Menjura</t>
  </si>
  <si>
    <t>CN206-67074</t>
  </si>
  <si>
    <t>Agua de Dios</t>
  </si>
  <si>
    <t>Cundinamarca</t>
  </si>
  <si>
    <t>Caldas</t>
  </si>
  <si>
    <t>ARAUCA - RTVC</t>
  </si>
  <si>
    <t>TELECARIBE</t>
  </si>
  <si>
    <t>TELECARIBE PLUS</t>
  </si>
  <si>
    <t>6021-6040</t>
  </si>
  <si>
    <t>Jose Orlando Ariza Beltran</t>
  </si>
  <si>
    <t>CN206-72977</t>
  </si>
  <si>
    <t>Funcionario</t>
  </si>
  <si>
    <t>Aguachica</t>
  </si>
  <si>
    <t>Cesar</t>
  </si>
  <si>
    <t>Caqueta</t>
  </si>
  <si>
    <t>ARAUQUITA - CCNP</t>
  </si>
  <si>
    <t>TRO</t>
  </si>
  <si>
    <t>CANAL TRO</t>
  </si>
  <si>
    <t>CANAL TRO HD2</t>
  </si>
  <si>
    <t>6101-6120</t>
  </si>
  <si>
    <t>NLOS</t>
  </si>
  <si>
    <t>Jesús Alberto Tirano Vargas</t>
  </si>
  <si>
    <t>BY206-123015</t>
  </si>
  <si>
    <t>Aguada</t>
  </si>
  <si>
    <t>Santander</t>
  </si>
  <si>
    <t>Casanare</t>
  </si>
  <si>
    <t>ARAUQUITA - RTVC</t>
  </si>
  <si>
    <t>TEVEANDINA</t>
  </si>
  <si>
    <t>CANAL TRECE</t>
  </si>
  <si>
    <t>CANAL TRECE +</t>
  </si>
  <si>
    <t>6001-6020</t>
  </si>
  <si>
    <t>LOS</t>
  </si>
  <si>
    <t>German Leonardo Vargas Gutierrez</t>
  </si>
  <si>
    <t>BY206-123177</t>
  </si>
  <si>
    <t>Aguadas</t>
  </si>
  <si>
    <t>Cauca</t>
  </si>
  <si>
    <t>ARBOLETES - RTVC</t>
  </si>
  <si>
    <t>TELEANTIOQUIA</t>
  </si>
  <si>
    <t>TELEANTIOQUIA HD2</t>
  </si>
  <si>
    <t>6081-6100</t>
  </si>
  <si>
    <t>OT (Sobre tráfico de vehículos)</t>
  </si>
  <si>
    <t>Hector Mauricio Farieta Farfan</t>
  </si>
  <si>
    <t>CN206-82499</t>
  </si>
  <si>
    <t>Aguazul</t>
  </si>
  <si>
    <t>ARMENIA - CCNP</t>
  </si>
  <si>
    <t>TELESANTIAGO</t>
  </si>
  <si>
    <t>Mauricio Quevedo Arias</t>
  </si>
  <si>
    <t>CN290-89469</t>
  </si>
  <si>
    <t>Agustín Codazzi</t>
  </si>
  <si>
    <t>ATACO - CCNP</t>
  </si>
  <si>
    <t>TELECAFÉ</t>
  </si>
  <si>
    <t>TELECAFE</t>
  </si>
  <si>
    <t>TELECAFE 2</t>
  </si>
  <si>
    <t>6041-6060</t>
  </si>
  <si>
    <t>Miguel Angel Rojas Ruiz</t>
  </si>
  <si>
    <t>CN206-60775</t>
  </si>
  <si>
    <t>Aipe</t>
  </si>
  <si>
    <t>Cordoba</t>
  </si>
  <si>
    <t>Tasajero</t>
  </si>
  <si>
    <t>ATN - ATN</t>
  </si>
  <si>
    <t>TELEISLAS</t>
  </si>
  <si>
    <t>RAIZAL TV</t>
  </si>
  <si>
    <t>Oscar Gabriel Mendez Naizaque</t>
  </si>
  <si>
    <t>CN290-52146</t>
  </si>
  <si>
    <t>Albán</t>
  </si>
  <si>
    <t>BAJO BAUDÓ - CCNP</t>
  </si>
  <si>
    <t>CANAL CAPITAL</t>
  </si>
  <si>
    <t>EUREKA CAPITAL</t>
  </si>
  <si>
    <t>6141-6160</t>
  </si>
  <si>
    <t>Colinas</t>
  </si>
  <si>
    <t>Pamela Vasquez Montoya</t>
  </si>
  <si>
    <t>AN290-136552</t>
  </si>
  <si>
    <t>Nariño</t>
  </si>
  <si>
    <t>Guainia</t>
  </si>
  <si>
    <t>BALBOA - CCNP</t>
  </si>
  <si>
    <t>TELEPASTO</t>
  </si>
  <si>
    <t>Montañas</t>
  </si>
  <si>
    <t>Rafael Alexis Berrio Granados</t>
  </si>
  <si>
    <t>NS206-55959</t>
  </si>
  <si>
    <t>Albania</t>
  </si>
  <si>
    <t>Guaviare</t>
  </si>
  <si>
    <t>BAÑADEROS - CCNP</t>
  </si>
  <si>
    <t>TELEPACÍFICO</t>
  </si>
  <si>
    <t>TELEPACIFICO HD</t>
  </si>
  <si>
    <t>ORIGEN CHANNEL</t>
  </si>
  <si>
    <t>6121-6140</t>
  </si>
  <si>
    <t>Líneas de energía</t>
  </si>
  <si>
    <t>Rodrigo Cardenas Gomez</t>
  </si>
  <si>
    <t>CN295-66030</t>
  </si>
  <si>
    <t>La Guajira</t>
  </si>
  <si>
    <t>BAÑADEROS - RTVC</t>
  </si>
  <si>
    <t>TELEMEDELLÍN</t>
  </si>
  <si>
    <t>Otras</t>
  </si>
  <si>
    <t>Sebastian Chavez Martinez</t>
  </si>
  <si>
    <t>CN206-147631</t>
  </si>
  <si>
    <t>BARBACOAS - CCNP</t>
  </si>
  <si>
    <t>TELEPETRÓLEO</t>
  </si>
  <si>
    <t>Ninguna</t>
  </si>
  <si>
    <t>Yerittza Barbosa Marquez</t>
  </si>
  <si>
    <t>CN206-168106</t>
  </si>
  <si>
    <t>Alcalá</t>
  </si>
  <si>
    <t>Valle del Cauca</t>
  </si>
  <si>
    <t>Magdalena</t>
  </si>
  <si>
    <t>BARRANQUILLA - CCNP</t>
  </si>
  <si>
    <t>TV CIUDADANA</t>
  </si>
  <si>
    <t>Aldana</t>
  </si>
  <si>
    <t>BELÉN DE UMBRÍA - CCNP</t>
  </si>
  <si>
    <t>TV IPIALES</t>
  </si>
  <si>
    <t>Alejandría</t>
  </si>
  <si>
    <t>BELÉN DE UMBRÍA - RTVC</t>
  </si>
  <si>
    <t>U.CARTAGENA</t>
  </si>
  <si>
    <t>Algarrobo</t>
  </si>
  <si>
    <t>BELLO - RTVC</t>
  </si>
  <si>
    <t>U.DEL PACÍFICO</t>
  </si>
  <si>
    <t>Analizador de Espectro</t>
  </si>
  <si>
    <t>Algeciras</t>
  </si>
  <si>
    <t>Putumayo</t>
  </si>
  <si>
    <t>BERLÍN - CCNP</t>
  </si>
  <si>
    <t>U.DEL VALLE</t>
  </si>
  <si>
    <t>Antena</t>
  </si>
  <si>
    <t>Almaguer</t>
  </si>
  <si>
    <t>Quindio</t>
  </si>
  <si>
    <t>BOCAS DE SATINGA - CCNP</t>
  </si>
  <si>
    <t>ABN</t>
  </si>
  <si>
    <t>Almeida</t>
  </si>
  <si>
    <t>Risaralda</t>
  </si>
  <si>
    <t>BOLÍVAR - RTVC</t>
  </si>
  <si>
    <t>ASOC. CANAL 5</t>
  </si>
  <si>
    <t>Alpujarra</t>
  </si>
  <si>
    <t>Tolima</t>
  </si>
  <si>
    <t>BOLÍVAR CAUCA - CCNP</t>
  </si>
  <si>
    <t>ATN</t>
  </si>
  <si>
    <t>Altamira</t>
  </si>
  <si>
    <t>Sucre</t>
  </si>
  <si>
    <t>BOQUERON - RTVC</t>
  </si>
  <si>
    <t>BETHESDA</t>
  </si>
  <si>
    <t>Alto Baudo</t>
  </si>
  <si>
    <t>BOSCONIA - CCNP</t>
  </si>
  <si>
    <t>CALI TV</t>
  </si>
  <si>
    <t>Altos del Rosario</t>
  </si>
  <si>
    <t>BUENAVENTURA - RTVC</t>
  </si>
  <si>
    <t>FUN. EMTEL</t>
  </si>
  <si>
    <t>Televes</t>
  </si>
  <si>
    <t>Alvarado</t>
  </si>
  <si>
    <t>Vaupes</t>
  </si>
  <si>
    <t>BUENAVISTA - CCNP</t>
  </si>
  <si>
    <t>FUN. MAGDALENA</t>
  </si>
  <si>
    <t>Amagá</t>
  </si>
  <si>
    <t>Vichada</t>
  </si>
  <si>
    <t>BUENAVISTA - RTVC</t>
  </si>
  <si>
    <t>KANKUAMO</t>
  </si>
  <si>
    <t>Amalfi</t>
  </si>
  <si>
    <t>BUENAVISTA-PROVIDENCIA - RTVC</t>
  </si>
  <si>
    <t>NOVA</t>
  </si>
  <si>
    <t>Ambalema</t>
  </si>
  <si>
    <t>BUESACO - CCNP</t>
  </si>
  <si>
    <t>TELEAMIGA</t>
  </si>
  <si>
    <t>DAT BOSS</t>
  </si>
  <si>
    <t>Anapoima</t>
  </si>
  <si>
    <t>CAJAMARCA - CCNP</t>
  </si>
  <si>
    <t>TELEBARANOA</t>
  </si>
  <si>
    <t>HL223</t>
  </si>
  <si>
    <t>Ancuyá</t>
  </si>
  <si>
    <t>CALATRAVA - RTVC</t>
  </si>
  <si>
    <t>FSH</t>
  </si>
  <si>
    <t>Andalucía</t>
  </si>
  <si>
    <t>CAMPANARIO - CCNP</t>
  </si>
  <si>
    <t>Andes</t>
  </si>
  <si>
    <t>CAÑASGORDAS - CCNP</t>
  </si>
  <si>
    <t>Serial</t>
  </si>
  <si>
    <t>Calibración</t>
  </si>
  <si>
    <t>Angelópolis</t>
  </si>
  <si>
    <t>CAREPA - CCNP</t>
  </si>
  <si>
    <t>Angostura</t>
  </si>
  <si>
    <t>CASABAJA - RTVC</t>
  </si>
  <si>
    <t>Anolaima</t>
  </si>
  <si>
    <t>Anorí</t>
  </si>
  <si>
    <t>CERRO ALEGRE - CCNP</t>
  </si>
  <si>
    <t>Anserma</t>
  </si>
  <si>
    <t>CERRO AZUL - CCNP</t>
  </si>
  <si>
    <t>Ansermanuevo</t>
  </si>
  <si>
    <t>CERRO AZUL - RTVC</t>
  </si>
  <si>
    <t>Anza</t>
  </si>
  <si>
    <t>CERRO CAREPA - RTVC</t>
  </si>
  <si>
    <t>Anzoátegui</t>
  </si>
  <si>
    <t>CERRO CRISTALES - RTVC</t>
  </si>
  <si>
    <t>Apartadó</t>
  </si>
  <si>
    <t>CERRO DE ORO - CCNP</t>
  </si>
  <si>
    <t>Apía</t>
  </si>
  <si>
    <t>CERRO KENNEDY - RTVC</t>
  </si>
  <si>
    <t>Apulo</t>
  </si>
  <si>
    <t>CERRO NEIVA - CCNP</t>
  </si>
  <si>
    <t>Aquitania</t>
  </si>
  <si>
    <t>CERRO NEIVA - RTVC</t>
  </si>
  <si>
    <t>Aracataca</t>
  </si>
  <si>
    <t>CERRO ORIENTE - RTVC</t>
  </si>
  <si>
    <t>Aranzazu</t>
  </si>
  <si>
    <t>CERRO PESCA - CCNP</t>
  </si>
  <si>
    <t>Aratoca</t>
  </si>
  <si>
    <t>CHÁMEZA 1 - RTVC</t>
  </si>
  <si>
    <t>CALI TV-UNIVALLE TV</t>
  </si>
  <si>
    <t>Arauquita</t>
  </si>
  <si>
    <t>CHÁMEZA 2 - RTVC</t>
  </si>
  <si>
    <t>Arbeláez</t>
  </si>
  <si>
    <t>CHARALÁ - RTVC</t>
  </si>
  <si>
    <t>Arboleda</t>
  </si>
  <si>
    <t>CHINCHINÁ - RTVC</t>
  </si>
  <si>
    <t>Arboledas</t>
  </si>
  <si>
    <t>CHOACHÍ - RTVC</t>
  </si>
  <si>
    <t>Arboletes</t>
  </si>
  <si>
    <t>CHOCONTÁ - RTVC</t>
  </si>
  <si>
    <t>Arcabuco</t>
  </si>
  <si>
    <t>CHUCURÍ - CCNP</t>
  </si>
  <si>
    <t>Arenal</t>
  </si>
  <si>
    <t>CIUDAD BOLÍVAR - CCNP</t>
  </si>
  <si>
    <t>Argelia</t>
  </si>
  <si>
    <t>CONCORDIA - CCNP</t>
  </si>
  <si>
    <t>CONVENCIÓN - CCNP</t>
  </si>
  <si>
    <t>CRISTO REY - CCNP</t>
  </si>
  <si>
    <t>Ariguaní</t>
  </si>
  <si>
    <t>CRUZ VERDE - RTVC</t>
  </si>
  <si>
    <t>Arjona</t>
  </si>
  <si>
    <t>CUCUNUBÁ - RTVC</t>
  </si>
  <si>
    <t>Armenia</t>
  </si>
  <si>
    <t>CURUMANÍ - CCNP</t>
  </si>
  <si>
    <t>TELEPETROLEO-ENLACE TV</t>
  </si>
  <si>
    <t>DABEIBA - CCNP</t>
  </si>
  <si>
    <t>Armero</t>
  </si>
  <si>
    <t>DAGUA - CCNP</t>
  </si>
  <si>
    <t>Arroyohondo</t>
  </si>
  <si>
    <t>DAGUA - RTVC</t>
  </si>
  <si>
    <t>TV5</t>
  </si>
  <si>
    <t>Astrea</t>
  </si>
  <si>
    <t>EL ALGUACÍL - RTVC</t>
  </si>
  <si>
    <t>Ataco</t>
  </si>
  <si>
    <t>EL CABLE - RTVC</t>
  </si>
  <si>
    <t>Atrato</t>
  </si>
  <si>
    <t>EL CARMEN - CCNP</t>
  </si>
  <si>
    <t>Ayapel</t>
  </si>
  <si>
    <t>EL COPEY - CCNP</t>
  </si>
  <si>
    <t>Bagadó</t>
  </si>
  <si>
    <t>EL DELEITE - CCNP</t>
  </si>
  <si>
    <t>Bahía Solano</t>
  </si>
  <si>
    <t>EL DONCELLO - CCNP</t>
  </si>
  <si>
    <t>Bajo Baudó</t>
  </si>
  <si>
    <t>EL NUDO - CCNP</t>
  </si>
  <si>
    <t>Balboa</t>
  </si>
  <si>
    <t>EL NUDO - RTVC</t>
  </si>
  <si>
    <t>EL RAMO - CCNP</t>
  </si>
  <si>
    <t>Baranoa</t>
  </si>
  <si>
    <t>EL RECREO - CCNP</t>
  </si>
  <si>
    <t>Baraya</t>
  </si>
  <si>
    <t>EL ROSARIO - RTVC</t>
  </si>
  <si>
    <t>Barbacoas</t>
  </si>
  <si>
    <t>EL RUIZ - RTVC</t>
  </si>
  <si>
    <t>Barbosa</t>
  </si>
  <si>
    <t>EL TAMBO - CCNP</t>
  </si>
  <si>
    <t>FERRER - CCNP</t>
  </si>
  <si>
    <t>Barichara</t>
  </si>
  <si>
    <t>FLORENCIA - CCNP</t>
  </si>
  <si>
    <t>Barranca de Upía</t>
  </si>
  <si>
    <t>FREDONIA - CCNP</t>
  </si>
  <si>
    <t>TELEISLA</t>
  </si>
  <si>
    <t>Barrancabermeja</t>
  </si>
  <si>
    <t>FRONTINO - CCNP</t>
  </si>
  <si>
    <t>Barrancas</t>
  </si>
  <si>
    <t>FRONTINO - RTVC</t>
  </si>
  <si>
    <t>Barranco de Loba</t>
  </si>
  <si>
    <t>GABINETE - RTVC</t>
  </si>
  <si>
    <t>TELEPACIFICO</t>
  </si>
  <si>
    <t>Barranco Minas</t>
  </si>
  <si>
    <t>GALERAS - CCNP</t>
  </si>
  <si>
    <t>Barranquilla</t>
  </si>
  <si>
    <t>GALERAS - RTVC</t>
  </si>
  <si>
    <t>Becerril</t>
  </si>
  <si>
    <t>GARZÓN 2 - CCNP</t>
  </si>
  <si>
    <t>Belalcázar</t>
  </si>
  <si>
    <t>GIGANTE - CCNP</t>
  </si>
  <si>
    <t>Belén</t>
  </si>
  <si>
    <t>GUADUAS - CCNP</t>
  </si>
  <si>
    <t>GUADUAS - RTVC</t>
  </si>
  <si>
    <t>Belén de Los Andaquies</t>
  </si>
  <si>
    <t>GUARANDA - RTVC</t>
  </si>
  <si>
    <t>Belén de Umbría</t>
  </si>
  <si>
    <t>GUARNE - CCNP</t>
  </si>
  <si>
    <t>Bello</t>
  </si>
  <si>
    <t>HONDA - CCNP</t>
  </si>
  <si>
    <t>Nombre de la Estación</t>
  </si>
  <si>
    <t>LLAVE_X_RES</t>
  </si>
  <si>
    <t>No. Canal</t>
  </si>
  <si>
    <t>No. Resolución</t>
  </si>
  <si>
    <t>Fecha Resolución</t>
  </si>
  <si>
    <t>RESUMEN</t>
  </si>
  <si>
    <t>FRECUENCIA</t>
  </si>
  <si>
    <t>Belmira</t>
  </si>
  <si>
    <t>ISTMINA - CCNP</t>
  </si>
  <si>
    <t>ACEVEDO - CCNPCARACOL</t>
  </si>
  <si>
    <t>Resolución No. 1903 del 26 de diciembre de 2018</t>
  </si>
  <si>
    <t>Beltrán</t>
  </si>
  <si>
    <t>ISTMINA - RTVC</t>
  </si>
  <si>
    <t>AGUSTÍN CODAZZI - CCNPCARACOL</t>
  </si>
  <si>
    <t>Berbeo</t>
  </si>
  <si>
    <t>ITAGÜÍ - RTVC</t>
  </si>
  <si>
    <t>ALGECIRAS - CCNPCARACOL</t>
  </si>
  <si>
    <t>Betania</t>
  </si>
  <si>
    <t>ITUANGO - CCNP</t>
  </si>
  <si>
    <t>ANDES - CCNPCARACOL</t>
  </si>
  <si>
    <t>Betéitiva</t>
  </si>
  <si>
    <t>ITUANGO - RTVC</t>
  </si>
  <si>
    <t>ARAUCA - CCNPCARACOL</t>
  </si>
  <si>
    <t>Resolución No. 2171 del 22 de diciembre de 2017</t>
  </si>
  <si>
    <t>Betulia</t>
  </si>
  <si>
    <t>JARDÍN - RTVC</t>
  </si>
  <si>
    <t>ARAUQUITA - CCNPCARACOL</t>
  </si>
  <si>
    <t>JURISDICCIONES - CCNP</t>
  </si>
  <si>
    <t>ARMENIA - CCNPCARACOL</t>
  </si>
  <si>
    <t>1630-4</t>
  </si>
  <si>
    <t>Resolución No. 1630-4 del 27 de diciembre de 2011</t>
  </si>
  <si>
    <t>Bituima</t>
  </si>
  <si>
    <t>JURISDICCIONES - RTVC</t>
  </si>
  <si>
    <t>ATACO - CCNPCARACOL</t>
  </si>
  <si>
    <t>Boavita</t>
  </si>
  <si>
    <t>LA ARGENTINA - RTVC</t>
  </si>
  <si>
    <t>BAJO BAUDÓ - CCNPCARACOL</t>
  </si>
  <si>
    <t>Bochalema</t>
  </si>
  <si>
    <t>LA AZALEA - RTVC</t>
  </si>
  <si>
    <t>BALBOA - CCNPCARACOL</t>
  </si>
  <si>
    <t>Bogotá, D.C.</t>
  </si>
  <si>
    <t>Bogota D.C.</t>
  </si>
  <si>
    <t>LA BARRA - CCNP</t>
  </si>
  <si>
    <t>BAÑADEROS - CCNPCARACOL</t>
  </si>
  <si>
    <t>Resolución No. 2311 del 29 de septiembre de 2014</t>
  </si>
  <si>
    <t>Bojacá</t>
  </si>
  <si>
    <t>LA CALERA - CCNP</t>
  </si>
  <si>
    <t>BARBACOAS - CCNPCARACOL</t>
  </si>
  <si>
    <t>Bojaya</t>
  </si>
  <si>
    <t>LA CALERA - RTVC</t>
  </si>
  <si>
    <t>BARRANQUILLA - CCNPCARACOL</t>
  </si>
  <si>
    <t>Bolívar</t>
  </si>
  <si>
    <t>LA CAPILLA - RTVC</t>
  </si>
  <si>
    <t>BELÉN DE UMBRÍA - CCNPCARACOL</t>
  </si>
  <si>
    <t>LA CASTELLANA - CCNP</t>
  </si>
  <si>
    <t>BOCAS DE SATINGA - CCNPCARACOL</t>
  </si>
  <si>
    <t>LA CEJA - RTVC</t>
  </si>
  <si>
    <t>BOLÍVAR CAUCA - CCNPCARACOL</t>
  </si>
  <si>
    <t>Bosconia</t>
  </si>
  <si>
    <t>LA FLORA - CCNP</t>
  </si>
  <si>
    <t>BOSCONIA - CCNPCARACOL</t>
  </si>
  <si>
    <t>Boyacá</t>
  </si>
  <si>
    <t>LA HORMIGA - CCNP</t>
  </si>
  <si>
    <t>BUENAVISTA - CCNPCARACOL</t>
  </si>
  <si>
    <t>Briceño</t>
  </si>
  <si>
    <t>LA JAGUA DE IBIRICO - CCNP</t>
  </si>
  <si>
    <t>BUESACO - CCNPCARACOL</t>
  </si>
  <si>
    <t>LA LOMA - CCNP</t>
  </si>
  <si>
    <t>CAJAMARCA - CCNPCARACOL</t>
  </si>
  <si>
    <t>Bucaramanga</t>
  </si>
  <si>
    <t>LA MONTAÑITA - CCNP</t>
  </si>
  <si>
    <t>CAMPANARIO - CCNPCARACOL</t>
  </si>
  <si>
    <t>Resolución No. 861 del 09 de octubre de 2015</t>
  </si>
  <si>
    <t>Bucarasica</t>
  </si>
  <si>
    <t>LA PALMA - CCNP</t>
  </si>
  <si>
    <t>CAÑASGORDAS - CCNPCARACOL</t>
  </si>
  <si>
    <t>Buenaventura</t>
  </si>
  <si>
    <t>LA PITA - CCNP</t>
  </si>
  <si>
    <t>CAREPA - CCNPCARACOL</t>
  </si>
  <si>
    <t>Resolución No. 2076 del 13 de diciembre de 2017</t>
  </si>
  <si>
    <t>Buenavista</t>
  </si>
  <si>
    <t>LA PITA - RTVC</t>
  </si>
  <si>
    <t>LA CASTELLANA - CCNPCARACOL</t>
  </si>
  <si>
    <t>LA PLATA - CCNP</t>
  </si>
  <si>
    <t>CERRO ALEGRE - CCNPCARACOL</t>
  </si>
  <si>
    <t>LA POPA - CCNP</t>
  </si>
  <si>
    <t>CERRO AZUL - CCNPCARACOL</t>
  </si>
  <si>
    <t>LA POPA - RTVC</t>
  </si>
  <si>
    <t>CERRO DE ORO - CCNPCARACOL</t>
  </si>
  <si>
    <t>Buenos Aires</t>
  </si>
  <si>
    <t>LA RUSIA - RTVC</t>
  </si>
  <si>
    <t>CERRO NEIVA - CCNPCARACOL</t>
  </si>
  <si>
    <t>Buesaco</t>
  </si>
  <si>
    <t>LA VEGA - CCNP</t>
  </si>
  <si>
    <t>CHUCURÍ - CCNPCARACOL</t>
  </si>
  <si>
    <t>Bugalagrande</t>
  </si>
  <si>
    <t>LAGUNASECA - CCNP</t>
  </si>
  <si>
    <t>CIUDAD BOLÍVAR - CCNPCARACOL</t>
  </si>
  <si>
    <t>Buriticá</t>
  </si>
  <si>
    <t>LAS NUBES - CCNP</t>
  </si>
  <si>
    <t>CONCORDIA - CCNPCARACOL</t>
  </si>
  <si>
    <t>Busbanzá</t>
  </si>
  <si>
    <t>LEBRIJA - CCNP</t>
  </si>
  <si>
    <t>CONVENCIÓN - CCNPCARACOL</t>
  </si>
  <si>
    <t>Cabrera</t>
  </si>
  <si>
    <t>LEBRIJA - RTVC</t>
  </si>
  <si>
    <t>CRISTO REY - CCNPCARACOL</t>
  </si>
  <si>
    <t>LETICIA - CCNP</t>
  </si>
  <si>
    <t>CURUMANÍ - CCNPCARACOL</t>
  </si>
  <si>
    <t>Cabuyaro</t>
  </si>
  <si>
    <t>LETICIA - RTVC</t>
  </si>
  <si>
    <t>DABEIBA - CCNPCARACOL</t>
  </si>
  <si>
    <t>Cacahual</t>
  </si>
  <si>
    <t>LÓPEZ DE MICAY - CCNP</t>
  </si>
  <si>
    <t>DAGUA - CCNPCARACOL</t>
  </si>
  <si>
    <t>Cáceres</t>
  </si>
  <si>
    <t>LOS NOGALES - RTVC</t>
  </si>
  <si>
    <t>EL CARMEN - CCNPCARACOL</t>
  </si>
  <si>
    <t>Cachipay</t>
  </si>
  <si>
    <t>LOS SANTOS - RTVC</t>
  </si>
  <si>
    <t>EL COPEY - CCNPCARACOL</t>
  </si>
  <si>
    <t>Cachirá</t>
  </si>
  <si>
    <t>LURUACO - CCNP</t>
  </si>
  <si>
    <t>EL DELEITE - CCNPCARACOL</t>
  </si>
  <si>
    <t>Cácota</t>
  </si>
  <si>
    <t>MÁLAGA - CCNP</t>
  </si>
  <si>
    <t>EL DONCELLO - CCNPCARACOL</t>
  </si>
  <si>
    <t>Caicedo</t>
  </si>
  <si>
    <t>MÁLAGA - RTVC</t>
  </si>
  <si>
    <t>EL NUDO - CCNPCARACOL</t>
  </si>
  <si>
    <t>Caicedonia</t>
  </si>
  <si>
    <t>MANJUÍ - CCNP</t>
  </si>
  <si>
    <t>EL RAMO - CCNPCARACOL</t>
  </si>
  <si>
    <t>Resolución No. 1361 del 26 de julio de 2016</t>
  </si>
  <si>
    <t>Caimito</t>
  </si>
  <si>
    <t>MANJUÍ - RTVC</t>
  </si>
  <si>
    <t>EL RECREO - CCNPCARACOL</t>
  </si>
  <si>
    <t>Cajamarca</t>
  </si>
  <si>
    <t>MANZANARES - CCNP</t>
  </si>
  <si>
    <t>EL TAMBO - CCNPCARACOL</t>
  </si>
  <si>
    <t>Cajibío</t>
  </si>
  <si>
    <t>MARACAIBO - RTVC</t>
  </si>
  <si>
    <t>FLORENCIA - CCNPCARACOL</t>
  </si>
  <si>
    <t>Cajicá</t>
  </si>
  <si>
    <t>MARTINICA - CCNP</t>
  </si>
  <si>
    <t>FREDONIA - CCNPCARACOL</t>
  </si>
  <si>
    <t>Calamar</t>
  </si>
  <si>
    <t>MARTINICA - RTVC</t>
  </si>
  <si>
    <t>FRONTINO - CCNPCARACOL</t>
  </si>
  <si>
    <t>MIRADOR - RTVC</t>
  </si>
  <si>
    <t>GALERAS - CCNPCARACOL</t>
  </si>
  <si>
    <t>Calarca</t>
  </si>
  <si>
    <t>MITÚ - CCNP</t>
  </si>
  <si>
    <t>GARZÓN 2 - CCNPCARACOL</t>
  </si>
  <si>
    <t>MITÚ - RTVC</t>
  </si>
  <si>
    <t>GIGANTE - CCNPCARACOL</t>
  </si>
  <si>
    <t>MOCOA - CCNP</t>
  </si>
  <si>
    <t>GUADUAS - CCNPCARACOL</t>
  </si>
  <si>
    <t>Caldono</t>
  </si>
  <si>
    <t>MONIQUIRÁ - CCNP</t>
  </si>
  <si>
    <t>GUARNE - CCNPCARACOL</t>
  </si>
  <si>
    <t>Cali</t>
  </si>
  <si>
    <t>MONIQUIRÁ - RTVC</t>
  </si>
  <si>
    <t>HONDA - CCNPCARACOL</t>
  </si>
  <si>
    <t>California</t>
  </si>
  <si>
    <t>MONTERÍA - RTVC</t>
  </si>
  <si>
    <t>PAÉZ-INZÁ - CCNP</t>
  </si>
  <si>
    <t>PAÉZ-INZÁ - CCNPCARACOL</t>
  </si>
  <si>
    <t>Calima</t>
  </si>
  <si>
    <t>MONTEZUMA - RTVC</t>
  </si>
  <si>
    <t>ISTMINA - CCNPCARACOL</t>
  </si>
  <si>
    <t>Resolución No. 1434 del 16 de agosto de 2017</t>
  </si>
  <si>
    <t>Caloto</t>
  </si>
  <si>
    <t>MOÑITOS - CCNP</t>
  </si>
  <si>
    <t>ITUANGO - CCNPCARACOL</t>
  </si>
  <si>
    <t>Campamento</t>
  </si>
  <si>
    <t>MUNCHIQUE - CCNP</t>
  </si>
  <si>
    <t>JURISDICCIONES - CCNPCARACOL</t>
  </si>
  <si>
    <t>Campo de La Cruz</t>
  </si>
  <si>
    <t>MUNCHIQUE - RTVC</t>
  </si>
  <si>
    <t>LA BARRA - CCNPCARACOL</t>
  </si>
  <si>
    <t>Campoalegre</t>
  </si>
  <si>
    <t>NECOCLÍ - CCNP</t>
  </si>
  <si>
    <t>LA CALERA - CCNPCARACOL</t>
  </si>
  <si>
    <t>Campohermoso</t>
  </si>
  <si>
    <t>NECOCLÍ - RTVC</t>
  </si>
  <si>
    <t>LA FLORA - CCNPCARACOL</t>
  </si>
  <si>
    <t>Canalete</t>
  </si>
  <si>
    <t>MUX OSAL - CALI</t>
  </si>
  <si>
    <t>LA HORMIGA - CCNPCARACOL</t>
  </si>
  <si>
    <t>Candelaria</t>
  </si>
  <si>
    <t>NUEVO COLÓN - RTVC</t>
  </si>
  <si>
    <t>LA JAGUA DE IBIRICO - CCNPCARACOL</t>
  </si>
  <si>
    <t>NUNCHÍA - RTVC</t>
  </si>
  <si>
    <t>LA LOMA - CCNPCARACOL</t>
  </si>
  <si>
    <t>Cantagallo</t>
  </si>
  <si>
    <t>OCAÑA - CCNP</t>
  </si>
  <si>
    <t>8</t>
  </si>
  <si>
    <t>LA MONTAÑITA - CCNPCARACOL</t>
  </si>
  <si>
    <t>Cañasgordas</t>
  </si>
  <si>
    <t>ORITO - CCNP</t>
  </si>
  <si>
    <t>LA PALMA - CCNPCARACOL</t>
  </si>
  <si>
    <t>Caparrapí</t>
  </si>
  <si>
    <t>ORITO - RTVC</t>
  </si>
  <si>
    <t>LA PITA - CCNPCARACOL</t>
  </si>
  <si>
    <t>Capitanejo</t>
  </si>
  <si>
    <t>PACHAVITA - RTVC</t>
  </si>
  <si>
    <t>LA PLATA - CCNPCARACOL</t>
  </si>
  <si>
    <t>Caqueza</t>
  </si>
  <si>
    <t>PACHO - CCNP</t>
  </si>
  <si>
    <t>LA POPA - CCNPCARACOL</t>
  </si>
  <si>
    <t>Caracolí</t>
  </si>
  <si>
    <t>PADRE AMAYA - CCNP</t>
  </si>
  <si>
    <t>LA VEGA - CCNPCARACOL</t>
  </si>
  <si>
    <t>Caramanta</t>
  </si>
  <si>
    <t>PADRE AMAYA - RTVC</t>
  </si>
  <si>
    <t>LAGUNASECA - CCNPCARACOL</t>
  </si>
  <si>
    <t>Carcasí</t>
  </si>
  <si>
    <t>LAS NUBES - CCNPCARACOL</t>
  </si>
  <si>
    <t>Carepa</t>
  </si>
  <si>
    <t>PAILITAS - RTVC</t>
  </si>
  <si>
    <t>LEBRIJA - CCNPCARACOL</t>
  </si>
  <si>
    <t>Carmen de Apicalá</t>
  </si>
  <si>
    <t>PAMPLONA - CCNP</t>
  </si>
  <si>
    <t>LETICIA - CCNPCARACOL</t>
  </si>
  <si>
    <t>Carmen de Carupa</t>
  </si>
  <si>
    <t>PAZ DE ARIPORO - CCNP</t>
  </si>
  <si>
    <t>LÓPEZ DE MICAY - CCNPCARACOL</t>
  </si>
  <si>
    <t>Carmen del Darien</t>
  </si>
  <si>
    <t>PENSILVANIA - CCNP</t>
  </si>
  <si>
    <t>LURUACO - CCNPCARACOL</t>
  </si>
  <si>
    <t>Carolina</t>
  </si>
  <si>
    <t>PIEDECUESTA - CCNP</t>
  </si>
  <si>
    <t>MÁLAGA - CCNPCARACOL</t>
  </si>
  <si>
    <t>Cartagena</t>
  </si>
  <si>
    <t>PITALITO - RTVC</t>
  </si>
  <si>
    <t>MANJUÍ - CCNPCARACOL</t>
  </si>
  <si>
    <t>Cartagena del Chairá</t>
  </si>
  <si>
    <t>PLANADAS - CCNP</t>
  </si>
  <si>
    <t>MANZANARES - CCNPCARACOL</t>
  </si>
  <si>
    <t>Cartago</t>
  </si>
  <si>
    <t>PLANADAS - RTVC</t>
  </si>
  <si>
    <t>MARTINICA - CCNPCARACOL</t>
  </si>
  <si>
    <t>Caruru</t>
  </si>
  <si>
    <t>PROVIDENCIA - CCNP</t>
  </si>
  <si>
    <t>MITÚ - CCNPCARACOL</t>
  </si>
  <si>
    <t>Casabianca</t>
  </si>
  <si>
    <t>PUEBLO NUEVO-OCAÑA - RTVC</t>
  </si>
  <si>
    <t>MOCOA - CCNPCARACOL</t>
  </si>
  <si>
    <t>Castilla la Nueva</t>
  </si>
  <si>
    <t>PUERTO BERRÍO - RTVC</t>
  </si>
  <si>
    <t>MONIQUIRÁ - CCNPCARACOL</t>
  </si>
  <si>
    <t>Caucasia</t>
  </si>
  <si>
    <t>PUERTO CARREÑO - CCNP</t>
  </si>
  <si>
    <t>MOÑITOS - CCNPCARACOL</t>
  </si>
  <si>
    <t>Cepitá</t>
  </si>
  <si>
    <t>PUERTO CARREÑO - RTVC</t>
  </si>
  <si>
    <t>MUNCHIQUE - CCNPCARACOL</t>
  </si>
  <si>
    <t>Cereté</t>
  </si>
  <si>
    <t>PUERTO ESCONDIDO - RTVC</t>
  </si>
  <si>
    <t>NECOCLÍ - CCNPCARACOL</t>
  </si>
  <si>
    <t>Cerinza</t>
  </si>
  <si>
    <t>PUERTO INÍRIDA - CCNP</t>
  </si>
  <si>
    <t>OCAÑA - CCNPCARACOL</t>
  </si>
  <si>
    <t>Cerrito</t>
  </si>
  <si>
    <t>PUERTO INÍRIDA - RTVC</t>
  </si>
  <si>
    <t>ORITO - CCNPCARACOL</t>
  </si>
  <si>
    <t>Cerro San Antonio</t>
  </si>
  <si>
    <t>PUERTO LEGUÍZAMO - CCNP</t>
  </si>
  <si>
    <t>PACHO - CCNPCARACOL</t>
  </si>
  <si>
    <t>Cértegui</t>
  </si>
  <si>
    <t>PUERTO LEGUÍZAMO - RTVC</t>
  </si>
  <si>
    <t>PADRE AMAYA - CCNPCARACOL</t>
  </si>
  <si>
    <t>Chachagüí</t>
  </si>
  <si>
    <t>PUERTO LIBERTADOR - CCNP</t>
  </si>
  <si>
    <t>PAMPLONA - CCNPCARACOL</t>
  </si>
  <si>
    <t>Chaguaní</t>
  </si>
  <si>
    <t>PUERTO LIBERTADOR - RTVC</t>
  </si>
  <si>
    <t>PAZ DE ARIPORO - CCNPCARACOL</t>
  </si>
  <si>
    <t>Chalán</t>
  </si>
  <si>
    <t>QUIBDÓ - CCNP</t>
  </si>
  <si>
    <t>PENSILVANIA - CCNPCARACOL</t>
  </si>
  <si>
    <t>Chameza</t>
  </si>
  <si>
    <t>QUININÍ - RTVC</t>
  </si>
  <si>
    <t>CERRO PESCA - CCNPCARACOL</t>
  </si>
  <si>
    <t>Chaparral</t>
  </si>
  <si>
    <t>RIOBLANCO - CCNP</t>
  </si>
  <si>
    <t>PIEDECUESTA - CCNPCARACOL</t>
  </si>
  <si>
    <t>Charalá</t>
  </si>
  <si>
    <t>RODADERO - CCNP</t>
  </si>
  <si>
    <t>PLANADAS - CCNPCARACOL</t>
  </si>
  <si>
    <t>Charta</t>
  </si>
  <si>
    <t>ROVIRA - CCNP</t>
  </si>
  <si>
    <t>PROVIDENCIA - CCNPCARACOL</t>
  </si>
  <si>
    <t>Chía</t>
  </si>
  <si>
    <t>SABOYÁ - CCNP</t>
  </si>
  <si>
    <t>PUERTO CARREÑO - CCNPCARACOL</t>
  </si>
  <si>
    <t>Chigorodó</t>
  </si>
  <si>
    <t>SABOYÁ - RTVC</t>
  </si>
  <si>
    <t>PUERTO INÍRIDA - CCNPCARACOL</t>
  </si>
  <si>
    <t>Chima</t>
  </si>
  <si>
    <t>SALAMINA - CCNP</t>
  </si>
  <si>
    <t>PUERTO LEGUÍZAMO - CCNPCARACOL</t>
  </si>
  <si>
    <t>Chimá</t>
  </si>
  <si>
    <t>SALGAR - CCNP</t>
  </si>
  <si>
    <t>PUERTO LIBERTADOR - CCNPCARACOL</t>
  </si>
  <si>
    <t>Chimichagua</t>
  </si>
  <si>
    <t>SALGAR - RTVC</t>
  </si>
  <si>
    <t>QUIBDÓ - CCNPCARACOL</t>
  </si>
  <si>
    <t>Chinácota</t>
  </si>
  <si>
    <t>SAMACA - RTVC</t>
  </si>
  <si>
    <t>RIOBLANCO - CCNPCARACOL</t>
  </si>
  <si>
    <t>Chinavita</t>
  </si>
  <si>
    <t>SAMANIEGO - CCNP</t>
  </si>
  <si>
    <t>RODADERO - CCNPCARACOL</t>
  </si>
  <si>
    <t>Chinchiná</t>
  </si>
  <si>
    <t>SAMANIEGO - RTVC</t>
  </si>
  <si>
    <t>ROVIRA - CCNPCARACOL</t>
  </si>
  <si>
    <t>Chinú</t>
  </si>
  <si>
    <t>SAN AGUSTÍN - CCNP</t>
  </si>
  <si>
    <t>SABOYÁ - CCNPCARACOL</t>
  </si>
  <si>
    <t>Chipaque</t>
  </si>
  <si>
    <t>SAN CARLOS - CCNP</t>
  </si>
  <si>
    <t>SALAMINA - CCNPCARACOL</t>
  </si>
  <si>
    <t>Chipatá</t>
  </si>
  <si>
    <t>SAN GIL - CCNP</t>
  </si>
  <si>
    <t>SALGAR - CCNPCARACOL</t>
  </si>
  <si>
    <t>Chiquinquirá</t>
  </si>
  <si>
    <t>SAN GÍL - RTVC</t>
  </si>
  <si>
    <t>SAMANIEGO - CCNPCARACOL</t>
  </si>
  <si>
    <t>Chíquiza</t>
  </si>
  <si>
    <t>SAN JOSÉ - CCNP</t>
  </si>
  <si>
    <t>SAN AGUSTÍN - CCNPCARACOL</t>
  </si>
  <si>
    <t>Chiriguaná</t>
  </si>
  <si>
    <t>SAN JOSÉ DEL GUAVIARE - RTVC</t>
  </si>
  <si>
    <t>SAN CARLOS - CCNPCARACOL</t>
  </si>
  <si>
    <t>Chiscas</t>
  </si>
  <si>
    <t>SAN JUAN DE URABÁ - CCNP</t>
  </si>
  <si>
    <t>SAN GIL - CCNPCARACOL</t>
  </si>
  <si>
    <t>Chita</t>
  </si>
  <si>
    <t>SAN JUAN DEL CESAR - CCNP</t>
  </si>
  <si>
    <t>SAN JOSÉ - CCNPCARACOL</t>
  </si>
  <si>
    <t>Chitagá</t>
  </si>
  <si>
    <t>SAN LORENZO (EL DONCELLO) - RTVC</t>
  </si>
  <si>
    <t>SAN JUAN DE URABÁ - CCNPCARACOL</t>
  </si>
  <si>
    <t>Chitaraque</t>
  </si>
  <si>
    <t>SAN MARCOS - RTVC</t>
  </si>
  <si>
    <t>SAN JUAN DEL CESAR - CCNPCARACOL</t>
  </si>
  <si>
    <t>Chivatá</t>
  </si>
  <si>
    <t>SAN PABLO - CCNP</t>
  </si>
  <si>
    <t>SAN PABLO - CCNPCARACOL</t>
  </si>
  <si>
    <t>Chivolo</t>
  </si>
  <si>
    <t>SAN PABLO - RTVC</t>
  </si>
  <si>
    <t>SAN PEDRO DE URABÁ - CCNP</t>
  </si>
  <si>
    <t>SAN PEDRO DE URABÁ - CCNPCARACOL</t>
  </si>
  <si>
    <t>Chivor</t>
  </si>
  <si>
    <t>SAN RAFAEL - CCNP</t>
  </si>
  <si>
    <t>SAN RAFAEL - CCNPCARACOL</t>
  </si>
  <si>
    <t>Choachí</t>
  </si>
  <si>
    <t>SAN ROQUE - CCNP</t>
  </si>
  <si>
    <t>SAN ROQUE - CCNPCARACOL</t>
  </si>
  <si>
    <t>Resolución No. 1709 del 13 de julio de 2021</t>
  </si>
  <si>
    <t>Chocontá</t>
  </si>
  <si>
    <t>SAN VICENTE - CCNP</t>
  </si>
  <si>
    <t>SAN VICENTE - CCNPCARACOL</t>
  </si>
  <si>
    <t>Cicuco</t>
  </si>
  <si>
    <t>FERRER - CCNPCARACOL</t>
  </si>
  <si>
    <t>Ciénaga</t>
  </si>
  <si>
    <t>SAN VICENTE DEL CAGUÁN - RTVC</t>
  </si>
  <si>
    <t>SANDONÁ - CCNP</t>
  </si>
  <si>
    <t>SANDONÁ - CCNPCARACOL</t>
  </si>
  <si>
    <t>Ciénaga de Oro</t>
  </si>
  <si>
    <t>SANTA LIBRADA - CCNP</t>
  </si>
  <si>
    <t>SANTA LIBRADA - CCNPCARACOL</t>
  </si>
  <si>
    <t>Ciénega</t>
  </si>
  <si>
    <t>SANDONÁ - RTVC</t>
  </si>
  <si>
    <t>SANTA MARTA - CCNP</t>
  </si>
  <si>
    <t>SANTA MARTA - CCNPCARACOL</t>
  </si>
  <si>
    <t>Cimitarra</t>
  </si>
  <si>
    <t>SANTUARIO - CCNP</t>
  </si>
  <si>
    <t>SANTUARIO - CCNPCARACOL</t>
  </si>
  <si>
    <t>Circasia</t>
  </si>
  <si>
    <t>SARAVENA - CCNP</t>
  </si>
  <si>
    <t>SARAVENA - CCNPCARACOL</t>
  </si>
  <si>
    <t>Cisneros</t>
  </si>
  <si>
    <t>SANTIAGO PÉREZ - RTVC</t>
  </si>
  <si>
    <t>SARDINATA - CCNP</t>
  </si>
  <si>
    <t>SARDINATA - CCNPCARACOL</t>
  </si>
  <si>
    <t>Ciudad Bolívar</t>
  </si>
  <si>
    <t>SEMINARIO - CCNP</t>
  </si>
  <si>
    <t>SEMINARIO - CCNPCARACOL</t>
  </si>
  <si>
    <t>Clemencia</t>
  </si>
  <si>
    <t>BERLÍN - CCNPCARACOL</t>
  </si>
  <si>
    <t>Cocorná</t>
  </si>
  <si>
    <t>SARAVENA - RTVC</t>
  </si>
  <si>
    <t>SILVIA - CCNP</t>
  </si>
  <si>
    <t>SILVIA - CCNPCARACOL</t>
  </si>
  <si>
    <t>Coello</t>
  </si>
  <si>
    <t>SOATÁ - CCNP</t>
  </si>
  <si>
    <t>SOATÁ - CCNPCARACOL</t>
  </si>
  <si>
    <t>Cogua</t>
  </si>
  <si>
    <t>SOCORRO - CCNP</t>
  </si>
  <si>
    <t>SOCORRO - CCNPCARACOL</t>
  </si>
  <si>
    <t>Colombia</t>
  </si>
  <si>
    <t>SIBUNDOY - RTVC</t>
  </si>
  <si>
    <t>SONSÓN - CCNP</t>
  </si>
  <si>
    <t>SONSÓN - CCNPCARACOL</t>
  </si>
  <si>
    <t>Colón</t>
  </si>
  <si>
    <t>SUÁREZ - CCNP</t>
  </si>
  <si>
    <t>SUÁREZ - CCNPCARACOL</t>
  </si>
  <si>
    <t>SILVIA - RTVC</t>
  </si>
  <si>
    <t>SUBA - CCNP</t>
  </si>
  <si>
    <t>SUBA - CCNPCARACOL</t>
  </si>
  <si>
    <t>Coloso</t>
  </si>
  <si>
    <t>SIMÓN BOLÍVAR - RTVC</t>
  </si>
  <si>
    <t>SUTATENZA - CCNP</t>
  </si>
  <si>
    <t>SUTATENZA - CCNPCARACOL</t>
  </si>
  <si>
    <t>Cómbita</t>
  </si>
  <si>
    <t>TADÓ - CCNP</t>
  </si>
  <si>
    <t>TADÓ - CCNPCARACOL</t>
  </si>
  <si>
    <t>Concepción</t>
  </si>
  <si>
    <t>TAME - CCNP</t>
  </si>
  <si>
    <t>TAME - CCNPCARACOL</t>
  </si>
  <si>
    <t>TARAZÁ - CCNP</t>
  </si>
  <si>
    <t>TARAZÁ - CCNPCARACOL</t>
  </si>
  <si>
    <t>Concordia</t>
  </si>
  <si>
    <t>TASAJERO - CCNP</t>
  </si>
  <si>
    <t>TASAJERO - CCNPCARACOL</t>
  </si>
  <si>
    <t>Resolución No. 131 del 27 de febrero de 2015</t>
  </si>
  <si>
    <t>TERRÓN COLORADO - CCNP</t>
  </si>
  <si>
    <t>TERRÓN COLORADO - CCNPCARACOL</t>
  </si>
  <si>
    <t>Condoto</t>
  </si>
  <si>
    <t>SUESCA - RTVC</t>
  </si>
  <si>
    <t>TIMANÁ - CCNP</t>
  </si>
  <si>
    <t>TIMANÁ - CCNPCARACOL</t>
  </si>
  <si>
    <t>Confines</t>
  </si>
  <si>
    <t>TOLEDO - CCNP</t>
  </si>
  <si>
    <t>TOLEDO - CCNPCARACOL</t>
  </si>
  <si>
    <t>Consaca</t>
  </si>
  <si>
    <t>TOLUVIEJO - CCNP</t>
  </si>
  <si>
    <t>TOLUVIEJO - CCNPCARACOL</t>
  </si>
  <si>
    <t>Contadero</t>
  </si>
  <si>
    <t>TORIBÍO - CCNP</t>
  </si>
  <si>
    <t>TORIBÍO - CCNPCARACOL</t>
  </si>
  <si>
    <t>Contratación</t>
  </si>
  <si>
    <t>TAMINANGO - RTVC</t>
  </si>
  <si>
    <t>TURBACO - CCNP</t>
  </si>
  <si>
    <t>TURBACO - CCNPCARACOL</t>
  </si>
  <si>
    <t>390-4</t>
  </si>
  <si>
    <t>Resolución No. 390-4 del 15 de abril de 2010</t>
  </si>
  <si>
    <t>Convención</t>
  </si>
  <si>
    <t>UBATÉ - CCNP</t>
  </si>
  <si>
    <t>UBATÉ - CCNPCARACOL</t>
  </si>
  <si>
    <t>Copacabana</t>
  </si>
  <si>
    <t>URRAO - CCNP</t>
  </si>
  <si>
    <t>URRAO - CCNPCARACOL</t>
  </si>
  <si>
    <t>Coper</t>
  </si>
  <si>
    <t>TASAJERO - RTVC</t>
  </si>
  <si>
    <t>VILLA DE LEYVA - CCNP</t>
  </si>
  <si>
    <t>VILLA DE LEYVA - CCNPCARACOL</t>
  </si>
  <si>
    <t>Córdoba</t>
  </si>
  <si>
    <t>Cerro del Cristo - Vía Chapalito</t>
  </si>
  <si>
    <t>TELEPASTO - TELEPASTO</t>
  </si>
  <si>
    <t>YOPAL - CCNP</t>
  </si>
  <si>
    <t>YOPAL - CCNPCARACOL</t>
  </si>
  <si>
    <t>Cerro del Cristo</t>
  </si>
  <si>
    <t>TELESANTIAGO - TELESANTIAGO</t>
  </si>
  <si>
    <t xml:space="preserve"> N</t>
  </si>
  <si>
    <t>YUMBO - CCNP</t>
  </si>
  <si>
    <t>YUMBO - CCNPCARACOL</t>
  </si>
  <si>
    <t>ZIPAQUIRÁ - CCNP</t>
  </si>
  <si>
    <t>ZIPAQUIRÁ - CCNPCARACOL</t>
  </si>
  <si>
    <t>Corinto</t>
  </si>
  <si>
    <t>TESALIA - RTVC</t>
  </si>
  <si>
    <t>Resolución No. 1904 del 26 de diciembre de 2018</t>
  </si>
  <si>
    <t>Coromoro</t>
  </si>
  <si>
    <t>TIBITÓC - RTVC</t>
  </si>
  <si>
    <t>Corozal</t>
  </si>
  <si>
    <t>TIERRALTA SERAPIOS - RTVC</t>
  </si>
  <si>
    <t>Corrales</t>
  </si>
  <si>
    <t>Cota</t>
  </si>
  <si>
    <t>TIMANÁ - RTVC</t>
  </si>
  <si>
    <t>Resolución No. 2172 del 22 de diciembre de 2017</t>
  </si>
  <si>
    <t>Cotorra</t>
  </si>
  <si>
    <t>Covarachía</t>
  </si>
  <si>
    <t>388-4</t>
  </si>
  <si>
    <t>Resolución No. 388-4 del 15 de abril de 2010</t>
  </si>
  <si>
    <t>Coveñas</t>
  </si>
  <si>
    <t>TOLUVIEJO - RTVC</t>
  </si>
  <si>
    <t>Coyaima</t>
  </si>
  <si>
    <t/>
  </si>
  <si>
    <t>Cravo Norte</t>
  </si>
  <si>
    <t>TRES CRUCES - RTVC</t>
  </si>
  <si>
    <t>Cuaspud</t>
  </si>
  <si>
    <t>Resolución No. 2312 del 29 de septiembre de 2014</t>
  </si>
  <si>
    <t>Cubará</t>
  </si>
  <si>
    <t>Cerro Puenes</t>
  </si>
  <si>
    <t>TV IPIALES - TV IPIALES</t>
  </si>
  <si>
    <t>Cubarral</t>
  </si>
  <si>
    <t>Av Simón Bolívar</t>
  </si>
  <si>
    <t>U.DEL PACÍFICO - U.DEL PACÍFICO</t>
  </si>
  <si>
    <t>Cucaita</t>
  </si>
  <si>
    <t>Cucunubá</t>
  </si>
  <si>
    <t>Cúcuta</t>
  </si>
  <si>
    <t>VALLE DEL GUAMUEZ - RTVC</t>
  </si>
  <si>
    <t>Cucutilla</t>
  </si>
  <si>
    <t>VERSALLES MW - RTVC</t>
  </si>
  <si>
    <t>Cuítiva</t>
  </si>
  <si>
    <t>Cumaral</t>
  </si>
  <si>
    <t>VILLA DE LEYVA - RTVC</t>
  </si>
  <si>
    <t>Cumaribo</t>
  </si>
  <si>
    <t>Cumbal</t>
  </si>
  <si>
    <t>YOPAL - RTVC</t>
  </si>
  <si>
    <t>Resolución No. 864 del 09 de octubre de 2015</t>
  </si>
  <si>
    <t>Cumbitara</t>
  </si>
  <si>
    <t>Cunday</t>
  </si>
  <si>
    <t>Resolución No. 2075 del 13 de diciembre de 2017</t>
  </si>
  <si>
    <t>Curillo</t>
  </si>
  <si>
    <t>Tres Cruces</t>
  </si>
  <si>
    <t>U. DEL VALLE - U. DEL VALLE</t>
  </si>
  <si>
    <t>Curití</t>
  </si>
  <si>
    <t>Curumaní</t>
  </si>
  <si>
    <t>Dabeiba</t>
  </si>
  <si>
    <t>Enlace TV</t>
  </si>
  <si>
    <t>TELEPETROLEO - ENLACE TV</t>
  </si>
  <si>
    <t>Dagua</t>
  </si>
  <si>
    <t>Dibulla</t>
  </si>
  <si>
    <t>Distracción</t>
  </si>
  <si>
    <t>Dolores</t>
  </si>
  <si>
    <t>Don Matías</t>
  </si>
  <si>
    <t>Dosquebradas</t>
  </si>
  <si>
    <t>Duitama</t>
  </si>
  <si>
    <t>Durania</t>
  </si>
  <si>
    <t>Ebéjico</t>
  </si>
  <si>
    <t>El Águila</t>
  </si>
  <si>
    <t>El Bagre</t>
  </si>
  <si>
    <t>El Banco</t>
  </si>
  <si>
    <t>El Cairo</t>
  </si>
  <si>
    <t>El Calvario</t>
  </si>
  <si>
    <t>El Cantón del San Pablo</t>
  </si>
  <si>
    <t>Resolución No. 1360 del 26 de julio de 2016</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</si>
  <si>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</si>
  <si>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</si>
  <si>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</si>
  <si>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</si>
  <si>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</si>
  <si>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</si>
  <si>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</si>
  <si>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</si>
  <si>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</si>
  <si>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</si>
  <si>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</si>
  <si>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</si>
  <si>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</si>
  <si>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Resolución No. 1435 del 16 de agosto de 2017</t>
  </si>
  <si>
    <t>El Dovio</t>
  </si>
  <si>
    <t>El Encanto</t>
  </si>
  <si>
    <t>El Espino</t>
  </si>
  <si>
    <t>El Guacamayo</t>
  </si>
  <si>
    <t>El Guamo</t>
  </si>
  <si>
    <t>El Litoral del San Juan</t>
  </si>
  <si>
    <t>El Molino</t>
  </si>
  <si>
    <t>El Paso</t>
  </si>
  <si>
    <t>El Paujil</t>
  </si>
  <si>
    <t>El Peñol</t>
  </si>
  <si>
    <t>El Peñón</t>
  </si>
  <si>
    <t>El Piñon</t>
  </si>
  <si>
    <t>El Playón</t>
  </si>
  <si>
    <t>El Retén</t>
  </si>
  <si>
    <t>El Retorno</t>
  </si>
  <si>
    <t>El Roble</t>
  </si>
  <si>
    <t>El Rosal</t>
  </si>
  <si>
    <t>El Rosario</t>
  </si>
  <si>
    <t>El Santuario</t>
  </si>
  <si>
    <t>El Tablón de Gómez</t>
  </si>
  <si>
    <t>El Tambo</t>
  </si>
  <si>
    <t>El Tarra</t>
  </si>
  <si>
    <t>El Zulia</t>
  </si>
  <si>
    <t>Elías</t>
  </si>
  <si>
    <t>Encino</t>
  </si>
  <si>
    <t>Enciso</t>
  </si>
  <si>
    <t>Entrerrios</t>
  </si>
  <si>
    <t>Envigado</t>
  </si>
  <si>
    <t>Espinal</t>
  </si>
  <si>
    <t>Facatativá</t>
  </si>
  <si>
    <t>Falan</t>
  </si>
  <si>
    <t>Filadelfia</t>
  </si>
  <si>
    <t>Filandia</t>
  </si>
  <si>
    <t>Firavitoba</t>
  </si>
  <si>
    <t>Flandes</t>
  </si>
  <si>
    <t>Florencia</t>
  </si>
  <si>
    <t>Floresta</t>
  </si>
  <si>
    <t>Florián</t>
  </si>
  <si>
    <t>Florida</t>
  </si>
  <si>
    <t>Floridablanca</t>
  </si>
  <si>
    <t>Fomeque</t>
  </si>
  <si>
    <t>Fonseca</t>
  </si>
  <si>
    <t>Fortul</t>
  </si>
  <si>
    <t>Fosca</t>
  </si>
  <si>
    <t>Francisco Pizarro</t>
  </si>
  <si>
    <t>Fredonia</t>
  </si>
  <si>
    <t>Resolución No. 2075 del 22 de diciembre de 2017</t>
  </si>
  <si>
    <t>Fresno</t>
  </si>
  <si>
    <t>Frontino</t>
  </si>
  <si>
    <t>Fuente de Oro</t>
  </si>
  <si>
    <t>Fundación</t>
  </si>
  <si>
    <t>Funes</t>
  </si>
  <si>
    <t>Funza</t>
  </si>
  <si>
    <t>Fúquene</t>
  </si>
  <si>
    <t>Fusagasugá</t>
  </si>
  <si>
    <t>Gachala</t>
  </si>
  <si>
    <t>Gachancipá</t>
  </si>
  <si>
    <t>Gachantivá</t>
  </si>
  <si>
    <t>Gachetá</t>
  </si>
  <si>
    <t>Galán</t>
  </si>
  <si>
    <t>Resolución No. 1649 del 02 de julio de 2021</t>
  </si>
  <si>
    <t>Galapa</t>
  </si>
  <si>
    <t>Galeras</t>
  </si>
  <si>
    <t>Gama</t>
  </si>
  <si>
    <t>Gamarra</t>
  </si>
  <si>
    <t>Resolución No. 22 del 15 de abril de 2010</t>
  </si>
  <si>
    <t>Gambita</t>
  </si>
  <si>
    <t>Gameza</t>
  </si>
  <si>
    <t>Garagoa</t>
  </si>
  <si>
    <t>Garzón</t>
  </si>
  <si>
    <t>Génova</t>
  </si>
  <si>
    <t>Gigante</t>
  </si>
  <si>
    <t>Ginebra</t>
  </si>
  <si>
    <t>Resolución No. 781 de 2019</t>
  </si>
  <si>
    <t>Giraldo</t>
  </si>
  <si>
    <t>Girardot</t>
  </si>
  <si>
    <t>Girardota</t>
  </si>
  <si>
    <t>Girón</t>
  </si>
  <si>
    <t>Gómez Plata</t>
  </si>
  <si>
    <t>González</t>
  </si>
  <si>
    <t>Gramalote</t>
  </si>
  <si>
    <t>Granada</t>
  </si>
  <si>
    <t>Resolución No. 130 del 27 de febrero de 2015</t>
  </si>
  <si>
    <t>Guaca</t>
  </si>
  <si>
    <t>Guacamayas</t>
  </si>
  <si>
    <t>Guacarí</t>
  </si>
  <si>
    <t>Guachené</t>
  </si>
  <si>
    <t>Guachetá</t>
  </si>
  <si>
    <t>Guachucal</t>
  </si>
  <si>
    <t>Guadalajara de Buga</t>
  </si>
  <si>
    <t>Guadalupe</t>
  </si>
  <si>
    <t>Guaduas</t>
  </si>
  <si>
    <t>Guaitarilla</t>
  </si>
  <si>
    <t>Gualmatán</t>
  </si>
  <si>
    <t>Bello - RTVC</t>
  </si>
  <si>
    <t>Bello - RTVCRTVC</t>
  </si>
  <si>
    <t>290-4</t>
  </si>
  <si>
    <t>Resolución No. 290-4 del 07 de marzo de 2012</t>
  </si>
  <si>
    <t>Guamal</t>
  </si>
  <si>
    <t>Alto El Tigre - RTVC</t>
  </si>
  <si>
    <t>Alto El Tigre - RTVCRTVC</t>
  </si>
  <si>
    <t>Resolución No. 132 del 27 de febrero de 2015</t>
  </si>
  <si>
    <t>Arauca - RTVC</t>
  </si>
  <si>
    <t>Arauca - RTVCRTVC</t>
  </si>
  <si>
    <t>Resolución No. 1984 del 28 de diciembre de 2018</t>
  </si>
  <si>
    <t>Guamo</t>
  </si>
  <si>
    <t>Arauquita - RTVC</t>
  </si>
  <si>
    <t>Arauquita - RTVCRTVC</t>
  </si>
  <si>
    <t>Guapi</t>
  </si>
  <si>
    <t>Arboletes - RTVC</t>
  </si>
  <si>
    <t>Arboletes - RTVCRTVC</t>
  </si>
  <si>
    <t>Guapotá</t>
  </si>
  <si>
    <t>Bañaderos - RTVC</t>
  </si>
  <si>
    <t>Bañaderos - RTVCRTVC</t>
  </si>
  <si>
    <t>Resolución No. 1590 del 08 de septiembre de 2017</t>
  </si>
  <si>
    <t>Guaranda</t>
  </si>
  <si>
    <t>Belén De Umbría - RTVC</t>
  </si>
  <si>
    <t>Belén De Umbría - RTVCRTVC</t>
  </si>
  <si>
    <t>Guarne</t>
  </si>
  <si>
    <t>BOLÍVAR - RTVCRTVC</t>
  </si>
  <si>
    <t>Guasca</t>
  </si>
  <si>
    <t>Boqueron - RTVC</t>
  </si>
  <si>
    <t>Boqueron - RTVCRTVC</t>
  </si>
  <si>
    <t>Guatapé</t>
  </si>
  <si>
    <t>Buenaventura - RTVC</t>
  </si>
  <si>
    <t>Buenaventura - RTVCRTVC</t>
  </si>
  <si>
    <t>Resolución No. 1399 del 09 de agosto de 2017</t>
  </si>
  <si>
    <t>Guataquí</t>
  </si>
  <si>
    <t>Buenavista - RTVC</t>
  </si>
  <si>
    <t>Buenavista - RTVCRTVC</t>
  </si>
  <si>
    <t>Guatavita</t>
  </si>
  <si>
    <t>Buenavista-Providencia - RTVC</t>
  </si>
  <si>
    <t>Buenavista-Providencia - RTVCRTVC</t>
  </si>
  <si>
    <t>Resolución No. 412 del 28 de febrero de 2020</t>
  </si>
  <si>
    <t>Guateque</t>
  </si>
  <si>
    <t>Calatrava - RTVC</t>
  </si>
  <si>
    <t>Calatrava - RTVCRTVC</t>
  </si>
  <si>
    <t>Guática</t>
  </si>
  <si>
    <t>Cerro Azul - RTVC</t>
  </si>
  <si>
    <t>Cerro Azul - RTVCRTVC</t>
  </si>
  <si>
    <t>Guavatá</t>
  </si>
  <si>
    <t>Cerro Carepa - RTVC</t>
  </si>
  <si>
    <t>Cerro Carepa - RTVCRTVC</t>
  </si>
  <si>
    <t>Guayabal de Siquima</t>
  </si>
  <si>
    <t>Cerro Kennedy - RTVC</t>
  </si>
  <si>
    <t>Cerro Kennedy - RTVCRTVC</t>
  </si>
  <si>
    <t>Resolución No. 1046 del 23 de junio de 2020</t>
  </si>
  <si>
    <t>Guayabetal</t>
  </si>
  <si>
    <t>Cerro Neiva - RTVC</t>
  </si>
  <si>
    <t>Cerro Neiva - RTVCRTVC</t>
  </si>
  <si>
    <t>Guayatá</t>
  </si>
  <si>
    <t>Cerro Oriente - RTVC</t>
  </si>
  <si>
    <t>Cerro Oriente - RTVCRTVC</t>
  </si>
  <si>
    <t>Güepsa</t>
  </si>
  <si>
    <t>Chámeza 1 - RTVC</t>
  </si>
  <si>
    <t>Chámeza 1 - RTVCRTVC</t>
  </si>
  <si>
    <t>Resolución No. 2960 del 08 de noviembre de 2019</t>
  </si>
  <si>
    <t>Güicán</t>
  </si>
  <si>
    <t>Chámeza 2 - RTVC</t>
  </si>
  <si>
    <t>Chámeza 2 - RTVCRTVC</t>
  </si>
  <si>
    <t>Gutiérrez</t>
  </si>
  <si>
    <t>Cruz Verde - RTVC</t>
  </si>
  <si>
    <t>Cruz Verde - RTVCRTVC</t>
  </si>
  <si>
    <t>Hacarí</t>
  </si>
  <si>
    <t>CucunubÁ - RTVC</t>
  </si>
  <si>
    <t>CucunubÁ - RTVCRTVC</t>
  </si>
  <si>
    <t>Hatillo de Loba</t>
  </si>
  <si>
    <t>EL AlguacÍl - RTVC</t>
  </si>
  <si>
    <t>EL AlguacÍl - RTVCRTVC</t>
  </si>
  <si>
    <t>Hato</t>
  </si>
  <si>
    <t>El Cable - RTVC</t>
  </si>
  <si>
    <t>El Cable - RTVCRTVC</t>
  </si>
  <si>
    <t>Hato Corozal</t>
  </si>
  <si>
    <t>El Nudo - RTVC</t>
  </si>
  <si>
    <t>El Nudo - RTVCRTVC</t>
  </si>
  <si>
    <t>Hatonuevo</t>
  </si>
  <si>
    <t>El RuIz - RTVC</t>
  </si>
  <si>
    <t>El RuIz - RTVCRTVC</t>
  </si>
  <si>
    <t>Heliconia</t>
  </si>
  <si>
    <t>Gabinete - RTVC</t>
  </si>
  <si>
    <t>Gabinete - RTVCRTVC</t>
  </si>
  <si>
    <t>31 de mayo de 2022</t>
  </si>
  <si>
    <t>Resolución No. 1832 del 31 de mayo de 2022</t>
  </si>
  <si>
    <t>Herrán</t>
  </si>
  <si>
    <t>Galeras - RTVC</t>
  </si>
  <si>
    <t>Galeras - RTVCRTVC</t>
  </si>
  <si>
    <t>Herveo</t>
  </si>
  <si>
    <t>Guaduas - RTVC</t>
  </si>
  <si>
    <t>Guaduas - RTVCRTVC</t>
  </si>
  <si>
    <t>Hispania</t>
  </si>
  <si>
    <t>PUERTO INÍRIDA - RTVCRTVC</t>
  </si>
  <si>
    <t>Hobo</t>
  </si>
  <si>
    <t>Itagüí - RTVC</t>
  </si>
  <si>
    <t>Itagüí - RTVCRTVC</t>
  </si>
  <si>
    <t>Honda</t>
  </si>
  <si>
    <t>Jardín - RTVC</t>
  </si>
  <si>
    <t>Jardín - RTVCRTVC</t>
  </si>
  <si>
    <t>Ibagué</t>
  </si>
  <si>
    <t>Jurisdicciones - RTVC</t>
  </si>
  <si>
    <t>Jurisdicciones - RTVCRTVC</t>
  </si>
  <si>
    <t>Icononzo</t>
  </si>
  <si>
    <t>La Azalea - RTVC</t>
  </si>
  <si>
    <t>La Azalea - RTVCRTVC</t>
  </si>
  <si>
    <t>Iles</t>
  </si>
  <si>
    <t>La Ceja - RTVC</t>
  </si>
  <si>
    <t>La Ceja - RTVCRTVC</t>
  </si>
  <si>
    <t>Imués</t>
  </si>
  <si>
    <t>La Pita - RTVC</t>
  </si>
  <si>
    <t>La Pita - RTVCRTVC</t>
  </si>
  <si>
    <t>Inírida</t>
  </si>
  <si>
    <t>La Popa - RTVC</t>
  </si>
  <si>
    <t>La Popa - RTVCRTVC</t>
  </si>
  <si>
    <t>Resolución No. 862 del 09 de octubre de 2015</t>
  </si>
  <si>
    <t>Inzá</t>
  </si>
  <si>
    <t>La Rusia - RTVC</t>
  </si>
  <si>
    <t>La Rusia - RTVCRTVC</t>
  </si>
  <si>
    <t>Ipiales</t>
  </si>
  <si>
    <t>Lebrija - RTVC</t>
  </si>
  <si>
    <t>Lebrija - RTVCRTVC</t>
  </si>
  <si>
    <t>Iquira</t>
  </si>
  <si>
    <t>Leticia - RTVC</t>
  </si>
  <si>
    <t>Leticia - RTVCRTVC</t>
  </si>
  <si>
    <t>Isnos</t>
  </si>
  <si>
    <t>Los Nogales - RTVC</t>
  </si>
  <si>
    <t>Los Nogales - RTVCRTVC</t>
  </si>
  <si>
    <t>Istmina</t>
  </si>
  <si>
    <t>Málaga - RTVC</t>
  </si>
  <si>
    <t>Málaga - RTVCRTVC</t>
  </si>
  <si>
    <t>Itagui</t>
  </si>
  <si>
    <t>ManjuÍ - RTVC</t>
  </si>
  <si>
    <t>ManjuÍ - RTVCRTVC</t>
  </si>
  <si>
    <t>Ituango</t>
  </si>
  <si>
    <t>Martinica - RTVC</t>
  </si>
  <si>
    <t>Martinica - RTVCRTVC</t>
  </si>
  <si>
    <t>Iza</t>
  </si>
  <si>
    <t>Mirador - RTVC</t>
  </si>
  <si>
    <t>Mirador - RTVCRTVC</t>
  </si>
  <si>
    <t>Jambaló</t>
  </si>
  <si>
    <t>Mitú - RTVC</t>
  </si>
  <si>
    <t>Mitú - RTVCRTVC</t>
  </si>
  <si>
    <t>Jamundí</t>
  </si>
  <si>
    <t>Montería - RTVC</t>
  </si>
  <si>
    <t>Montería - RTVCRTVC</t>
  </si>
  <si>
    <t>Jardín</t>
  </si>
  <si>
    <t>Montezuma - RTVC</t>
  </si>
  <si>
    <t>Montezuma - RTVCRTVC</t>
  </si>
  <si>
    <t>Jenesano</t>
  </si>
  <si>
    <t>Munchique - RTVC</t>
  </si>
  <si>
    <t>Munchique - RTVCRTVC</t>
  </si>
  <si>
    <t>Jericó</t>
  </si>
  <si>
    <t>Necoclí - RTVC</t>
  </si>
  <si>
    <t>Necoclí - RTVCRTVC</t>
  </si>
  <si>
    <t>Nuevo ColÓn - RTVC</t>
  </si>
  <si>
    <t>Nuevo ColÓn - RTVCRTVC</t>
  </si>
  <si>
    <t>Jerusalén</t>
  </si>
  <si>
    <t>Nunchía - RTVC</t>
  </si>
  <si>
    <t>Nunchía - RTVCRTVC</t>
  </si>
  <si>
    <t>Jesús María</t>
  </si>
  <si>
    <t>Orito - RTVC</t>
  </si>
  <si>
    <t>Orito - RTVCRTVC</t>
  </si>
  <si>
    <t>Jordán</t>
  </si>
  <si>
    <t>Pachavita - RTVC</t>
  </si>
  <si>
    <t>Pachavita - RTVCRTVC</t>
  </si>
  <si>
    <t>Resolución No. 1689 del 03 de octubre de 2016</t>
  </si>
  <si>
    <t>Juan de Acosta</t>
  </si>
  <si>
    <t>Padre Amaya - RTVC</t>
  </si>
  <si>
    <t>Padre Amaya - RTVCRTVC</t>
  </si>
  <si>
    <t>Junín</t>
  </si>
  <si>
    <t>Pailitas - RTVC</t>
  </si>
  <si>
    <t>Pailitas - RTVCRTVC</t>
  </si>
  <si>
    <t>Juradó</t>
  </si>
  <si>
    <t>Pitalito - RTVC</t>
  </si>
  <si>
    <t>Pitalito - RTVCRTVC</t>
  </si>
  <si>
    <t>La Apartada</t>
  </si>
  <si>
    <t>Planadas - RTVC</t>
  </si>
  <si>
    <t>Planadas - RTVCRTVC</t>
  </si>
  <si>
    <t>La Argentina</t>
  </si>
  <si>
    <t>Pueblo Nuevo-Ocaña - RTVC</t>
  </si>
  <si>
    <t>Pueblo Nuevo-Ocaña - RTVCRTVC</t>
  </si>
  <si>
    <t>Resolución No. 782 del 27 de junio de 2019</t>
  </si>
  <si>
    <t>La Belleza</t>
  </si>
  <si>
    <t>Puerto Carreño - RTVC</t>
  </si>
  <si>
    <t>Puerto Carreño - RTVCRTVC</t>
  </si>
  <si>
    <t>La Calera</t>
  </si>
  <si>
    <t>Puerto Escondido - RTVC</t>
  </si>
  <si>
    <t>Puerto Escondido - RTVCRTVC</t>
  </si>
  <si>
    <t>La Capilla</t>
  </si>
  <si>
    <t>Puerto Libertador - RTVC</t>
  </si>
  <si>
    <t>Puerto Libertador - RTVCRTVC</t>
  </si>
  <si>
    <t>La Ceja</t>
  </si>
  <si>
    <t>Saboyá - RTVC</t>
  </si>
  <si>
    <t>Saboyá - RTVCRTVC</t>
  </si>
  <si>
    <t>La Celia</t>
  </si>
  <si>
    <t>Samaca - RTVC</t>
  </si>
  <si>
    <t>Samaca - RTVCRTVC</t>
  </si>
  <si>
    <t>La Chorrera</t>
  </si>
  <si>
    <t>Samaniego - RTVC</t>
  </si>
  <si>
    <t>Samaniego - RTVCRTVC</t>
  </si>
  <si>
    <t>La Cruz</t>
  </si>
  <si>
    <t>San Gíl - RTVC</t>
  </si>
  <si>
    <t>San Gíl - RTVCRTVC</t>
  </si>
  <si>
    <t>La Cumbre</t>
  </si>
  <si>
    <t>San JosÉ del Guaviare - RTVC</t>
  </si>
  <si>
    <t>San JosÉ del Guaviare - RTVCRTVC</t>
  </si>
  <si>
    <t>La Dorada</t>
  </si>
  <si>
    <t>San Lorenzo (El Doncello) - RTVC</t>
  </si>
  <si>
    <t>San Lorenzo (El Doncello) - RTVCRTVC</t>
  </si>
  <si>
    <t>La Esperanza</t>
  </si>
  <si>
    <t>San Vicente Del CaguÁn - RTVC</t>
  </si>
  <si>
    <t>San Vicente Del CaguÁn - RTVCRTVC</t>
  </si>
  <si>
    <t>La Estrella</t>
  </si>
  <si>
    <t>Saravena - RTVC</t>
  </si>
  <si>
    <t>Saravena - RTVCRTVC</t>
  </si>
  <si>
    <t>La Florida</t>
  </si>
  <si>
    <t>Sibundoy - RTVC</t>
  </si>
  <si>
    <t>Sibundoy - RTVCRTVC</t>
  </si>
  <si>
    <t>Resolución No. 446 del 10 de abril de 2018</t>
  </si>
  <si>
    <t>La Gloria</t>
  </si>
  <si>
    <t>Simón Bolívar - RTVC</t>
  </si>
  <si>
    <t>Simón Bolívar - RTVCRTVC</t>
  </si>
  <si>
    <t>La Guadalupe</t>
  </si>
  <si>
    <t>Taminango - RTVC</t>
  </si>
  <si>
    <t>Taminango - RTVCRTVC</t>
  </si>
  <si>
    <t>La Jagua de Ibirico</t>
  </si>
  <si>
    <t>Tasajero - RTVC</t>
  </si>
  <si>
    <t>Tasajero - RTVCRTVC</t>
  </si>
  <si>
    <t>La Jagua del Pilar</t>
  </si>
  <si>
    <t>Tesalia - RTVC</t>
  </si>
  <si>
    <t>Tesalia - RTVCRTVC</t>
  </si>
  <si>
    <t>La Llanada</t>
  </si>
  <si>
    <t>Tierralta Serapios - RTVC</t>
  </si>
  <si>
    <t>Tierralta Serapios - RTVCRTVC</t>
  </si>
  <si>
    <t>La Macarena</t>
  </si>
  <si>
    <t>Toluviejo - RTVC</t>
  </si>
  <si>
    <t>Toluviejo - RTVCRTVC</t>
  </si>
  <si>
    <t>La Merced</t>
  </si>
  <si>
    <t>Tres Cruces - RTVC</t>
  </si>
  <si>
    <t>Tres Cruces - RTVCRTVC</t>
  </si>
  <si>
    <t>La Mesa</t>
  </si>
  <si>
    <t>Valle Del Guamuez - RTVC</t>
  </si>
  <si>
    <t>Valle Del Guamuez - RTVCRTVC</t>
  </si>
  <si>
    <t>La Montañita</t>
  </si>
  <si>
    <t>Yopal - RTVC</t>
  </si>
  <si>
    <t>Yopal - RTVCRTVC</t>
  </si>
  <si>
    <t>La Palma</t>
  </si>
  <si>
    <t>ALGECIRAS - RTVCRTVC</t>
  </si>
  <si>
    <t>Resolución No. 2946 del 11 de agosto de 2023</t>
  </si>
  <si>
    <t>La Paz</t>
  </si>
  <si>
    <t>CASABAJA - RTVCRTVC</t>
  </si>
  <si>
    <t>Resolución No. 1043 del 31 de marzo de 2022</t>
  </si>
  <si>
    <t>CAUCHOS - RTVCRTVC</t>
  </si>
  <si>
    <t>La Pedrera</t>
  </si>
  <si>
    <t>CERRO CRISTALES - RTVCRTVC</t>
  </si>
  <si>
    <t>La Peña</t>
  </si>
  <si>
    <t>CHARALÁ - RTVCRTVC</t>
  </si>
  <si>
    <t>La Pintada</t>
  </si>
  <si>
    <t>CHINCHINÁ - RTVCRTVC</t>
  </si>
  <si>
    <t>La Plata</t>
  </si>
  <si>
    <t>CHOACHÍ - RTVCRTVC</t>
  </si>
  <si>
    <t>La Playa</t>
  </si>
  <si>
    <t>CHOCONTÁ - RTVCRTVC</t>
  </si>
  <si>
    <t>La Primavera</t>
  </si>
  <si>
    <t>DAGUA - RTVCRTVC</t>
  </si>
  <si>
    <t>La Salina</t>
  </si>
  <si>
    <t>EL ROSARIO - RTVCRTVC</t>
  </si>
  <si>
    <t>La Sierra</t>
  </si>
  <si>
    <t>FRONTINO - RTVCRTVC</t>
  </si>
  <si>
    <t>La Tebaida</t>
  </si>
  <si>
    <t>GUARANDA - RTVCRTVC</t>
  </si>
  <si>
    <t>La Tola</t>
  </si>
  <si>
    <t>ISTMINA - RTVCRTVC</t>
  </si>
  <si>
    <t>La Unión</t>
  </si>
  <si>
    <t>ITUANGO - RTVCRTVC</t>
  </si>
  <si>
    <t>LA ARGENTINA - RTVCRTVC</t>
  </si>
  <si>
    <t>LA CALERA - RTVCRTVC</t>
  </si>
  <si>
    <t>LA CAPILLA - RTVCRTVC</t>
  </si>
  <si>
    <t>La Uvita</t>
  </si>
  <si>
    <t>LOS SANTOS - RTVCRTVC</t>
  </si>
  <si>
    <t>La Vega</t>
  </si>
  <si>
    <t>MONIQUIRÁ - RTVCRTVC</t>
  </si>
  <si>
    <t>PUERTO BERRÍO - RTVCRTVC</t>
  </si>
  <si>
    <t>La Victoria</t>
  </si>
  <si>
    <t>PUERTO LEGUÍZAMO - RTVCRTVC</t>
  </si>
  <si>
    <t>QUININÍ - RTVCRTVC</t>
  </si>
  <si>
    <t>SALGAR - RTVCRTVC</t>
  </si>
  <si>
    <t>La Virginia</t>
  </si>
  <si>
    <t>SAN MARCOS - RTVCRTVC</t>
  </si>
  <si>
    <t>Labateca</t>
  </si>
  <si>
    <t>SAN PABLO - RTVCRTVC</t>
  </si>
  <si>
    <t>Labranzagrande</t>
  </si>
  <si>
    <t>SANDONÁ - RTVCRTVC</t>
  </si>
  <si>
    <t>Landázuri</t>
  </si>
  <si>
    <t>SANTIAGO PÉREZ - RTVCRTVC</t>
  </si>
  <si>
    <t>Lebríja</t>
  </si>
  <si>
    <t>SILVIA - RTVCRTVC</t>
  </si>
  <si>
    <t>Leguízamo</t>
  </si>
  <si>
    <t>SUESCA - RTVCRTVC</t>
  </si>
  <si>
    <t>Leiva</t>
  </si>
  <si>
    <t>TIBITÓC - RTVCRTVC</t>
  </si>
  <si>
    <t>Lejanías</t>
  </si>
  <si>
    <t>TIMANÁ - RTVCRTVC</t>
  </si>
  <si>
    <t>Lenguazaque</t>
  </si>
  <si>
    <t>VERSALLES MW - RTVCRTVC</t>
  </si>
  <si>
    <t>Lérida</t>
  </si>
  <si>
    <t>VILLA DE LEYVA - RTVCRTVC</t>
  </si>
  <si>
    <t>Leticia</t>
  </si>
  <si>
    <t>Calatrava - CANAL CAPITAL</t>
  </si>
  <si>
    <t>Calatrava - RTVCCANAL CAPITAL</t>
  </si>
  <si>
    <t>Resolución No. 163 del 09 de febrero de 2017</t>
  </si>
  <si>
    <t>Líbano</t>
  </si>
  <si>
    <t>Cruz Verde - CANAL CAPITAL</t>
  </si>
  <si>
    <t>Cruz Verde - RTVCCANAL CAPITAL</t>
  </si>
  <si>
    <t>Liborina</t>
  </si>
  <si>
    <t>El Cable - CANAL CAPITAL</t>
  </si>
  <si>
    <t>El Cable - RTVCCANAL CAPITAL</t>
  </si>
  <si>
    <t>Linares</t>
  </si>
  <si>
    <t>Cerro Oriente - TRO</t>
  </si>
  <si>
    <t>Cerro Oriente - RTVCTRO</t>
  </si>
  <si>
    <t>Resolución No. 1981 del 28 de diciembre de 2018</t>
  </si>
  <si>
    <t>Lloró</t>
  </si>
  <si>
    <t>Jurisdicciones - TRO</t>
  </si>
  <si>
    <t>Jurisdicciones - RTVCTRO</t>
  </si>
  <si>
    <t>Resolución No. 789 del 03 de julio de 2018</t>
  </si>
  <si>
    <t>López</t>
  </si>
  <si>
    <t>Lebrija - TRO</t>
  </si>
  <si>
    <t>Lebrija - RTVCTRO</t>
  </si>
  <si>
    <t>Resolución No. 2458 del 11 de noviembre de 2014</t>
  </si>
  <si>
    <t>Lorica</t>
  </si>
  <si>
    <t>Málaga - TRO</t>
  </si>
  <si>
    <t>Málaga - RTVCTRO</t>
  </si>
  <si>
    <t>Los Andes</t>
  </si>
  <si>
    <t>Pueblo Nuevo-Ocaña - TRO</t>
  </si>
  <si>
    <t>Pueblo Nuevo-Ocaña - RTVCTRO</t>
  </si>
  <si>
    <t>Resolución No. 850 del 10 de julio de 2019</t>
  </si>
  <si>
    <t>Los Córdobas</t>
  </si>
  <si>
    <t>Saboyá - TRO</t>
  </si>
  <si>
    <t>Saboyá - RTVCTRO</t>
  </si>
  <si>
    <t>Los Palmitos</t>
  </si>
  <si>
    <t>San Gíl - TRO</t>
  </si>
  <si>
    <t>San Gíl - RTVCTRO</t>
  </si>
  <si>
    <t>Resolución No. 555 del 09 de mayo de 2018</t>
  </si>
  <si>
    <t>Los Patios</t>
  </si>
  <si>
    <t>Tasajero - TRO</t>
  </si>
  <si>
    <t>Tasajero - RTVCTRO</t>
  </si>
  <si>
    <t>Resolución No. 1079 del 26 de junio de 2020</t>
  </si>
  <si>
    <t>Los Santos</t>
  </si>
  <si>
    <t>Belén De Umbría - TELECAFÉ</t>
  </si>
  <si>
    <t>Belén De Umbría - RTVCTELECAFÉ</t>
  </si>
  <si>
    <t>Resolución No. 1986 del 28 de diciembre de 2018</t>
  </si>
  <si>
    <t>Lourdes</t>
  </si>
  <si>
    <t>El Nudo - TELECAFÉ</t>
  </si>
  <si>
    <t>El Nudo - RTVCTELECAFÉ</t>
  </si>
  <si>
    <t>Resolución No. 1047 del 23 de junio de 2020</t>
  </si>
  <si>
    <t>Luruaco</t>
  </si>
  <si>
    <t>El RuIz - TELECAFÉ</t>
  </si>
  <si>
    <t>El RuIz - RTVCTELECAFÉ</t>
  </si>
  <si>
    <t>Resolución No. 1433 del 16 de agosto de 2017</t>
  </si>
  <si>
    <t>Macanal</t>
  </si>
  <si>
    <t>Planadas - TELECAFÉ</t>
  </si>
  <si>
    <t>Planadas - RTVCTELECAFÉ</t>
  </si>
  <si>
    <t>Resolución No. 127 del 27 de febrero de 2015</t>
  </si>
  <si>
    <t>Macaravita</t>
  </si>
  <si>
    <t>Bañaderos - TELECARIBE</t>
  </si>
  <si>
    <t>Bañaderos - RTVCTELECARIBE</t>
  </si>
  <si>
    <t>Resolución No. 1591 del 08 de septiembre de 2017</t>
  </si>
  <si>
    <t>Maceo</t>
  </si>
  <si>
    <t>Cerro Azul - TELECARIBE</t>
  </si>
  <si>
    <t>Cerro Azul - RTVCTELECARIBE</t>
  </si>
  <si>
    <t>Macheta</t>
  </si>
  <si>
    <t>Cerro Kennedy - TELECARIBE</t>
  </si>
  <si>
    <t>Cerro Kennedy - RTVCTELECARIBE</t>
  </si>
  <si>
    <t>Resolución No. 925 del 05 de junio de 2020</t>
  </si>
  <si>
    <t>Madrid</t>
  </si>
  <si>
    <t>EL AlguacÍl - TELECARIBE</t>
  </si>
  <si>
    <t>EL AlguacÍl - RTVCTELECARIBE</t>
  </si>
  <si>
    <t>Resolución No. 2954 del 11 de agosto de 2023</t>
  </si>
  <si>
    <t>Magangué</t>
  </si>
  <si>
    <t>Jurisdicciones - TELECARIBE</t>
  </si>
  <si>
    <t>Jurisdicciones - RTVCTELECARIBE</t>
  </si>
  <si>
    <t>Magüi</t>
  </si>
  <si>
    <t>La Pita - TELECARIBE</t>
  </si>
  <si>
    <t>La Pita - RTVCTELECARIBE</t>
  </si>
  <si>
    <t>Mahates</t>
  </si>
  <si>
    <t>La Popa - TELECARIBE</t>
  </si>
  <si>
    <t>La Popa - RTVCTELECARIBE</t>
  </si>
  <si>
    <t>Resolución No. 2457 del 11 de noviembre de 2014</t>
  </si>
  <si>
    <t>Maicao</t>
  </si>
  <si>
    <t>Los Nogales - TELECARIBE</t>
  </si>
  <si>
    <t>Los Nogales - RTVCTELECARIBE</t>
  </si>
  <si>
    <t>Majagual</t>
  </si>
  <si>
    <t>Montería - RTVCTELECARIBE</t>
  </si>
  <si>
    <t>06 de junio de 2022</t>
  </si>
  <si>
    <t>Resolución No. 1973 del 06 de junio de 2022</t>
  </si>
  <si>
    <t>Málaga</t>
  </si>
  <si>
    <t>Pailitas - TELECARIBE</t>
  </si>
  <si>
    <t>Pailitas - RTVCTELECARIBE</t>
  </si>
  <si>
    <t>Resolución No. 1985 del 28 de diciembre de 2018</t>
  </si>
  <si>
    <t>Malambo</t>
  </si>
  <si>
    <t>Puerto Escondido - TELECARIBE</t>
  </si>
  <si>
    <t>Puerto Escondido - RTVCTELECARIBE</t>
  </si>
  <si>
    <t>Mallama</t>
  </si>
  <si>
    <t>Puerto Libertador - TELECARIBE</t>
  </si>
  <si>
    <t>Puerto Libertador - RTVCTELECARIBE</t>
  </si>
  <si>
    <t>Manatí</t>
  </si>
  <si>
    <t>Tierralta Serapios - TELECARIBE</t>
  </si>
  <si>
    <t>Tierralta Serapios - RTVCTELECARIBE</t>
  </si>
  <si>
    <t>Manaure</t>
  </si>
  <si>
    <t>Toluviejo - TELECARIBE</t>
  </si>
  <si>
    <t>Toluviejo - RTVCTELECARIBE</t>
  </si>
  <si>
    <t>Buenavista-Providencia - TELEISLAS</t>
  </si>
  <si>
    <t>Buenavista-Providencia - RTVCTELEISLAS</t>
  </si>
  <si>
    <t>Resolución No. 190 del 10 de febrero de 2020</t>
  </si>
  <si>
    <t>Maní</t>
  </si>
  <si>
    <t>Simón Bolívar - TELEISLAS</t>
  </si>
  <si>
    <t>Simón Bolívar - RTVCTELEISLAS</t>
  </si>
  <si>
    <t>Resolución No. 676 del 17 de abril de 2020</t>
  </si>
  <si>
    <t>Manizales</t>
  </si>
  <si>
    <t>Bolívar-CAUCA - TELEPACÍFICO</t>
  </si>
  <si>
    <t>Bolívar - RTVCTELEPACÍFICO</t>
  </si>
  <si>
    <t>Resolución No. 1982 del 28 de diciembre de 2018</t>
  </si>
  <si>
    <t>Manta</t>
  </si>
  <si>
    <t>Buenaventura - TELEPACÍFICO</t>
  </si>
  <si>
    <t>Buenaventura - RTVCTELEPACÍFICO</t>
  </si>
  <si>
    <t>Resolución No. 1398 del 09 de agosto de 2017</t>
  </si>
  <si>
    <t>Manzanares</t>
  </si>
  <si>
    <t>Galeras - TELEPACÍFICO</t>
  </si>
  <si>
    <t>Galeras - RTVCTELEPACÍFICO</t>
  </si>
  <si>
    <t>Resolución No. 556 del 09 de mayo de 2018</t>
  </si>
  <si>
    <t>Mapiripán</t>
  </si>
  <si>
    <t>La Azalea - TELEPACÍFICO</t>
  </si>
  <si>
    <t>La Azalea - RTVCTELEPACÍFICO</t>
  </si>
  <si>
    <t>Resolución No. 70 del 03 de febrero de 2016</t>
  </si>
  <si>
    <t>Mapiripana</t>
  </si>
  <si>
    <t>Montezuma - TELEPACÍFICO</t>
  </si>
  <si>
    <t>Montezuma - RTVCTELEPACÍFICO</t>
  </si>
  <si>
    <t>Margarita</t>
  </si>
  <si>
    <t>Munchique - TELEPACÍFICO</t>
  </si>
  <si>
    <t>Munchique - RTVCTELEPACÍFICO</t>
  </si>
  <si>
    <t>María La Baja</t>
  </si>
  <si>
    <t>Samaniego - TELEPACÍFICO</t>
  </si>
  <si>
    <t>Samaniego - RTVCTELEPACÍFICO</t>
  </si>
  <si>
    <t>Marinilla</t>
  </si>
  <si>
    <t>Taminango - TELEPACÍFICO</t>
  </si>
  <si>
    <t>Taminango - RTVCTELEPACÍFICO</t>
  </si>
  <si>
    <t>Maripí</t>
  </si>
  <si>
    <t>Tres Cruces - TELEPACÍFICO</t>
  </si>
  <si>
    <t>Tres Cruces - RTVCTELEPACÍFICO</t>
  </si>
  <si>
    <t>Resolución No. 1080 del 26 de junio de 2020</t>
  </si>
  <si>
    <t>Mariquita</t>
  </si>
  <si>
    <t>San Lorenzo (El Doncello) - RTVCTEVEANDINA</t>
  </si>
  <si>
    <t>Resolución No. 1980 del 28 de diciembre de 2018</t>
  </si>
  <si>
    <t>Marmato</t>
  </si>
  <si>
    <t>Alto El Tigre - RTVCTEVEANDINA</t>
  </si>
  <si>
    <t>Resolución No. 129 del 27 de febrero de 2015</t>
  </si>
  <si>
    <t>Marquetalia</t>
  </si>
  <si>
    <t>Arauca - RTVCTEVEANDINA</t>
  </si>
  <si>
    <t>Resolución No. 297 del 03 de abril de 2019</t>
  </si>
  <si>
    <t>Marsella</t>
  </si>
  <si>
    <t>Arauquita - RTVCTEVEANDINA</t>
  </si>
  <si>
    <t>Marulanda</t>
  </si>
  <si>
    <t>Boqueron - RTVCTEVEANDINA</t>
  </si>
  <si>
    <t>Matanza</t>
  </si>
  <si>
    <t>Buenavista - RTVCTEVEANDINA</t>
  </si>
  <si>
    <t>Resolución No. 554 del 09 de mayo de 2018</t>
  </si>
  <si>
    <t>Medellín</t>
  </si>
  <si>
    <t>Calatrava - RTVCTEVEANDINA</t>
  </si>
  <si>
    <t>Resolución No. 162 del 09 de febrero de 2017</t>
  </si>
  <si>
    <t>Medina</t>
  </si>
  <si>
    <t>Cerro Neiva - RTVCTEVEANDINA</t>
  </si>
  <si>
    <t>Resolución No. 874 del 22 de mayo de 2020</t>
  </si>
  <si>
    <t>Medio Atrato</t>
  </si>
  <si>
    <t>Chámeza 1 - RTVCTEVEANDINA</t>
  </si>
  <si>
    <t>Resolución No. 3392 del 24 de diciembre de 2019</t>
  </si>
  <si>
    <t>Medio Baudó</t>
  </si>
  <si>
    <t>Chámeza 2 - RTVCTEVEANDINA</t>
  </si>
  <si>
    <t>Medio San Juan</t>
  </si>
  <si>
    <t>Cruz Verde - RTVCTEVEANDINA</t>
  </si>
  <si>
    <t>Melgar</t>
  </si>
  <si>
    <t>CucunubÁ - RTVCTEVEANDINA</t>
  </si>
  <si>
    <t>Mercaderes</t>
  </si>
  <si>
    <t>El Cable - RTVCTEVEANDINA</t>
  </si>
  <si>
    <t>Mesetas</t>
  </si>
  <si>
    <t>Gabinete - RTVCTEVEANDINA</t>
  </si>
  <si>
    <t>07 de junio de 2022</t>
  </si>
  <si>
    <t>Resolución No. 1982 del 07 de junio de 2022</t>
  </si>
  <si>
    <t>Milán</t>
  </si>
  <si>
    <t>Guaduas - RTVCTEVEANDINA</t>
  </si>
  <si>
    <t>Miraflores</t>
  </si>
  <si>
    <t>PUERTO INÍRIDA - RTVCTEVEANDINA</t>
  </si>
  <si>
    <t>La Rusia - RTVCTEVEANDINA</t>
  </si>
  <si>
    <t>Miranda</t>
  </si>
  <si>
    <t>Leticia - RTVCTEVEANDINA</t>
  </si>
  <si>
    <t>Miriti - Paraná</t>
  </si>
  <si>
    <t>ManjuÍ - RTVCTEVEANDINA</t>
  </si>
  <si>
    <t>Mistrató</t>
  </si>
  <si>
    <t>Martinica - RTVCTEVEANDINA</t>
  </si>
  <si>
    <t>Resolución No. 445 del 10 de abril de 2018</t>
  </si>
  <si>
    <t>Mitú</t>
  </si>
  <si>
    <t>Mirador - RTVCTEVEANDINA</t>
  </si>
  <si>
    <t>Mocoa</t>
  </si>
  <si>
    <t>Mitú - RTVCTEVEANDINA</t>
  </si>
  <si>
    <t>Mogotes</t>
  </si>
  <si>
    <t>Nuevo ColÓn - RTVCTEVEANDINA</t>
  </si>
  <si>
    <t>Molagavita</t>
  </si>
  <si>
    <t>Nunchía - RTVCTEVEANDINA</t>
  </si>
  <si>
    <t>Momil</t>
  </si>
  <si>
    <t>Orito - RTVCTEVEANDINA</t>
  </si>
  <si>
    <t>Mompós</t>
  </si>
  <si>
    <t>Pachavita - RTVCTEVEANDINA</t>
  </si>
  <si>
    <t>Resolución No. 1688 del 03 de octubre de 2016</t>
  </si>
  <si>
    <t>Mongua</t>
  </si>
  <si>
    <t>Pitalito - RTVCTEVEANDINA</t>
  </si>
  <si>
    <t>Monguí</t>
  </si>
  <si>
    <t>Puerto Carreño - RTVCTEVEANDINA</t>
  </si>
  <si>
    <t>Moniquirá</t>
  </si>
  <si>
    <t>SABOYÁ - RTVCTEVEANDINA</t>
  </si>
  <si>
    <t>Resolución No. 790 del 03 de julio de 2018</t>
  </si>
  <si>
    <t>Montebello</t>
  </si>
  <si>
    <t>Samaca - RTVCTEVEANDINA</t>
  </si>
  <si>
    <t>Montecristo</t>
  </si>
  <si>
    <t>San JosÉ del Guaviare - RTVCTEVEANDINA</t>
  </si>
  <si>
    <t>Montelíbano</t>
  </si>
  <si>
    <t>San Vicente Del CaguÁn - RTVCTEVEANDINA</t>
  </si>
  <si>
    <t>Montenegro</t>
  </si>
  <si>
    <t>Saravena - RTVCTEVEANDINA</t>
  </si>
  <si>
    <t>Montería</t>
  </si>
  <si>
    <t>Sibundoy - RTVCTEVEANDINA</t>
  </si>
  <si>
    <t>Monterrey</t>
  </si>
  <si>
    <t>Tesalia - RTVCTEVEANDINA</t>
  </si>
  <si>
    <t>Moñitos</t>
  </si>
  <si>
    <t>Valle Del Guamuez - RTVCTEVEANDINA</t>
  </si>
  <si>
    <t>Morales</t>
  </si>
  <si>
    <t>Yopal - RTVCTEVEANDINA</t>
  </si>
  <si>
    <t>Arboletes - TELEANTIOQUIA</t>
  </si>
  <si>
    <t>Arboletes - RTVCTELEANTIOQUIA</t>
  </si>
  <si>
    <t>Resolución No. 1983 del 28 de diciembre de 2018</t>
  </si>
  <si>
    <t>Morelia</t>
  </si>
  <si>
    <t>Bello - TELEANTIOQUIA</t>
  </si>
  <si>
    <t>Bello - RTVCTELEANTIOQUIA</t>
  </si>
  <si>
    <t>Resolución No. 2077 del 13 de diciembre de 2017</t>
  </si>
  <si>
    <t>Morichal</t>
  </si>
  <si>
    <t>Cerro Azul - TELEANTIOQUIA</t>
  </si>
  <si>
    <t>Cerro Azul - RTVCTELEANTIOQUIA</t>
  </si>
  <si>
    <t>Resolución No. 1589 del 08 de septiembre de 2017</t>
  </si>
  <si>
    <t>Morroa</t>
  </si>
  <si>
    <t>Cerro Carepa - TELEANTIOQUIA</t>
  </si>
  <si>
    <t>Cerro Carepa - RTVCTELEANTIOQUIA</t>
  </si>
  <si>
    <t>Mosquera</t>
  </si>
  <si>
    <t>Itagüí - TELEANTIOQUIA</t>
  </si>
  <si>
    <t>Itagüí - RTVCTELEANTIOQUIA</t>
  </si>
  <si>
    <t>Jardín - TELEANTIOQUIA</t>
  </si>
  <si>
    <t>Jardín - RTVCTELEANTIOQUIA</t>
  </si>
  <si>
    <t>Motavita</t>
  </si>
  <si>
    <t>La Ceja - TELEANTIOQUIA</t>
  </si>
  <si>
    <t>La Ceja - RTVCTELEANTIOQUIA</t>
  </si>
  <si>
    <t>Murillo</t>
  </si>
  <si>
    <t>Necoclí - TELEANTIOQUIA</t>
  </si>
  <si>
    <t>Necoclí - RTVCTELEANTIOQUIA</t>
  </si>
  <si>
    <t>Murindó</t>
  </si>
  <si>
    <t>Padre Amaya - TELEANTIOQUIA</t>
  </si>
  <si>
    <t>Padre Amaya - RTVCTELEANTIOQUIA</t>
  </si>
  <si>
    <t>Mutatá</t>
  </si>
  <si>
    <t>ATN - ATNATN</t>
  </si>
  <si>
    <t>Resolución No. 108 del 29 de enero de 2020</t>
  </si>
  <si>
    <t>Mutiscua</t>
  </si>
  <si>
    <t>TELESANTIAGO - TELESANTIAGOTELESANTIAGO</t>
  </si>
  <si>
    <t>Resolución No. 435 del 10 de mayo de 2019</t>
  </si>
  <si>
    <t>Muzo</t>
  </si>
  <si>
    <t>TELEPASTO - TELEPASTOTELEPASTO</t>
  </si>
  <si>
    <t>Resolución No. 779 del 27 de junio de 2019</t>
  </si>
  <si>
    <t>TV IPIALES - TV IPIALESTV IPIALES</t>
  </si>
  <si>
    <t>Resolución No. 867 del 17 de julio de 2019</t>
  </si>
  <si>
    <t>U.DEL PACÍFICO - U.DEL PACÍFICOU.DEL PACÍFICO</t>
  </si>
  <si>
    <t>Resolución No. 436 del 10 de mayo de 2019</t>
  </si>
  <si>
    <t>CERRO SUBA - CITYTVCITYTV</t>
  </si>
  <si>
    <t>Resolución No. 343 del 22 de mayo de 2015</t>
  </si>
  <si>
    <t>Nátaga</t>
  </si>
  <si>
    <t>ALGECIRAS - TEVEANDINA</t>
  </si>
  <si>
    <t>ALGECIRAS - RTVCTEVEANDINA</t>
  </si>
  <si>
    <t>Resolución No. 2952 del 11 de agosto de 2023</t>
  </si>
  <si>
    <t>Natagaima</t>
  </si>
  <si>
    <t>CAUCHOS - TELECAFÉ</t>
  </si>
  <si>
    <t>CAUCHOS - RTVCTELECAFÉ</t>
  </si>
  <si>
    <t>Nechí</t>
  </si>
  <si>
    <t>CERRO CRISTALES - TEVEANDINA</t>
  </si>
  <si>
    <t>CERRO CRISTALES - RTVCTEVEANDINA</t>
  </si>
  <si>
    <t>Necoclí</t>
  </si>
  <si>
    <t>CHARALÁ - TRO</t>
  </si>
  <si>
    <t>CHARALÁ - RTVCTRO</t>
  </si>
  <si>
    <t>Resolución No. 2950 del 11 de agosto de 2023</t>
  </si>
  <si>
    <t>Neira</t>
  </si>
  <si>
    <t>CHOACHÍ - TEVEANDINA</t>
  </si>
  <si>
    <t>CHOACHÍ - RTVCTEVEANDINA</t>
  </si>
  <si>
    <t>Neiva</t>
  </si>
  <si>
    <t>CHOCONTÁ - TEVEANDINA</t>
  </si>
  <si>
    <t>CHOCONTÁ - RTVCTEVEANDINA</t>
  </si>
  <si>
    <t>Nemocón</t>
  </si>
  <si>
    <t>DAGUA - TELEPACÍFICO</t>
  </si>
  <si>
    <t>DAGUA - RTVCTELEPACÍFICO</t>
  </si>
  <si>
    <t>Nilo</t>
  </si>
  <si>
    <t>EL ROSARIO - TELEPACÍFICO</t>
  </si>
  <si>
    <t>EL ROSARIO - RTVCTELEPACÍFICO</t>
  </si>
  <si>
    <t>Resolución No. 2948 del 11 de agosto de 2023</t>
  </si>
  <si>
    <t>Nimaima</t>
  </si>
  <si>
    <t>FRONTINO - TELEANTIOQUIA</t>
  </si>
  <si>
    <t>FRONTINO - RTVCTELEANTIOQUIA</t>
  </si>
  <si>
    <t>Resolución No. 2949 del 11 de agosto de 2023</t>
  </si>
  <si>
    <t>Nobsa</t>
  </si>
  <si>
    <t>ITUANGO - TELEANTIOQUIA</t>
  </si>
  <si>
    <t>ITUANGO - RTVCTELEANTIOQUIA</t>
  </si>
  <si>
    <t>Nocaima</t>
  </si>
  <si>
    <t>LA ARGENTINA - TEVEANDINA</t>
  </si>
  <si>
    <t>LA ARGENTINA - RTVCTEVEANDINA</t>
  </si>
  <si>
    <t>Norcasia</t>
  </si>
  <si>
    <t>LA CALERA - TEVEANDINA</t>
  </si>
  <si>
    <t>LA CALERA - RTVCTEVEANDINA</t>
  </si>
  <si>
    <t>Nóvita</t>
  </si>
  <si>
    <t>LA CAPILLA - TEVEANDINA</t>
  </si>
  <si>
    <t>LA CAPILLA - RTVCTEVEANDINA</t>
  </si>
  <si>
    <t>Nueva Granada</t>
  </si>
  <si>
    <t>MONIQUIRÁ - TEVEANDINA</t>
  </si>
  <si>
    <t>MONIQUIRÁ - RTVCTEVEANDINA</t>
  </si>
  <si>
    <t>Nuevo Colón</t>
  </si>
  <si>
    <t>PUERTO LEGUÍZAMO - TEVEANDINA</t>
  </si>
  <si>
    <t>PUERTO LEGUÍZAMO - RTVCTEVEANDINA</t>
  </si>
  <si>
    <t>Nunchía</t>
  </si>
  <si>
    <t>SALGAR - TELEANTIOQUIA</t>
  </si>
  <si>
    <t>SALGAR - RTVCTELEANTIOQUIA</t>
  </si>
  <si>
    <t>Nuquí</t>
  </si>
  <si>
    <t>SAN PABLO - TELEPACÍFICO</t>
  </si>
  <si>
    <t>SAN PABLO - RTVCTELEPACÍFICO</t>
  </si>
  <si>
    <t>Obando</t>
  </si>
  <si>
    <t>SANDONÁ - TELEPACÍFICO</t>
  </si>
  <si>
    <t>SANDONÁ - RTVCTELEPACÍFICO</t>
  </si>
  <si>
    <t>Ocamonte</t>
  </si>
  <si>
    <t>SANTIAGO PÉREZ - TELEPACÍFICO</t>
  </si>
  <si>
    <t>SANTIAGO PÉREZ - RTVCTELEPACÍFICO</t>
  </si>
  <si>
    <t>Ocaña</t>
  </si>
  <si>
    <t>SUESCA - TEVEANDINA</t>
  </si>
  <si>
    <t>SUESCA - RTVCTEVEANDINA</t>
  </si>
  <si>
    <t>Oiba</t>
  </si>
  <si>
    <t>TIMANÁ - TEVEANDINA</t>
  </si>
  <si>
    <t>TIMANÁ - RTVCTEVEANDINA</t>
  </si>
  <si>
    <t>Oicatá</t>
  </si>
  <si>
    <t>VILLA DE LEYVA - TEVEANDINA</t>
  </si>
  <si>
    <t>VILLA DE LEYVA - RTVCTEVEANDINA</t>
  </si>
  <si>
    <t>Olaya</t>
  </si>
  <si>
    <t>MARACAIBO - RTVCRTVC</t>
  </si>
  <si>
    <t>PENDIENTE</t>
  </si>
  <si>
    <t>Olaya Herrera</t>
  </si>
  <si>
    <t>CASABAJA - RTVCTELEISLAS</t>
  </si>
  <si>
    <t>13 de mayo de 2022</t>
  </si>
  <si>
    <t>Onzaga</t>
  </si>
  <si>
    <t>CHINCHINÁ - RTVCTELECAFÉ</t>
  </si>
  <si>
    <t>Oporapa</t>
  </si>
  <si>
    <t>GUARANDA - RTVCTELECARIBE</t>
  </si>
  <si>
    <t>Orito</t>
  </si>
  <si>
    <t>ISTMINA - RTVCTELEANTIOQUIA</t>
  </si>
  <si>
    <t>Orocué</t>
  </si>
  <si>
    <t>LOS SANTOS - RTVCTRO</t>
  </si>
  <si>
    <t>10 de mayo de 2022</t>
  </si>
  <si>
    <t>Ortega</t>
  </si>
  <si>
    <t>PUERTO BERRÍO - RTVCTELEANTIOQUIA</t>
  </si>
  <si>
    <t>Ospina</t>
  </si>
  <si>
    <t>QUININÍ - RTVCTEVEANDINA</t>
  </si>
  <si>
    <t>Otanche</t>
  </si>
  <si>
    <t>SAN MARCOS - RTVCTELECARIBE</t>
  </si>
  <si>
    <t>Ovejas</t>
  </si>
  <si>
    <t>SILVIA - RTVCTELEPACÍFICO</t>
  </si>
  <si>
    <t>Pachavita</t>
  </si>
  <si>
    <t>TIBITÓC - RTVCTEVEANDINA</t>
  </si>
  <si>
    <t>Pacho</t>
  </si>
  <si>
    <t>VERSALLES MW - RTVCTELEPACÍFICO</t>
  </si>
  <si>
    <t>Pacoa</t>
  </si>
  <si>
    <t>ISTMINA - RTVCTELEPACÍFICO</t>
  </si>
  <si>
    <t>Pácora</t>
  </si>
  <si>
    <t>MARACAIBO - RTVCTELEISLAS</t>
  </si>
  <si>
    <t>Padilla</t>
  </si>
  <si>
    <t>MONIQUIRÁ - TRO</t>
  </si>
  <si>
    <t>MONIQUIRÁ - RTVCTRO</t>
  </si>
  <si>
    <t>Paez</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</si>
  <si>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</si>
  <si>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</si>
  <si>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</si>
  <si>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</si>
  <si>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</si>
  <si>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</si>
  <si>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</si>
  <si>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</si>
  <si>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</si>
  <si>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</si>
  <si>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</si>
  <si>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</si>
  <si>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</si>
  <si>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</si>
  <si>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</si>
  <si>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</si>
  <si>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</si>
  <si>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</si>
  <si>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</si>
  <si>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</si>
  <si>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</si>
  <si>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</si>
  <si>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</si>
  <si>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</si>
  <si>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</si>
  <si>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</si>
  <si>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</si>
  <si>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</si>
  <si>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</si>
  <si>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</si>
  <si>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</si>
  <si>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</si>
  <si>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</si>
  <si>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</si>
  <si>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</si>
  <si>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</si>
  <si>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</si>
  <si>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</si>
  <si>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</si>
  <si>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</si>
  <si>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</si>
  <si>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</si>
  <si>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</si>
  <si>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</si>
  <si>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</si>
  <si>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</si>
  <si>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</si>
  <si>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</si>
  <si>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</si>
  <si>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</si>
  <si>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</si>
  <si>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</si>
  <si>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</si>
  <si>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</si>
  <si>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</si>
  <si>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</si>
  <si>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</si>
  <si>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</si>
  <si>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</si>
  <si>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</si>
  <si>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</si>
  <si>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</si>
  <si>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</si>
  <si>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</si>
  <si>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</si>
  <si>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</si>
  <si>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</si>
  <si>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</si>
  <si>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</si>
  <si>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</si>
  <si>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</si>
  <si>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</si>
  <si>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</si>
  <si>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</si>
  <si>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</si>
  <si>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</si>
  <si>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</si>
  <si>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</si>
  <si>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</si>
  <si>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</si>
  <si>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</si>
  <si>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</si>
  <si>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</si>
  <si>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</si>
  <si>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</si>
  <si>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</si>
  <si>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</si>
  <si>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</si>
  <si>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</si>
  <si>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</si>
  <si>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</si>
  <si>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</si>
  <si>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</si>
  <si>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</si>
  <si>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</si>
  <si>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</si>
  <si>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</si>
  <si>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</si>
  <si>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</si>
  <si>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</si>
  <si>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</si>
  <si>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</si>
  <si>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</si>
  <si>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</si>
  <si>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</si>
  <si>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</si>
  <si>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</si>
  <si>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</si>
  <si>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</si>
  <si>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</si>
  <si>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</si>
  <si>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</si>
  <si>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</si>
  <si>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</si>
  <si>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</si>
  <si>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</si>
  <si>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</si>
  <si>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Iro</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</si>
  <si>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</si>
  <si>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</si>
  <si>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</si>
  <si>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</si>
  <si>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</si>
  <si>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</si>
  <si>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</si>
  <si>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</si>
  <si>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</si>
  <si>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</si>
  <si>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</si>
  <si>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</si>
  <si>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</si>
  <si>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</si>
  <si>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</si>
  <si>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</si>
  <si>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</si>
  <si>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Angel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</si>
  <si>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</si>
  <si>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</si>
  <si>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</si>
  <si>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</si>
  <si>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</si>
  <si>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</si>
  <si>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</si>
  <si>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</si>
  <si>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</si>
  <si>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</si>
  <si>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</si>
  <si>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</si>
  <si>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</si>
  <si>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</si>
  <si>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</si>
  <si>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</si>
  <si>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</si>
  <si>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</si>
  <si>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</si>
  <si>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Andres de Tumaco</t>
  </si>
  <si>
    <t>San Andrés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</si>
  <si>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</si>
  <si>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</si>
  <si>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</si>
  <si>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</si>
  <si>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</si>
  <si>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</si>
  <si>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</si>
  <si>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</si>
  <si>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</si>
  <si>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</si>
  <si>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</si>
  <si>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</si>
  <si>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</si>
  <si>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</si>
  <si>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</si>
  <si>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</si>
  <si>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</si>
  <si>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</si>
  <si>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</si>
  <si>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</si>
  <si>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</si>
  <si>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</si>
  <si>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</si>
  <si>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</si>
  <si>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</si>
  <si>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</si>
  <si>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</si>
  <si>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del Fragua</t>
  </si>
  <si>
    <t>San José del Guaviare</t>
  </si>
  <si>
    <t>San José del Palmar</t>
  </si>
  <si>
    <t>San Juan de Arama</t>
  </si>
  <si>
    <t>San Juan de Betulia</t>
  </si>
  <si>
    <t>San Juan de Río Seco</t>
  </si>
  <si>
    <t>San Juan de Urabá</t>
  </si>
  <si>
    <t>San Juan del Cesar</t>
  </si>
  <si>
    <t>San Juan Nepomuceno</t>
  </si>
  <si>
    <t>San Juanito</t>
  </si>
  <si>
    <t>San Lorenzo</t>
  </si>
  <si>
    <t>San Luis</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</si>
  <si>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</si>
  <si>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</si>
  <si>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</si>
  <si>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</si>
  <si>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</si>
  <si>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</si>
  <si>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</si>
  <si>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</si>
  <si>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</si>
  <si>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</si>
  <si>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</si>
  <si>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</si>
  <si>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</si>
  <si>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</si>
  <si>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Uraba</t>
  </si>
  <si>
    <t>San Pelayo</t>
  </si>
  <si>
    <t>San Rafael</t>
  </si>
  <si>
    <t>San Roque</t>
  </si>
  <si>
    <t>San Sebastián</t>
  </si>
  <si>
    <t>San Sebastián de Buenavista</t>
  </si>
  <si>
    <t>San Vicente</t>
  </si>
  <si>
    <t>San Vicente de Chucurí</t>
  </si>
  <si>
    <t>San Vicente del Caguán</t>
  </si>
  <si>
    <t>San Zenón</t>
  </si>
  <si>
    <t>Sandoná</t>
  </si>
  <si>
    <t>Santa Ana</t>
  </si>
  <si>
    <t>Santa Bárbara</t>
  </si>
  <si>
    <t>Santa Bárbara de Pinto</t>
  </si>
  <si>
    <t>Santa Catalina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</si>
  <si>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</si>
  <si>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</si>
  <si>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</si>
  <si>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</si>
  <si>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</si>
  <si>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</si>
  <si>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</si>
  <si>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</si>
  <si>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</si>
  <si>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</si>
  <si>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</si>
  <si>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</si>
  <si>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</si>
  <si>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Santafé de Antioquia</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</si>
  <si>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</si>
  <si>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</si>
  <si>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</si>
  <si>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</si>
  <si>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</si>
  <si>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</si>
  <si>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</si>
  <si>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</si>
  <si>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</si>
  <si>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</si>
  <si>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</si>
  <si>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</si>
  <si>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</si>
  <si>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</si>
  <si>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</si>
  <si>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</si>
  <si>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</si>
  <si>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</si>
  <si>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</si>
  <si>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</si>
  <si>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</si>
  <si>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</si>
  <si>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</si>
  <si>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</si>
  <si>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</si>
  <si>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</si>
  <si>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</si>
  <si>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</si>
  <si>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</si>
  <si>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</si>
  <si>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</si>
  <si>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</si>
  <si>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</si>
  <si>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</si>
  <si>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</si>
  <si>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</si>
  <si>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Solita</t>
  </si>
  <si>
    <t>Somondoco</t>
  </si>
  <si>
    <t>Sonson</t>
  </si>
  <si>
    <t>Sopetrán</t>
  </si>
  <si>
    <t>Soplaviento</t>
  </si>
  <si>
    <t>Sopó</t>
  </si>
  <si>
    <t>Sora</t>
  </si>
  <si>
    <t>Soracá</t>
  </si>
  <si>
    <t>Sotaquirá</t>
  </si>
  <si>
    <t>Sotara</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</si>
  <si>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</si>
  <si>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</si>
  <si>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</si>
  <si>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</si>
  <si>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</si>
  <si>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</si>
  <si>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</si>
  <si>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</si>
  <si>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</si>
  <si>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</si>
  <si>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</si>
  <si>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</si>
  <si>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</si>
  <si>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</si>
  <si>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</si>
  <si>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</si>
  <si>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</si>
  <si>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</si>
  <si>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</si>
  <si>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</si>
  <si>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</si>
  <si>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</si>
  <si>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</si>
  <si>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</si>
  <si>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</si>
  <si>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</si>
  <si>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</si>
  <si>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</si>
  <si>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</si>
  <si>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</si>
  <si>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</si>
  <si>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</si>
  <si>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</si>
  <si>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</si>
  <si>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</si>
  <si>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</si>
  <si>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</si>
  <si>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</si>
  <si>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</si>
  <si>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</si>
  <si>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</si>
  <si>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</si>
  <si>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</si>
  <si>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</si>
  <si>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</si>
  <si>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</si>
  <si>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</si>
  <si>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</si>
  <si>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</si>
  <si>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</si>
  <si>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</si>
  <si>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</si>
  <si>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</si>
  <si>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</si>
  <si>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</si>
  <si>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</si>
  <si>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</si>
  <si>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</si>
  <si>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</si>
  <si>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</si>
  <si>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</si>
  <si>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Toribio</t>
  </si>
  <si>
    <t>Toro</t>
  </si>
  <si>
    <t>Tota</t>
  </si>
  <si>
    <t>Totoró</t>
  </si>
  <si>
    <t>Trinidad</t>
  </si>
  <si>
    <t>Trujillo</t>
  </si>
  <si>
    <t>Tubará</t>
  </si>
  <si>
    <t>Tuluá</t>
  </si>
  <si>
    <t>Tunja</t>
  </si>
  <si>
    <t>Tununguá</t>
  </si>
  <si>
    <t>Túquerres</t>
  </si>
  <si>
    <t>Turbaco</t>
  </si>
  <si>
    <t>Turbaná</t>
  </si>
  <si>
    <t>Turbo</t>
  </si>
  <si>
    <t>Turmequé</t>
  </si>
  <si>
    <t>Tuta</t>
  </si>
  <si>
    <t>Tutazá</t>
  </si>
  <si>
    <t>Ubalá</t>
  </si>
  <si>
    <t>Ubaque</t>
  </si>
  <si>
    <t>Ulloa</t>
  </si>
  <si>
    <t>Umbita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</si>
  <si>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</si>
  <si>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</si>
  <si>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</si>
  <si>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</si>
  <si>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</si>
  <si>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</si>
  <si>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</si>
  <si>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</si>
  <si>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</si>
  <si>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</si>
  <si>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</si>
  <si>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</si>
  <si>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</si>
  <si>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</si>
  <si>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</si>
  <si>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</si>
  <si>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</si>
  <si>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</si>
  <si>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</si>
  <si>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</si>
  <si>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</si>
  <si>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</si>
  <si>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</si>
  <si>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</si>
  <si>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</si>
  <si>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</si>
  <si>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</si>
  <si>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</si>
  <si>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</si>
  <si>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</si>
  <si>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</si>
  <si>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Ubate</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</si>
  <si>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</si>
  <si>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</si>
  <si>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</si>
  <si>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</si>
  <si>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</si>
  <si>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</si>
  <si>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</si>
  <si>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</si>
  <si>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</si>
  <si>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</si>
  <si>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</si>
  <si>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</si>
  <si>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</si>
  <si>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</si>
  <si>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</si>
  <si>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</si>
  <si>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</si>
  <si>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</si>
  <si>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</si>
  <si>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</si>
  <si>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</si>
  <si>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</si>
  <si>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</si>
  <si>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</si>
  <si>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</si>
  <si>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</si>
  <si>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</si>
  <si>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</si>
  <si>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</si>
  <si>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</si>
  <si>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</si>
  <si>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</si>
  <si>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</si>
  <si>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</si>
  <si>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</si>
  <si>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</si>
  <si>
    <t>Key</t>
  </si>
  <si>
    <t>FECHA_DE_ MEDICION</t>
  </si>
  <si>
    <t>Indicaciones</t>
  </si>
  <si>
    <t>Indicaciones2</t>
  </si>
  <si>
    <t>Pto</t>
  </si>
  <si>
    <t>Distancia a la Estación              (km)</t>
  </si>
  <si>
    <t>Umbral Calculado Planificación             (dBµV/m)</t>
  </si>
  <si>
    <t>CONTROL DE CAMBIOS</t>
  </si>
  <si>
    <t>Versión</t>
  </si>
  <si>
    <t>Fecha</t>
  </si>
  <si>
    <t>Naturaleza de la modificación</t>
  </si>
  <si>
    <t>Elaborado por</t>
  </si>
  <si>
    <t>Revisado por</t>
  </si>
  <si>
    <t>Aprobado por</t>
  </si>
  <si>
    <t>Publicación o emisión</t>
  </si>
  <si>
    <t>Heider Jair López G.
Jennifer Lady Céspedes M.
Javier Andrés Fonseca M.</t>
  </si>
  <si>
    <t>Carlos Fabián Garay</t>
  </si>
  <si>
    <t>Jannethe Jiménez Garzón</t>
  </si>
  <si>
    <t>Se actualiza a los requerimientos del sistema de calidad y a la imagen corporativa</t>
  </si>
  <si>
    <t>Diana Murillo</t>
  </si>
  <si>
    <t>Carlos Garay</t>
  </si>
  <si>
    <t>Se actualiza el formato</t>
  </si>
  <si>
    <t>Lila Wilches</t>
  </si>
  <si>
    <t>Sully Perez</t>
  </si>
  <si>
    <t>Se realiza ajuste en el formato, así:
- Automatización del Calculo de los acimuts entre los puntos de medición y las estaciones verificadas. 
- Elaboración de listas desplegables para las estaciones de TDT
- Elaboración automática de la sección "COMPARACIÓN CON PARÁMETROS AUTORIZADOS".</t>
  </si>
  <si>
    <t>Heider Jair López G.</t>
  </si>
  <si>
    <t>Sully Perez
Lila Wilches
Diana Murillo
Carlos Garay</t>
  </si>
  <si>
    <t>Diego Andrés Guarín Villabón.</t>
  </si>
  <si>
    <t>Se ajusta el formato a nivel de formulas y procesamiento.
Se actualiza actualizan las coordenadas y umbrales mínimos de las estaciones de TDT de los canales locales sin ánimo de lucro.
Dado que es un formato aprobado por el MinTIC, no se puede incluir la TRD en el encabezado, ni se puede eliminar la paginación; por tal motivo, se incluye la TRD en una celda que si lo permite.</t>
  </si>
  <si>
    <t>Sully Pérez
Lila Wilches
Diana Murillo
Carlos Garay</t>
  </si>
  <si>
    <t>Se aumenta el número de filas para diligenciar mediciones de 12 a 16.
Se genera un campo de fecha para que este se diligencie automaticamente en cada pestaña de canal que se agregue al libro de excel
Se formula la segunda fila correspondiente a nivel de potencia, para que se diligencie de manera automatica.
Se actualiza el formato por manual de marca del Gobierno Nacional</t>
  </si>
  <si>
    <t>Diana Murillo
Carlos Garay</t>
  </si>
  <si>
    <t>Actualización del formato por cambio de marca Gobierno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</si>
</sst>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yyyy;@"/>
    <numFmt numFmtId="165" formatCode="0.0"/>
    <numFmt numFmtId="166" formatCode="0.000"/>
    <numFmt numFmtId="167" formatCode="#,##0.00000000"/>
    <numFmt numFmtId="168" formatCode="[$-240A]d&quot; de &quot;mmmm&quot; de &quot;yyyy;@"/>
    <numFmt numFmtId="169" formatCode="#.#E+0"/>
    <numFmt numFmtId="170" formatCode="#.0E+0;&quot;0,0E-7&quot;;&quot;0,0E-8&quot;;&quot;0,0E-9&quot;"/>
  </numFmts>
  <fonts count="54" x14ac:knownFonts="1">
    <font>
      <sz val="11"/>
      <color theme="1"/>
      <name val="Calibri"/>
      <family val="2"/>
      <scheme val="minor"/>
    </font>
    <font>
      <b/>
      <sz val="11"/>
      <color theme="1"/>
      <name val="Calibri"/>
      <family val="2"/>
      <scheme val="minor"/>
    </font>
    <font>
      <sz val="11"/>
      <color rgb="FF002060"/>
      <name val="Century Gothic"/>
      <family val="2"/>
    </font>
    <font>
      <b/>
      <sz val="11"/>
      <color rgb="FF002060"/>
      <name val="Century Gothic"/>
      <family val="2"/>
    </font>
    <font>
      <sz val="11"/>
      <color theme="1"/>
      <name val="Century Gothic"/>
      <family val="2"/>
    </font>
    <font>
      <sz val="9"/>
      <name val="Arial"/>
      <family val="2"/>
    </font>
    <font>
      <sz val="11"/>
      <name val="Calibri"/>
      <family val="2"/>
      <scheme val="minor"/>
    </font>
    <font>
      <sz val="9"/>
      <color rgb="FF000000"/>
      <name val="Arial"/>
      <family val="2"/>
    </font>
    <font>
      <sz val="9"/>
      <color theme="1"/>
      <name val="Arial"/>
      <family val="2"/>
    </font>
    <font>
      <sz val="10"/>
      <color indexed="8"/>
      <name val="Arial"/>
      <family val="2"/>
    </font>
    <font>
      <sz val="8"/>
      <name val="Calibri"/>
      <family val="2"/>
      <scheme val="minor"/>
    </font>
    <font>
      <sz val="9.5"/>
      <color theme="1"/>
      <name val="Calibri"/>
      <family val="2"/>
      <scheme val="minor"/>
    </font>
    <font>
      <sz val="9.5"/>
      <name val="Calibri"/>
      <family val="2"/>
      <scheme val="minor"/>
    </font>
    <font>
      <b/>
      <sz val="9"/>
      <color indexed="81"/>
      <name val="Tahoma"/>
      <family val="2"/>
    </font>
    <font>
      <sz val="9"/>
      <color indexed="81"/>
      <name val="Tahoma"/>
      <family val="2"/>
    </font>
    <font>
      <b/>
      <sz val="9.5"/>
      <color theme="0"/>
      <name val="Calibri"/>
      <family val="2"/>
      <scheme val="minor"/>
    </font>
    <font>
      <sz val="9.5"/>
      <color rgb="FF70AD47"/>
      <name val="Arial Narrow"/>
      <family val="2"/>
    </font>
    <font>
      <sz val="9.5"/>
      <color rgb="FFFF0000"/>
      <name val="Calibri"/>
      <family val="2"/>
      <scheme val="minor"/>
    </font>
    <font>
      <sz val="9.5"/>
      <color rgb="FF000000"/>
      <name val="Calibri"/>
      <family val="2"/>
      <scheme val="minor"/>
    </font>
    <font>
      <sz val="9.5"/>
      <name val="Arial"/>
      <family val="2"/>
    </font>
    <font>
      <sz val="9"/>
      <color rgb="FF002060"/>
      <name val="Century Gothic"/>
      <family val="2"/>
    </font>
    <font>
      <sz val="10"/>
      <color theme="1"/>
      <name val="Segoe UI"/>
      <family val="2"/>
    </font>
    <font>
      <sz val="10"/>
      <color theme="1"/>
      <name val="Century Gothic"/>
      <family val="2"/>
    </font>
    <font>
      <sz val="11"/>
      <color rgb="FF002060"/>
      <name val="Calibri"/>
      <family val="2"/>
      <scheme val="minor"/>
    </font>
    <font>
      <sz val="10"/>
      <name val="Segoe UI"/>
      <family val="2"/>
    </font>
    <font>
      <sz val="11"/>
      <color theme="0"/>
      <name val="Century Gothic"/>
      <family val="2"/>
    </font>
    <font>
      <sz val="7"/>
      <color rgb="FF002060"/>
      <name val="Century Gothic"/>
      <family val="2"/>
    </font>
    <font>
      <sz val="9"/>
      <color theme="1"/>
      <name val="Calibri"/>
      <family val="2"/>
      <scheme val="minor"/>
    </font>
    <font>
      <b/>
      <sz val="10"/>
      <name val="Segoe UI"/>
      <family val="2"/>
    </font>
    <font>
      <b/>
      <sz val="10"/>
      <color rgb="FF000000"/>
      <name val="Segoe UI"/>
      <family val="2"/>
    </font>
    <font>
      <sz val="10"/>
      <color rgb="FF000000"/>
      <name val="Segoe UI"/>
      <family val="2"/>
    </font>
    <font>
      <b/>
      <sz val="10"/>
      <color theme="1"/>
      <name val="Segoe UI"/>
      <family val="2"/>
    </font>
    <font>
      <sz val="9"/>
      <color theme="1"/>
      <name val="Segoe UI"/>
      <family val="2"/>
    </font>
    <font>
      <sz val="9.5"/>
      <color theme="0"/>
      <name val="Calibri"/>
      <family val="2"/>
      <scheme val="minor"/>
    </font>
    <font>
      <sz val="11"/>
      <color rgb="FF404040"/>
      <name val="Century Gothic"/>
      <family val="2"/>
    </font>
    <font>
      <sz val="9"/>
      <color theme="1"/>
      <name val="Verdana"/>
      <family val="2"/>
    </font>
    <font>
      <b/>
      <sz val="9"/>
      <color rgb="FF404040"/>
      <name val="Verdana"/>
      <family val="2"/>
    </font>
    <font>
      <sz val="9"/>
      <color theme="0"/>
      <name val="Verdana"/>
      <family val="2"/>
    </font>
    <font>
      <sz val="9"/>
      <color rgb="FF404040"/>
      <name val="Verdana"/>
      <family val="2"/>
    </font>
    <font>
      <sz val="11"/>
      <color theme="0"/>
      <name val="Verdana"/>
      <family val="2"/>
    </font>
    <font>
      <b/>
      <sz val="8"/>
      <color rgb="FF404040"/>
      <name val="Verdana"/>
      <family val="2"/>
    </font>
    <font>
      <sz val="8"/>
      <color rgb="FF404040"/>
      <name val="Verdana"/>
      <family val="2"/>
    </font>
    <font>
      <b/>
      <sz val="11"/>
      <color rgb="FF404040"/>
      <name val="Verdana"/>
      <family val="2"/>
    </font>
    <font>
      <sz val="11"/>
      <color rgb="FF404040"/>
      <name val="Verdana"/>
      <family val="2"/>
    </font>
    <font>
      <sz val="10"/>
      <color rgb="FF404040"/>
      <name val="Verdana"/>
      <family val="2"/>
    </font>
    <font>
      <b/>
      <u/>
      <sz val="14"/>
      <color rgb="FF404040"/>
      <name val="Verdana"/>
      <family val="2"/>
    </font>
    <font>
      <b/>
      <sz val="9"/>
      <color theme="0"/>
      <name val="Verdana"/>
      <family val="2"/>
    </font>
    <font>
      <b/>
      <sz val="8"/>
      <color theme="0"/>
      <name val="Verdana"/>
      <family val="2"/>
    </font>
    <font>
      <b/>
      <sz val="11"/>
      <color theme="0"/>
      <name val="Verdana"/>
      <family val="2"/>
    </font>
    <font>
      <b/>
      <sz val="10.5"/>
      <color theme="0"/>
      <name val="Verdana"/>
      <family val="2"/>
    </font>
    <font>
      <b/>
      <sz val="10"/>
      <color theme="0"/>
      <name val="Verdana"/>
      <family val="2"/>
    </font>
    <font>
      <sz val="10"/>
      <color theme="0"/>
      <name val="Verdana"/>
      <family val="2"/>
    </font>
    <font>
      <b/>
      <sz val="11"/>
      <color theme="1" tint="0.249977111117893"/>
      <name val="Verdana"/>
      <family val="2"/>
    </font>
    <font>
      <sz val="8"/>
      <color rgb="FF000000"/>
      <name val="Segoe UI"/>
      <family val="2"/>
    </font>
  </fonts>
  <fills count="14">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0"/>
        <bgColor rgb="FF000000"/>
      </patternFill>
    </fill>
    <fill>
      <patternFill patternType="solid">
        <fgColor rgb="FFC00000"/>
        <bgColor indexed="64"/>
      </patternFill>
    </fill>
    <fill>
      <patternFill patternType="solid">
        <fgColor rgb="FFE8A046"/>
        <bgColor indexed="64"/>
      </patternFill>
    </fill>
  </fills>
  <borders count="5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E8A046"/>
      </left>
      <right style="thin">
        <color rgb="FFE8A046"/>
      </right>
      <top style="thin">
        <color rgb="FFE8A046"/>
      </top>
      <bottom style="thin">
        <color rgb="FFE8A046"/>
      </bottom>
      <diagonal/>
    </border>
    <border>
      <left style="thin">
        <color rgb="FFE8A046"/>
      </left>
      <right/>
      <top style="thin">
        <color rgb="FFE8A046"/>
      </top>
      <bottom style="thin">
        <color rgb="FFE8A046"/>
      </bottom>
      <diagonal/>
    </border>
    <border>
      <left/>
      <right style="thin">
        <color rgb="FFE8A046"/>
      </right>
      <top style="thin">
        <color rgb="FFE8A046"/>
      </top>
      <bottom style="thin">
        <color rgb="FFE8A046"/>
      </bottom>
      <diagonal/>
    </border>
    <border>
      <left/>
      <right/>
      <top style="thin">
        <color rgb="FFE8A046"/>
      </top>
      <bottom style="thin">
        <color rgb="FFE8A046"/>
      </bottom>
      <diagonal/>
    </border>
    <border>
      <left/>
      <right/>
      <top/>
      <bottom style="thin">
        <color rgb="FFE8A046"/>
      </bottom>
      <diagonal/>
    </border>
    <border>
      <left style="thin">
        <color rgb="FFE8A046"/>
      </left>
      <right/>
      <top/>
      <bottom style="thin">
        <color rgb="FFE8A046"/>
      </bottom>
      <diagonal/>
    </border>
    <border>
      <left style="thin">
        <color rgb="FFE8A046"/>
      </left>
      <right/>
      <top style="thin">
        <color rgb="FFE8A046"/>
      </top>
      <bottom/>
      <diagonal/>
    </border>
    <border>
      <left/>
      <right/>
      <top style="thin">
        <color rgb="FFE8A046"/>
      </top>
      <bottom/>
      <diagonal/>
    </border>
    <border>
      <left style="thin">
        <color rgb="FFE8A046"/>
      </left>
      <right/>
      <top/>
      <bottom/>
      <diagonal/>
    </border>
    <border>
      <left/>
      <right style="thin">
        <color rgb="FFE8A046"/>
      </right>
      <top/>
      <bottom style="thin">
        <color rgb="FFE8A046"/>
      </bottom>
      <diagonal/>
    </border>
    <border>
      <left style="thin">
        <color rgb="FFE8A046"/>
      </left>
      <right style="thin">
        <color rgb="FFE8A046"/>
      </right>
      <top/>
      <bottom style="thin">
        <color rgb="FFE8A046"/>
      </bottom>
      <diagonal/>
    </border>
    <border>
      <left style="thin">
        <color rgb="FFE8A046"/>
      </left>
      <right style="thin">
        <color indexed="64"/>
      </right>
      <top style="thin">
        <color rgb="FFE8A046"/>
      </top>
      <bottom style="thin">
        <color rgb="FFE8A046"/>
      </bottom>
      <diagonal/>
    </border>
    <border>
      <left style="thin">
        <color indexed="64"/>
      </left>
      <right style="thin">
        <color indexed="64"/>
      </right>
      <top style="thin">
        <color rgb="FFE8A046"/>
      </top>
      <bottom style="thin">
        <color rgb="FFE8A046"/>
      </bottom>
      <diagonal/>
    </border>
    <border>
      <left style="thin">
        <color indexed="64"/>
      </left>
      <right style="thin">
        <color rgb="FFE8A046"/>
      </right>
      <top style="thin">
        <color rgb="FFE8A046"/>
      </top>
      <bottom style="thin">
        <color rgb="FFE8A046"/>
      </bottom>
      <diagonal/>
    </border>
    <border>
      <left/>
      <right style="thin">
        <color rgb="FFE8A046"/>
      </right>
      <top style="thin">
        <color rgb="FFE8A046"/>
      </top>
      <bottom/>
      <diagonal/>
    </border>
    <border>
      <left/>
      <right style="thin">
        <color rgb="FFE8A046"/>
      </right>
      <top/>
      <bottom/>
      <diagonal/>
    </border>
    <border>
      <left style="thin">
        <color rgb="FFE8A046"/>
      </left>
      <right style="thin">
        <color indexed="64"/>
      </right>
      <top style="thin">
        <color rgb="FFE8A046"/>
      </top>
      <bottom style="thin">
        <color indexed="64"/>
      </bottom>
      <diagonal/>
    </border>
    <border>
      <left style="thin">
        <color indexed="64"/>
      </left>
      <right style="thin">
        <color indexed="64"/>
      </right>
      <top style="thin">
        <color rgb="FFE8A046"/>
      </top>
      <bottom style="thin">
        <color indexed="64"/>
      </bottom>
      <diagonal/>
    </border>
    <border>
      <left style="thin">
        <color indexed="64"/>
      </left>
      <right style="thin">
        <color rgb="FFE8A046"/>
      </right>
      <top style="thin">
        <color rgb="FFE8A046"/>
      </top>
      <bottom style="thin">
        <color indexed="64"/>
      </bottom>
      <diagonal/>
    </border>
    <border>
      <left style="thin">
        <color rgb="FFE8A046"/>
      </left>
      <right style="thin">
        <color indexed="64"/>
      </right>
      <top style="thin">
        <color indexed="64"/>
      </top>
      <bottom style="thin">
        <color indexed="64"/>
      </bottom>
      <diagonal/>
    </border>
    <border>
      <left style="thin">
        <color indexed="64"/>
      </left>
      <right style="thin">
        <color rgb="FFE8A046"/>
      </right>
      <top style="thin">
        <color indexed="64"/>
      </top>
      <bottom style="thin">
        <color indexed="64"/>
      </bottom>
      <diagonal/>
    </border>
    <border>
      <left style="thin">
        <color rgb="FFE8A046"/>
      </left>
      <right style="thin">
        <color indexed="64"/>
      </right>
      <top style="thin">
        <color indexed="64"/>
      </top>
      <bottom style="thin">
        <color rgb="FFE8A046"/>
      </bottom>
      <diagonal/>
    </border>
    <border>
      <left style="thin">
        <color indexed="64"/>
      </left>
      <right style="thin">
        <color indexed="64"/>
      </right>
      <top style="thin">
        <color indexed="64"/>
      </top>
      <bottom style="thin">
        <color rgb="FFE8A046"/>
      </bottom>
      <diagonal/>
    </border>
    <border>
      <left style="thin">
        <color indexed="64"/>
      </left>
      <right style="thin">
        <color rgb="FFE8A046"/>
      </right>
      <top style="thin">
        <color indexed="64"/>
      </top>
      <bottom style="thin">
        <color rgb="FFE8A046"/>
      </bottom>
      <diagonal/>
    </border>
    <border>
      <left style="thin">
        <color rgb="FFE8A046"/>
      </left>
      <right style="thin">
        <color indexed="64"/>
      </right>
      <top style="thin">
        <color indexed="64"/>
      </top>
      <bottom/>
      <diagonal/>
    </border>
    <border>
      <left style="thin">
        <color indexed="64"/>
      </left>
      <right style="thin">
        <color rgb="FFE8A046"/>
      </right>
      <top style="thin">
        <color indexed="64"/>
      </top>
      <bottom/>
      <diagonal/>
    </border>
    <border>
      <left style="thin">
        <color rgb="FFE8A046"/>
      </left>
      <right/>
      <top/>
      <bottom style="thin">
        <color indexed="64"/>
      </bottom>
      <diagonal/>
    </border>
    <border>
      <left style="thin">
        <color rgb="FFE8A046"/>
      </left>
      <right/>
      <top style="thin">
        <color indexed="64"/>
      </top>
      <bottom style="thin">
        <color indexed="64"/>
      </bottom>
      <diagonal/>
    </border>
    <border>
      <left style="thin">
        <color rgb="FFE8A046"/>
      </left>
      <right/>
      <top style="thin">
        <color indexed="64"/>
      </top>
      <bottom style="thin">
        <color rgb="FFE8A046"/>
      </bottom>
      <diagonal/>
    </border>
    <border>
      <left/>
      <right/>
      <top style="thin">
        <color indexed="64"/>
      </top>
      <bottom style="thin">
        <color rgb="FFE8A046"/>
      </bottom>
      <diagonal/>
    </border>
    <border>
      <left style="thin">
        <color theme="0"/>
      </left>
      <right style="thin">
        <color theme="0"/>
      </right>
      <top style="thin">
        <color theme="0"/>
      </top>
      <bottom style="thin">
        <color theme="0"/>
      </bottom>
      <diagonal/>
    </border>
    <border>
      <left style="thin">
        <color rgb="FFE8A046"/>
      </left>
      <right style="thin">
        <color indexed="64"/>
      </right>
      <top style="thin">
        <color rgb="FFE8A046"/>
      </top>
      <bottom/>
      <diagonal/>
    </border>
    <border>
      <left style="thin">
        <color indexed="64"/>
      </left>
      <right style="thin">
        <color indexed="64"/>
      </right>
      <top style="thin">
        <color rgb="FFE8A046"/>
      </top>
      <bottom/>
      <diagonal/>
    </border>
    <border>
      <left style="thin">
        <color indexed="64"/>
      </left>
      <right style="thin">
        <color rgb="FFE8A046"/>
      </right>
      <top style="thin">
        <color rgb="FFE8A046"/>
      </top>
      <bottom/>
      <diagonal/>
    </border>
    <border>
      <left style="thin">
        <color rgb="FFE8A046"/>
      </left>
      <right style="thin">
        <color indexed="64"/>
      </right>
      <top/>
      <bottom style="thin">
        <color indexed="64"/>
      </bottom>
      <diagonal/>
    </border>
    <border>
      <left style="thin">
        <color indexed="64"/>
      </left>
      <right style="thin">
        <color rgb="FFE8A046"/>
      </right>
      <top/>
      <bottom style="thin">
        <color indexed="64"/>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right style="thin">
        <color theme="0"/>
      </right>
      <top style="thin">
        <color rgb="FFE8A046"/>
      </top>
      <bottom/>
      <diagonal/>
    </border>
  </borders>
  <cellStyleXfs count="2">
    <xf numFmtId="0" fontId="0" fillId="0" borderId="0"/>
    <xf numFmtId="0" fontId="9" fillId="0" borderId="0"/>
  </cellStyleXfs>
  <cellXfs count="373">
    <xf numFmtId="0" fontId="0" fillId="0" borderId="0" xfId="0"/>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pplyProtection="1">
      <alignment horizontal="center" vertical="center" wrapText="1"/>
      <protection locked="0"/>
    </xf>
    <xf numFmtId="0" fontId="2" fillId="2" borderId="0" xfId="0" applyFont="1" applyFill="1" applyAlignment="1" applyProtection="1">
      <alignment horizontal="center" vertical="center"/>
      <protection locked="0"/>
    </xf>
    <xf numFmtId="0" fontId="2" fillId="2" borderId="0" xfId="0" applyFont="1" applyFill="1" applyAlignment="1">
      <alignment horizontal="center" vertical="center"/>
    </xf>
    <xf numFmtId="14" fontId="2" fillId="2" borderId="0" xfId="0" applyNumberFormat="1" applyFont="1" applyFill="1" applyAlignment="1" applyProtection="1">
      <alignment horizontal="center" vertical="center"/>
      <protection locked="0"/>
    </xf>
    <xf numFmtId="20" fontId="2" fillId="2" borderId="0" xfId="0" applyNumberFormat="1" applyFont="1" applyFill="1" applyAlignment="1" applyProtection="1">
      <alignment horizontal="center" vertical="center"/>
      <protection locked="0"/>
    </xf>
    <xf numFmtId="0" fontId="2" fillId="2" borderId="0" xfId="0" applyFont="1" applyFill="1" applyAlignment="1">
      <alignment vertical="center"/>
    </xf>
    <xf numFmtId="0" fontId="2" fillId="2" borderId="0" xfId="0" applyFont="1" applyFill="1" applyAlignment="1" applyProtection="1">
      <alignment vertical="center" wrapText="1"/>
      <protection locked="0"/>
    </xf>
    <xf numFmtId="0" fontId="2" fillId="2" borderId="0" xfId="0" applyFont="1" applyFill="1" applyAlignment="1" applyProtection="1">
      <alignment vertical="center"/>
      <protection locked="0"/>
    </xf>
    <xf numFmtId="0" fontId="0" fillId="2" borderId="0" xfId="0" applyFill="1"/>
    <xf numFmtId="0" fontId="0" fillId="0" borderId="0" xfId="0"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vertical="center" wrapText="1"/>
    </xf>
    <xf numFmtId="0" fontId="1" fillId="0" borderId="0" xfId="0" applyFont="1"/>
    <xf numFmtId="0" fontId="8" fillId="0" borderId="6" xfId="0" applyFont="1" applyBorder="1" applyAlignment="1">
      <alignment horizontal="center" vertical="center" wrapText="1"/>
    </xf>
    <xf numFmtId="14" fontId="8" fillId="0" borderId="6"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0" fontId="11" fillId="0" borderId="3" xfId="0" applyFont="1" applyBorder="1" applyAlignment="1">
      <alignment horizontal="center" vertical="center"/>
    </xf>
    <xf numFmtId="0" fontId="12" fillId="0" borderId="3"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5" fillId="8" borderId="3" xfId="0" applyFont="1" applyFill="1" applyBorder="1" applyAlignment="1">
      <alignment horizontal="center" vertical="center"/>
    </xf>
    <xf numFmtId="0" fontId="15" fillId="9" borderId="3" xfId="0" applyFont="1" applyFill="1" applyBorder="1" applyAlignment="1">
      <alignment horizontal="center" vertical="center"/>
    </xf>
    <xf numFmtId="0" fontId="15" fillId="9" borderId="3" xfId="0" applyFont="1" applyFill="1" applyBorder="1" applyAlignment="1">
      <alignment horizontal="center" vertical="center" wrapText="1"/>
    </xf>
    <xf numFmtId="0" fontId="11" fillId="0" borderId="0" xfId="0" applyFont="1"/>
    <xf numFmtId="0" fontId="11" fillId="0" borderId="3" xfId="0" applyFont="1" applyBorder="1" applyAlignment="1">
      <alignment horizontal="center" vertical="center" wrapText="1"/>
    </xf>
    <xf numFmtId="168" fontId="11" fillId="0" borderId="3" xfId="0" applyNumberFormat="1" applyFont="1" applyBorder="1" applyAlignment="1">
      <alignment horizontal="center"/>
    </xf>
    <xf numFmtId="168" fontId="11" fillId="0" borderId="3" xfId="0" applyNumberFormat="1" applyFont="1" applyBorder="1" applyAlignment="1">
      <alignment horizontal="center" vertical="center"/>
    </xf>
    <xf numFmtId="0" fontId="16" fillId="0" borderId="3" xfId="0" applyFont="1" applyBorder="1" applyAlignment="1">
      <alignment horizontal="center"/>
    </xf>
    <xf numFmtId="0" fontId="17" fillId="0" borderId="3" xfId="0" applyFont="1" applyBorder="1" applyAlignment="1">
      <alignment horizontal="center" vertical="center" wrapText="1"/>
    </xf>
    <xf numFmtId="0" fontId="11"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168" fontId="11" fillId="4" borderId="3" xfId="0" applyNumberFormat="1" applyFont="1" applyFill="1" applyBorder="1" applyAlignment="1">
      <alignment horizontal="center"/>
    </xf>
    <xf numFmtId="0" fontId="11" fillId="0" borderId="9" xfId="0" applyFont="1" applyBorder="1" applyAlignment="1">
      <alignment horizontal="center" vertical="center" wrapText="1"/>
    </xf>
    <xf numFmtId="168" fontId="11" fillId="0" borderId="5" xfId="0" applyNumberFormat="1" applyFont="1" applyBorder="1" applyAlignment="1">
      <alignment horizontal="center"/>
    </xf>
    <xf numFmtId="0" fontId="11" fillId="10" borderId="0" xfId="0" applyFont="1" applyFill="1"/>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49" fontId="11" fillId="0" borderId="0" xfId="0" applyNumberFormat="1" applyFont="1" applyAlignment="1">
      <alignment horizontal="center" vertical="center" wrapText="1"/>
    </xf>
    <xf numFmtId="0" fontId="11" fillId="0" borderId="0" xfId="0" applyFont="1" applyAlignment="1">
      <alignment vertical="center"/>
    </xf>
    <xf numFmtId="0" fontId="11" fillId="7" borderId="3" xfId="0" applyFont="1" applyFill="1" applyBorder="1" applyAlignment="1">
      <alignment horizontal="center" vertical="center" wrapText="1"/>
    </xf>
    <xf numFmtId="49" fontId="11" fillId="7" borderId="3"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1" fillId="7" borderId="0" xfId="0" applyFont="1" applyFill="1" applyAlignment="1">
      <alignment vertical="center"/>
    </xf>
    <xf numFmtId="49" fontId="11" fillId="0" borderId="3" xfId="0" applyNumberFormat="1" applyFont="1" applyBorder="1" applyAlignment="1">
      <alignment horizontal="center" vertical="center" wrapText="1"/>
    </xf>
    <xf numFmtId="0" fontId="11" fillId="0" borderId="3" xfId="0" applyFont="1" applyBorder="1"/>
    <xf numFmtId="0" fontId="18" fillId="7" borderId="3" xfId="0" applyFont="1" applyFill="1" applyBorder="1" applyAlignment="1">
      <alignment horizontal="center" vertical="center" wrapText="1"/>
    </xf>
    <xf numFmtId="0" fontId="11" fillId="0" borderId="0" xfId="0" applyFont="1" applyAlignment="1">
      <alignment wrapText="1"/>
    </xf>
    <xf numFmtId="0" fontId="11" fillId="0" borderId="3" xfId="0" applyFont="1" applyBorder="1" applyAlignment="1">
      <alignment horizontal="center" wrapText="1"/>
    </xf>
    <xf numFmtId="0" fontId="11" fillId="0" borderId="3" xfId="0" applyFont="1" applyBorder="1" applyAlignment="1">
      <alignment vertical="center" wrapText="1"/>
    </xf>
    <xf numFmtId="0" fontId="11" fillId="0" borderId="8" xfId="0" applyFont="1" applyBorder="1"/>
    <xf numFmtId="0" fontId="11" fillId="0" borderId="8" xfId="0" applyFont="1" applyBorder="1" applyAlignment="1">
      <alignment horizontal="center" vertical="center" wrapText="1"/>
    </xf>
    <xf numFmtId="2" fontId="11" fillId="0" borderId="0" xfId="0" applyNumberFormat="1" applyFont="1" applyAlignment="1">
      <alignment horizontal="center" vertical="center" wrapText="1"/>
    </xf>
    <xf numFmtId="167" fontId="11" fillId="0" borderId="0" xfId="0" applyNumberFormat="1" applyFont="1"/>
    <xf numFmtId="0" fontId="4" fillId="2"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25" fillId="2" borderId="0" xfId="0" applyFont="1" applyFill="1" applyAlignment="1">
      <alignment vertical="center"/>
    </xf>
    <xf numFmtId="0" fontId="26" fillId="2" borderId="0" xfId="0" applyFont="1" applyFill="1" applyAlignment="1">
      <alignment horizontal="right"/>
    </xf>
    <xf numFmtId="0" fontId="22" fillId="0" borderId="0" xfId="0" applyFont="1" applyAlignment="1">
      <alignment horizontal="center"/>
    </xf>
    <xf numFmtId="0" fontId="11" fillId="0" borderId="9" xfId="0" applyFont="1" applyBorder="1" applyAlignment="1">
      <alignment vertical="center" wrapText="1"/>
    </xf>
    <xf numFmtId="0" fontId="11" fillId="0" borderId="10" xfId="0" applyFont="1" applyBorder="1" applyAlignment="1">
      <alignment horizontal="center" vertical="center" wrapText="1"/>
    </xf>
    <xf numFmtId="0" fontId="27" fillId="0" borderId="3" xfId="0" applyFont="1" applyBorder="1" applyAlignment="1">
      <alignment vertical="center" wrapText="1"/>
    </xf>
    <xf numFmtId="0" fontId="27" fillId="0" borderId="0" xfId="0" applyFont="1" applyAlignment="1">
      <alignment vertical="center" wrapText="1"/>
    </xf>
    <xf numFmtId="0" fontId="27" fillId="0" borderId="5" xfId="0" applyFont="1" applyBorder="1" applyAlignment="1">
      <alignment vertical="center" wrapText="1"/>
    </xf>
    <xf numFmtId="2" fontId="19" fillId="5" borderId="7" xfId="1" applyNumberFormat="1" applyFont="1" applyFill="1" applyBorder="1"/>
    <xf numFmtId="2" fontId="11" fillId="0" borderId="8" xfId="0" applyNumberFormat="1" applyFont="1" applyBorder="1" applyAlignment="1">
      <alignment horizontal="center" vertical="center" wrapText="1"/>
    </xf>
    <xf numFmtId="0" fontId="11" fillId="0" borderId="8" xfId="0" applyFont="1" applyBorder="1" applyAlignment="1">
      <alignment horizontal="center" vertical="center"/>
    </xf>
    <xf numFmtId="0" fontId="4" fillId="0" borderId="0" xfId="0" applyFont="1" applyAlignment="1">
      <alignment horizontal="center" vertical="center" wrapText="1"/>
    </xf>
    <xf numFmtId="0" fontId="28" fillId="0" borderId="0" xfId="0" applyFont="1" applyAlignment="1">
      <alignment horizontal="left" vertical="center" wrapText="1"/>
    </xf>
    <xf numFmtId="0" fontId="24" fillId="0" borderId="0" xfId="0" applyFont="1" applyAlignment="1">
      <alignment horizontal="left"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21" fillId="0" borderId="0" xfId="0" applyFont="1" applyAlignment="1">
      <alignment horizontal="left" vertical="center" wrapText="1"/>
    </xf>
    <xf numFmtId="0" fontId="3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center" vertical="center" wrapText="1"/>
    </xf>
    <xf numFmtId="0" fontId="21" fillId="0" borderId="0" xfId="0" applyFont="1" applyAlignment="1">
      <alignment horizontal="center" vertical="center" wrapText="1"/>
    </xf>
    <xf numFmtId="0" fontId="21" fillId="6" borderId="3" xfId="0" applyFont="1" applyFill="1" applyBorder="1"/>
    <xf numFmtId="0" fontId="21" fillId="6" borderId="9" xfId="0" applyFont="1" applyFill="1" applyBorder="1"/>
    <xf numFmtId="0" fontId="31" fillId="0" borderId="3" xfId="0" applyFont="1" applyBorder="1" applyAlignment="1">
      <alignment horizontal="center" vertical="center" wrapText="1"/>
    </xf>
    <xf numFmtId="0" fontId="31" fillId="0" borderId="3" xfId="0" applyFont="1" applyBorder="1" applyAlignment="1">
      <alignment horizontal="center" vertical="center"/>
    </xf>
    <xf numFmtId="0" fontId="21" fillId="6" borderId="3" xfId="0" applyFont="1" applyFill="1" applyBorder="1" applyAlignment="1">
      <alignment horizontal="left" vertical="center"/>
    </xf>
    <xf numFmtId="0" fontId="21" fillId="6" borderId="9" xfId="0" applyFont="1" applyFill="1" applyBorder="1" applyAlignment="1">
      <alignment horizontal="left" vertical="center"/>
    </xf>
    <xf numFmtId="0" fontId="32" fillId="7" borderId="3" xfId="0" applyFont="1" applyFill="1" applyBorder="1" applyAlignment="1">
      <alignment horizontal="center" vertical="center" wrapText="1"/>
    </xf>
    <xf numFmtId="49" fontId="32" fillId="7" borderId="3" xfId="0" applyNumberFormat="1" applyFont="1" applyFill="1" applyBorder="1" applyAlignment="1">
      <alignment horizontal="center" vertical="center" wrapText="1"/>
    </xf>
    <xf numFmtId="0" fontId="32" fillId="0" borderId="3" xfId="0" applyFont="1" applyBorder="1" applyAlignment="1">
      <alignment horizontal="center" vertical="center" wrapText="1"/>
    </xf>
    <xf numFmtId="49" fontId="32" fillId="0" borderId="3" xfId="0" applyNumberFormat="1" applyFont="1" applyBorder="1" applyAlignment="1">
      <alignment horizontal="center" vertical="center" wrapText="1"/>
    </xf>
    <xf numFmtId="0" fontId="23" fillId="0" borderId="0" xfId="0" applyFont="1" applyAlignment="1">
      <alignment wrapText="1"/>
    </xf>
    <xf numFmtId="0" fontId="23" fillId="0" borderId="0" xfId="0" applyFont="1" applyAlignment="1">
      <alignment horizontal="center" vertical="center" wrapText="1"/>
    </xf>
    <xf numFmtId="0" fontId="11" fillId="0" borderId="0" xfId="0" applyFont="1" applyAlignment="1">
      <alignment horizontal="center"/>
    </xf>
    <xf numFmtId="49" fontId="11" fillId="0" borderId="0" xfId="0" applyNumberFormat="1" applyFont="1"/>
    <xf numFmtId="168" fontId="11" fillId="0" borderId="5" xfId="0" applyNumberFormat="1" applyFont="1" applyBorder="1" applyAlignment="1">
      <alignment horizontal="center" vertical="center"/>
    </xf>
    <xf numFmtId="0" fontId="11" fillId="0" borderId="0" xfId="0" applyFont="1" applyAlignment="1">
      <alignment horizontal="left" vertical="center"/>
    </xf>
    <xf numFmtId="0" fontId="33" fillId="12" borderId="0" xfId="0" applyFont="1" applyFill="1" applyAlignment="1">
      <alignment horizontal="center" vertical="center"/>
    </xf>
    <xf numFmtId="168" fontId="33" fillId="12" borderId="5" xfId="0" applyNumberFormat="1" applyFont="1" applyFill="1" applyBorder="1" applyAlignment="1">
      <alignment horizontal="center" vertical="center"/>
    </xf>
    <xf numFmtId="0" fontId="34" fillId="2" borderId="0" xfId="0" applyFont="1" applyFill="1" applyAlignment="1">
      <alignment horizontal="center" vertical="center"/>
    </xf>
    <xf numFmtId="0" fontId="35" fillId="0" borderId="0" xfId="0" applyFont="1" applyAlignment="1">
      <alignment horizontal="center" vertical="center"/>
    </xf>
    <xf numFmtId="0" fontId="37" fillId="2" borderId="0" xfId="0" applyFont="1" applyFill="1" applyAlignment="1" applyProtection="1">
      <alignment horizontal="center" vertical="center"/>
      <protection locked="0"/>
    </xf>
    <xf numFmtId="0" fontId="38" fillId="2" borderId="11" xfId="0" applyFont="1" applyFill="1" applyBorder="1" applyAlignment="1">
      <alignment horizontal="center" vertical="center"/>
    </xf>
    <xf numFmtId="1" fontId="38" fillId="2" borderId="11" xfId="0" applyNumberFormat="1" applyFont="1" applyFill="1" applyBorder="1" applyAlignment="1">
      <alignment horizontal="center" vertical="center"/>
    </xf>
    <xf numFmtId="165" fontId="38" fillId="2" borderId="11" xfId="0" applyNumberFormat="1" applyFont="1" applyFill="1" applyBorder="1" applyAlignment="1">
      <alignment horizontal="center" vertical="center"/>
    </xf>
    <xf numFmtId="11" fontId="38" fillId="2" borderId="11" xfId="0" applyNumberFormat="1" applyFont="1" applyFill="1" applyBorder="1" applyAlignment="1">
      <alignment horizontal="center" vertical="center"/>
    </xf>
    <xf numFmtId="12" fontId="38" fillId="2" borderId="11" xfId="0" applyNumberFormat="1" applyFont="1" applyFill="1" applyBorder="1" applyAlignment="1">
      <alignment horizontal="center" vertical="center"/>
    </xf>
    <xf numFmtId="0" fontId="39" fillId="2" borderId="0" xfId="0" applyFont="1" applyFill="1" applyAlignment="1" applyProtection="1">
      <alignment horizontal="center" vertical="center"/>
      <protection locked="0"/>
    </xf>
    <xf numFmtId="0" fontId="39" fillId="0" borderId="0" xfId="0" applyFont="1" applyAlignment="1" applyProtection="1">
      <alignment horizontal="center" vertical="center"/>
      <protection locked="0"/>
    </xf>
    <xf numFmtId="0" fontId="38" fillId="0" borderId="0" xfId="0" applyFont="1" applyAlignment="1">
      <alignment horizontal="center" vertical="center" wrapText="1"/>
    </xf>
    <xf numFmtId="0" fontId="43" fillId="2" borderId="0" xfId="0" applyFont="1" applyFill="1"/>
    <xf numFmtId="0" fontId="43" fillId="0" borderId="0" xfId="0" applyFont="1"/>
    <xf numFmtId="0" fontId="43" fillId="2" borderId="0" xfId="0" applyFont="1" applyFill="1" applyProtection="1">
      <protection locked="0"/>
    </xf>
    <xf numFmtId="0" fontId="43" fillId="2" borderId="4" xfId="0" applyFont="1" applyFill="1" applyBorder="1"/>
    <xf numFmtId="0" fontId="43" fillId="2" borderId="0" xfId="0" applyFont="1" applyFill="1" applyAlignment="1" applyProtection="1">
      <alignment horizontal="center" vertical="center"/>
      <protection locked="0"/>
    </xf>
    <xf numFmtId="0" fontId="43" fillId="2" borderId="0" xfId="0" applyFont="1" applyFill="1" applyAlignment="1" applyProtection="1">
      <alignment vertical="center"/>
      <protection locked="0"/>
    </xf>
    <xf numFmtId="49" fontId="43" fillId="2" borderId="0" xfId="0" applyNumberFormat="1" applyFont="1" applyFill="1" applyAlignment="1" applyProtection="1">
      <alignment vertical="center" wrapText="1"/>
      <protection locked="0"/>
    </xf>
    <xf numFmtId="0" fontId="43" fillId="2" borderId="0" xfId="0" applyFont="1" applyFill="1" applyAlignment="1" applyProtection="1">
      <alignment horizontal="center"/>
      <protection locked="0"/>
    </xf>
    <xf numFmtId="0" fontId="43" fillId="2" borderId="2" xfId="0" applyFont="1" applyFill="1" applyBorder="1"/>
    <xf numFmtId="14" fontId="43" fillId="2" borderId="11" xfId="0" applyNumberFormat="1"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3" fillId="2" borderId="0" xfId="0" applyFont="1" applyFill="1" applyAlignment="1">
      <alignment horizontal="center" vertical="center"/>
    </xf>
    <xf numFmtId="0" fontId="39" fillId="2" borderId="14" xfId="0" applyFont="1" applyFill="1" applyBorder="1" applyAlignment="1">
      <alignment vertical="center"/>
    </xf>
    <xf numFmtId="0" fontId="39" fillId="2" borderId="12" xfId="0" applyFont="1" applyFill="1" applyBorder="1" applyAlignment="1">
      <alignment vertical="center" wrapText="1"/>
    </xf>
    <xf numFmtId="0" fontId="43" fillId="2" borderId="0" xfId="0" applyFont="1" applyFill="1" applyAlignment="1">
      <alignment vertical="center"/>
    </xf>
    <xf numFmtId="0" fontId="43" fillId="2" borderId="17" xfId="0" applyFont="1" applyFill="1" applyBorder="1"/>
    <xf numFmtId="0" fontId="43" fillId="2" borderId="18" xfId="0" applyFont="1" applyFill="1" applyBorder="1"/>
    <xf numFmtId="0" fontId="43" fillId="2" borderId="25" xfId="0" applyFont="1" applyFill="1" applyBorder="1"/>
    <xf numFmtId="0" fontId="43" fillId="2" borderId="19" xfId="0" applyFont="1" applyFill="1" applyBorder="1"/>
    <xf numFmtId="0" fontId="43" fillId="2" borderId="26" xfId="0" applyFont="1" applyFill="1" applyBorder="1"/>
    <xf numFmtId="0" fontId="43" fillId="2" borderId="16" xfId="0" applyFont="1" applyFill="1" applyBorder="1"/>
    <xf numFmtId="0" fontId="43" fillId="2" borderId="15" xfId="0" applyFont="1" applyFill="1" applyBorder="1"/>
    <xf numFmtId="0" fontId="43" fillId="2" borderId="15" xfId="0" applyFont="1" applyFill="1" applyBorder="1" applyAlignment="1">
      <alignment horizontal="center" vertical="center"/>
    </xf>
    <xf numFmtId="0" fontId="43" fillId="2" borderId="15" xfId="0" applyFont="1" applyFill="1" applyBorder="1" applyAlignment="1">
      <alignment vertical="center"/>
    </xf>
    <xf numFmtId="0" fontId="43" fillId="0" borderId="15" xfId="0" applyFont="1" applyBorder="1"/>
    <xf numFmtId="0" fontId="43" fillId="2" borderId="20" xfId="0" applyFont="1" applyFill="1" applyBorder="1"/>
    <xf numFmtId="0" fontId="43" fillId="2" borderId="19" xfId="0" applyFont="1" applyFill="1" applyBorder="1" applyAlignment="1">
      <alignment vertical="top" wrapText="1"/>
    </xf>
    <xf numFmtId="0" fontId="43" fillId="2" borderId="0" xfId="0" applyFont="1" applyFill="1" applyAlignment="1">
      <alignment vertical="top" wrapText="1"/>
    </xf>
    <xf numFmtId="0" fontId="42" fillId="2" borderId="0" xfId="0" applyFont="1" applyFill="1" applyAlignment="1" applyProtection="1">
      <alignment vertical="top" wrapText="1"/>
      <protection locked="0"/>
    </xf>
    <xf numFmtId="0" fontId="42" fillId="2" borderId="0" xfId="0" applyFont="1" applyFill="1" applyAlignment="1" applyProtection="1">
      <alignment vertical="top"/>
      <protection locked="0"/>
    </xf>
    <xf numFmtId="0" fontId="43" fillId="2" borderId="19" xfId="0" applyFont="1" applyFill="1" applyBorder="1" applyAlignment="1">
      <alignment vertical="top"/>
    </xf>
    <xf numFmtId="0" fontId="43" fillId="2" borderId="0" xfId="0" applyFont="1" applyFill="1" applyAlignment="1" applyProtection="1">
      <alignment vertical="top" wrapText="1"/>
      <protection locked="0"/>
    </xf>
    <xf numFmtId="0" fontId="43" fillId="2" borderId="0" xfId="0" applyFont="1" applyFill="1" applyAlignment="1" applyProtection="1">
      <alignment horizontal="left" vertical="top" wrapText="1"/>
      <protection locked="0"/>
    </xf>
    <xf numFmtId="0" fontId="42" fillId="2" borderId="19" xfId="0" applyFont="1" applyFill="1" applyBorder="1" applyAlignment="1">
      <alignment vertical="center"/>
    </xf>
    <xf numFmtId="0" fontId="42" fillId="2" borderId="0" xfId="0" applyFont="1" applyFill="1" applyAlignment="1">
      <alignment vertical="center"/>
    </xf>
    <xf numFmtId="0" fontId="42" fillId="2" borderId="0" xfId="0" applyFont="1" applyFill="1"/>
    <xf numFmtId="0" fontId="43" fillId="2" borderId="0" xfId="0" applyFont="1" applyFill="1" applyAlignment="1">
      <alignment vertical="top"/>
    </xf>
    <xf numFmtId="0" fontId="43" fillId="2" borderId="16" xfId="0" applyFont="1" applyFill="1" applyBorder="1" applyAlignment="1">
      <alignment vertical="top"/>
    </xf>
    <xf numFmtId="0" fontId="43" fillId="2" borderId="15" xfId="0" applyFont="1" applyFill="1" applyBorder="1" applyAlignment="1">
      <alignment vertical="top"/>
    </xf>
    <xf numFmtId="0" fontId="43" fillId="2" borderId="15" xfId="0" applyFont="1" applyFill="1" applyBorder="1" applyAlignment="1">
      <alignment vertical="top" wrapText="1"/>
    </xf>
    <xf numFmtId="0" fontId="43" fillId="2" borderId="26" xfId="0" applyFont="1" applyFill="1" applyBorder="1" applyAlignment="1">
      <alignment vertical="top" wrapText="1"/>
    </xf>
    <xf numFmtId="0" fontId="42" fillId="2" borderId="26" xfId="0" applyFont="1" applyFill="1" applyBorder="1" applyAlignment="1" applyProtection="1">
      <alignment vertical="top"/>
      <protection locked="0"/>
    </xf>
    <xf numFmtId="0" fontId="43" fillId="2" borderId="26" xfId="0" applyFont="1" applyFill="1" applyBorder="1" applyAlignment="1" applyProtection="1">
      <alignment vertical="top" wrapText="1"/>
      <protection locked="0"/>
    </xf>
    <xf numFmtId="0" fontId="42" fillId="2" borderId="19" xfId="0" applyFont="1" applyFill="1" applyBorder="1"/>
    <xf numFmtId="0" fontId="42" fillId="2" borderId="26" xfId="0" applyFont="1" applyFill="1" applyBorder="1" applyAlignment="1">
      <alignment vertical="center"/>
    </xf>
    <xf numFmtId="0" fontId="43" fillId="2" borderId="26" xfId="0" applyFont="1" applyFill="1" applyBorder="1" applyAlignment="1">
      <alignment vertical="top"/>
    </xf>
    <xf numFmtId="0" fontId="43" fillId="2" borderId="20" xfId="0" applyFont="1" applyFill="1" applyBorder="1" applyAlignment="1">
      <alignment vertical="top"/>
    </xf>
    <xf numFmtId="0" fontId="36" fillId="2" borderId="17" xfId="0" applyFont="1" applyFill="1" applyBorder="1" applyAlignment="1">
      <alignment horizontal="left" vertical="center"/>
    </xf>
    <xf numFmtId="0" fontId="41" fillId="2" borderId="0" xfId="0" applyFont="1" applyFill="1" applyAlignment="1">
      <alignment horizontal="left" vertical="center"/>
    </xf>
    <xf numFmtId="0" fontId="36" fillId="2" borderId="19" xfId="0" applyFont="1" applyFill="1" applyBorder="1" applyAlignment="1">
      <alignment horizontal="left" vertical="center"/>
    </xf>
    <xf numFmtId="0" fontId="36" fillId="2" borderId="37" xfId="0" applyFont="1" applyFill="1" applyBorder="1" applyAlignment="1">
      <alignment horizontal="left" vertical="center"/>
    </xf>
    <xf numFmtId="0" fontId="36" fillId="2" borderId="38" xfId="0" applyFont="1" applyFill="1" applyBorder="1" applyAlignment="1">
      <alignment horizontal="left" vertical="center"/>
    </xf>
    <xf numFmtId="0" fontId="36" fillId="2" borderId="39" xfId="0" applyFont="1" applyFill="1" applyBorder="1" applyAlignment="1">
      <alignment horizontal="left" vertical="center"/>
    </xf>
    <xf numFmtId="0" fontId="43" fillId="2" borderId="40" xfId="0" applyFont="1" applyFill="1" applyBorder="1"/>
    <xf numFmtId="0" fontId="3" fillId="0" borderId="0" xfId="0" applyFont="1" applyAlignment="1">
      <alignment horizontal="center" vertical="center"/>
    </xf>
    <xf numFmtId="0" fontId="44" fillId="2" borderId="11" xfId="0" applyFont="1" applyFill="1" applyBorder="1" applyAlignment="1" applyProtection="1">
      <alignment horizontal="center" vertical="center" wrapText="1"/>
      <protection locked="0"/>
    </xf>
    <xf numFmtId="0" fontId="4" fillId="0" borderId="0" xfId="0" applyFont="1"/>
    <xf numFmtId="0" fontId="44" fillId="0" borderId="11" xfId="0" applyFont="1" applyBorder="1" applyAlignment="1">
      <alignment horizontal="center" vertical="center" wrapText="1"/>
    </xf>
    <xf numFmtId="0" fontId="43" fillId="0" borderId="11" xfId="0" applyFont="1" applyBorder="1" applyAlignment="1">
      <alignment horizontal="center" vertical="center" wrapText="1"/>
    </xf>
    <xf numFmtId="12" fontId="43" fillId="0" borderId="11" xfId="0" applyNumberFormat="1" applyFont="1" applyBorder="1" applyAlignment="1">
      <alignment horizontal="center" vertical="center" wrapText="1"/>
    </xf>
    <xf numFmtId="1" fontId="43" fillId="2" borderId="11" xfId="0" applyNumberFormat="1" applyFont="1" applyFill="1" applyBorder="1" applyAlignment="1">
      <alignment horizontal="center" vertical="center" wrapText="1"/>
    </xf>
    <xf numFmtId="165" fontId="43" fillId="2" borderId="11" xfId="0" applyNumberFormat="1" applyFont="1" applyFill="1" applyBorder="1" applyAlignment="1">
      <alignment horizontal="center" vertical="center" wrapText="1"/>
    </xf>
    <xf numFmtId="0" fontId="44" fillId="0" borderId="0" xfId="0" applyFont="1" applyAlignment="1">
      <alignment horizontal="center"/>
    </xf>
    <xf numFmtId="0" fontId="44" fillId="0" borderId="0" xfId="0" applyFont="1"/>
    <xf numFmtId="0" fontId="40" fillId="0" borderId="11" xfId="0" applyFont="1" applyBorder="1" applyAlignment="1">
      <alignment horizontal="center" vertical="center" wrapText="1"/>
    </xf>
    <xf numFmtId="0" fontId="41" fillId="0" borderId="11" xfId="0" applyFont="1" applyBorder="1" applyAlignment="1">
      <alignment horizontal="center" vertical="center" wrapText="1"/>
    </xf>
    <xf numFmtId="14" fontId="41" fillId="0" borderId="11" xfId="0" applyNumberFormat="1" applyFont="1" applyBorder="1" applyAlignment="1">
      <alignment horizontal="center" vertical="center"/>
    </xf>
    <xf numFmtId="0" fontId="41" fillId="0" borderId="11" xfId="0" applyFont="1" applyBorder="1" applyAlignment="1">
      <alignment vertical="center" wrapText="1"/>
    </xf>
    <xf numFmtId="0" fontId="41" fillId="0" borderId="11" xfId="0" applyFont="1" applyBorder="1" applyAlignment="1">
      <alignment horizontal="center" vertical="center"/>
    </xf>
    <xf numFmtId="0" fontId="41" fillId="0" borderId="11" xfId="0" applyFont="1" applyBorder="1" applyAlignment="1">
      <alignment horizontal="justify" vertical="center" wrapText="1"/>
    </xf>
    <xf numFmtId="0" fontId="41" fillId="3" borderId="11" xfId="0" applyFont="1" applyFill="1" applyBorder="1" applyAlignment="1">
      <alignment horizontal="center" vertical="center" wrapText="1"/>
    </xf>
    <xf numFmtId="0" fontId="43" fillId="0" borderId="13" xfId="0" applyFont="1" applyBorder="1" applyAlignment="1">
      <alignment horizontal="center" vertical="center" wrapText="1"/>
    </xf>
    <xf numFmtId="3" fontId="32" fillId="0" borderId="3" xfId="0" applyNumberFormat="1" applyFont="1" applyBorder="1" applyAlignment="1">
      <alignment horizontal="center" vertical="center" wrapText="1"/>
    </xf>
    <xf numFmtId="169" fontId="43" fillId="2" borderId="11" xfId="0" applyNumberFormat="1" applyFont="1" applyFill="1" applyBorder="1" applyAlignment="1">
      <alignment horizontal="center" vertical="center" wrapText="1"/>
    </xf>
    <xf numFmtId="12" fontId="43" fillId="2" borderId="11" xfId="0" applyNumberFormat="1" applyFont="1" applyFill="1" applyBorder="1" applyAlignment="1">
      <alignment horizontal="center" vertical="center" wrapText="1"/>
    </xf>
    <xf numFmtId="0" fontId="0" fillId="6" borderId="0" xfId="0" applyFill="1"/>
    <xf numFmtId="0" fontId="43" fillId="2" borderId="21" xfId="0" applyFont="1" applyFill="1" applyBorder="1" applyAlignment="1">
      <alignment horizontal="center" vertical="center" wrapText="1"/>
    </xf>
    <xf numFmtId="0" fontId="38" fillId="2" borderId="21" xfId="0" applyFont="1" applyFill="1" applyBorder="1" applyAlignment="1">
      <alignment horizontal="center" vertical="center"/>
    </xf>
    <xf numFmtId="1" fontId="38" fillId="2" borderId="21" xfId="0" applyNumberFormat="1" applyFont="1" applyFill="1" applyBorder="1" applyAlignment="1">
      <alignment horizontal="center" vertical="center"/>
    </xf>
    <xf numFmtId="165" fontId="38" fillId="2" borderId="21" xfId="0" applyNumberFormat="1" applyFont="1" applyFill="1" applyBorder="1" applyAlignment="1">
      <alignment horizontal="center" vertical="center"/>
    </xf>
    <xf numFmtId="11" fontId="38" fillId="2" borderId="21" xfId="0" applyNumberFormat="1" applyFont="1" applyFill="1" applyBorder="1" applyAlignment="1">
      <alignment horizontal="center" vertical="center"/>
    </xf>
    <xf numFmtId="12" fontId="38" fillId="2" borderId="21" xfId="0" applyNumberFormat="1" applyFont="1" applyFill="1" applyBorder="1" applyAlignment="1">
      <alignment horizontal="center" vertical="center"/>
    </xf>
    <xf numFmtId="0" fontId="46" fillId="13" borderId="41" xfId="0" applyFont="1" applyFill="1" applyBorder="1" applyAlignment="1">
      <alignment horizontal="center" vertical="center" wrapText="1"/>
    </xf>
    <xf numFmtId="14" fontId="43" fillId="2" borderId="21" xfId="0" applyNumberFormat="1" applyFont="1" applyFill="1" applyBorder="1" applyAlignment="1">
      <alignment horizontal="center" vertical="center" wrapText="1"/>
    </xf>
    <xf numFmtId="0" fontId="39" fillId="2" borderId="15" xfId="0" applyFont="1" applyFill="1" applyBorder="1" applyAlignment="1">
      <alignment vertical="center"/>
    </xf>
    <xf numFmtId="0" fontId="39" fillId="2" borderId="16" xfId="0" applyFont="1" applyFill="1" applyBorder="1" applyAlignment="1">
      <alignment vertical="center" wrapText="1"/>
    </xf>
    <xf numFmtId="0" fontId="44" fillId="2" borderId="21" xfId="0" applyFont="1" applyFill="1" applyBorder="1" applyAlignment="1" applyProtection="1">
      <alignment horizontal="center" vertical="center" wrapText="1"/>
      <protection locked="0"/>
    </xf>
    <xf numFmtId="0" fontId="50" fillId="13" borderId="41" xfId="0" applyFont="1" applyFill="1" applyBorder="1" applyAlignment="1">
      <alignment horizontal="center" vertical="center" wrapText="1"/>
    </xf>
    <xf numFmtId="0" fontId="50" fillId="13" borderId="41" xfId="0" applyFont="1" applyFill="1" applyBorder="1" applyAlignment="1">
      <alignment vertical="center"/>
    </xf>
    <xf numFmtId="0" fontId="48" fillId="13" borderId="41" xfId="0" applyFont="1" applyFill="1" applyBorder="1" applyAlignment="1">
      <alignment vertical="center"/>
    </xf>
    <xf numFmtId="0" fontId="43" fillId="0" borderId="21" xfId="0" applyFont="1" applyBorder="1" applyAlignment="1">
      <alignment horizontal="center" vertical="center" wrapText="1"/>
    </xf>
    <xf numFmtId="0" fontId="43" fillId="0" borderId="20" xfId="0" applyFont="1" applyBorder="1" applyAlignment="1">
      <alignment horizontal="center" vertical="center" wrapText="1"/>
    </xf>
    <xf numFmtId="12" fontId="43" fillId="0" borderId="21" xfId="0" applyNumberFormat="1" applyFont="1" applyBorder="1" applyAlignment="1">
      <alignment horizontal="center" vertical="center" wrapText="1"/>
    </xf>
    <xf numFmtId="0" fontId="44" fillId="0" borderId="21" xfId="0" applyFont="1" applyBorder="1" applyAlignment="1">
      <alignment horizontal="center" vertical="center" wrapText="1"/>
    </xf>
    <xf numFmtId="1" fontId="43" fillId="2" borderId="21" xfId="0" applyNumberFormat="1" applyFont="1" applyFill="1" applyBorder="1" applyAlignment="1">
      <alignment horizontal="center" vertical="center" wrapText="1"/>
    </xf>
    <xf numFmtId="165" fontId="43" fillId="2" borderId="21" xfId="0" applyNumberFormat="1" applyFont="1" applyFill="1" applyBorder="1" applyAlignment="1">
      <alignment horizontal="center" vertical="center" wrapText="1"/>
    </xf>
    <xf numFmtId="169" fontId="43" fillId="2" borderId="21" xfId="0" applyNumberFormat="1" applyFont="1" applyFill="1" applyBorder="1" applyAlignment="1">
      <alignment horizontal="center" vertical="center" wrapText="1"/>
    </xf>
    <xf numFmtId="12" fontId="43" fillId="2" borderId="21" xfId="0" applyNumberFormat="1" applyFont="1" applyFill="1" applyBorder="1" applyAlignment="1">
      <alignment horizontal="center" vertical="center" wrapText="1"/>
    </xf>
    <xf numFmtId="0" fontId="39" fillId="13" borderId="17" xfId="0" applyFont="1" applyFill="1" applyBorder="1" applyAlignment="1">
      <alignment vertical="top"/>
    </xf>
    <xf numFmtId="0" fontId="39" fillId="13" borderId="18" xfId="0" applyFont="1" applyFill="1" applyBorder="1" applyAlignment="1">
      <alignment vertical="top" wrapText="1"/>
    </xf>
    <xf numFmtId="0" fontId="39" fillId="13" borderId="18" xfId="0" applyFont="1" applyFill="1" applyBorder="1"/>
    <xf numFmtId="0" fontId="39" fillId="13" borderId="18" xfId="0" applyFont="1" applyFill="1" applyBorder="1" applyAlignment="1">
      <alignment vertical="top"/>
    </xf>
    <xf numFmtId="0" fontId="48" fillId="13" borderId="18" xfId="0" applyFont="1" applyFill="1" applyBorder="1" applyAlignment="1" applyProtection="1">
      <alignment vertical="top" wrapText="1"/>
      <protection locked="0"/>
    </xf>
    <xf numFmtId="0" fontId="39" fillId="13" borderId="25" xfId="0" applyFont="1" applyFill="1" applyBorder="1"/>
    <xf numFmtId="0" fontId="39" fillId="13" borderId="50" xfId="0" applyFont="1" applyFill="1" applyBorder="1" applyAlignment="1">
      <alignment vertical="top" wrapText="1"/>
    </xf>
    <xf numFmtId="0" fontId="46" fillId="13" borderId="41" xfId="0" applyFont="1" applyFill="1" applyBorder="1" applyAlignment="1">
      <alignment horizontal="center" vertical="center"/>
    </xf>
    <xf numFmtId="0" fontId="20" fillId="2" borderId="0" xfId="0" applyFont="1" applyFill="1" applyAlignment="1">
      <alignment horizontal="right" vertical="center"/>
    </xf>
    <xf numFmtId="0" fontId="43" fillId="2" borderId="11" xfId="0" applyFont="1" applyFill="1" applyBorder="1" applyAlignment="1" applyProtection="1">
      <alignment horizontal="center" vertical="center"/>
      <protection locked="0"/>
    </xf>
    <xf numFmtId="0" fontId="43" fillId="2" borderId="12" xfId="0" applyFont="1" applyFill="1" applyBorder="1" applyAlignment="1" applyProtection="1">
      <alignment horizontal="center" vertical="center"/>
      <protection locked="0"/>
    </xf>
    <xf numFmtId="0" fontId="43" fillId="2" borderId="12" xfId="0" applyFont="1" applyFill="1" applyBorder="1" applyAlignment="1">
      <alignment horizontal="center" vertical="center"/>
    </xf>
    <xf numFmtId="0" fontId="43" fillId="2" borderId="14" xfId="0" applyFont="1" applyFill="1" applyBorder="1" applyAlignment="1">
      <alignment horizontal="center" vertical="center"/>
    </xf>
    <xf numFmtId="0" fontId="43" fillId="2" borderId="13" xfId="0"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3" fillId="2" borderId="17" xfId="0" applyFont="1" applyFill="1" applyBorder="1" applyAlignment="1" applyProtection="1">
      <alignment horizontal="center" vertical="center"/>
      <protection locked="0"/>
    </xf>
    <xf numFmtId="0" fontId="43" fillId="2" borderId="18" xfId="0" applyFont="1" applyFill="1" applyBorder="1" applyAlignment="1" applyProtection="1">
      <alignment horizontal="center" vertical="center"/>
      <protection locked="0"/>
    </xf>
    <xf numFmtId="0" fontId="43" fillId="2" borderId="25" xfId="0" applyFont="1" applyFill="1" applyBorder="1" applyAlignment="1" applyProtection="1">
      <alignment horizontal="center" vertical="center"/>
      <protection locked="0"/>
    </xf>
    <xf numFmtId="0" fontId="43" fillId="2" borderId="19" xfId="0" applyFont="1" applyFill="1" applyBorder="1" applyAlignment="1" applyProtection="1">
      <alignment horizontal="center" vertical="center"/>
      <protection locked="0"/>
    </xf>
    <xf numFmtId="0" fontId="43" fillId="2" borderId="0" xfId="0" applyFont="1" applyFill="1" applyAlignment="1" applyProtection="1">
      <alignment horizontal="center" vertical="center"/>
      <protection locked="0"/>
    </xf>
    <xf numFmtId="0" fontId="43" fillId="2" borderId="26" xfId="0" applyFont="1" applyFill="1" applyBorder="1" applyAlignment="1" applyProtection="1">
      <alignment horizontal="center" vertical="center"/>
      <protection locked="0"/>
    </xf>
    <xf numFmtId="0" fontId="43" fillId="2" borderId="16" xfId="0" applyFont="1" applyFill="1" applyBorder="1" applyAlignment="1" applyProtection="1">
      <alignment horizontal="center" vertical="center"/>
      <protection locked="0"/>
    </xf>
    <xf numFmtId="0" fontId="43" fillId="2" borderId="15" xfId="0" applyFont="1" applyFill="1" applyBorder="1" applyAlignment="1" applyProtection="1">
      <alignment horizontal="center" vertical="center"/>
      <protection locked="0"/>
    </xf>
    <xf numFmtId="0" fontId="43" fillId="2" borderId="20" xfId="0" applyFont="1" applyFill="1" applyBorder="1" applyAlignment="1" applyProtection="1">
      <alignment horizontal="center" vertical="center"/>
      <protection locked="0"/>
    </xf>
    <xf numFmtId="0" fontId="48" fillId="13" borderId="12" xfId="0" applyFont="1" applyFill="1" applyBorder="1" applyAlignment="1">
      <alignment horizontal="center" vertical="center"/>
    </xf>
    <xf numFmtId="0" fontId="48" fillId="13" borderId="14" xfId="0" applyFont="1" applyFill="1" applyBorder="1" applyAlignment="1">
      <alignment horizontal="center" vertical="center"/>
    </xf>
    <xf numFmtId="0" fontId="48" fillId="13" borderId="13" xfId="0" applyFont="1" applyFill="1" applyBorder="1" applyAlignment="1">
      <alignment horizontal="center" vertical="center"/>
    </xf>
    <xf numFmtId="0" fontId="43" fillId="2" borderId="21" xfId="0" applyFont="1" applyFill="1" applyBorder="1" applyAlignment="1" applyProtection="1">
      <alignment horizontal="center"/>
      <protection locked="0"/>
    </xf>
    <xf numFmtId="0" fontId="48" fillId="13" borderId="41" xfId="0" applyFont="1" applyFill="1" applyBorder="1" applyAlignment="1">
      <alignment horizontal="center"/>
    </xf>
    <xf numFmtId="0" fontId="43" fillId="2" borderId="20" xfId="0" applyFont="1" applyFill="1" applyBorder="1" applyAlignment="1">
      <alignment horizontal="center" vertical="center" wrapText="1"/>
    </xf>
    <xf numFmtId="0" fontId="43" fillId="2" borderId="21" xfId="0" applyFont="1" applyFill="1" applyBorder="1" applyAlignment="1">
      <alignment horizontal="center" vertical="center" wrapText="1"/>
    </xf>
    <xf numFmtId="0" fontId="48" fillId="13" borderId="41" xfId="0" applyFont="1" applyFill="1" applyBorder="1" applyAlignment="1">
      <alignment horizontal="center" vertical="center"/>
    </xf>
    <xf numFmtId="0" fontId="43" fillId="2" borderId="21" xfId="0" applyFont="1" applyFill="1" applyBorder="1" applyAlignment="1" applyProtection="1">
      <alignment horizontal="center" vertical="center"/>
      <protection locked="0"/>
    </xf>
    <xf numFmtId="0" fontId="43" fillId="2" borderId="16" xfId="0" applyFont="1" applyFill="1" applyBorder="1" applyAlignment="1">
      <alignment horizontal="center" vertical="center"/>
    </xf>
    <xf numFmtId="0" fontId="43" fillId="2" borderId="15" xfId="0" applyFont="1" applyFill="1" applyBorder="1" applyAlignment="1">
      <alignment horizontal="center" vertical="center"/>
    </xf>
    <xf numFmtId="0" fontId="43" fillId="3" borderId="21" xfId="0" applyFont="1" applyFill="1" applyBorder="1" applyAlignment="1" applyProtection="1">
      <alignment horizontal="center" vertical="center"/>
      <protection locked="0"/>
    </xf>
    <xf numFmtId="0" fontId="43" fillId="3" borderId="11" xfId="0" applyFont="1" applyFill="1" applyBorder="1" applyAlignment="1" applyProtection="1">
      <alignment horizontal="center" vertical="center"/>
      <protection locked="0"/>
    </xf>
    <xf numFmtId="0" fontId="43" fillId="2" borderId="27" xfId="0" applyFont="1" applyFill="1" applyBorder="1" applyAlignment="1" applyProtection="1">
      <alignment horizontal="center"/>
      <protection locked="0"/>
    </xf>
    <xf numFmtId="0" fontId="43" fillId="2" borderId="28" xfId="0" applyFont="1" applyFill="1" applyBorder="1" applyAlignment="1" applyProtection="1">
      <alignment horizontal="center"/>
      <protection locked="0"/>
    </xf>
    <xf numFmtId="0" fontId="43" fillId="2" borderId="29" xfId="0" applyFont="1" applyFill="1" applyBorder="1" applyAlignment="1" applyProtection="1">
      <alignment horizontal="center"/>
      <protection locked="0"/>
    </xf>
    <xf numFmtId="0" fontId="43" fillId="2" borderId="30" xfId="0" applyFont="1" applyFill="1" applyBorder="1" applyAlignment="1" applyProtection="1">
      <alignment horizontal="center"/>
      <protection locked="0"/>
    </xf>
    <xf numFmtId="0" fontId="43" fillId="2" borderId="3" xfId="0" applyFont="1" applyFill="1" applyBorder="1" applyAlignment="1" applyProtection="1">
      <alignment horizontal="center"/>
      <protection locked="0"/>
    </xf>
    <xf numFmtId="0" fontId="43" fillId="2" borderId="31" xfId="0" applyFont="1" applyFill="1" applyBorder="1" applyAlignment="1" applyProtection="1">
      <alignment horizontal="center"/>
      <protection locked="0"/>
    </xf>
    <xf numFmtId="0" fontId="43" fillId="2" borderId="32" xfId="0" applyFont="1" applyFill="1" applyBorder="1" applyAlignment="1" applyProtection="1">
      <alignment horizontal="center"/>
      <protection locked="0"/>
    </xf>
    <xf numFmtId="0" fontId="43" fillId="2" borderId="33" xfId="0" applyFont="1" applyFill="1" applyBorder="1" applyAlignment="1" applyProtection="1">
      <alignment horizontal="center"/>
      <protection locked="0"/>
    </xf>
    <xf numFmtId="0" fontId="43" fillId="2" borderId="34" xfId="0" applyFont="1" applyFill="1" applyBorder="1" applyAlignment="1" applyProtection="1">
      <alignment horizontal="center"/>
      <protection locked="0"/>
    </xf>
    <xf numFmtId="0" fontId="43" fillId="2" borderId="11" xfId="0" applyFont="1" applyFill="1" applyBorder="1" applyAlignment="1">
      <alignment horizontal="center"/>
    </xf>
    <xf numFmtId="165" fontId="43" fillId="2" borderId="11" xfId="0" applyNumberFormat="1" applyFont="1" applyFill="1" applyBorder="1" applyAlignment="1">
      <alignment horizontal="center"/>
    </xf>
    <xf numFmtId="0" fontId="43" fillId="2" borderId="11" xfId="0" applyFont="1" applyFill="1" applyBorder="1" applyAlignment="1" applyProtection="1">
      <alignment horizontal="center"/>
      <protection locked="0"/>
    </xf>
    <xf numFmtId="1" fontId="43" fillId="2" borderId="11" xfId="0" applyNumberFormat="1" applyFont="1" applyFill="1" applyBorder="1" applyAlignment="1">
      <alignment horizontal="center"/>
    </xf>
    <xf numFmtId="0" fontId="43" fillId="2" borderId="21" xfId="0" applyFont="1" applyFill="1" applyBorder="1" applyAlignment="1">
      <alignment horizontal="center"/>
    </xf>
    <xf numFmtId="165" fontId="43" fillId="2" borderId="21" xfId="0" applyNumberFormat="1" applyFont="1" applyFill="1" applyBorder="1" applyAlignment="1">
      <alignment horizontal="center"/>
    </xf>
    <xf numFmtId="0" fontId="48" fillId="13" borderId="22" xfId="0" applyFont="1" applyFill="1" applyBorder="1" applyAlignment="1">
      <alignment horizontal="center" vertical="center"/>
    </xf>
    <xf numFmtId="0" fontId="48" fillId="13" borderId="23" xfId="0" applyFont="1" applyFill="1" applyBorder="1" applyAlignment="1">
      <alignment horizontal="center" vertical="center"/>
    </xf>
    <xf numFmtId="0" fontId="48" fillId="13" borderId="24" xfId="0" applyFont="1" applyFill="1" applyBorder="1" applyAlignment="1">
      <alignment horizontal="center" vertical="center"/>
    </xf>
    <xf numFmtId="0" fontId="48" fillId="13" borderId="41" xfId="0" applyFont="1" applyFill="1" applyBorder="1" applyAlignment="1">
      <alignment horizontal="center" vertical="center" wrapText="1"/>
    </xf>
    <xf numFmtId="0" fontId="43" fillId="2" borderId="19" xfId="0" applyFont="1" applyFill="1" applyBorder="1" applyAlignment="1">
      <alignment horizontal="center" vertical="center"/>
    </xf>
    <xf numFmtId="0" fontId="43" fillId="2" borderId="0" xfId="0" applyFont="1" applyFill="1" applyAlignment="1">
      <alignment horizontal="center" vertical="center"/>
    </xf>
    <xf numFmtId="0" fontId="43" fillId="11" borderId="11" xfId="0" applyFont="1" applyFill="1" applyBorder="1" applyAlignment="1" applyProtection="1">
      <alignment horizontal="center" vertical="center"/>
      <protection locked="0"/>
    </xf>
    <xf numFmtId="14" fontId="43" fillId="2" borderId="21" xfId="0" applyNumberFormat="1" applyFont="1" applyFill="1" applyBorder="1" applyAlignment="1">
      <alignment horizontal="center" vertical="center" wrapText="1"/>
    </xf>
    <xf numFmtId="0" fontId="43" fillId="11" borderId="21" xfId="0" applyFont="1" applyFill="1" applyBorder="1" applyAlignment="1" applyProtection="1">
      <alignment horizontal="center" vertical="center"/>
      <protection locked="0"/>
    </xf>
    <xf numFmtId="14" fontId="43" fillId="2" borderId="21" xfId="0" applyNumberFormat="1" applyFont="1" applyFill="1" applyBorder="1" applyAlignment="1" applyProtection="1">
      <alignment horizontal="center"/>
      <protection locked="0"/>
    </xf>
    <xf numFmtId="0" fontId="42" fillId="2" borderId="19" xfId="0" applyFont="1" applyFill="1" applyBorder="1" applyAlignment="1" applyProtection="1">
      <alignment horizontal="left" vertical="center"/>
      <protection locked="0"/>
    </xf>
    <xf numFmtId="0" fontId="42" fillId="2" borderId="0" xfId="0" applyFont="1" applyFill="1" applyAlignment="1" applyProtection="1">
      <alignment horizontal="left" vertical="center"/>
      <protection locked="0"/>
    </xf>
    <xf numFmtId="0" fontId="43" fillId="2" borderId="27" xfId="0" applyFont="1" applyFill="1" applyBorder="1" applyAlignment="1" applyProtection="1">
      <alignment horizontal="center" textRotation="255"/>
      <protection locked="0"/>
    </xf>
    <xf numFmtId="0" fontId="43" fillId="2" borderId="28" xfId="0" applyFont="1" applyFill="1" applyBorder="1" applyAlignment="1" applyProtection="1">
      <alignment horizontal="center" textRotation="255"/>
      <protection locked="0"/>
    </xf>
    <xf numFmtId="0" fontId="43" fillId="2" borderId="29" xfId="0" applyFont="1" applyFill="1" applyBorder="1" applyAlignment="1" applyProtection="1">
      <alignment horizontal="center" textRotation="255"/>
      <protection locked="0"/>
    </xf>
    <xf numFmtId="0" fontId="43" fillId="2" borderId="30" xfId="0" applyFont="1" applyFill="1" applyBorder="1" applyAlignment="1" applyProtection="1">
      <alignment horizontal="center" textRotation="255"/>
      <protection locked="0"/>
    </xf>
    <xf numFmtId="0" fontId="43" fillId="2" borderId="3" xfId="0" applyFont="1" applyFill="1" applyBorder="1" applyAlignment="1" applyProtection="1">
      <alignment horizontal="center" textRotation="255"/>
      <protection locked="0"/>
    </xf>
    <xf numFmtId="0" fontId="43" fillId="2" borderId="31" xfId="0" applyFont="1" applyFill="1" applyBorder="1" applyAlignment="1" applyProtection="1">
      <alignment horizontal="center" textRotation="255"/>
      <protection locked="0"/>
    </xf>
    <xf numFmtId="0" fontId="43" fillId="2" borderId="32" xfId="0" applyFont="1" applyFill="1" applyBorder="1" applyAlignment="1" applyProtection="1">
      <alignment horizontal="center" textRotation="255"/>
      <protection locked="0"/>
    </xf>
    <xf numFmtId="0" fontId="43" fillId="2" borderId="33" xfId="0" applyFont="1" applyFill="1" applyBorder="1" applyAlignment="1" applyProtection="1">
      <alignment horizontal="center" textRotation="255"/>
      <protection locked="0"/>
    </xf>
    <xf numFmtId="0" fontId="43" fillId="2" borderId="34" xfId="0" applyFont="1" applyFill="1" applyBorder="1" applyAlignment="1" applyProtection="1">
      <alignment horizontal="center" textRotation="255"/>
      <protection locked="0"/>
    </xf>
    <xf numFmtId="0" fontId="43" fillId="2" borderId="27" xfId="0" applyFont="1" applyFill="1" applyBorder="1" applyAlignment="1" applyProtection="1">
      <alignment horizontal="center" vertical="center"/>
      <protection locked="0"/>
    </xf>
    <xf numFmtId="0" fontId="43" fillId="2" borderId="28" xfId="0" applyFont="1" applyFill="1" applyBorder="1" applyAlignment="1" applyProtection="1">
      <alignment horizontal="center" vertical="center"/>
      <protection locked="0"/>
    </xf>
    <xf numFmtId="0" fontId="43" fillId="2" borderId="29" xfId="0" applyFont="1" applyFill="1" applyBorder="1" applyAlignment="1" applyProtection="1">
      <alignment horizontal="center" vertical="center"/>
      <protection locked="0"/>
    </xf>
    <xf numFmtId="0" fontId="43" fillId="2" borderId="30" xfId="0" applyFont="1" applyFill="1" applyBorder="1" applyAlignment="1" applyProtection="1">
      <alignment horizontal="center" vertical="center"/>
      <protection locked="0"/>
    </xf>
    <xf numFmtId="0" fontId="43" fillId="2" borderId="3" xfId="0" applyFont="1" applyFill="1" applyBorder="1" applyAlignment="1" applyProtection="1">
      <alignment horizontal="center" vertical="center"/>
      <protection locked="0"/>
    </xf>
    <xf numFmtId="0" fontId="43" fillId="2" borderId="31" xfId="0" applyFont="1" applyFill="1" applyBorder="1" applyAlignment="1" applyProtection="1">
      <alignment horizontal="center" vertical="center"/>
      <protection locked="0"/>
    </xf>
    <xf numFmtId="0" fontId="43" fillId="2" borderId="32" xfId="0" applyFont="1" applyFill="1" applyBorder="1" applyAlignment="1" applyProtection="1">
      <alignment horizontal="center" vertical="center"/>
      <protection locked="0"/>
    </xf>
    <xf numFmtId="0" fontId="43" fillId="2" borderId="33" xfId="0" applyFont="1" applyFill="1" applyBorder="1" applyAlignment="1" applyProtection="1">
      <alignment horizontal="center" vertical="center"/>
      <protection locked="0"/>
    </xf>
    <xf numFmtId="0" fontId="43" fillId="2" borderId="34" xfId="0" applyFont="1" applyFill="1" applyBorder="1" applyAlignment="1" applyProtection="1">
      <alignment horizontal="center" vertical="center"/>
      <protection locked="0"/>
    </xf>
    <xf numFmtId="0" fontId="48" fillId="13" borderId="47" xfId="0" applyFont="1" applyFill="1" applyBorder="1" applyAlignment="1">
      <alignment horizontal="center" vertical="center"/>
    </xf>
    <xf numFmtId="0" fontId="48" fillId="13" borderId="48" xfId="0" applyFont="1" applyFill="1" applyBorder="1" applyAlignment="1">
      <alignment horizontal="center" vertical="center"/>
    </xf>
    <xf numFmtId="0" fontId="48" fillId="13" borderId="49" xfId="0" applyFont="1" applyFill="1" applyBorder="1" applyAlignment="1">
      <alignment horizontal="center" vertical="center"/>
    </xf>
    <xf numFmtId="0" fontId="48" fillId="13" borderId="42" xfId="0" applyFont="1" applyFill="1" applyBorder="1" applyAlignment="1">
      <alignment horizontal="center" vertical="center"/>
    </xf>
    <xf numFmtId="0" fontId="48" fillId="13" borderId="43" xfId="0" applyFont="1" applyFill="1" applyBorder="1" applyAlignment="1">
      <alignment horizontal="center" vertical="center"/>
    </xf>
    <xf numFmtId="0" fontId="48" fillId="13" borderId="44" xfId="0" applyFont="1" applyFill="1" applyBorder="1" applyAlignment="1">
      <alignment horizontal="center" vertical="center"/>
    </xf>
    <xf numFmtId="0" fontId="43" fillId="2" borderId="45" xfId="0" applyFont="1" applyFill="1" applyBorder="1" applyAlignment="1" applyProtection="1">
      <alignment horizontal="center" textRotation="255"/>
      <protection locked="0"/>
    </xf>
    <xf numFmtId="0" fontId="43" fillId="2" borderId="10" xfId="0" applyFont="1" applyFill="1" applyBorder="1" applyAlignment="1" applyProtection="1">
      <alignment horizontal="center" textRotation="255"/>
      <protection locked="0"/>
    </xf>
    <xf numFmtId="0" fontId="43" fillId="2" borderId="46" xfId="0" applyFont="1" applyFill="1" applyBorder="1" applyAlignment="1" applyProtection="1">
      <alignment horizontal="center" textRotation="255"/>
      <protection locked="0"/>
    </xf>
    <xf numFmtId="0" fontId="43" fillId="2" borderId="35" xfId="0" applyFont="1" applyFill="1" applyBorder="1" applyAlignment="1" applyProtection="1">
      <alignment horizontal="center" textRotation="255"/>
      <protection locked="0"/>
    </xf>
    <xf numFmtId="0" fontId="43" fillId="2" borderId="5" xfId="0" applyFont="1" applyFill="1" applyBorder="1" applyAlignment="1" applyProtection="1">
      <alignment horizontal="center" textRotation="255"/>
      <protection locked="0"/>
    </xf>
    <xf numFmtId="0" fontId="43" fillId="2" borderId="36" xfId="0" applyFont="1" applyFill="1" applyBorder="1" applyAlignment="1" applyProtection="1">
      <alignment horizontal="center" textRotation="255"/>
      <protection locked="0"/>
    </xf>
    <xf numFmtId="0" fontId="42" fillId="2" borderId="19" xfId="0" applyFont="1" applyFill="1" applyBorder="1" applyAlignment="1" applyProtection="1">
      <alignment horizontal="left" vertical="top"/>
      <protection locked="0"/>
    </xf>
    <xf numFmtId="0" fontId="42" fillId="2" borderId="0" xfId="0" applyFont="1" applyFill="1" applyAlignment="1" applyProtection="1">
      <alignment horizontal="left" vertical="top"/>
      <protection locked="0"/>
    </xf>
    <xf numFmtId="14" fontId="43" fillId="2" borderId="11" xfId="0" applyNumberFormat="1" applyFont="1" applyFill="1" applyBorder="1" applyAlignment="1">
      <alignment horizontal="center"/>
    </xf>
    <xf numFmtId="0" fontId="42" fillId="2" borderId="0" xfId="0" applyFont="1" applyFill="1" applyAlignment="1">
      <alignment horizontal="center" vertical="center" wrapText="1"/>
    </xf>
    <xf numFmtId="0" fontId="42" fillId="2" borderId="0" xfId="0" applyFont="1" applyFill="1" applyAlignment="1">
      <alignment horizontal="center" vertical="center"/>
    </xf>
    <xf numFmtId="166" fontId="39" fillId="2" borderId="0" xfId="0" applyNumberFormat="1" applyFont="1" applyFill="1" applyAlignment="1">
      <alignment horizontal="center"/>
    </xf>
    <xf numFmtId="0" fontId="39" fillId="2" borderId="0" xfId="0" applyFont="1" applyFill="1" applyAlignment="1">
      <alignment horizontal="center"/>
    </xf>
    <xf numFmtId="0" fontId="43" fillId="2" borderId="17" xfId="0" applyFont="1" applyFill="1" applyBorder="1" applyAlignment="1">
      <alignment horizontal="center" vertical="center"/>
    </xf>
    <xf numFmtId="0" fontId="43" fillId="2" borderId="18" xfId="0" applyFont="1" applyFill="1" applyBorder="1" applyAlignment="1">
      <alignment horizontal="center" vertical="center"/>
    </xf>
    <xf numFmtId="14" fontId="43" fillId="2" borderId="11" xfId="0" applyNumberFormat="1" applyFont="1" applyFill="1" applyBorder="1" applyAlignment="1">
      <alignment horizontal="center" vertical="center" wrapText="1"/>
    </xf>
    <xf numFmtId="1" fontId="43" fillId="2" borderId="21" xfId="0" applyNumberFormat="1" applyFont="1" applyFill="1" applyBorder="1" applyAlignment="1">
      <alignment horizontal="center"/>
    </xf>
    <xf numFmtId="0" fontId="49" fillId="13" borderId="41" xfId="0" applyFont="1" applyFill="1" applyBorder="1" applyAlignment="1">
      <alignment horizontal="center" vertical="center" wrapText="1"/>
    </xf>
    <xf numFmtId="0" fontId="43" fillId="2" borderId="14" xfId="0" applyFont="1" applyFill="1" applyBorder="1" applyAlignment="1" applyProtection="1">
      <alignment horizontal="center" vertical="center"/>
      <protection locked="0"/>
    </xf>
    <xf numFmtId="0" fontId="43" fillId="2" borderId="13" xfId="0" applyFont="1" applyFill="1" applyBorder="1" applyAlignment="1" applyProtection="1">
      <alignment horizontal="center" vertical="center"/>
      <protection locked="0"/>
    </xf>
    <xf numFmtId="0" fontId="42" fillId="2" borderId="11" xfId="0" applyFont="1" applyFill="1" applyBorder="1" applyAlignment="1">
      <alignment horizontal="left" vertical="center"/>
    </xf>
    <xf numFmtId="0" fontId="43" fillId="2" borderId="11" xfId="0" applyFont="1" applyFill="1" applyBorder="1" applyAlignment="1">
      <alignment horizontal="center" vertical="center"/>
    </xf>
    <xf numFmtId="0" fontId="43" fillId="2" borderId="11" xfId="0" applyFont="1" applyFill="1" applyBorder="1" applyAlignment="1" applyProtection="1">
      <alignment horizontal="center" vertical="center" wrapText="1"/>
      <protection locked="0"/>
    </xf>
    <xf numFmtId="0" fontId="43" fillId="11" borderId="11" xfId="0" applyFont="1" applyFill="1" applyBorder="1" applyAlignment="1">
      <alignment horizontal="center" vertical="center" wrapText="1"/>
    </xf>
    <xf numFmtId="0" fontId="42" fillId="2" borderId="11" xfId="0" applyFont="1" applyFill="1" applyBorder="1" applyAlignment="1">
      <alignment horizontal="center" vertical="center" wrapText="1"/>
    </xf>
    <xf numFmtId="12" fontId="43" fillId="2" borderId="11" xfId="0" quotePrefix="1" applyNumberFormat="1" applyFont="1" applyFill="1" applyBorder="1" applyAlignment="1">
      <alignment horizontal="center" vertical="center"/>
    </xf>
    <xf numFmtId="0" fontId="42" fillId="2" borderId="11" xfId="0" applyFont="1" applyFill="1" applyBorder="1" applyAlignment="1">
      <alignment horizontal="left" vertical="center" wrapText="1"/>
    </xf>
    <xf numFmtId="12" fontId="43" fillId="2" borderId="11" xfId="0" applyNumberFormat="1" applyFont="1" applyFill="1" applyBorder="1" applyAlignment="1">
      <alignment horizontal="center" vertical="center"/>
    </xf>
    <xf numFmtId="49" fontId="43" fillId="2" borderId="11" xfId="0" applyNumberFormat="1" applyFont="1" applyFill="1" applyBorder="1" applyAlignment="1">
      <alignment horizontal="center" vertical="center"/>
    </xf>
    <xf numFmtId="0" fontId="42" fillId="2" borderId="21" xfId="0" applyFont="1" applyFill="1" applyBorder="1" applyAlignment="1">
      <alignment horizontal="left" vertical="center" wrapText="1"/>
    </xf>
    <xf numFmtId="0" fontId="44" fillId="2" borderId="21" xfId="0" applyFont="1" applyFill="1" applyBorder="1" applyAlignment="1">
      <alignment horizontal="center" vertical="center" wrapText="1"/>
    </xf>
    <xf numFmtId="0" fontId="43" fillId="2" borderId="21" xfId="0" applyFont="1" applyFill="1" applyBorder="1" applyAlignment="1">
      <alignment horizontal="center" vertical="center"/>
    </xf>
    <xf numFmtId="0" fontId="43" fillId="2" borderId="21" xfId="0" applyFont="1" applyFill="1" applyBorder="1" applyAlignment="1" applyProtection="1">
      <alignment horizontal="center" vertical="center" wrapText="1"/>
      <protection locked="0"/>
    </xf>
    <xf numFmtId="0" fontId="3" fillId="2" borderId="0" xfId="0" applyFont="1" applyFill="1" applyAlignment="1">
      <alignment horizontal="center" vertical="center" wrapText="1"/>
    </xf>
    <xf numFmtId="0" fontId="48" fillId="13" borderId="41" xfId="0" applyFont="1" applyFill="1" applyBorder="1" applyAlignment="1" applyProtection="1">
      <alignment horizontal="center" vertical="center"/>
      <protection locked="0"/>
    </xf>
    <xf numFmtId="0" fontId="44" fillId="2" borderId="11" xfId="0" applyFont="1" applyFill="1" applyBorder="1" applyAlignment="1">
      <alignment horizontal="center" vertical="center"/>
    </xf>
    <xf numFmtId="0" fontId="44" fillId="2" borderId="11" xfId="0" applyFont="1" applyFill="1" applyBorder="1" applyAlignment="1" applyProtection="1">
      <alignment horizontal="left" vertical="center" wrapText="1"/>
      <protection locked="0"/>
    </xf>
    <xf numFmtId="0" fontId="2" fillId="2" borderId="0" xfId="0" applyFont="1" applyFill="1" applyAlignment="1">
      <alignment horizontal="center" vertical="center"/>
    </xf>
    <xf numFmtId="0" fontId="52" fillId="2" borderId="0" xfId="0" applyFont="1" applyFill="1" applyAlignment="1">
      <alignment horizontal="center" vertical="center"/>
    </xf>
    <xf numFmtId="49" fontId="48" fillId="13" borderId="12" xfId="0" applyNumberFormat="1" applyFont="1" applyFill="1" applyBorder="1" applyAlignment="1">
      <alignment horizontal="center" vertical="center"/>
    </xf>
    <xf numFmtId="49" fontId="48" fillId="13" borderId="14" xfId="0" applyNumberFormat="1" applyFont="1" applyFill="1" applyBorder="1" applyAlignment="1">
      <alignment horizontal="center" vertical="center"/>
    </xf>
    <xf numFmtId="49" fontId="48" fillId="13" borderId="13" xfId="0" applyNumberFormat="1" applyFont="1" applyFill="1" applyBorder="1" applyAlignment="1">
      <alignment horizontal="center" vertical="center"/>
    </xf>
    <xf numFmtId="0" fontId="44" fillId="2" borderId="21" xfId="0" applyFont="1" applyFill="1" applyBorder="1" applyAlignment="1">
      <alignment horizontal="center" vertical="center"/>
    </xf>
    <xf numFmtId="0" fontId="44" fillId="2" borderId="21" xfId="0" applyFont="1" applyFill="1" applyBorder="1" applyAlignment="1" applyProtection="1">
      <alignment horizontal="left" vertical="center" wrapText="1"/>
      <protection locked="0"/>
    </xf>
    <xf numFmtId="0" fontId="44" fillId="2" borderId="11" xfId="0" applyFont="1" applyFill="1" applyBorder="1" applyAlignment="1" applyProtection="1">
      <alignment horizontal="center" vertical="center"/>
      <protection locked="0"/>
    </xf>
    <xf numFmtId="0" fontId="44" fillId="2" borderId="11" xfId="0" applyFont="1" applyFill="1" applyBorder="1" applyAlignment="1" applyProtection="1">
      <alignment horizontal="left" vertical="center"/>
      <protection locked="0"/>
    </xf>
    <xf numFmtId="0" fontId="44" fillId="2" borderId="21" xfId="0" applyFont="1" applyFill="1" applyBorder="1" applyAlignment="1" applyProtection="1">
      <alignment horizontal="center" vertical="center"/>
      <protection locked="0"/>
    </xf>
    <xf numFmtId="0" fontId="44" fillId="2" borderId="21" xfId="0" applyFont="1" applyFill="1" applyBorder="1" applyAlignment="1" applyProtection="1">
      <alignment horizontal="left" vertical="center"/>
      <protection locked="0"/>
    </xf>
    <xf numFmtId="0" fontId="44" fillId="2" borderId="11" xfId="0" applyFont="1" applyFill="1" applyBorder="1" applyAlignment="1" applyProtection="1">
      <alignment horizontal="center" vertical="center" wrapText="1"/>
      <protection locked="0"/>
    </xf>
    <xf numFmtId="0" fontId="44" fillId="2" borderId="11" xfId="0" applyFont="1" applyFill="1" applyBorder="1" applyAlignment="1">
      <alignment horizontal="center" vertical="center" wrapText="1"/>
    </xf>
    <xf numFmtId="0" fontId="44" fillId="11" borderId="11" xfId="0" applyFont="1" applyFill="1" applyBorder="1" applyAlignment="1">
      <alignment horizontal="center" vertical="center" wrapText="1"/>
    </xf>
    <xf numFmtId="0" fontId="44" fillId="2" borderId="21" xfId="0" applyFont="1" applyFill="1" applyBorder="1" applyAlignment="1" applyProtection="1">
      <alignment horizontal="center" vertical="center" wrapText="1"/>
      <protection locked="0"/>
    </xf>
    <xf numFmtId="0" fontId="44" fillId="11" borderId="21" xfId="0" applyFont="1" applyFill="1" applyBorder="1" applyAlignment="1">
      <alignment horizontal="center" vertical="center" wrapText="1"/>
    </xf>
    <xf numFmtId="49" fontId="43" fillId="2" borderId="11" xfId="0" applyNumberFormat="1" applyFont="1" applyFill="1" applyBorder="1" applyAlignment="1" applyProtection="1">
      <alignment horizontal="center" vertical="center"/>
      <protection locked="0"/>
    </xf>
    <xf numFmtId="49" fontId="43" fillId="2" borderId="11" xfId="0" quotePrefix="1" applyNumberFormat="1" applyFont="1" applyFill="1" applyBorder="1" applyAlignment="1" applyProtection="1">
      <alignment horizontal="center" vertical="center"/>
      <protection locked="0"/>
    </xf>
    <xf numFmtId="0" fontId="39" fillId="13" borderId="41" xfId="0" applyFont="1" applyFill="1" applyBorder="1" applyAlignment="1">
      <alignment horizontal="center" vertical="center"/>
    </xf>
    <xf numFmtId="170" fontId="43" fillId="2" borderId="12" xfId="0" quotePrefix="1" applyNumberFormat="1" applyFont="1" applyFill="1" applyBorder="1" applyAlignment="1" applyProtection="1">
      <alignment horizontal="center" vertical="center" wrapText="1"/>
      <protection locked="0"/>
    </xf>
    <xf numFmtId="170" fontId="43" fillId="2" borderId="14" xfId="0" quotePrefix="1" applyNumberFormat="1" applyFont="1" applyFill="1" applyBorder="1" applyAlignment="1" applyProtection="1">
      <alignment horizontal="center" vertical="center" wrapText="1"/>
      <protection locked="0"/>
    </xf>
    <xf numFmtId="170" fontId="43" fillId="2" borderId="13" xfId="0" quotePrefix="1" applyNumberFormat="1" applyFont="1" applyFill="1" applyBorder="1" applyAlignment="1" applyProtection="1">
      <alignment horizontal="center" vertical="center" wrapText="1"/>
      <protection locked="0"/>
    </xf>
    <xf numFmtId="0" fontId="50" fillId="13" borderId="41" xfId="0" applyFont="1" applyFill="1" applyBorder="1" applyAlignment="1">
      <alignment horizontal="center" vertical="center" wrapText="1"/>
    </xf>
    <xf numFmtId="49" fontId="48" fillId="13" borderId="41" xfId="0" applyNumberFormat="1" applyFont="1" applyFill="1" applyBorder="1" applyAlignment="1">
      <alignment horizontal="center" vertical="center" wrapText="1"/>
    </xf>
    <xf numFmtId="170" fontId="43" fillId="2" borderId="21" xfId="0" quotePrefix="1" applyNumberFormat="1" applyFont="1" applyFill="1" applyBorder="1" applyAlignment="1" applyProtection="1">
      <alignment horizontal="center" vertical="center" wrapText="1"/>
      <protection locked="0"/>
    </xf>
    <xf numFmtId="49" fontId="43" fillId="2" borderId="21" xfId="0" applyNumberFormat="1" applyFont="1" applyFill="1" applyBorder="1" applyAlignment="1" applyProtection="1">
      <alignment horizontal="center" vertical="center"/>
      <protection locked="0"/>
    </xf>
    <xf numFmtId="49" fontId="43" fillId="2" borderId="21" xfId="0" quotePrefix="1" applyNumberFormat="1" applyFont="1" applyFill="1" applyBorder="1" applyAlignment="1" applyProtection="1">
      <alignment horizontal="center" vertical="center"/>
      <protection locked="0"/>
    </xf>
    <xf numFmtId="0" fontId="25" fillId="2" borderId="0" xfId="0" applyFont="1" applyFill="1" applyAlignment="1">
      <alignment horizontal="center" vertical="center" wrapText="1"/>
    </xf>
    <xf numFmtId="0" fontId="48" fillId="13" borderId="41" xfId="0" applyFont="1" applyFill="1" applyBorder="1" applyAlignment="1" applyProtection="1">
      <alignment horizontal="center" vertical="center" wrapText="1"/>
      <protection locked="0"/>
    </xf>
    <xf numFmtId="14" fontId="43" fillId="2" borderId="21" xfId="0" applyNumberFormat="1" applyFont="1" applyFill="1" applyBorder="1" applyAlignment="1">
      <alignment horizontal="center" vertical="center"/>
    </xf>
    <xf numFmtId="20" fontId="43" fillId="2" borderId="21" xfId="0" applyNumberFormat="1" applyFont="1" applyFill="1" applyBorder="1" applyAlignment="1" applyProtection="1">
      <alignment horizontal="center" vertical="center"/>
      <protection locked="0"/>
    </xf>
    <xf numFmtId="0" fontId="43" fillId="0" borderId="19" xfId="0" applyFont="1" applyBorder="1" applyAlignment="1">
      <alignment horizontal="center" wrapText="1"/>
    </xf>
    <xf numFmtId="0" fontId="43" fillId="0" borderId="21" xfId="0" applyFont="1" applyBorder="1" applyAlignment="1">
      <alignment horizontal="center" wrapText="1"/>
    </xf>
    <xf numFmtId="0" fontId="43" fillId="0" borderId="11" xfId="0" applyFont="1" applyBorder="1" applyAlignment="1">
      <alignment horizontal="center" wrapText="1"/>
    </xf>
    <xf numFmtId="0" fontId="46" fillId="13" borderId="41" xfId="0" applyFont="1" applyFill="1" applyBorder="1" applyAlignment="1">
      <alignment horizontal="center" vertical="center" wrapText="1"/>
    </xf>
    <xf numFmtId="0" fontId="43" fillId="0" borderId="21" xfId="0" applyFont="1" applyBorder="1" applyAlignment="1">
      <alignment horizontal="center" vertical="center" wrapText="1"/>
    </xf>
    <xf numFmtId="0" fontId="43" fillId="0" borderId="11" xfId="0" applyFont="1" applyBorder="1" applyAlignment="1">
      <alignment horizontal="center" vertical="center" wrapText="1"/>
    </xf>
    <xf numFmtId="0" fontId="51" fillId="13" borderId="41" xfId="0" applyFont="1" applyFill="1" applyBorder="1" applyAlignment="1">
      <alignment horizontal="center" vertical="center" wrapText="1"/>
    </xf>
    <xf numFmtId="0" fontId="45" fillId="0" borderId="0" xfId="0" applyFont="1" applyAlignment="1">
      <alignment horizontal="left"/>
    </xf>
  </cellXfs>
  <cellStyles count="2">
    <cellStyle name="Normal" xfId="0" builtinId="0"/>
    <cellStyle name="Normal_Hoja2" xfId="1" xr:uid="{263FD503-47C4-4FB8-B520-AE4AB03FBB1F}"/>
  </cellStyles>
  <dxfs count="45">
    <dxf>
      <font>
        <color rgb="FF9C0006"/>
      </font>
      <fill>
        <patternFill>
          <bgColor rgb="FFFFC7CE"/>
        </patternFill>
      </fill>
    </dxf>
    <dxf>
      <font>
        <color theme="0"/>
      </font>
      <fill>
        <patternFill>
          <bgColor rgb="FFC00000"/>
        </patternFill>
      </fill>
    </dxf>
    <dxf>
      <font>
        <color theme="0"/>
      </font>
      <fill>
        <patternFill>
          <bgColor rgb="FFC00000"/>
        </patternFill>
      </fill>
    </dxf>
    <dxf>
      <fill>
        <patternFill>
          <bgColor rgb="FFFFCC99"/>
        </patternFill>
      </fill>
    </dxf>
    <dxf>
      <font>
        <color rgb="FF9C0006"/>
      </font>
      <fill>
        <patternFill>
          <bgColor rgb="FFFFC7CE"/>
        </patternFill>
      </fill>
    </dxf>
    <dxf>
      <font>
        <color theme="0"/>
      </font>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C00000"/>
      </font>
      <fill>
        <patternFill>
          <bgColor rgb="FFFFCCCC"/>
        </patternFill>
      </fill>
    </dxf>
    <dxf>
      <font>
        <b/>
        <i val="0"/>
        <color rgb="FFC00000"/>
      </font>
      <fill>
        <patternFill>
          <bgColor rgb="FFFFCCCC"/>
        </patternFill>
      </fill>
    </dxf>
    <dxf>
      <font>
        <color rgb="FF9C0006"/>
      </font>
      <fill>
        <patternFill>
          <bgColor rgb="FFFFC7CE"/>
        </patternFill>
      </fill>
    </dxf>
    <dxf>
      <font>
        <color rgb="FF9C0006"/>
      </font>
      <fill>
        <patternFill>
          <bgColor rgb="FFFFC7CE"/>
        </patternFill>
      </fill>
    </dxf>
    <dxf>
      <font>
        <color theme="0"/>
      </font>
      <fill>
        <patternFill>
          <bgColor rgb="FFC00000"/>
        </patternFill>
      </fill>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9.5"/>
        <color theme="1"/>
        <name val="Calibri"/>
        <family val="2"/>
        <scheme val="minor"/>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numFmt numFmtId="168" formatCode="[$-240A]d&quot; de &quot;mmmm&quot; de &quot;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5"/>
      </font>
    </dxf>
    <dxf>
      <font>
        <b val="0"/>
        <i val="0"/>
        <strike val="0"/>
        <condense val="0"/>
        <extend val="0"/>
        <outline val="0"/>
        <shadow val="0"/>
        <u val="none"/>
        <vertAlign val="baseline"/>
        <sz val="9.5"/>
        <color theme="1"/>
        <name val="Calibri"/>
        <family val="2"/>
        <scheme val="minor"/>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numFmt numFmtId="0" formatCode="General"/>
      <alignment horizontal="center" vertical="center" textRotation="0" wrapText="0" indent="0" justifyLastLine="0" shrinkToFit="0" readingOrder="0"/>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s>
  <tableStyles count="0" defaultTableStyle="TableStyleMedium2" defaultPivotStyle="PivotStyleLight16"/>
  <colors>
    <mruColors>
      <color rgb="FFE8A046"/>
      <color rgb="FFFFCC99"/>
      <color rgb="FFFFCCCC"/>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checked="Checked" lockText="1"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9525</xdr:colOff>
      <xdr:row>74</xdr:row>
      <xdr:rowOff>0</xdr:rowOff>
    </xdr:from>
    <xdr:to>
      <xdr:col>35</xdr:col>
      <xdr:colOff>0</xdr:colOff>
      <xdr:row>74</xdr:row>
      <xdr:rowOff>0</xdr:rowOff>
    </xdr:to>
    <xdr:cxnSp macro="">
      <xdr:nvCxnSpPr>
        <xdr:cNvPr id="9" name="Conector recto 8">
          <a:extLst>
            <a:ext uri="{FF2B5EF4-FFF2-40B4-BE49-F238E27FC236}">
              <a16:creationId xmlns:a16="http://schemas.microsoft.com/office/drawing/2014/main" id="{00000000-0008-0000-0100-000009000000}"/>
            </a:ext>
          </a:extLst>
        </xdr:cNvPr>
        <xdr:cNvCxnSpPr/>
      </xdr:nvCxnSpPr>
      <xdr:spPr>
        <a:xfrm>
          <a:off x="9525" y="16497300"/>
          <a:ext cx="12401550" cy="0"/>
        </a:xfrm>
        <a:prstGeom prst="line">
          <a:avLst/>
        </a:prstGeom>
        <a:ln>
          <a:solidFill>
            <a:srgbClr val="E8A046"/>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xdr:col>
          <xdr:colOff>38100</xdr:colOff>
          <xdr:row>143</xdr:row>
          <xdr:rowOff>177800</xdr:rowOff>
        </xdr:from>
        <xdr:to>
          <xdr:col>34</xdr:col>
          <xdr:colOff>196850</xdr:colOff>
          <xdr:row>145</xdr:row>
          <xdr:rowOff>76200</xdr:rowOff>
        </xdr:to>
        <xdr:sp macro="" textlink="">
          <xdr:nvSpPr>
            <xdr:cNvPr id="2057" name="Group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82550</xdr:colOff>
          <xdr:row>144</xdr:row>
          <xdr:rowOff>63500</xdr:rowOff>
        </xdr:from>
        <xdr:to>
          <xdr:col>15</xdr:col>
          <xdr:colOff>120650</xdr:colOff>
          <xdr:row>145</xdr:row>
          <xdr:rowOff>76200</xdr:rowOff>
        </xdr:to>
        <xdr:sp macro="" textlink="">
          <xdr:nvSpPr>
            <xdr:cNvPr id="2058" name="Option Butto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228600</xdr:colOff>
          <xdr:row>144</xdr:row>
          <xdr:rowOff>63500</xdr:rowOff>
        </xdr:from>
        <xdr:to>
          <xdr:col>24</xdr:col>
          <xdr:colOff>0</xdr:colOff>
          <xdr:row>145</xdr:row>
          <xdr:rowOff>76200</xdr:rowOff>
        </xdr:to>
        <xdr:sp macro="" textlink="">
          <xdr:nvSpPr>
            <xdr:cNvPr id="2059" name="Option Button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31750</xdr:colOff>
          <xdr:row>144</xdr:row>
          <xdr:rowOff>63500</xdr:rowOff>
        </xdr:from>
        <xdr:to>
          <xdr:col>31</xdr:col>
          <xdr:colOff>76200</xdr:colOff>
          <xdr:row>145</xdr:row>
          <xdr:rowOff>76200</xdr:rowOff>
        </xdr:to>
        <xdr:sp macro="" textlink="">
          <xdr:nvSpPr>
            <xdr:cNvPr id="2060" name="Option Button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101600</xdr:colOff>
          <xdr:row>146</xdr:row>
          <xdr:rowOff>114300</xdr:rowOff>
        </xdr:from>
        <xdr:to>
          <xdr:col>15</xdr:col>
          <xdr:colOff>101600</xdr:colOff>
          <xdr:row>147</xdr:row>
          <xdr:rowOff>139700</xdr:rowOff>
        </xdr:to>
        <xdr:sp macro="" textlink="">
          <xdr:nvSpPr>
            <xdr:cNvPr id="2061" name="Option Button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234950</xdr:colOff>
          <xdr:row>146</xdr:row>
          <xdr:rowOff>114300</xdr:rowOff>
        </xdr:from>
        <xdr:to>
          <xdr:col>24</xdr:col>
          <xdr:colOff>0</xdr:colOff>
          <xdr:row>147</xdr:row>
          <xdr:rowOff>139700</xdr:rowOff>
        </xdr:to>
        <xdr:sp macro="" textlink="">
          <xdr:nvSpPr>
            <xdr:cNvPr id="2062" name="Option Button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38100</xdr:colOff>
          <xdr:row>146</xdr:row>
          <xdr:rowOff>114300</xdr:rowOff>
        </xdr:from>
        <xdr:to>
          <xdr:col>31</xdr:col>
          <xdr:colOff>76200</xdr:colOff>
          <xdr:row>147</xdr:row>
          <xdr:rowOff>139700</xdr:rowOff>
        </xdr:to>
        <xdr:sp macro="" textlink="">
          <xdr:nvSpPr>
            <xdr:cNvPr id="2063" name="Option Button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69850</xdr:colOff>
          <xdr:row>146</xdr:row>
          <xdr:rowOff>38100</xdr:rowOff>
        </xdr:from>
        <xdr:to>
          <xdr:col>34</xdr:col>
          <xdr:colOff>177800</xdr:colOff>
          <xdr:row>148</xdr:row>
          <xdr:rowOff>0</xdr:rowOff>
        </xdr:to>
        <xdr:sp macro="" textlink="">
          <xdr:nvSpPr>
            <xdr:cNvPr id="2064" name="Group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0</xdr:col>
      <xdr:colOff>47625</xdr:colOff>
      <xdr:row>41</xdr:row>
      <xdr:rowOff>28574</xdr:rowOff>
    </xdr:from>
    <xdr:to>
      <xdr:col>34</xdr:col>
      <xdr:colOff>650025</xdr:colOff>
      <xdr:row>67</xdr:row>
      <xdr:rowOff>55084</xdr:rowOff>
    </xdr:to>
    <xdr:grpSp>
      <xdr:nvGrpSpPr>
        <xdr:cNvPr id="2" name="Grupo 1">
          <a:extLst>
            <a:ext uri="{FF2B5EF4-FFF2-40B4-BE49-F238E27FC236}">
              <a16:creationId xmlns:a16="http://schemas.microsoft.com/office/drawing/2014/main" id="{00000000-0008-0000-0100-000002000000}"/>
            </a:ext>
          </a:extLst>
        </xdr:cNvPr>
        <xdr:cNvGrpSpPr/>
      </xdr:nvGrpSpPr>
      <xdr:grpSpPr>
        <a:xfrm>
          <a:off x="44450" y="7594599"/>
          <a:ext cx="12073675" cy="5138260"/>
          <a:chOff x="57150" y="6134099"/>
          <a:chExt cx="11527575" cy="5426401"/>
        </a:xfrm>
      </xdr:grpSpPr>
      <xdr:sp macro="" textlink="">
        <xdr:nvSpPr>
          <xdr:cNvPr id="2095" name="Rectángulo 2094">
            <a:extLst>
              <a:ext uri="{FF2B5EF4-FFF2-40B4-BE49-F238E27FC236}">
                <a16:creationId xmlns:a16="http://schemas.microsoft.com/office/drawing/2014/main" id="{00000000-0008-0000-0100-00002F080000}"/>
              </a:ext>
            </a:extLst>
          </xdr:cNvPr>
          <xdr:cNvSpPr/>
        </xdr:nvSpPr>
        <xdr:spPr>
          <a:xfrm>
            <a:off x="57150" y="6134100"/>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6" name="Rectángulo 2095">
            <a:extLst>
              <a:ext uri="{FF2B5EF4-FFF2-40B4-BE49-F238E27FC236}">
                <a16:creationId xmlns:a16="http://schemas.microsoft.com/office/drawing/2014/main" id="{00000000-0008-0000-0100-000030080000}"/>
              </a:ext>
            </a:extLst>
          </xdr:cNvPr>
          <xdr:cNvSpPr/>
        </xdr:nvSpPr>
        <xdr:spPr>
          <a:xfrm>
            <a:off x="2990850" y="6134099"/>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7" name="Rectángulo 2096">
            <a:extLst>
              <a:ext uri="{FF2B5EF4-FFF2-40B4-BE49-F238E27FC236}">
                <a16:creationId xmlns:a16="http://schemas.microsoft.com/office/drawing/2014/main" id="{00000000-0008-0000-0100-000031080000}"/>
              </a:ext>
            </a:extLst>
          </xdr:cNvPr>
          <xdr:cNvSpPr/>
        </xdr:nvSpPr>
        <xdr:spPr>
          <a:xfrm>
            <a:off x="5905500" y="6143624"/>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8" name="Rectángulo 2097">
            <a:extLst>
              <a:ext uri="{FF2B5EF4-FFF2-40B4-BE49-F238E27FC236}">
                <a16:creationId xmlns:a16="http://schemas.microsoft.com/office/drawing/2014/main" id="{00000000-0008-0000-0100-000032080000}"/>
              </a:ext>
            </a:extLst>
          </xdr:cNvPr>
          <xdr:cNvSpPr/>
        </xdr:nvSpPr>
        <xdr:spPr>
          <a:xfrm>
            <a:off x="8848725" y="6134100"/>
            <a:ext cx="2736000" cy="2330475"/>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3" name="Rectángulo 2102">
            <a:extLst>
              <a:ext uri="{FF2B5EF4-FFF2-40B4-BE49-F238E27FC236}">
                <a16:creationId xmlns:a16="http://schemas.microsoft.com/office/drawing/2014/main" id="{00000000-0008-0000-0100-000037080000}"/>
              </a:ext>
            </a:extLst>
          </xdr:cNvPr>
          <xdr:cNvSpPr/>
        </xdr:nvSpPr>
        <xdr:spPr>
          <a:xfrm>
            <a:off x="1819275" y="856126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4" name="Rectángulo 2103">
            <a:extLst>
              <a:ext uri="{FF2B5EF4-FFF2-40B4-BE49-F238E27FC236}">
                <a16:creationId xmlns:a16="http://schemas.microsoft.com/office/drawing/2014/main" id="{00000000-0008-0000-0100-000038080000}"/>
              </a:ext>
            </a:extLst>
          </xdr:cNvPr>
          <xdr:cNvSpPr/>
        </xdr:nvSpPr>
        <xdr:spPr>
          <a:xfrm>
            <a:off x="4879554" y="856297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5" name="Rectángulo 2104">
            <a:extLst>
              <a:ext uri="{FF2B5EF4-FFF2-40B4-BE49-F238E27FC236}">
                <a16:creationId xmlns:a16="http://schemas.microsoft.com/office/drawing/2014/main" id="{00000000-0008-0000-0100-000039080000}"/>
              </a:ext>
            </a:extLst>
          </xdr:cNvPr>
          <xdr:cNvSpPr/>
        </xdr:nvSpPr>
        <xdr:spPr>
          <a:xfrm>
            <a:off x="8137104" y="8572500"/>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103</xdr:row>
          <xdr:rowOff>0</xdr:rowOff>
        </xdr:from>
        <xdr:to>
          <xdr:col>33</xdr:col>
          <xdr:colOff>787400</xdr:colOff>
          <xdr:row>103</xdr:row>
          <xdr:rowOff>190500</xdr:rowOff>
        </xdr:to>
        <xdr:sp macro="" textlink="">
          <xdr:nvSpPr>
            <xdr:cNvPr id="36865" name="Group Box 1" hidden="1">
              <a:extLst>
                <a:ext uri="{63B3BB69-23CF-44E3-9099-C40C66FF867C}">
                  <a14:compatExt spid="_x0000_s36865"/>
                </a:ext>
                <a:ext uri="{FF2B5EF4-FFF2-40B4-BE49-F238E27FC236}">
                  <a16:creationId xmlns:a16="http://schemas.microsoft.com/office/drawing/2014/main" id="{00000000-0008-0000-0200-000001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6350</xdr:colOff>
          <xdr:row>103</xdr:row>
          <xdr:rowOff>0</xdr:rowOff>
        </xdr:from>
        <xdr:to>
          <xdr:col>33</xdr:col>
          <xdr:colOff>762000</xdr:colOff>
          <xdr:row>103</xdr:row>
          <xdr:rowOff>190500</xdr:rowOff>
        </xdr:to>
        <xdr:sp macro="" textlink="">
          <xdr:nvSpPr>
            <xdr:cNvPr id="36866" name="Group Box 2" hidden="1">
              <a:extLst>
                <a:ext uri="{63B3BB69-23CF-44E3-9099-C40C66FF867C}">
                  <a14:compatExt spid="_x0000_s36866"/>
                </a:ext>
                <a:ext uri="{FF2B5EF4-FFF2-40B4-BE49-F238E27FC236}">
                  <a16:creationId xmlns:a16="http://schemas.microsoft.com/office/drawing/2014/main" id="{00000000-0008-0000-0200-000002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8BBB22-E3E2-44F2-9EB6-12DD722E7D44}" name="COORDENADAS" displayName="COORDENADAS" ref="Q1:AE277" totalsRowShown="0" headerRowDxfId="44" dataDxfId="43">
  <autoFilter ref="Q1:AE277" xr:uid="{848BBB22-E3E2-44F2-9EB6-12DD722E7D44}"/>
  <tableColumns count="15">
    <tableColumn id="1" xr3:uid="{3AD31DC4-B600-46CB-A5D5-12B84E0E13C3}" name="TX_TDT" dataDxfId="42"/>
    <tableColumn id="2" xr3:uid="{CC0594B6-1B38-4D4E-9FA8-A000BC56321A}" name="LAT_D" dataDxfId="41"/>
    <tableColumn id="3" xr3:uid="{C3EAF74C-EA8F-4091-BB60-F03B52533FA6}" name="LONG_D" dataDxfId="40"/>
    <tableColumn id="4" xr3:uid="{CF85320F-4842-4BC6-927D-C17E90BA09EA}" name="Latitud" dataDxfId="39">
      <calculatedColumnFormula>_xlfn.CONCAT(COORDENADAS[[#This Row],[G]],"° ",COORDENADAS[[#This Row],[M]],"' ",FIXED(COORDENADAS[[#This Row],[S]],2),""" ",COORDENADAS[[#This Row],[Norte]])</calculatedColumnFormula>
    </tableColumn>
    <tableColumn id="5" xr3:uid="{63F34688-F2B9-476D-A9A3-57CE13319E0F}" name="G" dataDxfId="38"/>
    <tableColumn id="6" xr3:uid="{3B6DF6B0-B720-48FD-9E5B-BD2C1DDDBB6C}" name="M" dataDxfId="37"/>
    <tableColumn id="7" xr3:uid="{2929DCA4-2B47-4C13-861A-8DA0A9B35963}" name="S" dataDxfId="36"/>
    <tableColumn id="8" xr3:uid="{72784608-B3B5-4896-8CD4-D16A51F2A8BD}" name="Norte" dataDxfId="35"/>
    <tableColumn id="9" xr3:uid="{B43EFF6C-23F0-45CF-B976-C1D6A8915935}" name="Longitud" dataDxfId="34"/>
    <tableColumn id="10" xr3:uid="{AEA53C75-F890-43E0-A79E-A4387FB3FD12}" name="GG" dataDxfId="33"/>
    <tableColumn id="11" xr3:uid="{29ADCF75-ED1C-4859-848F-FC92BBA8B59E}" name="MM" dataDxfId="32"/>
    <tableColumn id="12" xr3:uid="{D259F229-E4F5-4F51-8D76-C3774F2B9251}" name="SS" dataDxfId="31"/>
    <tableColumn id="13" xr3:uid="{6281CEA7-8553-4B04-B0DC-07501424BF59}" name="Weter" dataDxfId="30"/>
    <tableColumn id="14" xr3:uid="{3ABC78E0-0137-4B89-A747-326171068420}" name="UMBRAL" dataDxfId="29"/>
    <tableColumn id="15" xr3:uid="{AFAD4A2A-A0BB-4B82-B06C-8745E7A62424}" name="UMBRAL_2"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0096D5-6AE1-48BD-A45C-200638179515}" name="RESOLUCIONES" displayName="RESOLUCIONES" ref="A100:G644" totalsRowShown="0" headerRowDxfId="27" dataDxfId="26">
  <autoFilter ref="A100:G644" xr:uid="{AB0096D5-6AE1-48BD-A45C-200638179515}"/>
  <tableColumns count="7">
    <tableColumn id="1" xr3:uid="{6F0473BF-044E-4CFD-B658-0D52B1C19615}" name="Nombre de la Estación" dataDxfId="25"/>
    <tableColumn id="2" xr3:uid="{C198F84B-B65B-402A-9F11-A9C5F2A5B21B}" name="LLAVE_X_RES" dataDxfId="24"/>
    <tableColumn id="3" xr3:uid="{5A5D1FE5-E1EE-4274-B472-6EC6B600B0D2}" name="No. Canal" dataDxfId="23"/>
    <tableColumn id="4" xr3:uid="{3B884763-959E-4910-8776-EC2E550907E1}" name="No. Resolución" dataDxfId="22"/>
    <tableColumn id="5" xr3:uid="{D3CEEBEC-B611-46A2-88B0-7B165A0952B0}" name="Fecha Resolución" dataDxfId="21"/>
    <tableColumn id="6" xr3:uid="{E1287FEB-FFBB-4930-BDBF-04D2F0298441}" name="RESUMEN" dataDxfId="20"/>
    <tableColumn id="7" xr3:uid="{A5A75DEB-7036-41F3-BE07-3DA52748F569}" name="FRECUENCIA" dataDxfId="19">
      <calculatedColumnFormula>INDEX($C$2:$D$37,MATCH(RESOLUCIONES[[#This Row],[No. Canal]],$C$2:$C$37,0),2)</calculatedColumnFormula>
    </tableColum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3EE6AC-CCE0-4027-88EB-3513075CA3DF}" name="Tabla3" displayName="Tabla3" ref="A55:A73" totalsRowShown="0" headerRowDxfId="18" dataDxfId="16" headerRowBorderDxfId="17" tableBorderDxfId="15">
  <autoFilter ref="A55:A73" xr:uid="{983EE6AC-CCE0-4027-88EB-3513075CA3DF}"/>
  <tableColumns count="1">
    <tableColumn id="1" xr3:uid="{E7BB7E72-67D1-440E-848A-DE757FCDFDE0}" name="OPERADOR" dataDxfId="14"/>
  </tableColumns>
  <tableStyleInfo name="TableStyleDark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3.vml"/><Relationship Id="rId9"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vmlDrawing" Target="../drawings/vmlDrawing5.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6.vml"/><Relationship Id="rId5" Type="http://schemas.openxmlformats.org/officeDocument/2006/relationships/comments" Target="../comments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AE7F-2BAD-422D-B206-D9CB7F387689}">
  <dimension ref="A1:T28"/>
  <sheetViews>
    <sheetView showGridLines="0" tabSelected="1" view="pageLayout" zoomScale="80" zoomScaleNormal="100" zoomScalePageLayoutView="80" workbookViewId="0"/>
  </sheetViews>
  <sheetFormatPr baseColWidth="10" defaultColWidth="10.90625" defaultRowHeight="13.5" x14ac:dyDescent="0.35"/>
  <cols>
    <col min="1" max="1" width="4" style="59" customWidth="1"/>
    <col min="2" max="2" width="40.6328125" style="59" customWidth="1"/>
    <col min="3" max="3" width="17.08984375" style="59" customWidth="1"/>
    <col min="4" max="4" width="11.453125" style="59" customWidth="1"/>
    <col min="5" max="5" width="10.6328125" style="59" customWidth="1"/>
    <col min="6" max="6" width="12.54296875" style="59" customWidth="1"/>
    <col min="7" max="7" width="21.54296875" style="59" bestFit="1" customWidth="1"/>
    <col min="8" max="8" width="10.08984375" style="59" customWidth="1"/>
    <col min="9" max="9" width="11.36328125" style="59" customWidth="1"/>
    <col min="10" max="10" width="13.08984375" style="59" customWidth="1"/>
    <col min="11" max="17" width="10.6328125" style="59" customWidth="1"/>
    <col min="18" max="19" width="14.08984375" style="59" customWidth="1"/>
    <col min="20" max="20" width="13.90625" style="59" customWidth="1"/>
    <col min="21" max="16384" width="10.90625" style="59"/>
  </cols>
  <sheetData>
    <row r="1" spans="1:20" x14ac:dyDescent="0.35">
      <c r="A1" s="58"/>
      <c r="B1" s="58"/>
      <c r="C1" s="58"/>
      <c r="D1" s="58"/>
      <c r="E1" s="58"/>
      <c r="F1" s="58"/>
      <c r="G1" s="58"/>
      <c r="H1" s="58"/>
      <c r="I1" s="58"/>
      <c r="J1" s="58"/>
      <c r="K1" s="58"/>
      <c r="L1" s="58"/>
      <c r="M1" s="58"/>
      <c r="N1" s="58"/>
      <c r="O1" s="58"/>
      <c r="P1" s="58"/>
      <c r="Q1" s="58"/>
      <c r="R1" s="58"/>
      <c r="S1" s="100"/>
      <c r="T1" s="100"/>
    </row>
    <row r="3" spans="1:20" x14ac:dyDescent="0.35">
      <c r="A3" s="101"/>
      <c r="B3" s="216" t="s">
        <v>0</v>
      </c>
      <c r="C3" s="216"/>
      <c r="D3" s="216"/>
      <c r="E3" s="216"/>
      <c r="F3" s="216"/>
      <c r="G3" s="216" t="s">
        <v>1</v>
      </c>
      <c r="H3" s="216"/>
      <c r="I3" s="216"/>
      <c r="J3" s="216"/>
      <c r="K3" s="216" t="s">
        <v>2</v>
      </c>
      <c r="L3" s="216"/>
      <c r="M3" s="216"/>
      <c r="N3" s="216"/>
      <c r="O3" s="216"/>
      <c r="P3" s="216"/>
      <c r="Q3" s="216"/>
      <c r="R3" s="216"/>
      <c r="S3" s="216"/>
      <c r="T3" s="216"/>
    </row>
    <row r="4" spans="1:20" x14ac:dyDescent="0.35">
      <c r="A4" s="101"/>
      <c r="B4" s="216"/>
      <c r="C4" s="216"/>
      <c r="D4" s="216"/>
      <c r="E4" s="216"/>
      <c r="F4" s="216"/>
      <c r="G4" s="216"/>
      <c r="H4" s="216"/>
      <c r="I4" s="216"/>
      <c r="J4" s="216"/>
      <c r="K4" s="216"/>
      <c r="L4" s="216"/>
      <c r="M4" s="216"/>
      <c r="N4" s="216"/>
      <c r="O4" s="216"/>
      <c r="P4" s="216"/>
      <c r="Q4" s="216"/>
      <c r="R4" s="216"/>
      <c r="S4" s="216"/>
      <c r="T4" s="216"/>
    </row>
    <row r="5" spans="1:20" ht="43" x14ac:dyDescent="0.35">
      <c r="A5" s="101"/>
      <c r="B5" s="193" t="s">
        <v>3</v>
      </c>
      <c r="C5" s="193" t="s">
        <v>4</v>
      </c>
      <c r="D5" s="193" t="s">
        <v>5</v>
      </c>
      <c r="E5" s="193" t="s">
        <v>6</v>
      </c>
      <c r="F5" s="193" t="s">
        <v>7</v>
      </c>
      <c r="G5" s="193" t="s">
        <v>8</v>
      </c>
      <c r="H5" s="193" t="s">
        <v>9</v>
      </c>
      <c r="I5" s="193" t="s">
        <v>10</v>
      </c>
      <c r="J5" s="193" t="s">
        <v>11</v>
      </c>
      <c r="K5" s="193" t="s">
        <v>12</v>
      </c>
      <c r="L5" s="193" t="s">
        <v>13</v>
      </c>
      <c r="M5" s="193" t="s">
        <v>14</v>
      </c>
      <c r="N5" s="193" t="s">
        <v>15</v>
      </c>
      <c r="O5" s="193" t="s">
        <v>16</v>
      </c>
      <c r="P5" s="193" t="s">
        <v>17</v>
      </c>
      <c r="Q5" s="193" t="s">
        <v>18</v>
      </c>
      <c r="R5" s="193" t="s">
        <v>19</v>
      </c>
      <c r="S5" s="193" t="s">
        <v>20</v>
      </c>
      <c r="T5" s="193" t="s">
        <v>21</v>
      </c>
    </row>
    <row r="6" spans="1:20" x14ac:dyDescent="0.35">
      <c r="A6" s="102"/>
      <c r="B6" s="188" t="str" cm="1">
        <f t="array" aca="1" ref="B6" ca="1">IFERROR(INDIRECT($A6 &amp; "!$A$4"),"NA")</f>
        <v>NA</v>
      </c>
      <c r="C6" s="188" t="str" cm="1">
        <f t="array" aca="1" ref="C6" ca="1">IFERROR(INDIRECT($A6 &amp; "!$I$8"),"NA")</f>
        <v>NA</v>
      </c>
      <c r="D6" s="188" t="str" cm="1">
        <f t="array" aca="1" ref="D6" ca="1">IFERROR(INDIRECT($A6 &amp; "!$Q$8"),"NA")</f>
        <v>NA</v>
      </c>
      <c r="E6" s="188" t="str" cm="1">
        <f t="array" aca="1" ref="E6" ca="1">IFERROR(INDIRECT($A6 &amp; "!$L$19"),"NA")</f>
        <v>NA</v>
      </c>
      <c r="F6" s="188" t="str" cm="1">
        <f t="array" aca="1" ref="F6" ca="1" xml:space="preserve"> IF(C6="RCN", IF($A6&lt;&gt;"",IF(
         AND(
             IF(ISNUMBER(INDIRECT($A6 &amp; "!$F$24")), IF(COUNTIF(INDIRECT($A6 &amp; "!$AD$24"),"*"&amp;"ND"&amp;"*")&gt;0,TRUE,FALSE),TRUE),
             IF(ISNUMBER(INDIRECT($A6 &amp; "!$F$25")), IF(COUNTIF(INDIRECT($A6 &amp; "!$AD$25"),"*"&amp;"ND"&amp;"*")&gt;0,TRUE,FALSE),TRUE)
             ),
      "No decodificó",
      IF(
           AND(
                IF(ISNUMBER(INDIRECT($A6 &amp; "!$F$24")), IF(COUNTIF(INDIRECT($A6 &amp; "!$AD$24"),"*"&amp;"No"&amp;"*")&gt;0,TRUE,FALSE),TRUE),
                IF(ISNUMBER(INDIRECT($A6 &amp; "!$F$25")), IF(COUNTIF(INDIRECT($A6 &amp; "!$AD$25"),"*"&amp;"No"&amp;"*")&gt;0,TRUE,FALSE),TRUE)
              ),
        "No Falla",
        "Falla"
)
),"NA"),IF($A6&lt;&gt;"",IF(
         AND(
             IF(ISNUMBER(INDIRECT($A6 &amp; "!$F$24")), IF(COUNTIF(INDIRECT($A6 &amp; "!$AD$24"),"*"&amp;"ND"&amp;"*")&gt;0,TRUE,FALSE),TRUE),
             IF(ISNUMBER(INDIRECT($A6 &amp; "!$F$25")), IF(COUNTIF(INDIRECT($A6 &amp; "!$AD$25"),"*"&amp;"ND"&amp;"*")&gt;0,TRUE,FALSE),TRUE),
             IF(ISNUMBER(INDIRECT($A6 &amp; "!$F$26")), IF(COUNTIF(INDIRECT($A6 &amp; "!$AD$26"),"*"&amp;"ND"&amp;"*")&gt;0,TRUE,FALSE),TRUE)
             ),
      "No decodificó",
      IF(
           AND(
                IF(ISNUMBER(INDIRECT($A6 &amp; "!$F$24")), IF(COUNTIF(INDIRECT($A6 &amp; "!$AD$24"),"*"&amp;"No"&amp;"*")&gt;0,TRUE,FALSE),TRUE),
                IF(ISNUMBER(INDIRECT($A6 &amp; "!$F$25")), IF(COUNTIF(INDIRECT($A6 &amp; "!$AD$25"),"*"&amp;"No"&amp;"*")&gt;0,TRUE,FALSE),TRUE),
                IF(ISNUMBER(INDIRECT($A6 &amp; "!$F$26")), IF(COUNTIF(INDIRECT($A6 &amp; "!$AD$26"),"*"&amp;"No"&amp;"*")&gt;0,TRUE,FALSE),TRUE)
              ),
        "No Falla",
        "Falla"
)
),"NA"))</f>
        <v>NA</v>
      </c>
      <c r="G6" s="188" t="str" cm="1">
        <f t="array" aca="1" ref="G6" ca="1">IFERROR(INDIRECT($A6 &amp; "!$A$8"),"NA")</f>
        <v>NA</v>
      </c>
      <c r="H6" s="189" t="str">
        <f ca="1">IFERROR(INDEX('Información Gral'!$A$31:$AI$38,MATCH(G6,'Información Gral'!$A$31:$A$38,0),9),"NA")</f>
        <v>NA</v>
      </c>
      <c r="I6" s="190" t="str">
        <f ca="1">IFERROR(INDEX('Información Gral'!$A$31:$AI$38,MATCH(G6,'Información Gral'!$A$31:$A$38,0),22),"NA")</f>
        <v>NA</v>
      </c>
      <c r="J6" s="188" t="str" cm="1">
        <f t="array" aca="1" ref="J6" ca="1">IFERROR(INDIRECT($A6 &amp; "!$p$87"),"NA")</f>
        <v>NA</v>
      </c>
      <c r="K6" s="188" t="str" cm="1">
        <f t="array" aca="1" ref="K6" ca="1">IFERROR(INDIRECT($A6 &amp; "!$p$19"),"NA")</f>
        <v>NA</v>
      </c>
      <c r="L6" s="191" t="str" cm="1">
        <f t="array" aca="1" ref="L6" ca="1">IFERROR(INDIRECT($A6 &amp; "!$r$19"),"NA")</f>
        <v>NA</v>
      </c>
      <c r="M6" s="188" t="str" cm="1">
        <f t="array" aca="1" ref="M6" ca="1">IFERROR(INDIRECT($A6 &amp; "!$v$19"),"NA")</f>
        <v>NA</v>
      </c>
      <c r="N6" s="192" t="str" cm="1">
        <f t="array" aca="1" ref="N6" ca="1">IFERROR(INDIRECT($A6 &amp; "!$y$19"),"NA")</f>
        <v>NA</v>
      </c>
      <c r="O6" s="188" t="str" cm="1">
        <f t="array" aca="1" ref="O6" ca="1">IFERROR(INDIRECT($A6 &amp; "!$aa$19"),"NA")</f>
        <v>NA</v>
      </c>
      <c r="P6" s="188" t="str" cm="1">
        <f t="array" aca="1" ref="P6" ca="1">IFERROR(INDIRECT($A6 &amp; "!$Ad$19"),"NA")</f>
        <v>NA</v>
      </c>
      <c r="Q6" s="188" t="str" cm="1">
        <f t="array" aca="1" ref="Q6" ca="1">IFERROR(INDIRECT($A6 &amp; "!$Ag$19"),"NA")</f>
        <v>NA</v>
      </c>
      <c r="R6" s="188" t="str" cm="1">
        <f t="array" aca="1" ref="R6" ca="1">IFERROR(INDIRECT($A6 &amp; "!$o$24"),"NA")</f>
        <v>NA</v>
      </c>
      <c r="S6" s="188" t="str" cm="1">
        <f t="array" aca="1" ref="S6" ca="1">IFERROR(INDIRECT($A6 &amp; "!$q$24"),"NA")</f>
        <v>NA</v>
      </c>
      <c r="T6" s="188" t="str" cm="1">
        <f t="array" aca="1" ref="T6" ca="1">IF(C6="RCN",IF($A6&lt;&gt;"",IF(
         AND(
             IF(ISNUMBER(INDIRECT($A6 &amp; "!$f$24")), IF(COUNTIF(INDIRECT($A6 &amp; "!$Af$24"),"*"&amp;"ND"&amp;"*")&gt;0,TRUE,FALSE),TRUE),
             IF(ISNUMBER(INDIRECT($A6 &amp; "!$f$25")), IF(COUNTIF(INDIRECT($A6 &amp; "!$Af$25"),"*"&amp;"ND"&amp;"*")&gt;0,TRUE,FALSE),TRUE)
             ),
  "No decodificó",
  IF(
        AND(
            IF(AND(ISNUMBER(INDIRECT($A6 &amp; "!$F$24")),INDIRECT($A6 &amp; "!$F$24")&lt;&gt;1),IF(COUNTIF(INDIRECT($A6 &amp; "!$AF$24"),"*"&amp;"si"&amp;"*")&gt;0,TRUE,FALSE),TRUE),
            IF(AND(ISNUMBER(INDIRECT($A6 &amp; "!$F$25")),INDIRECT($A6 &amp; "!$F$25")&lt;&gt;1),IF(COUNTIF(INDIRECT($A6 &amp; "!$AF$25"),"*"&amp;"si"&amp;"*")&gt;0,TRUE,FALSE),TRUE)
           ),
 "SI",
 "NO"
    )
),"NA"),IF($A6&lt;&gt;"",IF(
         AND(
             IF(ISNUMBER(INDIRECT($A6 &amp; "!$f$24")), IF(COUNTIF(INDIRECT($A6 &amp; "!$Af$24"),"*"&amp;"ND"&amp;"*")&gt;0,TRUE,FALSE),TRUE),
             IF(ISNUMBER(INDIRECT($A6 &amp; "!$f$25")), IF(COUNTIF(INDIRECT($A6 &amp; "!$Af$25"),"*"&amp;"ND"&amp;"*")&gt;0,TRUE,FALSE),TRUE),
             IF(ISNUMBER(INDIRECT($A6 &amp; "!$f$26")), IF(COUNTIF(INDIRECT($A6 &amp; "!$Af$26"),"*"&amp;"ND"&amp;"*")&gt;0,TRUE,FALSE),TRUE)
             ),
  "No decodificó",
  IF(
        AND(
            IF(AND(ISNUMBER(INDIRECT($A6 &amp; "!$F$24")),INDIRECT($A6 &amp; "!$F$24")&lt;&gt;1),IF(COUNTIF(INDIRECT($A6 &amp; "!$AF$24"),"*"&amp;"si"&amp;"*")&gt;0,TRUE,FALSE),TRUE),
            IF(AND(ISNUMBER(INDIRECT($A6 &amp; "!$F$25")),INDIRECT($A6 &amp; "!$F$25")&lt;&gt;1),IF(COUNTIF(INDIRECT($A6 &amp; "!$AF$25"),"*"&amp;"si"&amp;"*")&gt;0,TRUE,FALSE),TRUE),
            IF(AND(ISNUMBER(INDIRECT($A6 &amp; "!$F$26")),INDIRECT($A6 &amp; "!$F$26")&lt;&gt;1),IF(COUNTIF(INDIRECT($A6 &amp; "!$AF$26"),"*"&amp;"si"&amp;"*")&gt;0,TRUE,FALSE),TRUE)
           ),
 "SI",
 "NO"
    )
),"NA"))</f>
        <v>NA</v>
      </c>
    </row>
    <row r="7" spans="1:20" x14ac:dyDescent="0.35">
      <c r="A7" s="102"/>
      <c r="B7" s="103" t="str" cm="1">
        <f t="array" aca="1" ref="B7" ca="1">IFERROR(INDIRECT($A7 &amp; "!$A$4"),"NA")</f>
        <v>NA</v>
      </c>
      <c r="C7" s="103" t="str" cm="1">
        <f t="array" aca="1" ref="C7" ca="1">IFERROR(INDIRECT($A7 &amp; "!$I$8"),"NA")</f>
        <v>NA</v>
      </c>
      <c r="D7" s="103" t="str" cm="1">
        <f t="array" aca="1" ref="D7" ca="1">IFERROR(INDIRECT($A7 &amp; "!$Q$8"),"NA")</f>
        <v>NA</v>
      </c>
      <c r="E7" s="103" t="str" cm="1">
        <f t="array" aca="1" ref="E7" ca="1">IFERROR(INDIRECT($A7 &amp; "!$L$19"),"NA")</f>
        <v>NA</v>
      </c>
      <c r="F7" s="103" t="str" cm="1">
        <f t="array" aca="1" ref="F7" ca="1" xml:space="preserve"> IF(C7="RCN", IF($A7&lt;&gt;"",IF(
         AND(
             IF(ISNUMBER(INDIRECT($A7 &amp; "!$F$24")), IF(COUNTIF(INDIRECT($A7 &amp; "!$AD$24"),"*"&amp;"ND"&amp;"*")&gt;0,TRUE,FALSE),TRUE),
             IF(ISNUMBER(INDIRECT($A7 &amp; "!$F$25")), IF(COUNTIF(INDIRECT($A7 &amp; "!$AD$25"),"*"&amp;"ND"&amp;"*")&gt;0,TRUE,FALSE),TRUE)
             ),
      "No decodificó",
      IF(
           AND(
                IF(ISNUMBER(INDIRECT($A7 &amp; "!$F$24")), IF(COUNTIF(INDIRECT($A7 &amp; "!$AD$24"),"*"&amp;"No"&amp;"*")&gt;0,TRUE,FALSE),TRUE),
                IF(ISNUMBER(INDIRECT($A7 &amp; "!$F$25")), IF(COUNTIF(INDIRECT($A7 &amp; "!$AD$25"),"*"&amp;"No"&amp;"*")&gt;0,TRUE,FALSE),TRUE)
              ),
        "No Falla",
        "Falla"
)
),"NA"),IF($A7&lt;&gt;"",IF(
         AND(
             IF(ISNUMBER(INDIRECT($A7 &amp; "!$F$24")), IF(COUNTIF(INDIRECT($A7 &amp; "!$AD$24"),"*"&amp;"ND"&amp;"*")&gt;0,TRUE,FALSE),TRUE),
             IF(ISNUMBER(INDIRECT($A7 &amp; "!$F$25")), IF(COUNTIF(INDIRECT($A7 &amp; "!$AD$25"),"*"&amp;"ND"&amp;"*")&gt;0,TRUE,FALSE),TRUE),
             IF(ISNUMBER(INDIRECT($A7 &amp; "!$F$26")), IF(COUNTIF(INDIRECT($A7 &amp; "!$AD$26"),"*"&amp;"ND"&amp;"*")&gt;0,TRUE,FALSE),TRUE)
             ),
      "No decodificó",
      IF(
           AND(
                IF(ISNUMBER(INDIRECT($A7 &amp; "!$F$24")), IF(COUNTIF(INDIRECT($A7 &amp; "!$AD$24"),"*"&amp;"No"&amp;"*")&gt;0,TRUE,FALSE),TRUE),
                IF(ISNUMBER(INDIRECT($A7 &amp; "!$F$25")), IF(COUNTIF(INDIRECT($A7 &amp; "!$AD$25"),"*"&amp;"No"&amp;"*")&gt;0,TRUE,FALSE),TRUE),
                IF(ISNUMBER(INDIRECT($A7 &amp; "!$F$26")), IF(COUNTIF(INDIRECT($A7 &amp; "!$AD$26"),"*"&amp;"No"&amp;"*")&gt;0,TRUE,FALSE),TRUE)
              ),
        "No Falla",
        "Falla"
)
),"NA"))</f>
        <v>NA</v>
      </c>
      <c r="G7" s="103" t="str" cm="1">
        <f t="array" aca="1" ref="G7" ca="1">IFERROR(INDIRECT($A7 &amp; "!$A$8"),"NA")</f>
        <v>NA</v>
      </c>
      <c r="H7" s="104" t="str">
        <f ca="1">IFERROR(INDEX('Información Gral'!$A$31:$AI$38,MATCH(G7,'Información Gral'!$A$31:$A$38,0),9),"NA")</f>
        <v>NA</v>
      </c>
      <c r="I7" s="105" t="str">
        <f ca="1">IFERROR(INDEX('Información Gral'!$A$31:$AI$38,MATCH(G7,'Información Gral'!$A$31:$A$38,0),22),"NA")</f>
        <v>NA</v>
      </c>
      <c r="J7" s="103" t="str" cm="1">
        <f t="array" aca="1" ref="J7" ca="1">IFERROR(INDIRECT($A7 &amp; "!$p$87"),"NA")</f>
        <v>NA</v>
      </c>
      <c r="K7" s="103" t="str" cm="1">
        <f t="array" aca="1" ref="K7" ca="1">IFERROR(INDIRECT($A7 &amp; "!$p$19"),"NA")</f>
        <v>NA</v>
      </c>
      <c r="L7" s="106" t="str" cm="1">
        <f t="array" aca="1" ref="L7" ca="1">IFERROR(INDIRECT($A7 &amp; "!$r$19"),"NA")</f>
        <v>NA</v>
      </c>
      <c r="M7" s="103" t="str" cm="1">
        <f t="array" aca="1" ref="M7" ca="1">IFERROR(INDIRECT($A7 &amp; "!$v$19"),"NA")</f>
        <v>NA</v>
      </c>
      <c r="N7" s="107" t="str" cm="1">
        <f t="array" aca="1" ref="N7" ca="1">IFERROR(INDIRECT($A7 &amp; "!$y$19"),"NA")</f>
        <v>NA</v>
      </c>
      <c r="O7" s="103" t="str" cm="1">
        <f t="array" aca="1" ref="O7" ca="1">IFERROR(INDIRECT($A7 &amp; "!$aa$19"),"NA")</f>
        <v>NA</v>
      </c>
      <c r="P7" s="103" t="str" cm="1">
        <f t="array" aca="1" ref="P7" ca="1">IFERROR(INDIRECT($A7 &amp; "!$Ad$19"),"NA")</f>
        <v>NA</v>
      </c>
      <c r="Q7" s="103" t="str" cm="1">
        <f t="array" aca="1" ref="Q7" ca="1">IFERROR(INDIRECT($A7 &amp; "!$Ag$19"),"NA")</f>
        <v>NA</v>
      </c>
      <c r="R7" s="103" t="str" cm="1">
        <f t="array" aca="1" ref="R7" ca="1">IFERROR(INDIRECT($A7 &amp; "!$o$24"),"NA")</f>
        <v>NA</v>
      </c>
      <c r="S7" s="103" t="str" cm="1">
        <f t="array" aca="1" ref="S7" ca="1">IFERROR(INDIRECT($A7 &amp; "!$q$24"),"NA")</f>
        <v>NA</v>
      </c>
      <c r="T7" s="103" t="str" cm="1">
        <f t="array" aca="1" ref="T7" ca="1">IF(C7="RCN",IF($A7&lt;&gt;"",IF(
         AND(
             IF(ISNUMBER(INDIRECT($A7 &amp; "!$f$24")), IF(COUNTIF(INDIRECT($A7 &amp; "!$Af$24"),"*"&amp;"ND"&amp;"*")&gt;0,TRUE,FALSE),TRUE),
             IF(ISNUMBER(INDIRECT($A7 &amp; "!$f$25")), IF(COUNTIF(INDIRECT($A7 &amp; "!$Af$25"),"*"&amp;"ND"&amp;"*")&gt;0,TRUE,FALSE),TRUE)
             ),
  "No decodificó",
  IF(
        AND(
            IF(AND(ISNUMBER(INDIRECT($A7 &amp; "!$F$24")),INDIRECT($A7 &amp; "!$F$24")&lt;&gt;1),IF(COUNTIF(INDIRECT($A7 &amp; "!$AF$24"),"*"&amp;"si"&amp;"*")&gt;0,TRUE,FALSE),TRUE),
            IF(AND(ISNUMBER(INDIRECT($A7 &amp; "!$F$25")),INDIRECT($A7 &amp; "!$F$25")&lt;&gt;1),IF(COUNTIF(INDIRECT($A7 &amp; "!$AF$25"),"*"&amp;"si"&amp;"*")&gt;0,TRUE,FALSE),TRUE)
           ),
 "SI",
 "NO"
    )
),"NA"),IF($A7&lt;&gt;"",IF(
         AND(
             IF(ISNUMBER(INDIRECT($A7 &amp; "!$f$24")), IF(COUNTIF(INDIRECT($A7 &amp; "!$Af$24"),"*"&amp;"ND"&amp;"*")&gt;0,TRUE,FALSE),TRUE),
             IF(ISNUMBER(INDIRECT($A7 &amp; "!$f$25")), IF(COUNTIF(INDIRECT($A7 &amp; "!$Af$25"),"*"&amp;"ND"&amp;"*")&gt;0,TRUE,FALSE),TRUE),
             IF(ISNUMBER(INDIRECT($A7 &amp; "!$f$26")), IF(COUNTIF(INDIRECT($A7 &amp; "!$Af$26"),"*"&amp;"ND"&amp;"*")&gt;0,TRUE,FALSE),TRUE)
             ),
  "No decodificó",
  IF(
        AND(
            IF(AND(ISNUMBER(INDIRECT($A7 &amp; "!$F$24")),INDIRECT($A7 &amp; "!$F$24")&lt;&gt;1),IF(COUNTIF(INDIRECT($A7 &amp; "!$AF$24"),"*"&amp;"si"&amp;"*")&gt;0,TRUE,FALSE),TRUE),
            IF(AND(ISNUMBER(INDIRECT($A7 &amp; "!$F$25")),INDIRECT($A7 &amp; "!$F$25")&lt;&gt;1),IF(COUNTIF(INDIRECT($A7 &amp; "!$AF$25"),"*"&amp;"si"&amp;"*")&gt;0,TRUE,FALSE),TRUE),
            IF(AND(ISNUMBER(INDIRECT($A7 &amp; "!$F$26")),INDIRECT($A7 &amp; "!$F$26")&lt;&gt;1),IF(COUNTIF(INDIRECT($A7 &amp; "!$AF$26"),"*"&amp;"si"&amp;"*")&gt;0,TRUE,FALSE),TRUE)
           ),
 "SI",
 "NO"
    )
),"NA"))</f>
        <v>NA</v>
      </c>
    </row>
    <row r="8" spans="1:20" x14ac:dyDescent="0.35">
      <c r="A8" s="102"/>
      <c r="B8" s="103" t="str" cm="1">
        <f t="array" aca="1" ref="B8" ca="1">IFERROR(INDIRECT($A8 &amp; "!$A$4"),"NA")</f>
        <v>NA</v>
      </c>
      <c r="C8" s="103" t="str" cm="1">
        <f t="array" aca="1" ref="C8" ca="1">IFERROR(INDIRECT($A8 &amp; "!$I$8"),"NA")</f>
        <v>NA</v>
      </c>
      <c r="D8" s="103" t="str" cm="1">
        <f t="array" aca="1" ref="D8" ca="1">IFERROR(INDIRECT($A8 &amp; "!$Q$8"),"NA")</f>
        <v>NA</v>
      </c>
      <c r="E8" s="103" t="str" cm="1">
        <f t="array" aca="1" ref="E8" ca="1">IFERROR(INDIRECT($A8 &amp; "!$L$19"),"NA")</f>
        <v>NA</v>
      </c>
      <c r="F8" s="103" t="str" cm="1">
        <f t="array" aca="1" ref="F8" ca="1" xml:space="preserve"> IF(C8="RCN", IF($A8&lt;&gt;"",IF(
         AND(
             IF(ISNUMBER(INDIRECT($A8 &amp; "!$F$24")), IF(COUNTIF(INDIRECT($A8 &amp; "!$AD$24"),"*"&amp;"ND"&amp;"*")&gt;0,TRUE,FALSE),TRUE),
             IF(ISNUMBER(INDIRECT($A8 &amp; "!$F$25")), IF(COUNTIF(INDIRECT($A8 &amp; "!$AD$25"),"*"&amp;"ND"&amp;"*")&gt;0,TRUE,FALSE),TRUE)
             ),
      "No decodificó",
      IF(
           AND(
                IF(ISNUMBER(INDIRECT($A8 &amp; "!$F$24")), IF(COUNTIF(INDIRECT($A8 &amp; "!$AD$24"),"*"&amp;"No"&amp;"*")&gt;0,TRUE,FALSE),TRUE),
                IF(ISNUMBER(INDIRECT($A8 &amp; "!$F$25")), IF(COUNTIF(INDIRECT($A8 &amp; "!$AD$25"),"*"&amp;"No"&amp;"*")&gt;0,TRUE,FALSE),TRUE)
              ),
        "No Falla",
        "Falla"
)
),"NA"),IF($A8&lt;&gt;"",IF(
         AND(
             IF(ISNUMBER(INDIRECT($A8 &amp; "!$F$24")), IF(COUNTIF(INDIRECT($A8 &amp; "!$AD$24"),"*"&amp;"ND"&amp;"*")&gt;0,TRUE,FALSE),TRUE),
             IF(ISNUMBER(INDIRECT($A8 &amp; "!$F$25")), IF(COUNTIF(INDIRECT($A8 &amp; "!$AD$25"),"*"&amp;"ND"&amp;"*")&gt;0,TRUE,FALSE),TRUE),
             IF(ISNUMBER(INDIRECT($A8 &amp; "!$F$26")), IF(COUNTIF(INDIRECT($A8 &amp; "!$AD$26"),"*"&amp;"ND"&amp;"*")&gt;0,TRUE,FALSE),TRUE)
             ),
      "No decodificó",
      IF(
           AND(
                IF(ISNUMBER(INDIRECT($A8 &amp; "!$F$24")), IF(COUNTIF(INDIRECT($A8 &amp; "!$AD$24"),"*"&amp;"No"&amp;"*")&gt;0,TRUE,FALSE),TRUE),
                IF(ISNUMBER(INDIRECT($A8 &amp; "!$F$25")), IF(COUNTIF(INDIRECT($A8 &amp; "!$AD$25"),"*"&amp;"No"&amp;"*")&gt;0,TRUE,FALSE),TRUE),
                IF(ISNUMBER(INDIRECT($A8 &amp; "!$F$26")), IF(COUNTIF(INDIRECT($A8 &amp; "!$AD$26"),"*"&amp;"No"&amp;"*")&gt;0,TRUE,FALSE),TRUE)
              ),
        "No Falla",
        "Falla"
)
),"NA"))</f>
        <v>NA</v>
      </c>
      <c r="G8" s="103" t="str" cm="1">
        <f t="array" aca="1" ref="G8" ca="1">IFERROR(INDIRECT($A8 &amp; "!$A$8"),"NA")</f>
        <v>NA</v>
      </c>
      <c r="H8" s="104" t="str">
        <f ca="1">IFERROR(INDEX('Información Gral'!$A$31:$AI$38,MATCH(G8,'Información Gral'!$A$31:$A$38,0),9),"NA")</f>
        <v>NA</v>
      </c>
      <c r="I8" s="105" t="str">
        <f ca="1">IFERROR(INDEX('Información Gral'!$A$31:$AI$38,MATCH(G8,'Información Gral'!$A$31:$A$38,0),22),"NA")</f>
        <v>NA</v>
      </c>
      <c r="J8" s="103" t="str" cm="1">
        <f t="array" aca="1" ref="J8" ca="1">IFERROR(INDIRECT($A8 &amp; "!$p$87"),"NA")</f>
        <v>NA</v>
      </c>
      <c r="K8" s="103" t="str" cm="1">
        <f t="array" aca="1" ref="K8" ca="1">IFERROR(INDIRECT($A8 &amp; "!$p$19"),"NA")</f>
        <v>NA</v>
      </c>
      <c r="L8" s="106" t="str" cm="1">
        <f t="array" aca="1" ref="L8" ca="1">IFERROR(INDIRECT($A8 &amp; "!$r$19"),"NA")</f>
        <v>NA</v>
      </c>
      <c r="M8" s="103" t="str" cm="1">
        <f t="array" aca="1" ref="M8" ca="1">IFERROR(INDIRECT($A8 &amp; "!$v$19"),"NA")</f>
        <v>NA</v>
      </c>
      <c r="N8" s="107" t="str" cm="1">
        <f t="array" aca="1" ref="N8" ca="1">IFERROR(INDIRECT($A8 &amp; "!$y$19"),"NA")</f>
        <v>NA</v>
      </c>
      <c r="O8" s="103" t="str" cm="1">
        <f t="array" aca="1" ref="O8" ca="1">IFERROR(INDIRECT($A8 &amp; "!$aa$19"),"NA")</f>
        <v>NA</v>
      </c>
      <c r="P8" s="103" t="str" cm="1">
        <f t="array" aca="1" ref="P8" ca="1">IFERROR(INDIRECT($A8 &amp; "!$Ad$19"),"NA")</f>
        <v>NA</v>
      </c>
      <c r="Q8" s="103" t="str" cm="1">
        <f t="array" aca="1" ref="Q8" ca="1">IFERROR(INDIRECT($A8 &amp; "!$Ag$19"),"NA")</f>
        <v>NA</v>
      </c>
      <c r="R8" s="103" t="str" cm="1">
        <f t="array" aca="1" ref="R8" ca="1">IFERROR(INDIRECT($A8 &amp; "!$o$24"),"NA")</f>
        <v>NA</v>
      </c>
      <c r="S8" s="103" t="str" cm="1">
        <f t="array" aca="1" ref="S8" ca="1">IFERROR(INDIRECT($A8 &amp; "!$q$24"),"NA")</f>
        <v>NA</v>
      </c>
      <c r="T8" s="103" t="str" cm="1">
        <f t="array" aca="1" ref="T8" ca="1">IF(C8="RCN",IF($A8&lt;&gt;"",IF(
         AND(
             IF(ISNUMBER(INDIRECT($A8 &amp; "!$f$24")), IF(COUNTIF(INDIRECT($A8 &amp; "!$Af$24"),"*"&amp;"ND"&amp;"*")&gt;0,TRUE,FALSE),TRUE),
             IF(ISNUMBER(INDIRECT($A8 &amp; "!$f$25")), IF(COUNTIF(INDIRECT($A8 &amp; "!$Af$25"),"*"&amp;"ND"&amp;"*")&gt;0,TRUE,FALSE),TRUE)
             ),
  "No decodificó",
  IF(
        AND(
            IF(AND(ISNUMBER(INDIRECT($A8 &amp; "!$F$24")),INDIRECT($A8 &amp; "!$F$24")&lt;&gt;1),IF(COUNTIF(INDIRECT($A8 &amp; "!$AF$24"),"*"&amp;"si"&amp;"*")&gt;0,TRUE,FALSE),TRUE),
            IF(AND(ISNUMBER(INDIRECT($A8 &amp; "!$F$25")),INDIRECT($A8 &amp; "!$F$25")&lt;&gt;1),IF(COUNTIF(INDIRECT($A8 &amp; "!$AF$25"),"*"&amp;"si"&amp;"*")&gt;0,TRUE,FALSE),TRUE)
           ),
 "SI",
 "NO"
    )
),"NA"),IF($A8&lt;&gt;"",IF(
         AND(
             IF(ISNUMBER(INDIRECT($A8 &amp; "!$f$24")), IF(COUNTIF(INDIRECT($A8 &amp; "!$Af$24"),"*"&amp;"ND"&amp;"*")&gt;0,TRUE,FALSE),TRUE),
             IF(ISNUMBER(INDIRECT($A8 &amp; "!$f$25")), IF(COUNTIF(INDIRECT($A8 &amp; "!$Af$25"),"*"&amp;"ND"&amp;"*")&gt;0,TRUE,FALSE),TRUE),
             IF(ISNUMBER(INDIRECT($A8 &amp; "!$f$26")), IF(COUNTIF(INDIRECT($A8 &amp; "!$Af$26"),"*"&amp;"ND"&amp;"*")&gt;0,TRUE,FALSE),TRUE)
             ),
  "No decodificó",
  IF(
        AND(
            IF(AND(ISNUMBER(INDIRECT($A8 &amp; "!$F$24")),INDIRECT($A8 &amp; "!$F$24")&lt;&gt;1),IF(COUNTIF(INDIRECT($A8 &amp; "!$AF$24"),"*"&amp;"si"&amp;"*")&gt;0,TRUE,FALSE),TRUE),
            IF(AND(ISNUMBER(INDIRECT($A8 &amp; "!$F$25")),INDIRECT($A8 &amp; "!$F$25")&lt;&gt;1),IF(COUNTIF(INDIRECT($A8 &amp; "!$AF$25"),"*"&amp;"si"&amp;"*")&gt;0,TRUE,FALSE),TRUE),
            IF(AND(ISNUMBER(INDIRECT($A8 &amp; "!$F$26")),INDIRECT($A8 &amp; "!$F$26")&lt;&gt;1),IF(COUNTIF(INDIRECT($A8 &amp; "!$AF$26"),"*"&amp;"si"&amp;"*")&gt;0,TRUE,FALSE),TRUE)
           ),
 "SI",
 "NO"
    )
),"NA"))</f>
        <v>NA</v>
      </c>
    </row>
    <row r="9" spans="1:20" x14ac:dyDescent="0.35">
      <c r="A9" s="102"/>
      <c r="B9" s="103" t="str" cm="1">
        <f t="array" aca="1" ref="B9" ca="1">IFERROR(INDIRECT($A9 &amp; "!$A$4"),"NA")</f>
        <v>NA</v>
      </c>
      <c r="C9" s="103" t="str" cm="1">
        <f t="array" aca="1" ref="C9" ca="1">IFERROR(INDIRECT($A9 &amp; "!$I$8"),"NA")</f>
        <v>NA</v>
      </c>
      <c r="D9" s="103" t="str" cm="1">
        <f t="array" aca="1" ref="D9" ca="1">IFERROR(INDIRECT($A9 &amp; "!$Q$8"),"NA")</f>
        <v>NA</v>
      </c>
      <c r="E9" s="103" t="str" cm="1">
        <f t="array" aca="1" ref="E9" ca="1">IFERROR(INDIRECT($A9 &amp; "!$L$19"),"NA")</f>
        <v>NA</v>
      </c>
      <c r="F9" s="103" t="str" cm="1">
        <f t="array" aca="1" ref="F9" ca="1" xml:space="preserve"> IF(C9="RCN", IF($A9&lt;&gt;"",IF(
         AND(
             IF(ISNUMBER(INDIRECT($A9 &amp; "!$F$24")), IF(COUNTIF(INDIRECT($A9 &amp; "!$AD$24"),"*"&amp;"ND"&amp;"*")&gt;0,TRUE,FALSE),TRUE),
             IF(ISNUMBER(INDIRECT($A9 &amp; "!$F$25")), IF(COUNTIF(INDIRECT($A9 &amp; "!$AD$25"),"*"&amp;"ND"&amp;"*")&gt;0,TRUE,FALSE),TRUE)
             ),
      "No decodificó",
      IF(
           AND(
                IF(ISNUMBER(INDIRECT($A9 &amp; "!$F$24")), IF(COUNTIF(INDIRECT($A9 &amp; "!$AD$24"),"*"&amp;"No"&amp;"*")&gt;0,TRUE,FALSE),TRUE),
                IF(ISNUMBER(INDIRECT($A9 &amp; "!$F$25")), IF(COUNTIF(INDIRECT($A9 &amp; "!$AD$25"),"*"&amp;"No"&amp;"*")&gt;0,TRUE,FALSE),TRUE)
              ),
        "No Falla",
        "Falla"
)
),"NA"),IF($A9&lt;&gt;"",IF(
         AND(
             IF(ISNUMBER(INDIRECT($A9 &amp; "!$F$24")), IF(COUNTIF(INDIRECT($A9 &amp; "!$AD$24"),"*"&amp;"ND"&amp;"*")&gt;0,TRUE,FALSE),TRUE),
             IF(ISNUMBER(INDIRECT($A9 &amp; "!$F$25")), IF(COUNTIF(INDIRECT($A9 &amp; "!$AD$25"),"*"&amp;"ND"&amp;"*")&gt;0,TRUE,FALSE),TRUE),
             IF(ISNUMBER(INDIRECT($A9 &amp; "!$F$26")), IF(COUNTIF(INDIRECT($A9 &amp; "!$AD$26"),"*"&amp;"ND"&amp;"*")&gt;0,TRUE,FALSE),TRUE)
             ),
      "No decodificó",
      IF(
           AND(
                IF(ISNUMBER(INDIRECT($A9 &amp; "!$F$24")), IF(COUNTIF(INDIRECT($A9 &amp; "!$AD$24"),"*"&amp;"No"&amp;"*")&gt;0,TRUE,FALSE),TRUE),
                IF(ISNUMBER(INDIRECT($A9 &amp; "!$F$25")), IF(COUNTIF(INDIRECT($A9 &amp; "!$AD$25"),"*"&amp;"No"&amp;"*")&gt;0,TRUE,FALSE),TRUE),
                IF(ISNUMBER(INDIRECT($A9 &amp; "!$F$26")), IF(COUNTIF(INDIRECT($A9 &amp; "!$AD$26"),"*"&amp;"No"&amp;"*")&gt;0,TRUE,FALSE),TRUE)
              ),
        "No Falla",
        "Falla"
)
),"NA"))</f>
        <v>NA</v>
      </c>
      <c r="G9" s="103" t="str" cm="1">
        <f t="array" aca="1" ref="G9" ca="1">IFERROR(INDIRECT($A9 &amp; "!$A$8"),"NA")</f>
        <v>NA</v>
      </c>
      <c r="H9" s="104" t="str">
        <f ca="1">IFERROR(INDEX('Información Gral'!$A$31:$AI$38,MATCH(G9,'Información Gral'!$A$31:$A$38,0),9),"NA")</f>
        <v>NA</v>
      </c>
      <c r="I9" s="105" t="str">
        <f ca="1">IFERROR(INDEX('Información Gral'!$A$31:$AI$38,MATCH(G9,'Información Gral'!$A$31:$A$38,0),22),"NA")</f>
        <v>NA</v>
      </c>
      <c r="J9" s="103" t="str" cm="1">
        <f t="array" aca="1" ref="J9" ca="1">IFERROR(INDIRECT($A9 &amp; "!$p$87"),"NA")</f>
        <v>NA</v>
      </c>
      <c r="K9" s="103" t="str" cm="1">
        <f t="array" aca="1" ref="K9" ca="1">IFERROR(INDIRECT($A9 &amp; "!$p$19"),"NA")</f>
        <v>NA</v>
      </c>
      <c r="L9" s="106" t="str" cm="1">
        <f t="array" aca="1" ref="L9" ca="1">IFERROR(INDIRECT($A9 &amp; "!$r$19"),"NA")</f>
        <v>NA</v>
      </c>
      <c r="M9" s="103" t="str" cm="1">
        <f t="array" aca="1" ref="M9" ca="1">IFERROR(INDIRECT($A9 &amp; "!$v$19"),"NA")</f>
        <v>NA</v>
      </c>
      <c r="N9" s="107" t="str" cm="1">
        <f t="array" aca="1" ref="N9" ca="1">IFERROR(INDIRECT($A9 &amp; "!$y$19"),"NA")</f>
        <v>NA</v>
      </c>
      <c r="O9" s="103" t="str" cm="1">
        <f t="array" aca="1" ref="O9" ca="1">IFERROR(INDIRECT($A9 &amp; "!$aa$19"),"NA")</f>
        <v>NA</v>
      </c>
      <c r="P9" s="103" t="str" cm="1">
        <f t="array" aca="1" ref="P9" ca="1">IFERROR(INDIRECT($A9 &amp; "!$Ad$19"),"NA")</f>
        <v>NA</v>
      </c>
      <c r="Q9" s="103" t="str" cm="1">
        <f t="array" aca="1" ref="Q9" ca="1">IFERROR(INDIRECT($A9 &amp; "!$Ag$19"),"NA")</f>
        <v>NA</v>
      </c>
      <c r="R9" s="103" t="str" cm="1">
        <f t="array" aca="1" ref="R9" ca="1">IFERROR(INDIRECT($A9 &amp; "!$o$24"),"NA")</f>
        <v>NA</v>
      </c>
      <c r="S9" s="103" t="str" cm="1">
        <f t="array" aca="1" ref="S9" ca="1">IFERROR(INDIRECT($A9 &amp; "!$q$24"),"NA")</f>
        <v>NA</v>
      </c>
      <c r="T9" s="103" t="str" cm="1">
        <f t="array" aca="1" ref="T9" ca="1">IF(C9="RCN",IF($A9&lt;&gt;"",IF(
         AND(
             IF(ISNUMBER(INDIRECT($A9 &amp; "!$f$24")), IF(COUNTIF(INDIRECT($A9 &amp; "!$Af$24"),"*"&amp;"ND"&amp;"*")&gt;0,TRUE,FALSE),TRUE),
             IF(ISNUMBER(INDIRECT($A9 &amp; "!$f$25")), IF(COUNTIF(INDIRECT($A9 &amp; "!$Af$25"),"*"&amp;"ND"&amp;"*")&gt;0,TRUE,FALSE),TRUE)
             ),
  "No decodificó",
  IF(
        AND(
            IF(AND(ISNUMBER(INDIRECT($A9 &amp; "!$F$24")),INDIRECT($A9 &amp; "!$F$24")&lt;&gt;1),IF(COUNTIF(INDIRECT($A9 &amp; "!$AF$24"),"*"&amp;"si"&amp;"*")&gt;0,TRUE,FALSE),TRUE),
            IF(AND(ISNUMBER(INDIRECT($A9 &amp; "!$F$25")),INDIRECT($A9 &amp; "!$F$25")&lt;&gt;1),IF(COUNTIF(INDIRECT($A9 &amp; "!$AF$25"),"*"&amp;"si"&amp;"*")&gt;0,TRUE,FALSE),TRUE)
           ),
 "SI",
 "NO"
    )
),"NA"),IF($A9&lt;&gt;"",IF(
         AND(
             IF(ISNUMBER(INDIRECT($A9 &amp; "!$f$24")), IF(COUNTIF(INDIRECT($A9 &amp; "!$Af$24"),"*"&amp;"ND"&amp;"*")&gt;0,TRUE,FALSE),TRUE),
             IF(ISNUMBER(INDIRECT($A9 &amp; "!$f$25")), IF(COUNTIF(INDIRECT($A9 &amp; "!$Af$25"),"*"&amp;"ND"&amp;"*")&gt;0,TRUE,FALSE),TRUE),
             IF(ISNUMBER(INDIRECT($A9 &amp; "!$f$26")), IF(COUNTIF(INDIRECT($A9 &amp; "!$Af$26"),"*"&amp;"ND"&amp;"*")&gt;0,TRUE,FALSE),TRUE)
             ),
  "No decodificó",
  IF(
        AND(
            IF(AND(ISNUMBER(INDIRECT($A9 &amp; "!$F$24")),INDIRECT($A9 &amp; "!$F$24")&lt;&gt;1),IF(COUNTIF(INDIRECT($A9 &amp; "!$AF$24"),"*"&amp;"si"&amp;"*")&gt;0,TRUE,FALSE),TRUE),
            IF(AND(ISNUMBER(INDIRECT($A9 &amp; "!$F$25")),INDIRECT($A9 &amp; "!$F$25")&lt;&gt;1),IF(COUNTIF(INDIRECT($A9 &amp; "!$AF$25"),"*"&amp;"si"&amp;"*")&gt;0,TRUE,FALSE),TRUE),
            IF(AND(ISNUMBER(INDIRECT($A9 &amp; "!$F$26")),INDIRECT($A9 &amp; "!$F$26")&lt;&gt;1),IF(COUNTIF(INDIRECT($A9 &amp; "!$AF$26"),"*"&amp;"si"&amp;"*")&gt;0,TRUE,FALSE),TRUE)
           ),
 "SI",
 "NO"
    )
),"NA"))</f>
        <v>NA</v>
      </c>
    </row>
    <row r="10" spans="1:20" x14ac:dyDescent="0.35">
      <c r="A10" s="108"/>
      <c r="B10" s="103" t="str" cm="1">
        <f t="array" aca="1" ref="B10" ca="1">IFERROR(INDIRECT($A10 &amp; "!$A$4"),"NA")</f>
        <v>NA</v>
      </c>
      <c r="C10" s="103" t="str" cm="1">
        <f t="array" aca="1" ref="C10" ca="1">IFERROR(INDIRECT($A10 &amp; "!$I$8"),"NA")</f>
        <v>NA</v>
      </c>
      <c r="D10" s="103" t="str" cm="1">
        <f t="array" aca="1" ref="D10" ca="1">IFERROR(INDIRECT($A10 &amp; "!$Q$8"),"NA")</f>
        <v>NA</v>
      </c>
      <c r="E10" s="103" t="str" cm="1">
        <f t="array" aca="1" ref="E10" ca="1">IFERROR(INDIRECT($A10 &amp; "!$L$19"),"NA")</f>
        <v>NA</v>
      </c>
      <c r="F10" s="103" t="str" cm="1">
        <f t="array" aca="1" ref="F10" ca="1" xml:space="preserve"> IF(C10="RCN", IF($A10&lt;&gt;"",IF(
         AND(
             IF(ISNUMBER(INDIRECT($A10 &amp; "!$F$24")), IF(COUNTIF(INDIRECT($A10 &amp; "!$AD$24"),"*"&amp;"ND"&amp;"*")&gt;0,TRUE,FALSE),TRUE),
             IF(ISNUMBER(INDIRECT($A10 &amp; "!$F$25")), IF(COUNTIF(INDIRECT($A10 &amp; "!$AD$25"),"*"&amp;"ND"&amp;"*")&gt;0,TRUE,FALSE),TRUE)
             ),
      "No decodificó",
      IF(
           AND(
                IF(ISNUMBER(INDIRECT($A10 &amp; "!$F$24")), IF(COUNTIF(INDIRECT($A10 &amp; "!$AD$24"),"*"&amp;"No"&amp;"*")&gt;0,TRUE,FALSE),TRUE),
                IF(ISNUMBER(INDIRECT($A10 &amp; "!$F$25")), IF(COUNTIF(INDIRECT($A10 &amp; "!$AD$25"),"*"&amp;"No"&amp;"*")&gt;0,TRUE,FALSE),TRUE)
              ),
        "No Falla",
        "Falla"
)
),"NA"),IF($A10&lt;&gt;"",IF(
         AND(
             IF(ISNUMBER(INDIRECT($A10 &amp; "!$F$24")), IF(COUNTIF(INDIRECT($A10 &amp; "!$AD$24"),"*"&amp;"ND"&amp;"*")&gt;0,TRUE,FALSE),TRUE),
             IF(ISNUMBER(INDIRECT($A10 &amp; "!$F$25")), IF(COUNTIF(INDIRECT($A10 &amp; "!$AD$25"),"*"&amp;"ND"&amp;"*")&gt;0,TRUE,FALSE),TRUE),
             IF(ISNUMBER(INDIRECT($A10 &amp; "!$F$26")), IF(COUNTIF(INDIRECT($A10 &amp; "!$AD$26"),"*"&amp;"ND"&amp;"*")&gt;0,TRUE,FALSE),TRUE)
             ),
      "No decodificó",
      IF(
           AND(
                IF(ISNUMBER(INDIRECT($A10 &amp; "!$F$24")), IF(COUNTIF(INDIRECT($A10 &amp; "!$AD$24"),"*"&amp;"No"&amp;"*")&gt;0,TRUE,FALSE),TRUE),
                IF(ISNUMBER(INDIRECT($A10 &amp; "!$F$25")), IF(COUNTIF(INDIRECT($A10 &amp; "!$AD$25"),"*"&amp;"No"&amp;"*")&gt;0,TRUE,FALSE),TRUE),
                IF(ISNUMBER(INDIRECT($A10 &amp; "!$F$26")), IF(COUNTIF(INDIRECT($A10 &amp; "!$AD$26"),"*"&amp;"No"&amp;"*")&gt;0,TRUE,FALSE),TRUE)
              ),
        "No Falla",
        "Falla"
)
),"NA"))</f>
        <v>NA</v>
      </c>
      <c r="G10" s="103" t="str" cm="1">
        <f t="array" aca="1" ref="G10" ca="1">IFERROR(INDIRECT($A10 &amp; "!$A$8"),"NA")</f>
        <v>NA</v>
      </c>
      <c r="H10" s="104" t="str">
        <f ca="1">IFERROR(INDEX('Información Gral'!$A$31:$AI$38,MATCH(G10,'Información Gral'!$A$31:$A$38,0),9),"NA")</f>
        <v>NA</v>
      </c>
      <c r="I10" s="105" t="str">
        <f ca="1">IFERROR(INDEX('Información Gral'!$A$31:$AI$38,MATCH(G10,'Información Gral'!$A$31:$A$38,0),22),"NA")</f>
        <v>NA</v>
      </c>
      <c r="J10" s="103" t="str" cm="1">
        <f t="array" aca="1" ref="J10" ca="1">IFERROR(INDIRECT($A10 &amp; "!$p$87"),"NA")</f>
        <v>NA</v>
      </c>
      <c r="K10" s="103" t="str" cm="1">
        <f t="array" aca="1" ref="K10" ca="1">IFERROR(INDIRECT($A10 &amp; "!$p$19"),"NA")</f>
        <v>NA</v>
      </c>
      <c r="L10" s="106" t="str" cm="1">
        <f t="array" aca="1" ref="L10" ca="1">IFERROR(INDIRECT($A10 &amp; "!$r$19"),"NA")</f>
        <v>NA</v>
      </c>
      <c r="M10" s="103" t="str" cm="1">
        <f t="array" aca="1" ref="M10" ca="1">IFERROR(INDIRECT($A10 &amp; "!$v$19"),"NA")</f>
        <v>NA</v>
      </c>
      <c r="N10" s="107" t="str" cm="1">
        <f t="array" aca="1" ref="N10" ca="1">IFERROR(INDIRECT($A10 &amp; "!$y$19"),"NA")</f>
        <v>NA</v>
      </c>
      <c r="O10" s="103" t="str" cm="1">
        <f t="array" aca="1" ref="O10" ca="1">IFERROR(INDIRECT($A10 &amp; "!$aa$19"),"NA")</f>
        <v>NA</v>
      </c>
      <c r="P10" s="103" t="str" cm="1">
        <f t="array" aca="1" ref="P10" ca="1">IFERROR(INDIRECT($A10 &amp; "!$Ad$19"),"NA")</f>
        <v>NA</v>
      </c>
      <c r="Q10" s="103" t="str" cm="1">
        <f t="array" aca="1" ref="Q10" ca="1">IFERROR(INDIRECT($A10 &amp; "!$Ag$19"),"NA")</f>
        <v>NA</v>
      </c>
      <c r="R10" s="103" t="str" cm="1">
        <f t="array" aca="1" ref="R10" ca="1">IFERROR(INDIRECT($A10 &amp; "!$o$24"),"NA")</f>
        <v>NA</v>
      </c>
      <c r="S10" s="103" t="str" cm="1">
        <f t="array" aca="1" ref="S10" ca="1">IFERROR(INDIRECT($A10 &amp; "!$q$24"),"NA")</f>
        <v>NA</v>
      </c>
      <c r="T10" s="103" t="str" cm="1">
        <f t="array" aca="1" ref="T10" ca="1">IF(C10="RCN",IF($A10&lt;&gt;"",IF(
         AND(
             IF(ISNUMBER(INDIRECT($A10 &amp; "!$f$24")), IF(COUNTIF(INDIRECT($A10 &amp; "!$Af$24"),"*"&amp;"ND"&amp;"*")&gt;0,TRUE,FALSE),TRUE),
             IF(ISNUMBER(INDIRECT($A10 &amp; "!$f$25")), IF(COUNTIF(INDIRECT($A10 &amp; "!$Af$25"),"*"&amp;"ND"&amp;"*")&gt;0,TRUE,FALSE),TRUE)
             ),
  "No decodificó",
  IF(
        AND(
            IF(AND(ISNUMBER(INDIRECT($A10 &amp; "!$F$24")),INDIRECT($A10 &amp; "!$F$24")&lt;&gt;1),IF(COUNTIF(INDIRECT($A10 &amp; "!$AF$24"),"*"&amp;"si"&amp;"*")&gt;0,TRUE,FALSE),TRUE),
            IF(AND(ISNUMBER(INDIRECT($A10 &amp; "!$F$25")),INDIRECT($A10 &amp; "!$F$25")&lt;&gt;1),IF(COUNTIF(INDIRECT($A10 &amp; "!$AF$25"),"*"&amp;"si"&amp;"*")&gt;0,TRUE,FALSE),TRUE)
           ),
 "SI",
 "NO"
    )
),"NA"),IF($A10&lt;&gt;"",IF(
         AND(
             IF(ISNUMBER(INDIRECT($A10 &amp; "!$f$24")), IF(COUNTIF(INDIRECT($A10 &amp; "!$Af$24"),"*"&amp;"ND"&amp;"*")&gt;0,TRUE,FALSE),TRUE),
             IF(ISNUMBER(INDIRECT($A10 &amp; "!$f$25")), IF(COUNTIF(INDIRECT($A10 &amp; "!$Af$25"),"*"&amp;"ND"&amp;"*")&gt;0,TRUE,FALSE),TRUE),
             IF(ISNUMBER(INDIRECT($A10 &amp; "!$f$26")), IF(COUNTIF(INDIRECT($A10 &amp; "!$Af$26"),"*"&amp;"ND"&amp;"*")&gt;0,TRUE,FALSE),TRUE)
             ),
  "No decodificó",
  IF(
        AND(
            IF(AND(ISNUMBER(INDIRECT($A10 &amp; "!$F$24")),INDIRECT($A10 &amp; "!$F$24")&lt;&gt;1),IF(COUNTIF(INDIRECT($A10 &amp; "!$AF$24"),"*"&amp;"si"&amp;"*")&gt;0,TRUE,FALSE),TRUE),
            IF(AND(ISNUMBER(INDIRECT($A10 &amp; "!$F$25")),INDIRECT($A10 &amp; "!$F$25")&lt;&gt;1),IF(COUNTIF(INDIRECT($A10 &amp; "!$AF$25"),"*"&amp;"si"&amp;"*")&gt;0,TRUE,FALSE),TRUE),
            IF(AND(ISNUMBER(INDIRECT($A10 &amp; "!$F$26")),INDIRECT($A10 &amp; "!$F$26")&lt;&gt;1),IF(COUNTIF(INDIRECT($A10 &amp; "!$AF$26"),"*"&amp;"si"&amp;"*")&gt;0,TRUE,FALSE),TRUE)
           ),
 "SI",
 "NO"
    )
),"NA"))</f>
        <v>NA</v>
      </c>
    </row>
    <row r="11" spans="1:20" x14ac:dyDescent="0.35">
      <c r="A11" s="108"/>
      <c r="B11" s="103" t="str" cm="1">
        <f t="array" aca="1" ref="B11" ca="1">IFERROR(INDIRECT($A11 &amp; "!$A$4"),"NA")</f>
        <v>NA</v>
      </c>
      <c r="C11" s="103" t="str" cm="1">
        <f t="array" aca="1" ref="C11" ca="1">IFERROR(INDIRECT($A11 &amp; "!$I$8"),"NA")</f>
        <v>NA</v>
      </c>
      <c r="D11" s="103" t="str" cm="1">
        <f t="array" aca="1" ref="D11" ca="1">IFERROR(INDIRECT($A11 &amp; "!$Q$8"),"NA")</f>
        <v>NA</v>
      </c>
      <c r="E11" s="103" t="str" cm="1">
        <f t="array" aca="1" ref="E11" ca="1">IFERROR(INDIRECT($A11 &amp; "!$L$19"),"NA")</f>
        <v>NA</v>
      </c>
      <c r="F11" s="103" t="str" cm="1">
        <f t="array" aca="1" ref="F11" ca="1" xml:space="preserve"> IF(C11="RCN", IF($A11&lt;&gt;"",IF(
         AND(
             IF(ISNUMBER(INDIRECT($A11 &amp; "!$F$24")), IF(COUNTIF(INDIRECT($A11 &amp; "!$AD$24"),"*"&amp;"ND"&amp;"*")&gt;0,TRUE,FALSE),TRUE),
             IF(ISNUMBER(INDIRECT($A11 &amp; "!$F$25")), IF(COUNTIF(INDIRECT($A11 &amp; "!$AD$25"),"*"&amp;"ND"&amp;"*")&gt;0,TRUE,FALSE),TRUE)
             ),
      "No decodificó",
      IF(
           AND(
                IF(ISNUMBER(INDIRECT($A11 &amp; "!$F$24")), IF(COUNTIF(INDIRECT($A11 &amp; "!$AD$24"),"*"&amp;"No"&amp;"*")&gt;0,TRUE,FALSE),TRUE),
                IF(ISNUMBER(INDIRECT($A11 &amp; "!$F$25")), IF(COUNTIF(INDIRECT($A11 &amp; "!$AD$25"),"*"&amp;"No"&amp;"*")&gt;0,TRUE,FALSE),TRUE)
              ),
        "No Falla",
        "Falla"
)
),"NA"),IF($A11&lt;&gt;"",IF(
         AND(
             IF(ISNUMBER(INDIRECT($A11 &amp; "!$F$24")), IF(COUNTIF(INDIRECT($A11 &amp; "!$AD$24"),"*"&amp;"ND"&amp;"*")&gt;0,TRUE,FALSE),TRUE),
             IF(ISNUMBER(INDIRECT($A11 &amp; "!$F$25")), IF(COUNTIF(INDIRECT($A11 &amp; "!$AD$25"),"*"&amp;"ND"&amp;"*")&gt;0,TRUE,FALSE),TRUE),
             IF(ISNUMBER(INDIRECT($A11 &amp; "!$F$26")), IF(COUNTIF(INDIRECT($A11 &amp; "!$AD$26"),"*"&amp;"ND"&amp;"*")&gt;0,TRUE,FALSE),TRUE)
             ),
      "No decodificó",
      IF(
           AND(
                IF(ISNUMBER(INDIRECT($A11 &amp; "!$F$24")), IF(COUNTIF(INDIRECT($A11 &amp; "!$AD$24"),"*"&amp;"No"&amp;"*")&gt;0,TRUE,FALSE),TRUE),
                IF(ISNUMBER(INDIRECT($A11 &amp; "!$F$25")), IF(COUNTIF(INDIRECT($A11 &amp; "!$AD$25"),"*"&amp;"No"&amp;"*")&gt;0,TRUE,FALSE),TRUE),
                IF(ISNUMBER(INDIRECT($A11 &amp; "!$F$26")), IF(COUNTIF(INDIRECT($A11 &amp; "!$AD$26"),"*"&amp;"No"&amp;"*")&gt;0,TRUE,FALSE),TRUE)
              ),
        "No Falla",
        "Falla"
)
),"NA"))</f>
        <v>NA</v>
      </c>
      <c r="G11" s="103" t="str" cm="1">
        <f t="array" aca="1" ref="G11" ca="1">IFERROR(INDIRECT($A11 &amp; "!$A$8"),"NA")</f>
        <v>NA</v>
      </c>
      <c r="H11" s="104" t="str">
        <f ca="1">IFERROR(INDEX('Información Gral'!$A$31:$AI$38,MATCH(G11,'Información Gral'!$A$31:$A$38,0),9),"NA")</f>
        <v>NA</v>
      </c>
      <c r="I11" s="105" t="str">
        <f ca="1">IFERROR(INDEX('Información Gral'!$A$31:$AI$38,MATCH(G11,'Información Gral'!$A$31:$A$38,0),22),"NA")</f>
        <v>NA</v>
      </c>
      <c r="J11" s="103" t="str" cm="1">
        <f t="array" aca="1" ref="J11" ca="1">IFERROR(INDIRECT($A11 &amp; "!$p$87"),"NA")</f>
        <v>NA</v>
      </c>
      <c r="K11" s="103" t="str" cm="1">
        <f t="array" aca="1" ref="K11" ca="1">IFERROR(INDIRECT($A11 &amp; "!$p$19"),"NA")</f>
        <v>NA</v>
      </c>
      <c r="L11" s="106" t="str" cm="1">
        <f t="array" aca="1" ref="L11" ca="1">IFERROR(INDIRECT($A11 &amp; "!$r$19"),"NA")</f>
        <v>NA</v>
      </c>
      <c r="M11" s="103" t="str" cm="1">
        <f t="array" aca="1" ref="M11" ca="1">IFERROR(INDIRECT($A11 &amp; "!$v$19"),"NA")</f>
        <v>NA</v>
      </c>
      <c r="N11" s="107" t="str" cm="1">
        <f t="array" aca="1" ref="N11" ca="1">IFERROR(INDIRECT($A11 &amp; "!$y$19"),"NA")</f>
        <v>NA</v>
      </c>
      <c r="O11" s="103" t="str" cm="1">
        <f t="array" aca="1" ref="O11" ca="1">IFERROR(INDIRECT($A11 &amp; "!$aa$19"),"NA")</f>
        <v>NA</v>
      </c>
      <c r="P11" s="103" t="str" cm="1">
        <f t="array" aca="1" ref="P11" ca="1">IFERROR(INDIRECT($A11 &amp; "!$Ad$19"),"NA")</f>
        <v>NA</v>
      </c>
      <c r="Q11" s="103" t="str" cm="1">
        <f t="array" aca="1" ref="Q11" ca="1">IFERROR(INDIRECT($A11 &amp; "!$Ag$19"),"NA")</f>
        <v>NA</v>
      </c>
      <c r="R11" s="103" t="str" cm="1">
        <f t="array" aca="1" ref="R11" ca="1">IFERROR(INDIRECT($A11 &amp; "!$o$24"),"NA")</f>
        <v>NA</v>
      </c>
      <c r="S11" s="103" t="str" cm="1">
        <f t="array" aca="1" ref="S11" ca="1">IFERROR(INDIRECT($A11 &amp; "!$q$24"),"NA")</f>
        <v>NA</v>
      </c>
      <c r="T11" s="103" t="str" cm="1">
        <f t="array" aca="1" ref="T11" ca="1">IF(C11="RCN",IF($A11&lt;&gt;"",IF(
         AND(
             IF(ISNUMBER(INDIRECT($A11 &amp; "!$f$24")), IF(COUNTIF(INDIRECT($A11 &amp; "!$Af$24"),"*"&amp;"ND"&amp;"*")&gt;0,TRUE,FALSE),TRUE),
             IF(ISNUMBER(INDIRECT($A11 &amp; "!$f$25")), IF(COUNTIF(INDIRECT($A11 &amp; "!$Af$25"),"*"&amp;"ND"&amp;"*")&gt;0,TRUE,FALSE),TRUE)
             ),
  "No decodificó",
  IF(
        AND(
            IF(AND(ISNUMBER(INDIRECT($A11 &amp; "!$F$24")),INDIRECT($A11 &amp; "!$F$24")&lt;&gt;1),IF(COUNTIF(INDIRECT($A11 &amp; "!$AF$24"),"*"&amp;"si"&amp;"*")&gt;0,TRUE,FALSE),TRUE),
            IF(AND(ISNUMBER(INDIRECT($A11 &amp; "!$F$25")),INDIRECT($A11 &amp; "!$F$25")&lt;&gt;1),IF(COUNTIF(INDIRECT($A11 &amp; "!$AF$25"),"*"&amp;"si"&amp;"*")&gt;0,TRUE,FALSE),TRUE)
           ),
 "SI",
 "NO"
    )
),"NA"),IF($A11&lt;&gt;"",IF(
         AND(
             IF(ISNUMBER(INDIRECT($A11 &amp; "!$f$24")), IF(COUNTIF(INDIRECT($A11 &amp; "!$Af$24"),"*"&amp;"ND"&amp;"*")&gt;0,TRUE,FALSE),TRUE),
             IF(ISNUMBER(INDIRECT($A11 &amp; "!$f$25")), IF(COUNTIF(INDIRECT($A11 &amp; "!$Af$25"),"*"&amp;"ND"&amp;"*")&gt;0,TRUE,FALSE),TRUE),
             IF(ISNUMBER(INDIRECT($A11 &amp; "!$f$26")), IF(COUNTIF(INDIRECT($A11 &amp; "!$Af$26"),"*"&amp;"ND"&amp;"*")&gt;0,TRUE,FALSE),TRUE)
             ),
  "No decodificó",
  IF(
        AND(
            IF(AND(ISNUMBER(INDIRECT($A11 &amp; "!$F$24")),INDIRECT($A11 &amp; "!$F$24")&lt;&gt;1),IF(COUNTIF(INDIRECT($A11 &amp; "!$AF$24"),"*"&amp;"si"&amp;"*")&gt;0,TRUE,FALSE),TRUE),
            IF(AND(ISNUMBER(INDIRECT($A11 &amp; "!$F$25")),INDIRECT($A11 &amp; "!$F$25")&lt;&gt;1),IF(COUNTIF(INDIRECT($A11 &amp; "!$AF$25"),"*"&amp;"si"&amp;"*")&gt;0,TRUE,FALSE),TRUE),
            IF(AND(ISNUMBER(INDIRECT($A11 &amp; "!$F$26")),INDIRECT($A11 &amp; "!$F$26")&lt;&gt;1),IF(COUNTIF(INDIRECT($A11 &amp; "!$AF$26"),"*"&amp;"si"&amp;"*")&gt;0,TRUE,FALSE),TRUE)
           ),
 "SI",
 "NO"
    )
),"NA"))</f>
        <v>NA</v>
      </c>
    </row>
    <row r="12" spans="1:20" x14ac:dyDescent="0.35">
      <c r="A12" s="108"/>
      <c r="B12" s="103" t="str" cm="1">
        <f t="array" aca="1" ref="B12" ca="1">IFERROR(INDIRECT($A12 &amp; "!$A$4"),"NA")</f>
        <v>NA</v>
      </c>
      <c r="C12" s="103" t="str" cm="1">
        <f t="array" aca="1" ref="C12" ca="1">IFERROR(INDIRECT($A12 &amp; "!$I$8"),"NA")</f>
        <v>NA</v>
      </c>
      <c r="D12" s="103" t="str" cm="1">
        <f t="array" aca="1" ref="D12" ca="1">IFERROR(INDIRECT($A12 &amp; "!$Q$8"),"NA")</f>
        <v>NA</v>
      </c>
      <c r="E12" s="103" t="str" cm="1">
        <f t="array" aca="1" ref="E12" ca="1">IFERROR(INDIRECT($A12 &amp; "!$L$19"),"NA")</f>
        <v>NA</v>
      </c>
      <c r="F12" s="103" t="str" cm="1">
        <f t="array" aca="1" ref="F12" ca="1" xml:space="preserve"> IF(C12="RCN", IF($A12&lt;&gt;"",IF(
         AND(
             IF(ISNUMBER(INDIRECT($A12 &amp; "!$F$24")), IF(COUNTIF(INDIRECT($A12 &amp; "!$AD$24"),"*"&amp;"ND"&amp;"*")&gt;0,TRUE,FALSE),TRUE),
             IF(ISNUMBER(INDIRECT($A12 &amp; "!$F$25")), IF(COUNTIF(INDIRECT($A12 &amp; "!$AD$25"),"*"&amp;"ND"&amp;"*")&gt;0,TRUE,FALSE),TRUE)
             ),
      "No decodificó",
      IF(
           AND(
                IF(ISNUMBER(INDIRECT($A12 &amp; "!$F$24")), IF(COUNTIF(INDIRECT($A12 &amp; "!$AD$24"),"*"&amp;"No"&amp;"*")&gt;0,TRUE,FALSE),TRUE),
                IF(ISNUMBER(INDIRECT($A12 &amp; "!$F$25")), IF(COUNTIF(INDIRECT($A12 &amp; "!$AD$25"),"*"&amp;"No"&amp;"*")&gt;0,TRUE,FALSE),TRUE)
              ),
        "No Falla",
        "Falla"
)
),"NA"),IF($A12&lt;&gt;"",IF(
         AND(
             IF(ISNUMBER(INDIRECT($A12 &amp; "!$F$24")), IF(COUNTIF(INDIRECT($A12 &amp; "!$AD$24"),"*"&amp;"ND"&amp;"*")&gt;0,TRUE,FALSE),TRUE),
             IF(ISNUMBER(INDIRECT($A12 &amp; "!$F$25")), IF(COUNTIF(INDIRECT($A12 &amp; "!$AD$25"),"*"&amp;"ND"&amp;"*")&gt;0,TRUE,FALSE),TRUE),
             IF(ISNUMBER(INDIRECT($A12 &amp; "!$F$26")), IF(COUNTIF(INDIRECT($A12 &amp; "!$AD$26"),"*"&amp;"ND"&amp;"*")&gt;0,TRUE,FALSE),TRUE)
             ),
      "No decodificó",
      IF(
           AND(
                IF(ISNUMBER(INDIRECT($A12 &amp; "!$F$24")), IF(COUNTIF(INDIRECT($A12 &amp; "!$AD$24"),"*"&amp;"No"&amp;"*")&gt;0,TRUE,FALSE),TRUE),
                IF(ISNUMBER(INDIRECT($A12 &amp; "!$F$25")), IF(COUNTIF(INDIRECT($A12 &amp; "!$AD$25"),"*"&amp;"No"&amp;"*")&gt;0,TRUE,FALSE),TRUE),
                IF(ISNUMBER(INDIRECT($A12 &amp; "!$F$26")), IF(COUNTIF(INDIRECT($A12 &amp; "!$AD$26"),"*"&amp;"No"&amp;"*")&gt;0,TRUE,FALSE),TRUE)
              ),
        "No Falla",
        "Falla"
)
),"NA"))</f>
        <v>NA</v>
      </c>
      <c r="G12" s="103" t="str" cm="1">
        <f t="array" aca="1" ref="G12" ca="1">IFERROR(INDIRECT($A12 &amp; "!$A$8"),"NA")</f>
        <v>NA</v>
      </c>
      <c r="H12" s="104" t="str">
        <f ca="1">IFERROR(INDEX('Información Gral'!$A$31:$AI$38,MATCH(G12,'Información Gral'!$A$31:$A$38,0),9),"NA")</f>
        <v>NA</v>
      </c>
      <c r="I12" s="105" t="str">
        <f ca="1">IFERROR(INDEX('Información Gral'!$A$31:$AI$38,MATCH(G12,'Información Gral'!$A$31:$A$38,0),22),"NA")</f>
        <v>NA</v>
      </c>
      <c r="J12" s="103" t="str" cm="1">
        <f t="array" aca="1" ref="J12" ca="1">IFERROR(INDIRECT($A12 &amp; "!$p$87"),"NA")</f>
        <v>NA</v>
      </c>
      <c r="K12" s="103" t="str" cm="1">
        <f t="array" aca="1" ref="K12" ca="1">IFERROR(INDIRECT($A12 &amp; "!$p$19"),"NA")</f>
        <v>NA</v>
      </c>
      <c r="L12" s="106" t="str" cm="1">
        <f t="array" aca="1" ref="L12" ca="1">IFERROR(INDIRECT($A12 &amp; "!$r$19"),"NA")</f>
        <v>NA</v>
      </c>
      <c r="M12" s="103" t="str" cm="1">
        <f t="array" aca="1" ref="M12" ca="1">IFERROR(INDIRECT($A12 &amp; "!$v$19"),"NA")</f>
        <v>NA</v>
      </c>
      <c r="N12" s="107" t="str" cm="1">
        <f t="array" aca="1" ref="N12" ca="1">IFERROR(INDIRECT($A12 &amp; "!$y$19"),"NA")</f>
        <v>NA</v>
      </c>
      <c r="O12" s="103" t="str" cm="1">
        <f t="array" aca="1" ref="O12" ca="1">IFERROR(INDIRECT($A12 &amp; "!$aa$19"),"NA")</f>
        <v>NA</v>
      </c>
      <c r="P12" s="103" t="str" cm="1">
        <f t="array" aca="1" ref="P12" ca="1">IFERROR(INDIRECT($A12 &amp; "!$Ad$19"),"NA")</f>
        <v>NA</v>
      </c>
      <c r="Q12" s="103" t="str" cm="1">
        <f t="array" aca="1" ref="Q12" ca="1">IFERROR(INDIRECT($A12 &amp; "!$Ag$19"),"NA")</f>
        <v>NA</v>
      </c>
      <c r="R12" s="103" t="str" cm="1">
        <f t="array" aca="1" ref="R12" ca="1">IFERROR(INDIRECT($A12 &amp; "!$o$24"),"NA")</f>
        <v>NA</v>
      </c>
      <c r="S12" s="103" t="str" cm="1">
        <f t="array" aca="1" ref="S12" ca="1">IFERROR(INDIRECT($A12 &amp; "!$q$24"),"NA")</f>
        <v>NA</v>
      </c>
      <c r="T12" s="103" t="str" cm="1">
        <f t="array" aca="1" ref="T12" ca="1">IF(C12="RCN",IF($A12&lt;&gt;"",IF(
         AND(
             IF(ISNUMBER(INDIRECT($A12 &amp; "!$f$24")), IF(COUNTIF(INDIRECT($A12 &amp; "!$Af$24"),"*"&amp;"ND"&amp;"*")&gt;0,TRUE,FALSE),TRUE),
             IF(ISNUMBER(INDIRECT($A12 &amp; "!$f$25")), IF(COUNTIF(INDIRECT($A12 &amp; "!$Af$25"),"*"&amp;"ND"&amp;"*")&gt;0,TRUE,FALSE),TRUE)
             ),
  "No decodificó",
  IF(
        AND(
            IF(AND(ISNUMBER(INDIRECT($A12 &amp; "!$F$24")),INDIRECT($A12 &amp; "!$F$24")&lt;&gt;1),IF(COUNTIF(INDIRECT($A12 &amp; "!$AF$24"),"*"&amp;"si"&amp;"*")&gt;0,TRUE,FALSE),TRUE),
            IF(AND(ISNUMBER(INDIRECT($A12 &amp; "!$F$25")),INDIRECT($A12 &amp; "!$F$25")&lt;&gt;1),IF(COUNTIF(INDIRECT($A12 &amp; "!$AF$25"),"*"&amp;"si"&amp;"*")&gt;0,TRUE,FALSE),TRUE)
           ),
 "SI",
 "NO"
    )
),"NA"),IF($A12&lt;&gt;"",IF(
         AND(
             IF(ISNUMBER(INDIRECT($A12 &amp; "!$f$24")), IF(COUNTIF(INDIRECT($A12 &amp; "!$Af$24"),"*"&amp;"ND"&amp;"*")&gt;0,TRUE,FALSE),TRUE),
             IF(ISNUMBER(INDIRECT($A12 &amp; "!$f$25")), IF(COUNTIF(INDIRECT($A12 &amp; "!$Af$25"),"*"&amp;"ND"&amp;"*")&gt;0,TRUE,FALSE),TRUE),
             IF(ISNUMBER(INDIRECT($A12 &amp; "!$f$26")), IF(COUNTIF(INDIRECT($A12 &amp; "!$Af$26"),"*"&amp;"ND"&amp;"*")&gt;0,TRUE,FALSE),TRUE)
             ),
  "No decodificó",
  IF(
        AND(
            IF(AND(ISNUMBER(INDIRECT($A12 &amp; "!$F$24")),INDIRECT($A12 &amp; "!$F$24")&lt;&gt;1),IF(COUNTIF(INDIRECT($A12 &amp; "!$AF$24"),"*"&amp;"si"&amp;"*")&gt;0,TRUE,FALSE),TRUE),
            IF(AND(ISNUMBER(INDIRECT($A12 &amp; "!$F$25")),INDIRECT($A12 &amp; "!$F$25")&lt;&gt;1),IF(COUNTIF(INDIRECT($A12 &amp; "!$AF$25"),"*"&amp;"si"&amp;"*")&gt;0,TRUE,FALSE),TRUE),
            IF(AND(ISNUMBER(INDIRECT($A12 &amp; "!$F$26")),INDIRECT($A12 &amp; "!$F$26")&lt;&gt;1),IF(COUNTIF(INDIRECT($A12 &amp; "!$AF$26"),"*"&amp;"si"&amp;"*")&gt;0,TRUE,FALSE),TRUE)
           ),
 "SI",
 "NO"
    )
),"NA"))</f>
        <v>NA</v>
      </c>
    </row>
    <row r="13" spans="1:20" x14ac:dyDescent="0.35">
      <c r="A13" s="108"/>
      <c r="B13" s="103" t="str" cm="1">
        <f t="array" aca="1" ref="B13" ca="1">IFERROR(INDIRECT($A13 &amp; "!$A$4"),"NA")</f>
        <v>NA</v>
      </c>
      <c r="C13" s="103" t="str" cm="1">
        <f t="array" aca="1" ref="C13" ca="1">IFERROR(INDIRECT($A13 &amp; "!$I$8"),"NA")</f>
        <v>NA</v>
      </c>
      <c r="D13" s="103" t="str" cm="1">
        <f t="array" aca="1" ref="D13" ca="1">IFERROR(INDIRECT($A13 &amp; "!$Q$8"),"NA")</f>
        <v>NA</v>
      </c>
      <c r="E13" s="103" t="str" cm="1">
        <f t="array" aca="1" ref="E13" ca="1">IFERROR(INDIRECT($A13 &amp; "!$L$19"),"NA")</f>
        <v>NA</v>
      </c>
      <c r="F13" s="103" t="str" cm="1">
        <f t="array" aca="1" ref="F13" ca="1" xml:space="preserve"> IF(C13="RCN", IF($A13&lt;&gt;"",IF(
         AND(
             IF(ISNUMBER(INDIRECT($A13 &amp; "!$F$24")), IF(COUNTIF(INDIRECT($A13 &amp; "!$AD$24"),"*"&amp;"ND"&amp;"*")&gt;0,TRUE,FALSE),TRUE),
             IF(ISNUMBER(INDIRECT($A13 &amp; "!$F$25")), IF(COUNTIF(INDIRECT($A13 &amp; "!$AD$25"),"*"&amp;"ND"&amp;"*")&gt;0,TRUE,FALSE),TRUE)
             ),
      "No decodificó",
      IF(
           AND(
                IF(ISNUMBER(INDIRECT($A13 &amp; "!$F$24")), IF(COUNTIF(INDIRECT($A13 &amp; "!$AD$24"),"*"&amp;"No"&amp;"*")&gt;0,TRUE,FALSE),TRUE),
                IF(ISNUMBER(INDIRECT($A13 &amp; "!$F$25")), IF(COUNTIF(INDIRECT($A13 &amp; "!$AD$25"),"*"&amp;"No"&amp;"*")&gt;0,TRUE,FALSE),TRUE)
              ),
        "No Falla",
        "Falla"
)
),"NA"),IF($A13&lt;&gt;"",IF(
         AND(
             IF(ISNUMBER(INDIRECT($A13 &amp; "!$F$24")), IF(COUNTIF(INDIRECT($A13 &amp; "!$AD$24"),"*"&amp;"ND"&amp;"*")&gt;0,TRUE,FALSE),TRUE),
             IF(ISNUMBER(INDIRECT($A13 &amp; "!$F$25")), IF(COUNTIF(INDIRECT($A13 &amp; "!$AD$25"),"*"&amp;"ND"&amp;"*")&gt;0,TRUE,FALSE),TRUE),
             IF(ISNUMBER(INDIRECT($A13 &amp; "!$F$26")), IF(COUNTIF(INDIRECT($A13 &amp; "!$AD$26"),"*"&amp;"ND"&amp;"*")&gt;0,TRUE,FALSE),TRUE)
             ),
      "No decodificó",
      IF(
           AND(
                IF(ISNUMBER(INDIRECT($A13 &amp; "!$F$24")), IF(COUNTIF(INDIRECT($A13 &amp; "!$AD$24"),"*"&amp;"No"&amp;"*")&gt;0,TRUE,FALSE),TRUE),
                IF(ISNUMBER(INDIRECT($A13 &amp; "!$F$25")), IF(COUNTIF(INDIRECT($A13 &amp; "!$AD$25"),"*"&amp;"No"&amp;"*")&gt;0,TRUE,FALSE),TRUE),
                IF(ISNUMBER(INDIRECT($A13 &amp; "!$F$26")), IF(COUNTIF(INDIRECT($A13 &amp; "!$AD$26"),"*"&amp;"No"&amp;"*")&gt;0,TRUE,FALSE),TRUE)
              ),
        "No Falla",
        "Falla"
)
),"NA"))</f>
        <v>NA</v>
      </c>
      <c r="G13" s="103" t="str" cm="1">
        <f t="array" aca="1" ref="G13" ca="1">IFERROR(INDIRECT($A13 &amp; "!$A$8"),"NA")</f>
        <v>NA</v>
      </c>
      <c r="H13" s="104" t="str">
        <f ca="1">IFERROR(INDEX('Información Gral'!$A$31:$AI$38,MATCH(G13,'Información Gral'!$A$31:$A$38,0),9),"NA")</f>
        <v>NA</v>
      </c>
      <c r="I13" s="105" t="str">
        <f ca="1">IFERROR(INDEX('Información Gral'!$A$31:$AI$38,MATCH(G13,'Información Gral'!$A$31:$A$38,0),22),"NA")</f>
        <v>NA</v>
      </c>
      <c r="J13" s="103" t="str" cm="1">
        <f t="array" aca="1" ref="J13" ca="1">IFERROR(INDIRECT($A13 &amp; "!$p$87"),"NA")</f>
        <v>NA</v>
      </c>
      <c r="K13" s="103" t="str" cm="1">
        <f t="array" aca="1" ref="K13" ca="1">IFERROR(INDIRECT($A13 &amp; "!$p$19"),"NA")</f>
        <v>NA</v>
      </c>
      <c r="L13" s="106" t="str" cm="1">
        <f t="array" aca="1" ref="L13" ca="1">IFERROR(INDIRECT($A13 &amp; "!$r$19"),"NA")</f>
        <v>NA</v>
      </c>
      <c r="M13" s="103" t="str" cm="1">
        <f t="array" aca="1" ref="M13" ca="1">IFERROR(INDIRECT($A13 &amp; "!$v$19"),"NA")</f>
        <v>NA</v>
      </c>
      <c r="N13" s="107" t="str" cm="1">
        <f t="array" aca="1" ref="N13" ca="1">IFERROR(INDIRECT($A13 &amp; "!$y$19"),"NA")</f>
        <v>NA</v>
      </c>
      <c r="O13" s="103" t="str" cm="1">
        <f t="array" aca="1" ref="O13" ca="1">IFERROR(INDIRECT($A13 &amp; "!$aa$19"),"NA")</f>
        <v>NA</v>
      </c>
      <c r="P13" s="103" t="str" cm="1">
        <f t="array" aca="1" ref="P13" ca="1">IFERROR(INDIRECT($A13 &amp; "!$Ad$19"),"NA")</f>
        <v>NA</v>
      </c>
      <c r="Q13" s="103" t="str" cm="1">
        <f t="array" aca="1" ref="Q13" ca="1">IFERROR(INDIRECT($A13 &amp; "!$Ag$19"),"NA")</f>
        <v>NA</v>
      </c>
      <c r="R13" s="103" t="str" cm="1">
        <f t="array" aca="1" ref="R13" ca="1">IFERROR(INDIRECT($A13 &amp; "!$o$24"),"NA")</f>
        <v>NA</v>
      </c>
      <c r="S13" s="103" t="str" cm="1">
        <f t="array" aca="1" ref="S13" ca="1">IFERROR(INDIRECT($A13 &amp; "!$q$24"),"NA")</f>
        <v>NA</v>
      </c>
      <c r="T13" s="103" t="str" cm="1">
        <f t="array" aca="1" ref="T13" ca="1">IF(C13="RCN",IF($A13&lt;&gt;"",IF(
         AND(
             IF(ISNUMBER(INDIRECT($A13 &amp; "!$f$24")), IF(COUNTIF(INDIRECT($A13 &amp; "!$Af$24"),"*"&amp;"ND"&amp;"*")&gt;0,TRUE,FALSE),TRUE),
             IF(ISNUMBER(INDIRECT($A13 &amp; "!$f$25")), IF(COUNTIF(INDIRECT($A13 &amp; "!$Af$25"),"*"&amp;"ND"&amp;"*")&gt;0,TRUE,FALSE),TRUE)
             ),
  "No decodificó",
  IF(
        AND(
            IF(AND(ISNUMBER(INDIRECT($A13 &amp; "!$F$24")),INDIRECT($A13 &amp; "!$F$24")&lt;&gt;1),IF(COUNTIF(INDIRECT($A13 &amp; "!$AF$24"),"*"&amp;"si"&amp;"*")&gt;0,TRUE,FALSE),TRUE),
            IF(AND(ISNUMBER(INDIRECT($A13 &amp; "!$F$25")),INDIRECT($A13 &amp; "!$F$25")&lt;&gt;1),IF(COUNTIF(INDIRECT($A13 &amp; "!$AF$25"),"*"&amp;"si"&amp;"*")&gt;0,TRUE,FALSE),TRUE)
           ),
 "SI",
 "NO"
    )
),"NA"),IF($A13&lt;&gt;"",IF(
         AND(
             IF(ISNUMBER(INDIRECT($A13 &amp; "!$f$24")), IF(COUNTIF(INDIRECT($A13 &amp; "!$Af$24"),"*"&amp;"ND"&amp;"*")&gt;0,TRUE,FALSE),TRUE),
             IF(ISNUMBER(INDIRECT($A13 &amp; "!$f$25")), IF(COUNTIF(INDIRECT($A13 &amp; "!$Af$25"),"*"&amp;"ND"&amp;"*")&gt;0,TRUE,FALSE),TRUE),
             IF(ISNUMBER(INDIRECT($A13 &amp; "!$f$26")), IF(COUNTIF(INDIRECT($A13 &amp; "!$Af$26"),"*"&amp;"ND"&amp;"*")&gt;0,TRUE,FALSE),TRUE)
             ),
  "No decodificó",
  IF(
        AND(
            IF(AND(ISNUMBER(INDIRECT($A13 &amp; "!$F$24")),INDIRECT($A13 &amp; "!$F$24")&lt;&gt;1),IF(COUNTIF(INDIRECT($A13 &amp; "!$AF$24"),"*"&amp;"si"&amp;"*")&gt;0,TRUE,FALSE),TRUE),
            IF(AND(ISNUMBER(INDIRECT($A13 &amp; "!$F$25")),INDIRECT($A13 &amp; "!$F$25")&lt;&gt;1),IF(COUNTIF(INDIRECT($A13 &amp; "!$AF$25"),"*"&amp;"si"&amp;"*")&gt;0,TRUE,FALSE),TRUE),
            IF(AND(ISNUMBER(INDIRECT($A13 &amp; "!$F$26")),INDIRECT($A13 &amp; "!$F$26")&lt;&gt;1),IF(COUNTIF(INDIRECT($A13 &amp; "!$AF$26"),"*"&amp;"si"&amp;"*")&gt;0,TRUE,FALSE),TRUE)
           ),
 "SI",
 "NO"
    )
),"NA"))</f>
        <v>NA</v>
      </c>
    </row>
    <row r="14" spans="1:20" x14ac:dyDescent="0.35">
      <c r="A14" s="109"/>
      <c r="B14" s="103" t="str" cm="1">
        <f t="array" aca="1" ref="B14" ca="1">IFERROR(INDIRECT($A14 &amp; "!$A$4"),"NA")</f>
        <v>NA</v>
      </c>
      <c r="C14" s="103" t="str" cm="1">
        <f t="array" aca="1" ref="C14" ca="1">IFERROR(INDIRECT($A14 &amp; "!$I$8"),"NA")</f>
        <v>NA</v>
      </c>
      <c r="D14" s="103" t="str" cm="1">
        <f t="array" aca="1" ref="D14" ca="1">IFERROR(INDIRECT($A14 &amp; "!$Q$8"),"NA")</f>
        <v>NA</v>
      </c>
      <c r="E14" s="103" t="str" cm="1">
        <f t="array" aca="1" ref="E14" ca="1">IFERROR(INDIRECT($A14 &amp; "!$L$19"),"NA")</f>
        <v>NA</v>
      </c>
      <c r="F14" s="103" t="str" cm="1">
        <f t="array" aca="1" ref="F14" ca="1" xml:space="preserve"> IF(C14="RCN", IF($A14&lt;&gt;"",IF(
         AND(
             IF(ISNUMBER(INDIRECT($A14 &amp; "!$F$24")), IF(COUNTIF(INDIRECT($A14 &amp; "!$AD$24"),"*"&amp;"ND"&amp;"*")&gt;0,TRUE,FALSE),TRUE),
             IF(ISNUMBER(INDIRECT($A14 &amp; "!$F$25")), IF(COUNTIF(INDIRECT($A14 &amp; "!$AD$25"),"*"&amp;"ND"&amp;"*")&gt;0,TRUE,FALSE),TRUE)
             ),
      "No decodificó",
      IF(
           AND(
                IF(ISNUMBER(INDIRECT($A14 &amp; "!$F$24")), IF(COUNTIF(INDIRECT($A14 &amp; "!$AD$24"),"*"&amp;"No"&amp;"*")&gt;0,TRUE,FALSE),TRUE),
                IF(ISNUMBER(INDIRECT($A14 &amp; "!$F$25")), IF(COUNTIF(INDIRECT($A14 &amp; "!$AD$25"),"*"&amp;"No"&amp;"*")&gt;0,TRUE,FALSE),TRUE)
              ),
        "No Falla",
        "Falla"
)
),"NA"),IF($A14&lt;&gt;"",IF(
         AND(
             IF(ISNUMBER(INDIRECT($A14 &amp; "!$F$24")), IF(COUNTIF(INDIRECT($A14 &amp; "!$AD$24"),"*"&amp;"ND"&amp;"*")&gt;0,TRUE,FALSE),TRUE),
             IF(ISNUMBER(INDIRECT($A14 &amp; "!$F$25")), IF(COUNTIF(INDIRECT($A14 &amp; "!$AD$25"),"*"&amp;"ND"&amp;"*")&gt;0,TRUE,FALSE),TRUE),
             IF(ISNUMBER(INDIRECT($A14 &amp; "!$F$26")), IF(COUNTIF(INDIRECT($A14 &amp; "!$AD$26"),"*"&amp;"ND"&amp;"*")&gt;0,TRUE,FALSE),TRUE)
             ),
      "No decodificó",
      IF(
           AND(
                IF(ISNUMBER(INDIRECT($A14 &amp; "!$F$24")), IF(COUNTIF(INDIRECT($A14 &amp; "!$AD$24"),"*"&amp;"No"&amp;"*")&gt;0,TRUE,FALSE),TRUE),
                IF(ISNUMBER(INDIRECT($A14 &amp; "!$F$25")), IF(COUNTIF(INDIRECT($A14 &amp; "!$AD$25"),"*"&amp;"No"&amp;"*")&gt;0,TRUE,FALSE),TRUE),
                IF(ISNUMBER(INDIRECT($A14 &amp; "!$F$26")), IF(COUNTIF(INDIRECT($A14 &amp; "!$AD$26"),"*"&amp;"No"&amp;"*")&gt;0,TRUE,FALSE),TRUE)
              ),
        "No Falla",
        "Falla"
)
),"NA"))</f>
        <v>NA</v>
      </c>
      <c r="G14" s="103" t="str" cm="1">
        <f t="array" aca="1" ref="G14" ca="1">IFERROR(INDIRECT($A14 &amp; "!$A$8"),"NA")</f>
        <v>NA</v>
      </c>
      <c r="H14" s="104" t="str">
        <f ca="1">IFERROR(INDEX('Información Gral'!$A$31:$AI$38,MATCH(G14,'Información Gral'!$A$31:$A$38,0),9),"NA")</f>
        <v>NA</v>
      </c>
      <c r="I14" s="105" t="str">
        <f ca="1">IFERROR(INDEX('Información Gral'!$A$31:$AI$38,MATCH(G14,'Información Gral'!$A$31:$A$38,0),22),"NA")</f>
        <v>NA</v>
      </c>
      <c r="J14" s="103" t="str" cm="1">
        <f t="array" aca="1" ref="J14" ca="1">IFERROR(INDIRECT($A14 &amp; "!$p$87"),"NA")</f>
        <v>NA</v>
      </c>
      <c r="K14" s="103" t="str" cm="1">
        <f t="array" aca="1" ref="K14" ca="1">IFERROR(INDIRECT($A14 &amp; "!$p$19"),"NA")</f>
        <v>NA</v>
      </c>
      <c r="L14" s="106" t="str" cm="1">
        <f t="array" aca="1" ref="L14" ca="1">IFERROR(INDIRECT($A14 &amp; "!$r$19"),"NA")</f>
        <v>NA</v>
      </c>
      <c r="M14" s="103" t="str" cm="1">
        <f t="array" aca="1" ref="M14" ca="1">IFERROR(INDIRECT($A14 &amp; "!$v$19"),"NA")</f>
        <v>NA</v>
      </c>
      <c r="N14" s="107" t="str" cm="1">
        <f t="array" aca="1" ref="N14" ca="1">IFERROR(INDIRECT($A14 &amp; "!$y$19"),"NA")</f>
        <v>NA</v>
      </c>
      <c r="O14" s="103" t="str" cm="1">
        <f t="array" aca="1" ref="O14" ca="1">IFERROR(INDIRECT($A14 &amp; "!$aa$19"),"NA")</f>
        <v>NA</v>
      </c>
      <c r="P14" s="103" t="str" cm="1">
        <f t="array" aca="1" ref="P14" ca="1">IFERROR(INDIRECT($A14 &amp; "!$Ad$19"),"NA")</f>
        <v>NA</v>
      </c>
      <c r="Q14" s="103" t="str" cm="1">
        <f t="array" aca="1" ref="Q14" ca="1">IFERROR(INDIRECT($A14 &amp; "!$Ag$19"),"NA")</f>
        <v>NA</v>
      </c>
      <c r="R14" s="103" t="str" cm="1">
        <f t="array" aca="1" ref="R14" ca="1">IFERROR(INDIRECT($A14 &amp; "!$o$24"),"NA")</f>
        <v>NA</v>
      </c>
      <c r="S14" s="103" t="str" cm="1">
        <f t="array" aca="1" ref="S14" ca="1">IFERROR(INDIRECT($A14 &amp; "!$q$24"),"NA")</f>
        <v>NA</v>
      </c>
      <c r="T14" s="103" t="str" cm="1">
        <f t="array" aca="1" ref="T14" ca="1">IF(C14="RCN",IF($A14&lt;&gt;"",IF(
         AND(
             IF(ISNUMBER(INDIRECT($A14 &amp; "!$f$24")), IF(COUNTIF(INDIRECT($A14 &amp; "!$Af$24"),"*"&amp;"ND"&amp;"*")&gt;0,TRUE,FALSE),TRUE),
             IF(ISNUMBER(INDIRECT($A14 &amp; "!$f$25")), IF(COUNTIF(INDIRECT($A14 &amp; "!$Af$25"),"*"&amp;"ND"&amp;"*")&gt;0,TRUE,FALSE),TRUE)
             ),
  "No decodificó",
  IF(
        AND(
            IF(AND(ISNUMBER(INDIRECT($A14 &amp; "!$F$24")),INDIRECT($A14 &amp; "!$F$24")&lt;&gt;1),IF(COUNTIF(INDIRECT($A14 &amp; "!$AF$24"),"*"&amp;"si"&amp;"*")&gt;0,TRUE,FALSE),TRUE),
            IF(AND(ISNUMBER(INDIRECT($A14 &amp; "!$F$25")),INDIRECT($A14 &amp; "!$F$25")&lt;&gt;1),IF(COUNTIF(INDIRECT($A14 &amp; "!$AF$25"),"*"&amp;"si"&amp;"*")&gt;0,TRUE,FALSE),TRUE)
           ),
 "SI",
 "NO"
    )
),"NA"),IF($A14&lt;&gt;"",IF(
         AND(
             IF(ISNUMBER(INDIRECT($A14 &amp; "!$f$24")), IF(COUNTIF(INDIRECT($A14 &amp; "!$Af$24"),"*"&amp;"ND"&amp;"*")&gt;0,TRUE,FALSE),TRUE),
             IF(ISNUMBER(INDIRECT($A14 &amp; "!$f$25")), IF(COUNTIF(INDIRECT($A14 &amp; "!$Af$25"),"*"&amp;"ND"&amp;"*")&gt;0,TRUE,FALSE),TRUE),
             IF(ISNUMBER(INDIRECT($A14 &amp; "!$f$26")), IF(COUNTIF(INDIRECT($A14 &amp; "!$Af$26"),"*"&amp;"ND"&amp;"*")&gt;0,TRUE,FALSE),TRUE)
             ),
  "No decodificó",
  IF(
        AND(
            IF(AND(ISNUMBER(INDIRECT($A14 &amp; "!$F$24")),INDIRECT($A14 &amp; "!$F$24")&lt;&gt;1),IF(COUNTIF(INDIRECT($A14 &amp; "!$AF$24"),"*"&amp;"si"&amp;"*")&gt;0,TRUE,FALSE),TRUE),
            IF(AND(ISNUMBER(INDIRECT($A14 &amp; "!$F$25")),INDIRECT($A14 &amp; "!$F$25")&lt;&gt;1),IF(COUNTIF(INDIRECT($A14 &amp; "!$AF$25"),"*"&amp;"si"&amp;"*")&gt;0,TRUE,FALSE),TRUE),
            IF(AND(ISNUMBER(INDIRECT($A14 &amp; "!$F$26")),INDIRECT($A14 &amp; "!$F$26")&lt;&gt;1),IF(COUNTIF(INDIRECT($A14 &amp; "!$AF$26"),"*"&amp;"si"&amp;"*")&gt;0,TRUE,FALSE),TRUE)
           ),
 "SI",
 "NO"
    )
),"NA"))</f>
        <v>NA</v>
      </c>
    </row>
    <row r="15" spans="1:20" x14ac:dyDescent="0.35">
      <c r="A15" s="109"/>
      <c r="B15" s="103" t="str" cm="1">
        <f t="array" aca="1" ref="B15" ca="1">IFERROR(INDIRECT($A15 &amp; "!$A$4"),"NA")</f>
        <v>NA</v>
      </c>
      <c r="C15" s="103" t="str" cm="1">
        <f t="array" aca="1" ref="C15" ca="1">IFERROR(INDIRECT($A15 &amp; "!$I$8"),"NA")</f>
        <v>NA</v>
      </c>
      <c r="D15" s="103" t="str" cm="1">
        <f t="array" aca="1" ref="D15" ca="1">IFERROR(INDIRECT($A15 &amp; "!$Q$8"),"NA")</f>
        <v>NA</v>
      </c>
      <c r="E15" s="103" t="str" cm="1">
        <f t="array" aca="1" ref="E15" ca="1">IFERROR(INDIRECT($A15 &amp; "!$L$19"),"NA")</f>
        <v>NA</v>
      </c>
      <c r="F15" s="103" t="str" cm="1">
        <f t="array" aca="1" ref="F15" ca="1" xml:space="preserve"> IF(C15="RCN", IF($A15&lt;&gt;"",IF(
         AND(
             IF(ISNUMBER(INDIRECT($A15 &amp; "!$F$24")), IF(COUNTIF(INDIRECT($A15 &amp; "!$AD$24"),"*"&amp;"ND"&amp;"*")&gt;0,TRUE,FALSE),TRUE),
             IF(ISNUMBER(INDIRECT($A15 &amp; "!$F$25")), IF(COUNTIF(INDIRECT($A15 &amp; "!$AD$25"),"*"&amp;"ND"&amp;"*")&gt;0,TRUE,FALSE),TRUE)
             ),
      "No decodificó",
      IF(
           AND(
                IF(ISNUMBER(INDIRECT($A15 &amp; "!$F$24")), IF(COUNTIF(INDIRECT($A15 &amp; "!$AD$24"),"*"&amp;"No"&amp;"*")&gt;0,TRUE,FALSE),TRUE),
                IF(ISNUMBER(INDIRECT($A15 &amp; "!$F$25")), IF(COUNTIF(INDIRECT($A15 &amp; "!$AD$25"),"*"&amp;"No"&amp;"*")&gt;0,TRUE,FALSE),TRUE)
              ),
        "No Falla",
        "Falla"
)
),"NA"),IF($A15&lt;&gt;"",IF(
         AND(
             IF(ISNUMBER(INDIRECT($A15 &amp; "!$F$24")), IF(COUNTIF(INDIRECT($A15 &amp; "!$AD$24"),"*"&amp;"ND"&amp;"*")&gt;0,TRUE,FALSE),TRUE),
             IF(ISNUMBER(INDIRECT($A15 &amp; "!$F$25")), IF(COUNTIF(INDIRECT($A15 &amp; "!$AD$25"),"*"&amp;"ND"&amp;"*")&gt;0,TRUE,FALSE),TRUE),
             IF(ISNUMBER(INDIRECT($A15 &amp; "!$F$26")), IF(COUNTIF(INDIRECT($A15 &amp; "!$AD$26"),"*"&amp;"ND"&amp;"*")&gt;0,TRUE,FALSE),TRUE)
             ),
      "No decodificó",
      IF(
           AND(
                IF(ISNUMBER(INDIRECT($A15 &amp; "!$F$24")), IF(COUNTIF(INDIRECT($A15 &amp; "!$AD$24"),"*"&amp;"No"&amp;"*")&gt;0,TRUE,FALSE),TRUE),
                IF(ISNUMBER(INDIRECT($A15 &amp; "!$F$25")), IF(COUNTIF(INDIRECT($A15 &amp; "!$AD$25"),"*"&amp;"No"&amp;"*")&gt;0,TRUE,FALSE),TRUE),
                IF(ISNUMBER(INDIRECT($A15 &amp; "!$F$26")), IF(COUNTIF(INDIRECT($A15 &amp; "!$AD$26"),"*"&amp;"No"&amp;"*")&gt;0,TRUE,FALSE),TRUE)
              ),
        "No Falla",
        "Falla"
)
),"NA"))</f>
        <v>NA</v>
      </c>
      <c r="G15" s="103" t="str" cm="1">
        <f t="array" aca="1" ref="G15" ca="1">IFERROR(INDIRECT($A15 &amp; "!$A$8"),"NA")</f>
        <v>NA</v>
      </c>
      <c r="H15" s="104" t="str">
        <f ca="1">IFERROR(INDEX('Información Gral'!$A$31:$AI$38,MATCH(G15,'Información Gral'!$A$31:$A$38,0),9),"NA")</f>
        <v>NA</v>
      </c>
      <c r="I15" s="105" t="str">
        <f ca="1">IFERROR(INDEX('Información Gral'!$A$31:$AI$38,MATCH(G15,'Información Gral'!$A$31:$A$38,0),22),"NA")</f>
        <v>NA</v>
      </c>
      <c r="J15" s="103" t="str" cm="1">
        <f t="array" aca="1" ref="J15" ca="1">IFERROR(INDIRECT($A15 &amp; "!$p$87"),"NA")</f>
        <v>NA</v>
      </c>
      <c r="K15" s="103" t="str" cm="1">
        <f t="array" aca="1" ref="K15" ca="1">IFERROR(INDIRECT($A15 &amp; "!$p$19"),"NA")</f>
        <v>NA</v>
      </c>
      <c r="L15" s="106" t="str" cm="1">
        <f t="array" aca="1" ref="L15" ca="1">IFERROR(INDIRECT($A15 &amp; "!$r$19"),"NA")</f>
        <v>NA</v>
      </c>
      <c r="M15" s="103" t="str" cm="1">
        <f t="array" aca="1" ref="M15" ca="1">IFERROR(INDIRECT($A15 &amp; "!$v$19"),"NA")</f>
        <v>NA</v>
      </c>
      <c r="N15" s="107" t="str" cm="1">
        <f t="array" aca="1" ref="N15" ca="1">IFERROR(INDIRECT($A15 &amp; "!$y$19"),"NA")</f>
        <v>NA</v>
      </c>
      <c r="O15" s="103" t="str" cm="1">
        <f t="array" aca="1" ref="O15" ca="1">IFERROR(INDIRECT($A15 &amp; "!$aa$19"),"NA")</f>
        <v>NA</v>
      </c>
      <c r="P15" s="103" t="str" cm="1">
        <f t="array" aca="1" ref="P15" ca="1">IFERROR(INDIRECT($A15 &amp; "!$Ad$19"),"NA")</f>
        <v>NA</v>
      </c>
      <c r="Q15" s="103" t="str" cm="1">
        <f t="array" aca="1" ref="Q15" ca="1">IFERROR(INDIRECT($A15 &amp; "!$Ag$19"),"NA")</f>
        <v>NA</v>
      </c>
      <c r="R15" s="103" t="str" cm="1">
        <f t="array" aca="1" ref="R15" ca="1">IFERROR(INDIRECT($A15 &amp; "!$o$24"),"NA")</f>
        <v>NA</v>
      </c>
      <c r="S15" s="103" t="str" cm="1">
        <f t="array" aca="1" ref="S15" ca="1">IFERROR(INDIRECT($A15 &amp; "!$q$24"),"NA")</f>
        <v>NA</v>
      </c>
      <c r="T15" s="103" t="str" cm="1">
        <f t="array" aca="1" ref="T15" ca="1">IF(C15="RCN",IF($A15&lt;&gt;"",IF(
         AND(
             IF(ISNUMBER(INDIRECT($A15 &amp; "!$f$24")), IF(COUNTIF(INDIRECT($A15 &amp; "!$Af$24"),"*"&amp;"ND"&amp;"*")&gt;0,TRUE,FALSE),TRUE),
             IF(ISNUMBER(INDIRECT($A15 &amp; "!$f$25")), IF(COUNTIF(INDIRECT($A15 &amp; "!$Af$25"),"*"&amp;"ND"&amp;"*")&gt;0,TRUE,FALSE),TRUE)
             ),
  "No decodificó",
  IF(
        AND(
            IF(AND(ISNUMBER(INDIRECT($A15 &amp; "!$F$24")),INDIRECT($A15 &amp; "!$F$24")&lt;&gt;1),IF(COUNTIF(INDIRECT($A15 &amp; "!$AF$24"),"*"&amp;"si"&amp;"*")&gt;0,TRUE,FALSE),TRUE),
            IF(AND(ISNUMBER(INDIRECT($A15 &amp; "!$F$25")),INDIRECT($A15 &amp; "!$F$25")&lt;&gt;1),IF(COUNTIF(INDIRECT($A15 &amp; "!$AF$25"),"*"&amp;"si"&amp;"*")&gt;0,TRUE,FALSE),TRUE)
           ),
 "SI",
 "NO"
    )
),"NA"),IF($A15&lt;&gt;"",IF(
         AND(
             IF(ISNUMBER(INDIRECT($A15 &amp; "!$f$24")), IF(COUNTIF(INDIRECT($A15 &amp; "!$Af$24"),"*"&amp;"ND"&amp;"*")&gt;0,TRUE,FALSE),TRUE),
             IF(ISNUMBER(INDIRECT($A15 &amp; "!$f$25")), IF(COUNTIF(INDIRECT($A15 &amp; "!$Af$25"),"*"&amp;"ND"&amp;"*")&gt;0,TRUE,FALSE),TRUE),
             IF(ISNUMBER(INDIRECT($A15 &amp; "!$f$26")), IF(COUNTIF(INDIRECT($A15 &amp; "!$Af$26"),"*"&amp;"ND"&amp;"*")&gt;0,TRUE,FALSE),TRUE)
             ),
  "No decodificó",
  IF(
        AND(
            IF(AND(ISNUMBER(INDIRECT($A15 &amp; "!$F$24")),INDIRECT($A15 &amp; "!$F$24")&lt;&gt;1),IF(COUNTIF(INDIRECT($A15 &amp; "!$AF$24"),"*"&amp;"si"&amp;"*")&gt;0,TRUE,FALSE),TRUE),
            IF(AND(ISNUMBER(INDIRECT($A15 &amp; "!$F$25")),INDIRECT($A15 &amp; "!$F$25")&lt;&gt;1),IF(COUNTIF(INDIRECT($A15 &amp; "!$AF$25"),"*"&amp;"si"&amp;"*")&gt;0,TRUE,FALSE),TRUE),
            IF(AND(ISNUMBER(INDIRECT($A15 &amp; "!$F$26")),INDIRECT($A15 &amp; "!$F$26")&lt;&gt;1),IF(COUNTIF(INDIRECT($A15 &amp; "!$AF$26"),"*"&amp;"si"&amp;"*")&gt;0,TRUE,FALSE),TRUE)
           ),
 "SI",
 "NO"
    )
),"NA"))</f>
        <v>NA</v>
      </c>
    </row>
    <row r="16" spans="1:20" x14ac:dyDescent="0.35">
      <c r="A16" s="109"/>
      <c r="B16" s="103" t="str" cm="1">
        <f t="array" aca="1" ref="B16" ca="1">IFERROR(INDIRECT($A16 &amp; "!$A$4"),"NA")</f>
        <v>NA</v>
      </c>
      <c r="C16" s="103" t="str" cm="1">
        <f t="array" aca="1" ref="C16" ca="1">IFERROR(INDIRECT($A16 &amp; "!$I$8"),"NA")</f>
        <v>NA</v>
      </c>
      <c r="D16" s="103" t="str" cm="1">
        <f t="array" aca="1" ref="D16" ca="1">IFERROR(INDIRECT($A16 &amp; "!$Q$8"),"NA")</f>
        <v>NA</v>
      </c>
      <c r="E16" s="103" t="str" cm="1">
        <f t="array" aca="1" ref="E16" ca="1">IFERROR(INDIRECT($A16 &amp; "!$L$19"),"NA")</f>
        <v>NA</v>
      </c>
      <c r="F16" s="103" t="str" cm="1">
        <f t="array" aca="1" ref="F16" ca="1" xml:space="preserve"> IF(C16="RCN", IF($A16&lt;&gt;"",IF(
         AND(
             IF(ISNUMBER(INDIRECT($A16 &amp; "!$F$24")), IF(COUNTIF(INDIRECT($A16 &amp; "!$AD$24"),"*"&amp;"ND"&amp;"*")&gt;0,TRUE,FALSE),TRUE),
             IF(ISNUMBER(INDIRECT($A16 &amp; "!$F$25")), IF(COUNTIF(INDIRECT($A16 &amp; "!$AD$25"),"*"&amp;"ND"&amp;"*")&gt;0,TRUE,FALSE),TRUE)
             ),
      "No decodificó",
      IF(
           AND(
                IF(ISNUMBER(INDIRECT($A16 &amp; "!$F$24")), IF(COUNTIF(INDIRECT($A16 &amp; "!$AD$24"),"*"&amp;"No"&amp;"*")&gt;0,TRUE,FALSE),TRUE),
                IF(ISNUMBER(INDIRECT($A16 &amp; "!$F$25")), IF(COUNTIF(INDIRECT($A16 &amp; "!$AD$25"),"*"&amp;"No"&amp;"*")&gt;0,TRUE,FALSE),TRUE)
              ),
        "No Falla",
        "Falla"
)
),"NA"),IF($A16&lt;&gt;"",IF(
         AND(
             IF(ISNUMBER(INDIRECT($A16 &amp; "!$F$24")), IF(COUNTIF(INDIRECT($A16 &amp; "!$AD$24"),"*"&amp;"ND"&amp;"*")&gt;0,TRUE,FALSE),TRUE),
             IF(ISNUMBER(INDIRECT($A16 &amp; "!$F$25")), IF(COUNTIF(INDIRECT($A16 &amp; "!$AD$25"),"*"&amp;"ND"&amp;"*")&gt;0,TRUE,FALSE),TRUE),
             IF(ISNUMBER(INDIRECT($A16 &amp; "!$F$26")), IF(COUNTIF(INDIRECT($A16 &amp; "!$AD$26"),"*"&amp;"ND"&amp;"*")&gt;0,TRUE,FALSE),TRUE)
             ),
      "No decodificó",
      IF(
           AND(
                IF(ISNUMBER(INDIRECT($A16 &amp; "!$F$24")), IF(COUNTIF(INDIRECT($A16 &amp; "!$AD$24"),"*"&amp;"No"&amp;"*")&gt;0,TRUE,FALSE),TRUE),
                IF(ISNUMBER(INDIRECT($A16 &amp; "!$F$25")), IF(COUNTIF(INDIRECT($A16 &amp; "!$AD$25"),"*"&amp;"No"&amp;"*")&gt;0,TRUE,FALSE),TRUE),
                IF(ISNUMBER(INDIRECT($A16 &amp; "!$F$26")), IF(COUNTIF(INDIRECT($A16 &amp; "!$AD$26"),"*"&amp;"No"&amp;"*")&gt;0,TRUE,FALSE),TRUE)
              ),
        "No Falla",
        "Falla"
)
),"NA"))</f>
        <v>NA</v>
      </c>
      <c r="G16" s="103" t="str" cm="1">
        <f t="array" aca="1" ref="G16" ca="1">IFERROR(INDIRECT($A16 &amp; "!$A$8"),"NA")</f>
        <v>NA</v>
      </c>
      <c r="H16" s="104" t="str">
        <f ca="1">IFERROR(INDEX('Información Gral'!$A$31:$AI$38,MATCH(G16,'Información Gral'!$A$31:$A$38,0),9),"NA")</f>
        <v>NA</v>
      </c>
      <c r="I16" s="105" t="str">
        <f ca="1">IFERROR(INDEX('Información Gral'!$A$31:$AI$38,MATCH(G16,'Información Gral'!$A$31:$A$38,0),22),"NA")</f>
        <v>NA</v>
      </c>
      <c r="J16" s="103" t="str" cm="1">
        <f t="array" aca="1" ref="J16" ca="1">IFERROR(INDIRECT($A16 &amp; "!$p$87"),"NA")</f>
        <v>NA</v>
      </c>
      <c r="K16" s="103" t="str" cm="1">
        <f t="array" aca="1" ref="K16" ca="1">IFERROR(INDIRECT($A16 &amp; "!$p$19"),"NA")</f>
        <v>NA</v>
      </c>
      <c r="L16" s="106" t="str" cm="1">
        <f t="array" aca="1" ref="L16" ca="1">IFERROR(INDIRECT($A16 &amp; "!$r$19"),"NA")</f>
        <v>NA</v>
      </c>
      <c r="M16" s="103" t="str" cm="1">
        <f t="array" aca="1" ref="M16" ca="1">IFERROR(INDIRECT($A16 &amp; "!$v$19"),"NA")</f>
        <v>NA</v>
      </c>
      <c r="N16" s="107" t="str" cm="1">
        <f t="array" aca="1" ref="N16" ca="1">IFERROR(INDIRECT($A16 &amp; "!$y$19"),"NA")</f>
        <v>NA</v>
      </c>
      <c r="O16" s="103" t="str" cm="1">
        <f t="array" aca="1" ref="O16" ca="1">IFERROR(INDIRECT($A16 &amp; "!$aa$19"),"NA")</f>
        <v>NA</v>
      </c>
      <c r="P16" s="103" t="str" cm="1">
        <f t="array" aca="1" ref="P16" ca="1">IFERROR(INDIRECT($A16 &amp; "!$Ad$19"),"NA")</f>
        <v>NA</v>
      </c>
      <c r="Q16" s="103" t="str" cm="1">
        <f t="array" aca="1" ref="Q16" ca="1">IFERROR(INDIRECT($A16 &amp; "!$Ag$19"),"NA")</f>
        <v>NA</v>
      </c>
      <c r="R16" s="103" t="str" cm="1">
        <f t="array" aca="1" ref="R16" ca="1">IFERROR(INDIRECT($A16 &amp; "!$o$24"),"NA")</f>
        <v>NA</v>
      </c>
      <c r="S16" s="103" t="str" cm="1">
        <f t="array" aca="1" ref="S16" ca="1">IFERROR(INDIRECT($A16 &amp; "!$q$24"),"NA")</f>
        <v>NA</v>
      </c>
      <c r="T16" s="103" t="str" cm="1">
        <f t="array" aca="1" ref="T16" ca="1">IF(C16="RCN",IF($A16&lt;&gt;"",IF(
         AND(
             IF(ISNUMBER(INDIRECT($A16 &amp; "!$f$24")), IF(COUNTIF(INDIRECT($A16 &amp; "!$Af$24"),"*"&amp;"ND"&amp;"*")&gt;0,TRUE,FALSE),TRUE),
             IF(ISNUMBER(INDIRECT($A16 &amp; "!$f$25")), IF(COUNTIF(INDIRECT($A16 &amp; "!$Af$25"),"*"&amp;"ND"&amp;"*")&gt;0,TRUE,FALSE),TRUE)
             ),
  "No decodificó",
  IF(
        AND(
            IF(AND(ISNUMBER(INDIRECT($A16 &amp; "!$F$24")),INDIRECT($A16 &amp; "!$F$24")&lt;&gt;1),IF(COUNTIF(INDIRECT($A16 &amp; "!$AF$24"),"*"&amp;"si"&amp;"*")&gt;0,TRUE,FALSE),TRUE),
            IF(AND(ISNUMBER(INDIRECT($A16 &amp; "!$F$25")),INDIRECT($A16 &amp; "!$F$25")&lt;&gt;1),IF(COUNTIF(INDIRECT($A16 &amp; "!$AF$25"),"*"&amp;"si"&amp;"*")&gt;0,TRUE,FALSE),TRUE)
           ),
 "SI",
 "NO"
    )
),"NA"),IF($A16&lt;&gt;"",IF(
         AND(
             IF(ISNUMBER(INDIRECT($A16 &amp; "!$f$24")), IF(COUNTIF(INDIRECT($A16 &amp; "!$Af$24"),"*"&amp;"ND"&amp;"*")&gt;0,TRUE,FALSE),TRUE),
             IF(ISNUMBER(INDIRECT($A16 &amp; "!$f$25")), IF(COUNTIF(INDIRECT($A16 &amp; "!$Af$25"),"*"&amp;"ND"&amp;"*")&gt;0,TRUE,FALSE),TRUE),
             IF(ISNUMBER(INDIRECT($A16 &amp; "!$f$26")), IF(COUNTIF(INDIRECT($A16 &amp; "!$Af$26"),"*"&amp;"ND"&amp;"*")&gt;0,TRUE,FALSE),TRUE)
             ),
  "No decodificó",
  IF(
        AND(
            IF(AND(ISNUMBER(INDIRECT($A16 &amp; "!$F$24")),INDIRECT($A16 &amp; "!$F$24")&lt;&gt;1),IF(COUNTIF(INDIRECT($A16 &amp; "!$AF$24"),"*"&amp;"si"&amp;"*")&gt;0,TRUE,FALSE),TRUE),
            IF(AND(ISNUMBER(INDIRECT($A16 &amp; "!$F$25")),INDIRECT($A16 &amp; "!$F$25")&lt;&gt;1),IF(COUNTIF(INDIRECT($A16 &amp; "!$AF$25"),"*"&amp;"si"&amp;"*")&gt;0,TRUE,FALSE),TRUE),
            IF(AND(ISNUMBER(INDIRECT($A16 &amp; "!$F$26")),INDIRECT($A16 &amp; "!$F$26")&lt;&gt;1),IF(COUNTIF(INDIRECT($A16 &amp; "!$AF$26"),"*"&amp;"si"&amp;"*")&gt;0,TRUE,FALSE),TRUE)
           ),
 "SI",
 "NO"
    )
),"NA"))</f>
        <v>NA</v>
      </c>
    </row>
    <row r="17" spans="1:20" x14ac:dyDescent="0.35">
      <c r="A17" s="109"/>
      <c r="B17" s="103" t="str" cm="1">
        <f t="array" aca="1" ref="B17" ca="1">IFERROR(INDIRECT($A17 &amp; "!$A$4"),"NA")</f>
        <v>NA</v>
      </c>
      <c r="C17" s="103" t="str" cm="1">
        <f t="array" aca="1" ref="C17" ca="1">IFERROR(INDIRECT($A17 &amp; "!$I$8"),"NA")</f>
        <v>NA</v>
      </c>
      <c r="D17" s="103" t="str" cm="1">
        <f t="array" aca="1" ref="D17" ca="1">IFERROR(INDIRECT($A17 &amp; "!$Q$8"),"NA")</f>
        <v>NA</v>
      </c>
      <c r="E17" s="103" t="str" cm="1">
        <f t="array" aca="1" ref="E17" ca="1">IFERROR(INDIRECT($A17 &amp; "!$L$19"),"NA")</f>
        <v>NA</v>
      </c>
      <c r="F17" s="103" t="str" cm="1">
        <f t="array" aca="1" ref="F17" ca="1" xml:space="preserve"> IF(C17="RCN", IF($A17&lt;&gt;"",IF(
         AND(
             IF(ISNUMBER(INDIRECT($A17 &amp; "!$F$24")), IF(COUNTIF(INDIRECT($A17 &amp; "!$AD$24"),"*"&amp;"ND"&amp;"*")&gt;0,TRUE,FALSE),TRUE),
             IF(ISNUMBER(INDIRECT($A17 &amp; "!$F$25")), IF(COUNTIF(INDIRECT($A17 &amp; "!$AD$25"),"*"&amp;"ND"&amp;"*")&gt;0,TRUE,FALSE),TRUE)
             ),
      "No decodificó",
      IF(
           AND(
                IF(ISNUMBER(INDIRECT($A17 &amp; "!$F$24")), IF(COUNTIF(INDIRECT($A17 &amp; "!$AD$24"),"*"&amp;"No"&amp;"*")&gt;0,TRUE,FALSE),TRUE),
                IF(ISNUMBER(INDIRECT($A17 &amp; "!$F$25")), IF(COUNTIF(INDIRECT($A17 &amp; "!$AD$25"),"*"&amp;"No"&amp;"*")&gt;0,TRUE,FALSE),TRUE)
              ),
        "No Falla",
        "Falla"
)
),"NA"),IF($A17&lt;&gt;"",IF(
         AND(
             IF(ISNUMBER(INDIRECT($A17 &amp; "!$F$24")), IF(COUNTIF(INDIRECT($A17 &amp; "!$AD$24"),"*"&amp;"ND"&amp;"*")&gt;0,TRUE,FALSE),TRUE),
             IF(ISNUMBER(INDIRECT($A17 &amp; "!$F$25")), IF(COUNTIF(INDIRECT($A17 &amp; "!$AD$25"),"*"&amp;"ND"&amp;"*")&gt;0,TRUE,FALSE),TRUE),
             IF(ISNUMBER(INDIRECT($A17 &amp; "!$F$26")), IF(COUNTIF(INDIRECT($A17 &amp; "!$AD$26"),"*"&amp;"ND"&amp;"*")&gt;0,TRUE,FALSE),TRUE)
             ),
      "No decodificó",
      IF(
           AND(
                IF(ISNUMBER(INDIRECT($A17 &amp; "!$F$24")), IF(COUNTIF(INDIRECT($A17 &amp; "!$AD$24"),"*"&amp;"No"&amp;"*")&gt;0,TRUE,FALSE),TRUE),
                IF(ISNUMBER(INDIRECT($A17 &amp; "!$F$25")), IF(COUNTIF(INDIRECT($A17 &amp; "!$AD$25"),"*"&amp;"No"&amp;"*")&gt;0,TRUE,FALSE),TRUE),
                IF(ISNUMBER(INDIRECT($A17 &amp; "!$F$26")), IF(COUNTIF(INDIRECT($A17 &amp; "!$AD$26"),"*"&amp;"No"&amp;"*")&gt;0,TRUE,FALSE),TRUE)
              ),
        "No Falla",
        "Falla"
)
),"NA"))</f>
        <v>NA</v>
      </c>
      <c r="G17" s="103" t="str" cm="1">
        <f t="array" aca="1" ref="G17" ca="1">IFERROR(INDIRECT($A17 &amp; "!$A$8"),"NA")</f>
        <v>NA</v>
      </c>
      <c r="H17" s="104" t="str">
        <f ca="1">IFERROR(INDEX('Información Gral'!$A$31:$AI$38,MATCH(G17,'Información Gral'!$A$31:$A$38,0),9),"NA")</f>
        <v>NA</v>
      </c>
      <c r="I17" s="105" t="str">
        <f ca="1">IFERROR(INDEX('Información Gral'!$A$31:$AI$38,MATCH(G17,'Información Gral'!$A$31:$A$38,0),22),"NA")</f>
        <v>NA</v>
      </c>
      <c r="J17" s="103" t="str" cm="1">
        <f t="array" aca="1" ref="J17" ca="1">IFERROR(INDIRECT($A17 &amp; "!$p$87"),"NA")</f>
        <v>NA</v>
      </c>
      <c r="K17" s="103" t="str" cm="1">
        <f t="array" aca="1" ref="K17" ca="1">IFERROR(INDIRECT($A17 &amp; "!$p$19"),"NA")</f>
        <v>NA</v>
      </c>
      <c r="L17" s="106" t="str" cm="1">
        <f t="array" aca="1" ref="L17" ca="1">IFERROR(INDIRECT($A17 &amp; "!$r$19"),"NA")</f>
        <v>NA</v>
      </c>
      <c r="M17" s="103" t="str" cm="1">
        <f t="array" aca="1" ref="M17" ca="1">IFERROR(INDIRECT($A17 &amp; "!$v$19"),"NA")</f>
        <v>NA</v>
      </c>
      <c r="N17" s="107" t="str" cm="1">
        <f t="array" aca="1" ref="N17" ca="1">IFERROR(INDIRECT($A17 &amp; "!$y$19"),"NA")</f>
        <v>NA</v>
      </c>
      <c r="O17" s="103" t="str" cm="1">
        <f t="array" aca="1" ref="O17" ca="1">IFERROR(INDIRECT($A17 &amp; "!$aa$19"),"NA")</f>
        <v>NA</v>
      </c>
      <c r="P17" s="103" t="str" cm="1">
        <f t="array" aca="1" ref="P17" ca="1">IFERROR(INDIRECT($A17 &amp; "!$Ad$19"),"NA")</f>
        <v>NA</v>
      </c>
      <c r="Q17" s="103" t="str" cm="1">
        <f t="array" aca="1" ref="Q17" ca="1">IFERROR(INDIRECT($A17 &amp; "!$Ag$19"),"NA")</f>
        <v>NA</v>
      </c>
      <c r="R17" s="103" t="str" cm="1">
        <f t="array" aca="1" ref="R17" ca="1">IFERROR(INDIRECT($A17 &amp; "!$o$24"),"NA")</f>
        <v>NA</v>
      </c>
      <c r="S17" s="103" t="str" cm="1">
        <f t="array" aca="1" ref="S17" ca="1">IFERROR(INDIRECT($A17 &amp; "!$q$24"),"NA")</f>
        <v>NA</v>
      </c>
      <c r="T17" s="103" t="str" cm="1">
        <f t="array" aca="1" ref="T17" ca="1">IF(C17="RCN",IF($A17&lt;&gt;"",IF(
         AND(
             IF(ISNUMBER(INDIRECT($A17 &amp; "!$f$24")), IF(COUNTIF(INDIRECT($A17 &amp; "!$Af$24"),"*"&amp;"ND"&amp;"*")&gt;0,TRUE,FALSE),TRUE),
             IF(ISNUMBER(INDIRECT($A17 &amp; "!$f$25")), IF(COUNTIF(INDIRECT($A17 &amp; "!$Af$25"),"*"&amp;"ND"&amp;"*")&gt;0,TRUE,FALSE),TRUE)
             ),
  "No decodificó",
  IF(
        AND(
            IF(AND(ISNUMBER(INDIRECT($A17 &amp; "!$F$24")),INDIRECT($A17 &amp; "!$F$24")&lt;&gt;1),IF(COUNTIF(INDIRECT($A17 &amp; "!$AF$24"),"*"&amp;"si"&amp;"*")&gt;0,TRUE,FALSE),TRUE),
            IF(AND(ISNUMBER(INDIRECT($A17 &amp; "!$F$25")),INDIRECT($A17 &amp; "!$F$25")&lt;&gt;1),IF(COUNTIF(INDIRECT($A17 &amp; "!$AF$25"),"*"&amp;"si"&amp;"*")&gt;0,TRUE,FALSE),TRUE)
           ),
 "SI",
 "NO"
    )
),"NA"),IF($A17&lt;&gt;"",IF(
         AND(
             IF(ISNUMBER(INDIRECT($A17 &amp; "!$f$24")), IF(COUNTIF(INDIRECT($A17 &amp; "!$Af$24"),"*"&amp;"ND"&amp;"*")&gt;0,TRUE,FALSE),TRUE),
             IF(ISNUMBER(INDIRECT($A17 &amp; "!$f$25")), IF(COUNTIF(INDIRECT($A17 &amp; "!$Af$25"),"*"&amp;"ND"&amp;"*")&gt;0,TRUE,FALSE),TRUE),
             IF(ISNUMBER(INDIRECT($A17 &amp; "!$f$26")), IF(COUNTIF(INDIRECT($A17 &amp; "!$Af$26"),"*"&amp;"ND"&amp;"*")&gt;0,TRUE,FALSE),TRUE)
             ),
  "No decodificó",
  IF(
        AND(
            IF(AND(ISNUMBER(INDIRECT($A17 &amp; "!$F$24")),INDIRECT($A17 &amp; "!$F$24")&lt;&gt;1),IF(COUNTIF(INDIRECT($A17 &amp; "!$AF$24"),"*"&amp;"si"&amp;"*")&gt;0,TRUE,FALSE),TRUE),
            IF(AND(ISNUMBER(INDIRECT($A17 &amp; "!$F$25")),INDIRECT($A17 &amp; "!$F$25")&lt;&gt;1),IF(COUNTIF(INDIRECT($A17 &amp; "!$AF$25"),"*"&amp;"si"&amp;"*")&gt;0,TRUE,FALSE),TRUE),
            IF(AND(ISNUMBER(INDIRECT($A17 &amp; "!$F$26")),INDIRECT($A17 &amp; "!$F$26")&lt;&gt;1),IF(COUNTIF(INDIRECT($A17 &amp; "!$AF$26"),"*"&amp;"si"&amp;"*")&gt;0,TRUE,FALSE),TRUE)
           ),
 "SI",
 "NO"
    )
),"NA"))</f>
        <v>NA</v>
      </c>
    </row>
    <row r="18" spans="1:20" x14ac:dyDescent="0.35">
      <c r="A18" s="109"/>
      <c r="B18" s="103" t="str" cm="1">
        <f t="array" aca="1" ref="B18" ca="1">IFERROR(INDIRECT($A18 &amp; "!$A$4"),"NA")</f>
        <v>NA</v>
      </c>
      <c r="C18" s="103" t="str" cm="1">
        <f t="array" aca="1" ref="C18" ca="1">IFERROR(INDIRECT($A18 &amp; "!$I$8"),"NA")</f>
        <v>NA</v>
      </c>
      <c r="D18" s="103" t="str" cm="1">
        <f t="array" aca="1" ref="D18" ca="1">IFERROR(INDIRECT($A18 &amp; "!$Q$8"),"NA")</f>
        <v>NA</v>
      </c>
      <c r="E18" s="103" t="str" cm="1">
        <f t="array" aca="1" ref="E18" ca="1">IFERROR(INDIRECT($A18 &amp; "!$L$19"),"NA")</f>
        <v>NA</v>
      </c>
      <c r="F18" s="103" t="str" cm="1">
        <f t="array" aca="1" ref="F18" ca="1" xml:space="preserve"> IF(C18="RCN", IF($A18&lt;&gt;"",IF(
         AND(
             IF(ISNUMBER(INDIRECT($A18 &amp; "!$F$24")), IF(COUNTIF(INDIRECT($A18 &amp; "!$AD$24"),"*"&amp;"ND"&amp;"*")&gt;0,TRUE,FALSE),TRUE),
             IF(ISNUMBER(INDIRECT($A18 &amp; "!$F$25")), IF(COUNTIF(INDIRECT($A18 &amp; "!$AD$25"),"*"&amp;"ND"&amp;"*")&gt;0,TRUE,FALSE),TRUE)
             ),
      "No decodificó",
      IF(
           AND(
                IF(ISNUMBER(INDIRECT($A18 &amp; "!$F$24")), IF(COUNTIF(INDIRECT($A18 &amp; "!$AD$24"),"*"&amp;"No"&amp;"*")&gt;0,TRUE,FALSE),TRUE),
                IF(ISNUMBER(INDIRECT($A18 &amp; "!$F$25")), IF(COUNTIF(INDIRECT($A18 &amp; "!$AD$25"),"*"&amp;"No"&amp;"*")&gt;0,TRUE,FALSE),TRUE)
              ),
        "No Falla",
        "Falla"
)
),"NA"),IF($A18&lt;&gt;"",IF(
         AND(
             IF(ISNUMBER(INDIRECT($A18 &amp; "!$F$24")), IF(COUNTIF(INDIRECT($A18 &amp; "!$AD$24"),"*"&amp;"ND"&amp;"*")&gt;0,TRUE,FALSE),TRUE),
             IF(ISNUMBER(INDIRECT($A18 &amp; "!$F$25")), IF(COUNTIF(INDIRECT($A18 &amp; "!$AD$25"),"*"&amp;"ND"&amp;"*")&gt;0,TRUE,FALSE),TRUE),
             IF(ISNUMBER(INDIRECT($A18 &amp; "!$F$26")), IF(COUNTIF(INDIRECT($A18 &amp; "!$AD$26"),"*"&amp;"ND"&amp;"*")&gt;0,TRUE,FALSE),TRUE)
             ),
      "No decodificó",
      IF(
           AND(
                IF(ISNUMBER(INDIRECT($A18 &amp; "!$F$24")), IF(COUNTIF(INDIRECT($A18 &amp; "!$AD$24"),"*"&amp;"No"&amp;"*")&gt;0,TRUE,FALSE),TRUE),
                IF(ISNUMBER(INDIRECT($A18 &amp; "!$F$25")), IF(COUNTIF(INDIRECT($A18 &amp; "!$AD$25"),"*"&amp;"No"&amp;"*")&gt;0,TRUE,FALSE),TRUE),
                IF(ISNUMBER(INDIRECT($A18 &amp; "!$F$26")), IF(COUNTIF(INDIRECT($A18 &amp; "!$AD$26"),"*"&amp;"No"&amp;"*")&gt;0,TRUE,FALSE),TRUE)
              ),
        "No Falla",
        "Falla"
)
),"NA"))</f>
        <v>NA</v>
      </c>
      <c r="G18" s="103" t="str" cm="1">
        <f t="array" aca="1" ref="G18" ca="1">IFERROR(INDIRECT($A18 &amp; "!$A$8"),"NA")</f>
        <v>NA</v>
      </c>
      <c r="H18" s="104" t="str">
        <f ca="1">IFERROR(INDEX('Información Gral'!$A$31:$AI$38,MATCH(G18,'Información Gral'!$A$31:$A$38,0),9),"NA")</f>
        <v>NA</v>
      </c>
      <c r="I18" s="105" t="str">
        <f ca="1">IFERROR(INDEX('Información Gral'!$A$31:$AI$38,MATCH(G18,'Información Gral'!$A$31:$A$38,0),22),"NA")</f>
        <v>NA</v>
      </c>
      <c r="J18" s="103" t="str" cm="1">
        <f t="array" aca="1" ref="J18" ca="1">IFERROR(INDIRECT($A18 &amp; "!$p$87"),"NA")</f>
        <v>NA</v>
      </c>
      <c r="K18" s="103" t="str" cm="1">
        <f t="array" aca="1" ref="K18" ca="1">IFERROR(INDIRECT($A18 &amp; "!$p$19"),"NA")</f>
        <v>NA</v>
      </c>
      <c r="L18" s="106" t="str" cm="1">
        <f t="array" aca="1" ref="L18" ca="1">IFERROR(INDIRECT($A18 &amp; "!$r$19"),"NA")</f>
        <v>NA</v>
      </c>
      <c r="M18" s="103" t="str" cm="1">
        <f t="array" aca="1" ref="M18" ca="1">IFERROR(INDIRECT($A18 &amp; "!$v$19"),"NA")</f>
        <v>NA</v>
      </c>
      <c r="N18" s="107" t="str" cm="1">
        <f t="array" aca="1" ref="N18" ca="1">IFERROR(INDIRECT($A18 &amp; "!$y$19"),"NA")</f>
        <v>NA</v>
      </c>
      <c r="O18" s="103" t="str" cm="1">
        <f t="array" aca="1" ref="O18" ca="1">IFERROR(INDIRECT($A18 &amp; "!$aa$19"),"NA")</f>
        <v>NA</v>
      </c>
      <c r="P18" s="103" t="str" cm="1">
        <f t="array" aca="1" ref="P18" ca="1">IFERROR(INDIRECT($A18 &amp; "!$Ad$19"),"NA")</f>
        <v>NA</v>
      </c>
      <c r="Q18" s="103" t="str" cm="1">
        <f t="array" aca="1" ref="Q18" ca="1">IFERROR(INDIRECT($A18 &amp; "!$Ag$19"),"NA")</f>
        <v>NA</v>
      </c>
      <c r="R18" s="103" t="str" cm="1">
        <f t="array" aca="1" ref="R18" ca="1">IFERROR(INDIRECT($A18 &amp; "!$o$24"),"NA")</f>
        <v>NA</v>
      </c>
      <c r="S18" s="103" t="str" cm="1">
        <f t="array" aca="1" ref="S18" ca="1">IFERROR(INDIRECT($A18 &amp; "!$q$24"),"NA")</f>
        <v>NA</v>
      </c>
      <c r="T18" s="103" t="str" cm="1">
        <f t="array" aca="1" ref="T18" ca="1">IF(C18="RCN",IF($A18&lt;&gt;"",IF(
         AND(
             IF(ISNUMBER(INDIRECT($A18 &amp; "!$f$24")), IF(COUNTIF(INDIRECT($A18 &amp; "!$Af$24"),"*"&amp;"ND"&amp;"*")&gt;0,TRUE,FALSE),TRUE),
             IF(ISNUMBER(INDIRECT($A18 &amp; "!$f$25")), IF(COUNTIF(INDIRECT($A18 &amp; "!$Af$25"),"*"&amp;"ND"&amp;"*")&gt;0,TRUE,FALSE),TRUE)
             ),
  "No decodificó",
  IF(
        AND(
            IF(AND(ISNUMBER(INDIRECT($A18 &amp; "!$F$24")),INDIRECT($A18 &amp; "!$F$24")&lt;&gt;1),IF(COUNTIF(INDIRECT($A18 &amp; "!$AF$24"),"*"&amp;"si"&amp;"*")&gt;0,TRUE,FALSE),TRUE),
            IF(AND(ISNUMBER(INDIRECT($A18 &amp; "!$F$25")),INDIRECT($A18 &amp; "!$F$25")&lt;&gt;1),IF(COUNTIF(INDIRECT($A18 &amp; "!$AF$25"),"*"&amp;"si"&amp;"*")&gt;0,TRUE,FALSE),TRUE)
           ),
 "SI",
 "NO"
    )
),"NA"),IF($A18&lt;&gt;"",IF(
         AND(
             IF(ISNUMBER(INDIRECT($A18 &amp; "!$f$24")), IF(COUNTIF(INDIRECT($A18 &amp; "!$Af$24"),"*"&amp;"ND"&amp;"*")&gt;0,TRUE,FALSE),TRUE),
             IF(ISNUMBER(INDIRECT($A18 &amp; "!$f$25")), IF(COUNTIF(INDIRECT($A18 &amp; "!$Af$25"),"*"&amp;"ND"&amp;"*")&gt;0,TRUE,FALSE),TRUE),
             IF(ISNUMBER(INDIRECT($A18 &amp; "!$f$26")), IF(COUNTIF(INDIRECT($A18 &amp; "!$Af$26"),"*"&amp;"ND"&amp;"*")&gt;0,TRUE,FALSE),TRUE)
             ),
  "No decodificó",
  IF(
        AND(
            IF(AND(ISNUMBER(INDIRECT($A18 &amp; "!$F$24")),INDIRECT($A18 &amp; "!$F$24")&lt;&gt;1),IF(COUNTIF(INDIRECT($A18 &amp; "!$AF$24"),"*"&amp;"si"&amp;"*")&gt;0,TRUE,FALSE),TRUE),
            IF(AND(ISNUMBER(INDIRECT($A18 &amp; "!$F$25")),INDIRECT($A18 &amp; "!$F$25")&lt;&gt;1),IF(COUNTIF(INDIRECT($A18 &amp; "!$AF$25"),"*"&amp;"si"&amp;"*")&gt;0,TRUE,FALSE),TRUE),
            IF(AND(ISNUMBER(INDIRECT($A18 &amp; "!$F$26")),INDIRECT($A18 &amp; "!$F$26")&lt;&gt;1),IF(COUNTIF(INDIRECT($A18 &amp; "!$AF$26"),"*"&amp;"si"&amp;"*")&gt;0,TRUE,FALSE),TRUE)
           ),
 "SI",
 "NO"
    )
),"NA"))</f>
        <v>NA</v>
      </c>
    </row>
    <row r="19" spans="1:20" x14ac:dyDescent="0.35">
      <c r="A19" s="109"/>
      <c r="B19" s="103" t="str" cm="1">
        <f t="array" aca="1" ref="B19" ca="1">IFERROR(INDIRECT($A19 &amp; "!$A$4"),"NA")</f>
        <v>NA</v>
      </c>
      <c r="C19" s="103" t="str" cm="1">
        <f t="array" aca="1" ref="C19" ca="1">IFERROR(INDIRECT($A19 &amp; "!$I$8"),"NA")</f>
        <v>NA</v>
      </c>
      <c r="D19" s="103" t="str" cm="1">
        <f t="array" aca="1" ref="D19" ca="1">IFERROR(INDIRECT($A19 &amp; "!$Q$8"),"NA")</f>
        <v>NA</v>
      </c>
      <c r="E19" s="103" t="str" cm="1">
        <f t="array" aca="1" ref="E19" ca="1">IFERROR(INDIRECT($A19 &amp; "!$L$19"),"NA")</f>
        <v>NA</v>
      </c>
      <c r="F19" s="103" t="str" cm="1">
        <f t="array" aca="1" ref="F19" ca="1" xml:space="preserve"> IF(C19="RCN", IF($A19&lt;&gt;"",IF(
         AND(
             IF(ISNUMBER(INDIRECT($A19 &amp; "!$F$24")), IF(COUNTIF(INDIRECT($A19 &amp; "!$AD$24"),"*"&amp;"ND"&amp;"*")&gt;0,TRUE,FALSE),TRUE),
             IF(ISNUMBER(INDIRECT($A19 &amp; "!$F$25")), IF(COUNTIF(INDIRECT($A19 &amp; "!$AD$25"),"*"&amp;"ND"&amp;"*")&gt;0,TRUE,FALSE),TRUE)
             ),
      "No decodificó",
      IF(
           AND(
                IF(ISNUMBER(INDIRECT($A19 &amp; "!$F$24")), IF(COUNTIF(INDIRECT($A19 &amp; "!$AD$24"),"*"&amp;"No"&amp;"*")&gt;0,TRUE,FALSE),TRUE),
                IF(ISNUMBER(INDIRECT($A19 &amp; "!$F$25")), IF(COUNTIF(INDIRECT($A19 &amp; "!$AD$25"),"*"&amp;"No"&amp;"*")&gt;0,TRUE,FALSE),TRUE)
              ),
        "No Falla",
        "Falla"
)
),"NA"),IF($A19&lt;&gt;"",IF(
         AND(
             IF(ISNUMBER(INDIRECT($A19 &amp; "!$F$24")), IF(COUNTIF(INDIRECT($A19 &amp; "!$AD$24"),"*"&amp;"ND"&amp;"*")&gt;0,TRUE,FALSE),TRUE),
             IF(ISNUMBER(INDIRECT($A19 &amp; "!$F$25")), IF(COUNTIF(INDIRECT($A19 &amp; "!$AD$25"),"*"&amp;"ND"&amp;"*")&gt;0,TRUE,FALSE),TRUE),
             IF(ISNUMBER(INDIRECT($A19 &amp; "!$F$26")), IF(COUNTIF(INDIRECT($A19 &amp; "!$AD$26"),"*"&amp;"ND"&amp;"*")&gt;0,TRUE,FALSE),TRUE)
             ),
      "No decodificó",
      IF(
           AND(
                IF(ISNUMBER(INDIRECT($A19 &amp; "!$F$24")), IF(COUNTIF(INDIRECT($A19 &amp; "!$AD$24"),"*"&amp;"No"&amp;"*")&gt;0,TRUE,FALSE),TRUE),
                IF(ISNUMBER(INDIRECT($A19 &amp; "!$F$25")), IF(COUNTIF(INDIRECT($A19 &amp; "!$AD$25"),"*"&amp;"No"&amp;"*")&gt;0,TRUE,FALSE),TRUE),
                IF(ISNUMBER(INDIRECT($A19 &amp; "!$F$26")), IF(COUNTIF(INDIRECT($A19 &amp; "!$AD$26"),"*"&amp;"No"&amp;"*")&gt;0,TRUE,FALSE),TRUE)
              ),
        "No Falla",
        "Falla"
)
),"NA"))</f>
        <v>NA</v>
      </c>
      <c r="G19" s="103" t="str" cm="1">
        <f t="array" aca="1" ref="G19" ca="1">IFERROR(INDIRECT($A19 &amp; "!$A$8"),"NA")</f>
        <v>NA</v>
      </c>
      <c r="H19" s="104" t="str">
        <f ca="1">IFERROR(INDEX('Información Gral'!$A$31:$AI$38,MATCH(G19,'Información Gral'!$A$31:$A$38,0),9),"NA")</f>
        <v>NA</v>
      </c>
      <c r="I19" s="105" t="str">
        <f ca="1">IFERROR(INDEX('Información Gral'!$A$31:$AI$38,MATCH(G19,'Información Gral'!$A$31:$A$38,0),22),"NA")</f>
        <v>NA</v>
      </c>
      <c r="J19" s="103" t="str" cm="1">
        <f t="array" aca="1" ref="J19" ca="1">IFERROR(INDIRECT($A19 &amp; "!$p$87"),"NA")</f>
        <v>NA</v>
      </c>
      <c r="K19" s="103" t="str" cm="1">
        <f t="array" aca="1" ref="K19" ca="1">IFERROR(INDIRECT($A19 &amp; "!$p$19"),"NA")</f>
        <v>NA</v>
      </c>
      <c r="L19" s="106" t="str" cm="1">
        <f t="array" aca="1" ref="L19" ca="1">IFERROR(INDIRECT($A19 &amp; "!$r$19"),"NA")</f>
        <v>NA</v>
      </c>
      <c r="M19" s="103" t="str" cm="1">
        <f t="array" aca="1" ref="M19" ca="1">IFERROR(INDIRECT($A19 &amp; "!$v$19"),"NA")</f>
        <v>NA</v>
      </c>
      <c r="N19" s="107" t="str" cm="1">
        <f t="array" aca="1" ref="N19" ca="1">IFERROR(INDIRECT($A19 &amp; "!$y$19"),"NA")</f>
        <v>NA</v>
      </c>
      <c r="O19" s="103" t="str" cm="1">
        <f t="array" aca="1" ref="O19" ca="1">IFERROR(INDIRECT($A19 &amp; "!$aa$19"),"NA")</f>
        <v>NA</v>
      </c>
      <c r="P19" s="103" t="str" cm="1">
        <f t="array" aca="1" ref="P19" ca="1">IFERROR(INDIRECT($A19 &amp; "!$Ad$19"),"NA")</f>
        <v>NA</v>
      </c>
      <c r="Q19" s="103" t="str" cm="1">
        <f t="array" aca="1" ref="Q19" ca="1">IFERROR(INDIRECT($A19 &amp; "!$Ag$19"),"NA")</f>
        <v>NA</v>
      </c>
      <c r="R19" s="103" t="str" cm="1">
        <f t="array" aca="1" ref="R19" ca="1">IFERROR(INDIRECT($A19 &amp; "!$o$24"),"NA")</f>
        <v>NA</v>
      </c>
      <c r="S19" s="103" t="str" cm="1">
        <f t="array" aca="1" ref="S19" ca="1">IFERROR(INDIRECT($A19 &amp; "!$q$24"),"NA")</f>
        <v>NA</v>
      </c>
      <c r="T19" s="103" t="str" cm="1">
        <f t="array" aca="1" ref="T19" ca="1">IF(C19="RCN",IF($A19&lt;&gt;"",IF(
         AND(
             IF(ISNUMBER(INDIRECT($A19 &amp; "!$f$24")), IF(COUNTIF(INDIRECT($A19 &amp; "!$Af$24"),"*"&amp;"ND"&amp;"*")&gt;0,TRUE,FALSE),TRUE),
             IF(ISNUMBER(INDIRECT($A19 &amp; "!$f$25")), IF(COUNTIF(INDIRECT($A19 &amp; "!$Af$25"),"*"&amp;"ND"&amp;"*")&gt;0,TRUE,FALSE),TRUE)
             ),
  "No decodificó",
  IF(
        AND(
            IF(AND(ISNUMBER(INDIRECT($A19 &amp; "!$F$24")),INDIRECT($A19 &amp; "!$F$24")&lt;&gt;1),IF(COUNTIF(INDIRECT($A19 &amp; "!$AF$24"),"*"&amp;"si"&amp;"*")&gt;0,TRUE,FALSE),TRUE),
            IF(AND(ISNUMBER(INDIRECT($A19 &amp; "!$F$25")),INDIRECT($A19 &amp; "!$F$25")&lt;&gt;1),IF(COUNTIF(INDIRECT($A19 &amp; "!$AF$25"),"*"&amp;"si"&amp;"*")&gt;0,TRUE,FALSE),TRUE)
           ),
 "SI",
 "NO"
    )
),"NA"),IF($A19&lt;&gt;"",IF(
         AND(
             IF(ISNUMBER(INDIRECT($A19 &amp; "!$f$24")), IF(COUNTIF(INDIRECT($A19 &amp; "!$Af$24"),"*"&amp;"ND"&amp;"*")&gt;0,TRUE,FALSE),TRUE),
             IF(ISNUMBER(INDIRECT($A19 &amp; "!$f$25")), IF(COUNTIF(INDIRECT($A19 &amp; "!$Af$25"),"*"&amp;"ND"&amp;"*")&gt;0,TRUE,FALSE),TRUE),
             IF(ISNUMBER(INDIRECT($A19 &amp; "!$f$26")), IF(COUNTIF(INDIRECT($A19 &amp; "!$Af$26"),"*"&amp;"ND"&amp;"*")&gt;0,TRUE,FALSE),TRUE)
             ),
  "No decodificó",
  IF(
        AND(
            IF(AND(ISNUMBER(INDIRECT($A19 &amp; "!$F$24")),INDIRECT($A19 &amp; "!$F$24")&lt;&gt;1),IF(COUNTIF(INDIRECT($A19 &amp; "!$AF$24"),"*"&amp;"si"&amp;"*")&gt;0,TRUE,FALSE),TRUE),
            IF(AND(ISNUMBER(INDIRECT($A19 &amp; "!$F$25")),INDIRECT($A19 &amp; "!$F$25")&lt;&gt;1),IF(COUNTIF(INDIRECT($A19 &amp; "!$AF$25"),"*"&amp;"si"&amp;"*")&gt;0,TRUE,FALSE),TRUE),
            IF(AND(ISNUMBER(INDIRECT($A19 &amp; "!$F$26")),INDIRECT($A19 &amp; "!$F$26")&lt;&gt;1),IF(COUNTIF(INDIRECT($A19 &amp; "!$AF$26"),"*"&amp;"si"&amp;"*")&gt;0,TRUE,FALSE),TRUE)
           ),
 "SI",
 "NO"
    )
),"NA"))</f>
        <v>NA</v>
      </c>
    </row>
    <row r="20" spans="1:20" x14ac:dyDescent="0.35">
      <c r="A20" s="109"/>
      <c r="B20" s="103" t="str" cm="1">
        <f t="array" aca="1" ref="B20" ca="1">IFERROR(INDIRECT($A20 &amp; "!$A$4"),"NA")</f>
        <v>NA</v>
      </c>
      <c r="C20" s="103" t="str" cm="1">
        <f t="array" aca="1" ref="C20" ca="1">IFERROR(INDIRECT($A20 &amp; "!$I$8"),"NA")</f>
        <v>NA</v>
      </c>
      <c r="D20" s="103" t="str" cm="1">
        <f t="array" aca="1" ref="D20" ca="1">IFERROR(INDIRECT($A20 &amp; "!$Q$8"),"NA")</f>
        <v>NA</v>
      </c>
      <c r="E20" s="103" t="str" cm="1">
        <f t="array" aca="1" ref="E20" ca="1">IFERROR(INDIRECT($A20 &amp; "!$L$19"),"NA")</f>
        <v>NA</v>
      </c>
      <c r="F20" s="103" t="str" cm="1">
        <f t="array" aca="1" ref="F20" ca="1" xml:space="preserve"> IF(C20="RCN", IF($A20&lt;&gt;"",IF(
         AND(
             IF(ISNUMBER(INDIRECT($A20 &amp; "!$F$24")), IF(COUNTIF(INDIRECT($A20 &amp; "!$AD$24"),"*"&amp;"ND"&amp;"*")&gt;0,TRUE,FALSE),TRUE),
             IF(ISNUMBER(INDIRECT($A20 &amp; "!$F$25")), IF(COUNTIF(INDIRECT($A20 &amp; "!$AD$25"),"*"&amp;"ND"&amp;"*")&gt;0,TRUE,FALSE),TRUE)
             ),
      "No decodificó",
      IF(
           AND(
                IF(ISNUMBER(INDIRECT($A20 &amp; "!$F$24")), IF(COUNTIF(INDIRECT($A20 &amp; "!$AD$24"),"*"&amp;"No"&amp;"*")&gt;0,TRUE,FALSE),TRUE),
                IF(ISNUMBER(INDIRECT($A20 &amp; "!$F$25")), IF(COUNTIF(INDIRECT($A20 &amp; "!$AD$25"),"*"&amp;"No"&amp;"*")&gt;0,TRUE,FALSE),TRUE)
              ),
        "No Falla",
        "Falla"
)
),"NA"),IF($A20&lt;&gt;"",IF(
         AND(
             IF(ISNUMBER(INDIRECT($A20 &amp; "!$F$24")), IF(COUNTIF(INDIRECT($A20 &amp; "!$AD$24"),"*"&amp;"ND"&amp;"*")&gt;0,TRUE,FALSE),TRUE),
             IF(ISNUMBER(INDIRECT($A20 &amp; "!$F$25")), IF(COUNTIF(INDIRECT($A20 &amp; "!$AD$25"),"*"&amp;"ND"&amp;"*")&gt;0,TRUE,FALSE),TRUE),
             IF(ISNUMBER(INDIRECT($A20 &amp; "!$F$26")), IF(COUNTIF(INDIRECT($A20 &amp; "!$AD$26"),"*"&amp;"ND"&amp;"*")&gt;0,TRUE,FALSE),TRUE)
             ),
      "No decodificó",
      IF(
           AND(
                IF(ISNUMBER(INDIRECT($A20 &amp; "!$F$24")), IF(COUNTIF(INDIRECT($A20 &amp; "!$AD$24"),"*"&amp;"No"&amp;"*")&gt;0,TRUE,FALSE),TRUE),
                IF(ISNUMBER(INDIRECT($A20 &amp; "!$F$25")), IF(COUNTIF(INDIRECT($A20 &amp; "!$AD$25"),"*"&amp;"No"&amp;"*")&gt;0,TRUE,FALSE),TRUE),
                IF(ISNUMBER(INDIRECT($A20 &amp; "!$F$26")), IF(COUNTIF(INDIRECT($A20 &amp; "!$AD$26"),"*"&amp;"No"&amp;"*")&gt;0,TRUE,FALSE),TRUE)
              ),
        "No Falla",
        "Falla"
)
),"NA"))</f>
        <v>NA</v>
      </c>
      <c r="G20" s="103" t="str" cm="1">
        <f t="array" aca="1" ref="G20" ca="1">IFERROR(INDIRECT($A20 &amp; "!$A$8"),"NA")</f>
        <v>NA</v>
      </c>
      <c r="H20" s="104" t="str">
        <f ca="1">IFERROR(INDEX('Información Gral'!$A$31:$AI$38,MATCH(G20,'Información Gral'!$A$31:$A$38,0),9),"NA")</f>
        <v>NA</v>
      </c>
      <c r="I20" s="105" t="str">
        <f ca="1">IFERROR(INDEX('Información Gral'!$A$31:$AI$38,MATCH(G20,'Información Gral'!$A$31:$A$38,0),22),"NA")</f>
        <v>NA</v>
      </c>
      <c r="J20" s="103" t="str" cm="1">
        <f t="array" aca="1" ref="J20" ca="1">IFERROR(INDIRECT($A20 &amp; "!$p$87"),"NA")</f>
        <v>NA</v>
      </c>
      <c r="K20" s="103" t="str" cm="1">
        <f t="array" aca="1" ref="K20" ca="1">IFERROR(INDIRECT($A20 &amp; "!$p$19"),"NA")</f>
        <v>NA</v>
      </c>
      <c r="L20" s="106" t="str" cm="1">
        <f t="array" aca="1" ref="L20" ca="1">IFERROR(INDIRECT($A20 &amp; "!$r$19"),"NA")</f>
        <v>NA</v>
      </c>
      <c r="M20" s="103" t="str" cm="1">
        <f t="array" aca="1" ref="M20" ca="1">IFERROR(INDIRECT($A20 &amp; "!$v$19"),"NA")</f>
        <v>NA</v>
      </c>
      <c r="N20" s="107" t="str" cm="1">
        <f t="array" aca="1" ref="N20" ca="1">IFERROR(INDIRECT($A20 &amp; "!$y$19"),"NA")</f>
        <v>NA</v>
      </c>
      <c r="O20" s="103" t="str" cm="1">
        <f t="array" aca="1" ref="O20" ca="1">IFERROR(INDIRECT($A20 &amp; "!$aa$19"),"NA")</f>
        <v>NA</v>
      </c>
      <c r="P20" s="103" t="str" cm="1">
        <f t="array" aca="1" ref="P20" ca="1">IFERROR(INDIRECT($A20 &amp; "!$Ad$19"),"NA")</f>
        <v>NA</v>
      </c>
      <c r="Q20" s="103" t="str" cm="1">
        <f t="array" aca="1" ref="Q20" ca="1">IFERROR(INDIRECT($A20 &amp; "!$Ag$19"),"NA")</f>
        <v>NA</v>
      </c>
      <c r="R20" s="103" t="str" cm="1">
        <f t="array" aca="1" ref="R20" ca="1">IFERROR(INDIRECT($A20 &amp; "!$o$24"),"NA")</f>
        <v>NA</v>
      </c>
      <c r="S20" s="103" t="str" cm="1">
        <f t="array" aca="1" ref="S20" ca="1">IFERROR(INDIRECT($A20 &amp; "!$q$24"),"NA")</f>
        <v>NA</v>
      </c>
      <c r="T20" s="103" t="str" cm="1">
        <f t="array" aca="1" ref="T20" ca="1">IF(C20="RCN",IF($A20&lt;&gt;"",IF(
         AND(
             IF(ISNUMBER(INDIRECT($A20 &amp; "!$f$24")), IF(COUNTIF(INDIRECT($A20 &amp; "!$Af$24"),"*"&amp;"ND"&amp;"*")&gt;0,TRUE,FALSE),TRUE),
             IF(ISNUMBER(INDIRECT($A20 &amp; "!$f$25")), IF(COUNTIF(INDIRECT($A20 &amp; "!$Af$25"),"*"&amp;"ND"&amp;"*")&gt;0,TRUE,FALSE),TRUE)
             ),
  "No decodificó",
  IF(
        AND(
            IF(AND(ISNUMBER(INDIRECT($A20 &amp; "!$F$24")),INDIRECT($A20 &amp; "!$F$24")&lt;&gt;1),IF(COUNTIF(INDIRECT($A20 &amp; "!$AF$24"),"*"&amp;"si"&amp;"*")&gt;0,TRUE,FALSE),TRUE),
            IF(AND(ISNUMBER(INDIRECT($A20 &amp; "!$F$25")),INDIRECT($A20 &amp; "!$F$25")&lt;&gt;1),IF(COUNTIF(INDIRECT($A20 &amp; "!$AF$25"),"*"&amp;"si"&amp;"*")&gt;0,TRUE,FALSE),TRUE)
           ),
 "SI",
 "NO"
    )
),"NA"),IF($A20&lt;&gt;"",IF(
         AND(
             IF(ISNUMBER(INDIRECT($A20 &amp; "!$f$24")), IF(COUNTIF(INDIRECT($A20 &amp; "!$Af$24"),"*"&amp;"ND"&amp;"*")&gt;0,TRUE,FALSE),TRUE),
             IF(ISNUMBER(INDIRECT($A20 &amp; "!$f$25")), IF(COUNTIF(INDIRECT($A20 &amp; "!$Af$25"),"*"&amp;"ND"&amp;"*")&gt;0,TRUE,FALSE),TRUE),
             IF(ISNUMBER(INDIRECT($A20 &amp; "!$f$26")), IF(COUNTIF(INDIRECT($A20 &amp; "!$Af$26"),"*"&amp;"ND"&amp;"*")&gt;0,TRUE,FALSE),TRUE)
             ),
  "No decodificó",
  IF(
        AND(
            IF(AND(ISNUMBER(INDIRECT($A20 &amp; "!$F$24")),INDIRECT($A20 &amp; "!$F$24")&lt;&gt;1),IF(COUNTIF(INDIRECT($A20 &amp; "!$AF$24"),"*"&amp;"si"&amp;"*")&gt;0,TRUE,FALSE),TRUE),
            IF(AND(ISNUMBER(INDIRECT($A20 &amp; "!$F$25")),INDIRECT($A20 &amp; "!$F$25")&lt;&gt;1),IF(COUNTIF(INDIRECT($A20 &amp; "!$AF$25"),"*"&amp;"si"&amp;"*")&gt;0,TRUE,FALSE),TRUE),
            IF(AND(ISNUMBER(INDIRECT($A20 &amp; "!$F$26")),INDIRECT($A20 &amp; "!$F$26")&lt;&gt;1),IF(COUNTIF(INDIRECT($A20 &amp; "!$AF$26"),"*"&amp;"si"&amp;"*")&gt;0,TRUE,FALSE),TRUE)
           ),
 "SI",
 "NO"
    )
),"NA"))</f>
        <v>NA</v>
      </c>
    </row>
    <row r="21" spans="1:20" x14ac:dyDescent="0.35">
      <c r="A21" s="109"/>
      <c r="B21" s="103" t="str" cm="1">
        <f t="array" aca="1" ref="B21" ca="1">IFERROR(INDIRECT($A21 &amp; "!$A$4"),"NA")</f>
        <v>NA</v>
      </c>
      <c r="C21" s="103" t="str" cm="1">
        <f t="array" aca="1" ref="C21" ca="1">IFERROR(INDIRECT($A21 &amp; "!$I$8"),"NA")</f>
        <v>NA</v>
      </c>
      <c r="D21" s="103" t="str" cm="1">
        <f t="array" aca="1" ref="D21" ca="1">IFERROR(INDIRECT($A21 &amp; "!$Q$8"),"NA")</f>
        <v>NA</v>
      </c>
      <c r="E21" s="103" t="str" cm="1">
        <f t="array" aca="1" ref="E21" ca="1">IFERROR(INDIRECT($A21 &amp; "!$L$19"),"NA")</f>
        <v>NA</v>
      </c>
      <c r="F21" s="103" t="str" cm="1">
        <f t="array" aca="1" ref="F21" ca="1" xml:space="preserve"> IF(C21="RCN", IF($A21&lt;&gt;"",IF(
         AND(
             IF(ISNUMBER(INDIRECT($A21 &amp; "!$F$24")), IF(COUNTIF(INDIRECT($A21 &amp; "!$AD$24"),"*"&amp;"ND"&amp;"*")&gt;0,TRUE,FALSE),TRUE),
             IF(ISNUMBER(INDIRECT($A21 &amp; "!$F$25")), IF(COUNTIF(INDIRECT($A21 &amp; "!$AD$25"),"*"&amp;"ND"&amp;"*")&gt;0,TRUE,FALSE),TRUE)
             ),
      "No decodificó",
      IF(
           AND(
                IF(ISNUMBER(INDIRECT($A21 &amp; "!$F$24")), IF(COUNTIF(INDIRECT($A21 &amp; "!$AD$24"),"*"&amp;"No"&amp;"*")&gt;0,TRUE,FALSE),TRUE),
                IF(ISNUMBER(INDIRECT($A21 &amp; "!$F$25")), IF(COUNTIF(INDIRECT($A21 &amp; "!$AD$25"),"*"&amp;"No"&amp;"*")&gt;0,TRUE,FALSE),TRUE)
              ),
        "No Falla",
        "Falla"
)
),"NA"),IF($A21&lt;&gt;"",IF(
         AND(
             IF(ISNUMBER(INDIRECT($A21 &amp; "!$F$24")), IF(COUNTIF(INDIRECT($A21 &amp; "!$AD$24"),"*"&amp;"ND"&amp;"*")&gt;0,TRUE,FALSE),TRUE),
             IF(ISNUMBER(INDIRECT($A21 &amp; "!$F$25")), IF(COUNTIF(INDIRECT($A21 &amp; "!$AD$25"),"*"&amp;"ND"&amp;"*")&gt;0,TRUE,FALSE),TRUE),
             IF(ISNUMBER(INDIRECT($A21 &amp; "!$F$26")), IF(COUNTIF(INDIRECT($A21 &amp; "!$AD$26"),"*"&amp;"ND"&amp;"*")&gt;0,TRUE,FALSE),TRUE)
             ),
      "No decodificó",
      IF(
           AND(
                IF(ISNUMBER(INDIRECT($A21 &amp; "!$F$24")), IF(COUNTIF(INDIRECT($A21 &amp; "!$AD$24"),"*"&amp;"No"&amp;"*")&gt;0,TRUE,FALSE),TRUE),
                IF(ISNUMBER(INDIRECT($A21 &amp; "!$F$25")), IF(COUNTIF(INDIRECT($A21 &amp; "!$AD$25"),"*"&amp;"No"&amp;"*")&gt;0,TRUE,FALSE),TRUE),
                IF(ISNUMBER(INDIRECT($A21 &amp; "!$F$26")), IF(COUNTIF(INDIRECT($A21 &amp; "!$AD$26"),"*"&amp;"No"&amp;"*")&gt;0,TRUE,FALSE),TRUE)
              ),
        "No Falla",
        "Falla"
)
),"NA"))</f>
        <v>NA</v>
      </c>
      <c r="G21" s="103" t="str" cm="1">
        <f t="array" aca="1" ref="G21" ca="1">IFERROR(INDIRECT($A21 &amp; "!$A$8"),"NA")</f>
        <v>NA</v>
      </c>
      <c r="H21" s="104" t="str">
        <f ca="1">IFERROR(INDEX('Información Gral'!$A$31:$AI$38,MATCH(G21,'Información Gral'!$A$31:$A$38,0),9),"NA")</f>
        <v>NA</v>
      </c>
      <c r="I21" s="105" t="str">
        <f ca="1">IFERROR(INDEX('Información Gral'!$A$31:$AI$38,MATCH(G21,'Información Gral'!$A$31:$A$38,0),22),"NA")</f>
        <v>NA</v>
      </c>
      <c r="J21" s="103" t="str" cm="1">
        <f t="array" aca="1" ref="J21" ca="1">IFERROR(INDIRECT($A21 &amp; "!$p$87"),"NA")</f>
        <v>NA</v>
      </c>
      <c r="K21" s="103" t="str" cm="1">
        <f t="array" aca="1" ref="K21" ca="1">IFERROR(INDIRECT($A21 &amp; "!$p$19"),"NA")</f>
        <v>NA</v>
      </c>
      <c r="L21" s="106" t="str" cm="1">
        <f t="array" aca="1" ref="L21" ca="1">IFERROR(INDIRECT($A21 &amp; "!$r$19"),"NA")</f>
        <v>NA</v>
      </c>
      <c r="M21" s="103" t="str" cm="1">
        <f t="array" aca="1" ref="M21" ca="1">IFERROR(INDIRECT($A21 &amp; "!$v$19"),"NA")</f>
        <v>NA</v>
      </c>
      <c r="N21" s="107" t="str" cm="1">
        <f t="array" aca="1" ref="N21" ca="1">IFERROR(INDIRECT($A21 &amp; "!$y$19"),"NA")</f>
        <v>NA</v>
      </c>
      <c r="O21" s="103" t="str" cm="1">
        <f t="array" aca="1" ref="O21" ca="1">IFERROR(INDIRECT($A21 &amp; "!$aa$19"),"NA")</f>
        <v>NA</v>
      </c>
      <c r="P21" s="103" t="str" cm="1">
        <f t="array" aca="1" ref="P21" ca="1">IFERROR(INDIRECT($A21 &amp; "!$Ad$19"),"NA")</f>
        <v>NA</v>
      </c>
      <c r="Q21" s="103" t="str" cm="1">
        <f t="array" aca="1" ref="Q21" ca="1">IFERROR(INDIRECT($A21 &amp; "!$Ag$19"),"NA")</f>
        <v>NA</v>
      </c>
      <c r="R21" s="103" t="str" cm="1">
        <f t="array" aca="1" ref="R21" ca="1">IFERROR(INDIRECT($A21 &amp; "!$o$24"),"NA")</f>
        <v>NA</v>
      </c>
      <c r="S21" s="103" t="str" cm="1">
        <f t="array" aca="1" ref="S21" ca="1">IFERROR(INDIRECT($A21 &amp; "!$q$24"),"NA")</f>
        <v>NA</v>
      </c>
      <c r="T21" s="103" t="str" cm="1">
        <f t="array" aca="1" ref="T21" ca="1">IF(C21="RCN",IF($A21&lt;&gt;"",IF(
         AND(
             IF(ISNUMBER(INDIRECT($A21 &amp; "!$f$24")), IF(COUNTIF(INDIRECT($A21 &amp; "!$Af$24"),"*"&amp;"ND"&amp;"*")&gt;0,TRUE,FALSE),TRUE),
             IF(ISNUMBER(INDIRECT($A21 &amp; "!$f$25")), IF(COUNTIF(INDIRECT($A21 &amp; "!$Af$25"),"*"&amp;"ND"&amp;"*")&gt;0,TRUE,FALSE),TRUE)
             ),
  "No decodificó",
  IF(
        AND(
            IF(AND(ISNUMBER(INDIRECT($A21 &amp; "!$F$24")),INDIRECT($A21 &amp; "!$F$24")&lt;&gt;1),IF(COUNTIF(INDIRECT($A21 &amp; "!$AF$24"),"*"&amp;"si"&amp;"*")&gt;0,TRUE,FALSE),TRUE),
            IF(AND(ISNUMBER(INDIRECT($A21 &amp; "!$F$25")),INDIRECT($A21 &amp; "!$F$25")&lt;&gt;1),IF(COUNTIF(INDIRECT($A21 &amp; "!$AF$25"),"*"&amp;"si"&amp;"*")&gt;0,TRUE,FALSE),TRUE)
           ),
 "SI",
 "NO"
    )
),"NA"),IF($A21&lt;&gt;"",IF(
         AND(
             IF(ISNUMBER(INDIRECT($A21 &amp; "!$f$24")), IF(COUNTIF(INDIRECT($A21 &amp; "!$Af$24"),"*"&amp;"ND"&amp;"*")&gt;0,TRUE,FALSE),TRUE),
             IF(ISNUMBER(INDIRECT($A21 &amp; "!$f$25")), IF(COUNTIF(INDIRECT($A21 &amp; "!$Af$25"),"*"&amp;"ND"&amp;"*")&gt;0,TRUE,FALSE),TRUE),
             IF(ISNUMBER(INDIRECT($A21 &amp; "!$f$26")), IF(COUNTIF(INDIRECT($A21 &amp; "!$Af$26"),"*"&amp;"ND"&amp;"*")&gt;0,TRUE,FALSE),TRUE)
             ),
  "No decodificó",
  IF(
        AND(
            IF(AND(ISNUMBER(INDIRECT($A21 &amp; "!$F$24")),INDIRECT($A21 &amp; "!$F$24")&lt;&gt;1),IF(COUNTIF(INDIRECT($A21 &amp; "!$AF$24"),"*"&amp;"si"&amp;"*")&gt;0,TRUE,FALSE),TRUE),
            IF(AND(ISNUMBER(INDIRECT($A21 &amp; "!$F$25")),INDIRECT($A21 &amp; "!$F$25")&lt;&gt;1),IF(COUNTIF(INDIRECT($A21 &amp; "!$AF$25"),"*"&amp;"si"&amp;"*")&gt;0,TRUE,FALSE),TRUE),
            IF(AND(ISNUMBER(INDIRECT($A21 &amp; "!$F$26")),INDIRECT($A21 &amp; "!$F$26")&lt;&gt;1),IF(COUNTIF(INDIRECT($A21 &amp; "!$AF$26"),"*"&amp;"si"&amp;"*")&gt;0,TRUE,FALSE),TRUE)
           ),
 "SI",
 "NO"
    )
),"NA"))</f>
        <v>NA</v>
      </c>
    </row>
    <row r="22" spans="1:20" x14ac:dyDescent="0.35">
      <c r="B22" s="59" t="str">
        <f ca="1">IF(COUNTIF($B$6:$B$21,"&lt;&gt;NA")=0,"¡ERROR FALTA CONSOLIDAR!","")</f>
        <v>¡ERROR FALTA CONSOLIDAR!</v>
      </c>
    </row>
    <row r="24" spans="1:20" x14ac:dyDescent="0.35">
      <c r="F24" s="72"/>
    </row>
    <row r="28" spans="1:20" x14ac:dyDescent="0.35">
      <c r="G28" s="110"/>
    </row>
  </sheetData>
  <sheetProtection algorithmName="SHA-512" hashValue="oqPtnVFILUjWqxicLkH5ZfRfG6MRrcimSHANMDqxtjzXEO98GkWjAyMzcOU9QY7k51mtgojeq+1P2hXGY4gHYg==" saltValue="yXsanNmFlbm9rQPt51/uXA==" spinCount="100000" sheet="1" objects="1" scenarios="1"/>
  <mergeCells count="3">
    <mergeCell ref="B3:F4"/>
    <mergeCell ref="G3:J4"/>
    <mergeCell ref="K3:T4"/>
  </mergeCells>
  <conditionalFormatting sqref="B22">
    <cfRule type="cellIs" dxfId="13" priority="1" operator="equal">
      <formula>"¡ERROR FALTA CONSOLIDAR!"</formula>
    </cfRule>
  </conditionalFormatting>
  <conditionalFormatting sqref="B3:T21">
    <cfRule type="expression" dxfId="12" priority="2">
      <formula>COUNTIF($B$6:$B$21,"&lt;&gt;NA")=0</formula>
    </cfRule>
  </conditionalFormatting>
  <dataValidations count="1">
    <dataValidation type="custom" allowBlank="1" showInputMessage="1" showErrorMessage="1" sqref="A6:A21" xr:uid="{FE9A6736-09F7-4F55-AC89-290B26C09693}">
      <formula1>AND(EXACT(MID(A6,1,2),"CH"), ISNUMBER(VALUE(MID(A6,3,2))), VALUE(MID(A6,3,2))&gt;=14, VALUE(MID(A6,3,2))&lt;=51, LEN(A6)=4)</formula1>
    </dataValidation>
  </dataValidations>
  <pageMargins left="0.70866141732283472" right="0.59055118110236227" top="0.84843749999999996" bottom="0.74803149606299213" header="0.31496062992125984" footer="0.31496062992125984"/>
  <pageSetup scale="45" orientation="landscape" r:id="rId1"/>
  <headerFooter>
    <oddHeader>&amp;L&amp;G&amp;C&amp;"Verdana,Negrita"&amp;12&amp;K404040
MONITOREO IN SITU - BANDAS DEL SERVICIO DE RADIODIFUSIÓN
DEL SERVICIO DE TELEVISIÓN DIGITAL TERRESTRE - TDT
REGISTRO NO. 0 X X  - X X X X X X&amp;R&amp;"Verdana,Normal"&amp;10&amp;K01+017
Versión 6
TRD 120.121.31.4</oddHeader>
    <oddFooter xml:space="preserve">&amp;L&amp;G&amp;C&amp;"Verdana,Normal"&amp;10&amp;K404040Página &amp;P de &amp;N
&amp;R&amp;"Verdana,Normal"&amp;10&amp;K404040
&amp;"-,Normal"&amp;11&amp;K01+000
</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F82D-FA09-4EE5-B1A4-0572B3E8499C}">
  <dimension ref="A1:AI158"/>
  <sheetViews>
    <sheetView zoomScaleNormal="100" zoomScaleSheetLayoutView="90" zoomScalePageLayoutView="80" workbookViewId="0"/>
  </sheetViews>
  <sheetFormatPr baseColWidth="10" defaultColWidth="11.453125" defaultRowHeight="14.5" x14ac:dyDescent="0.35"/>
  <cols>
    <col min="1" max="8" width="4.453125" customWidth="1"/>
    <col min="9" max="9" width="4" customWidth="1"/>
    <col min="10" max="10" width="6.08984375" customWidth="1"/>
    <col min="11" max="11" width="4" customWidth="1"/>
    <col min="12" max="16" width="4.453125" customWidth="1"/>
    <col min="17" max="17" width="5.36328125" customWidth="1"/>
    <col min="18" max="18" width="4.36328125" customWidth="1"/>
    <col min="19" max="19" width="4" customWidth="1"/>
    <col min="20" max="20" width="4.90625" customWidth="1"/>
    <col min="21" max="21" width="4" customWidth="1"/>
    <col min="22" max="28" width="4.453125" customWidth="1"/>
    <col min="29" max="30" width="4.54296875" customWidth="1"/>
    <col min="31" max="31" width="4.453125" customWidth="1"/>
    <col min="32" max="33" width="5.36328125" customWidth="1"/>
    <col min="34" max="34" width="13.453125" customWidth="1"/>
    <col min="35" max="35" width="11.453125" customWidth="1"/>
  </cols>
  <sheetData>
    <row r="1" spans="1:35" ht="11.25" customHeight="1" x14ac:dyDescent="0.35">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217"/>
      <c r="AI1" s="217"/>
    </row>
    <row r="2" spans="1:35" ht="15" customHeight="1" x14ac:dyDescent="0.35">
      <c r="A2" s="306" t="s">
        <v>22</v>
      </c>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row>
    <row r="3" spans="1:35" ht="5.25" customHeight="1" x14ac:dyDescent="0.35">
      <c r="A3" s="111"/>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row>
    <row r="4" spans="1:35" ht="14.25" customHeight="1" x14ac:dyDescent="0.35">
      <c r="A4" s="307" t="str">
        <f>_xlfn.CONCAT(UPPER($C$8)," - ",UPPER(M8)," - ","PUNTO ",A8,"")</f>
        <v xml:space="preserve"> -  - PUNTO </v>
      </c>
      <c r="B4" s="307"/>
      <c r="C4" s="307"/>
      <c r="D4" s="307"/>
      <c r="E4" s="307"/>
      <c r="F4" s="307"/>
      <c r="G4" s="307"/>
      <c r="H4" s="307"/>
      <c r="I4" s="307"/>
      <c r="J4" s="307"/>
      <c r="K4" s="307"/>
      <c r="L4" s="307"/>
      <c r="M4" s="307"/>
      <c r="N4" s="307"/>
      <c r="O4" s="307"/>
      <c r="P4" s="307"/>
      <c r="Q4" s="307"/>
      <c r="R4" s="307"/>
      <c r="S4" s="307"/>
      <c r="T4" s="307"/>
      <c r="U4" s="307"/>
      <c r="V4" s="307"/>
      <c r="W4" s="307"/>
      <c r="X4" s="307"/>
      <c r="Y4" s="307"/>
      <c r="Z4" s="307"/>
      <c r="AA4" s="307"/>
      <c r="AB4" s="307"/>
      <c r="AC4" s="307"/>
      <c r="AD4" s="307"/>
      <c r="AE4" s="307"/>
      <c r="AF4" s="307"/>
      <c r="AG4" s="307"/>
      <c r="AH4" s="307"/>
      <c r="AI4" s="307"/>
    </row>
    <row r="5" spans="1:35" ht="5.25" customHeight="1" x14ac:dyDescent="0.35">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row>
    <row r="6" spans="1:35" ht="16.5" customHeight="1" x14ac:dyDescent="0.35">
      <c r="A6" s="240" t="s">
        <v>23</v>
      </c>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0"/>
      <c r="AH6" s="240"/>
      <c r="AI6" s="240"/>
    </row>
    <row r="7" spans="1:35" x14ac:dyDescent="0.35">
      <c r="A7" s="237" t="s">
        <v>3</v>
      </c>
      <c r="B7" s="237"/>
      <c r="C7" s="237" t="s">
        <v>24</v>
      </c>
      <c r="D7" s="237"/>
      <c r="E7" s="237"/>
      <c r="F7" s="237"/>
      <c r="G7" s="237"/>
      <c r="H7" s="237"/>
      <c r="I7" s="237"/>
      <c r="J7" s="237"/>
      <c r="K7" s="237"/>
      <c r="L7" s="237"/>
      <c r="M7" s="237" t="s">
        <v>25</v>
      </c>
      <c r="N7" s="237"/>
      <c r="O7" s="237"/>
      <c r="P7" s="237"/>
      <c r="Q7" s="237"/>
      <c r="R7" s="237"/>
      <c r="S7" s="237"/>
      <c r="T7" s="237"/>
      <c r="U7" s="237"/>
      <c r="V7" s="237" t="s">
        <v>26</v>
      </c>
      <c r="W7" s="237"/>
      <c r="X7" s="237"/>
      <c r="Y7" s="237"/>
      <c r="Z7" s="237"/>
      <c r="AA7" s="237"/>
      <c r="AB7" s="237" t="s">
        <v>27</v>
      </c>
      <c r="AC7" s="237"/>
      <c r="AD7" s="237"/>
      <c r="AE7" s="237"/>
      <c r="AF7" s="237"/>
      <c r="AG7" s="237"/>
      <c r="AH7" s="237" t="s">
        <v>28</v>
      </c>
      <c r="AI7" s="237"/>
    </row>
    <row r="8" spans="1:35" ht="16.5" customHeight="1" x14ac:dyDescent="0.35">
      <c r="A8" s="236"/>
      <c r="B8" s="236"/>
      <c r="C8" s="236"/>
      <c r="D8" s="236"/>
      <c r="E8" s="236"/>
      <c r="F8" s="236"/>
      <c r="G8" s="236"/>
      <c r="H8" s="236"/>
      <c r="I8" s="236"/>
      <c r="J8" s="236"/>
      <c r="K8" s="236"/>
      <c r="L8" s="236"/>
      <c r="M8" s="236"/>
      <c r="N8" s="236"/>
      <c r="O8" s="236"/>
      <c r="P8" s="236"/>
      <c r="Q8" s="236"/>
      <c r="R8" s="236"/>
      <c r="S8" s="236"/>
      <c r="T8" s="236"/>
      <c r="U8" s="236"/>
      <c r="V8" s="236"/>
      <c r="W8" s="236"/>
      <c r="X8" s="236"/>
      <c r="Y8" s="236"/>
      <c r="Z8" s="236"/>
      <c r="AA8" s="236"/>
      <c r="AB8" s="236"/>
      <c r="AC8" s="236"/>
      <c r="AD8" s="236"/>
      <c r="AE8" s="236"/>
      <c r="AF8" s="236"/>
      <c r="AG8" s="236"/>
      <c r="AH8" s="236"/>
      <c r="AI8" s="236"/>
    </row>
    <row r="9" spans="1:35" ht="4.5" customHeight="1" x14ac:dyDescent="0.35">
      <c r="A9" s="111"/>
      <c r="B9" s="111"/>
      <c r="C9" s="111"/>
      <c r="D9" s="111"/>
      <c r="E9" s="111"/>
      <c r="F9" s="111"/>
      <c r="G9" s="111"/>
      <c r="H9" s="111"/>
      <c r="I9" s="111"/>
      <c r="J9" s="111"/>
      <c r="K9" s="111"/>
      <c r="L9" s="111"/>
      <c r="M9" s="111"/>
      <c r="N9" s="111"/>
      <c r="O9" s="111"/>
      <c r="P9" s="111"/>
      <c r="Q9" s="111"/>
      <c r="R9" s="111"/>
      <c r="S9" s="111"/>
      <c r="T9" s="111"/>
      <c r="U9" s="111"/>
      <c r="V9" s="308" t="str">
        <f>IFERROR((LEFT(V8,FIND("°",V8)-1))+((MID(V8,FIND("°",V8)+1,FIND("'",V8)-FIND("°",V8)-1))/60)+((MID(V8,FIND("'",V8)+1,FIND("""",V8)-FIND("'",V8)-1))*1/3600),"ERROR")</f>
        <v>ERROR</v>
      </c>
      <c r="W9" s="308"/>
      <c r="X9" s="308"/>
      <c r="Y9" s="308"/>
      <c r="Z9" s="308"/>
      <c r="AA9" s="308"/>
      <c r="AB9" s="309" t="str">
        <f>IFERROR(((LEFT(AB8,FIND("°",AB8)-1))+((MID(AB8,FIND("°",AB8)+1,FIND("'",AB8)-FIND("°",AB8)-1))/60)+((MID(AB8,FIND("'",AB8)+1,FIND("""",AB8)-FIND("'",AB8)-1))*1/3600))*-1,"ERROR")</f>
        <v>ERROR</v>
      </c>
      <c r="AC9" s="309"/>
      <c r="AD9" s="309"/>
      <c r="AE9" s="309"/>
      <c r="AF9" s="309"/>
      <c r="AG9" s="309"/>
      <c r="AH9" s="111"/>
      <c r="AI9" s="111"/>
    </row>
    <row r="10" spans="1:35" ht="15" customHeight="1" x14ac:dyDescent="0.35">
      <c r="A10" s="237" t="s">
        <v>29</v>
      </c>
      <c r="B10" s="237"/>
      <c r="C10" s="237"/>
      <c r="D10" s="237"/>
      <c r="E10" s="237"/>
      <c r="F10" s="237"/>
      <c r="G10" s="237"/>
      <c r="H10" s="237" t="s">
        <v>30</v>
      </c>
      <c r="I10" s="237"/>
      <c r="J10" s="237"/>
      <c r="K10" s="237"/>
      <c r="L10" s="237"/>
      <c r="M10" s="237" t="s">
        <v>31</v>
      </c>
      <c r="N10" s="237"/>
      <c r="O10" s="237"/>
      <c r="P10" s="237"/>
      <c r="Q10" s="237"/>
      <c r="R10" s="237"/>
      <c r="S10" s="237" t="s">
        <v>32</v>
      </c>
      <c r="T10" s="237"/>
      <c r="U10" s="237"/>
      <c r="V10" s="237"/>
      <c r="W10" s="237"/>
      <c r="X10" s="237"/>
      <c r="Y10" s="237"/>
      <c r="Z10" s="264" t="s">
        <v>33</v>
      </c>
      <c r="AA10" s="264"/>
      <c r="AB10" s="264"/>
      <c r="AC10" s="264"/>
      <c r="AD10" s="264"/>
      <c r="AE10" s="264"/>
      <c r="AF10" s="264"/>
      <c r="AG10" s="264"/>
      <c r="AH10" s="264"/>
      <c r="AI10" s="264"/>
    </row>
    <row r="11" spans="1:35" ht="16.5" customHeight="1" x14ac:dyDescent="0.35">
      <c r="A11" s="236"/>
      <c r="B11" s="236"/>
      <c r="C11" s="236"/>
      <c r="D11" s="236"/>
      <c r="E11" s="236"/>
      <c r="F11" s="236"/>
      <c r="G11" s="236"/>
      <c r="H11" s="236"/>
      <c r="I11" s="236"/>
      <c r="J11" s="236"/>
      <c r="K11" s="236"/>
      <c r="L11" s="236"/>
      <c r="M11" s="236"/>
      <c r="N11" s="236"/>
      <c r="O11" s="236"/>
      <c r="P11" s="236"/>
      <c r="Q11" s="236"/>
      <c r="R11" s="236"/>
      <c r="S11" s="236"/>
      <c r="T11" s="236"/>
      <c r="U11" s="236"/>
      <c r="V11" s="236"/>
      <c r="W11" s="236"/>
      <c r="X11" s="236"/>
      <c r="Y11" s="236"/>
      <c r="Z11" s="270"/>
      <c r="AA11" s="236"/>
      <c r="AB11" s="236"/>
      <c r="AC11" s="236"/>
      <c r="AD11" s="236"/>
      <c r="AE11" s="236"/>
      <c r="AF11" s="236"/>
      <c r="AG11" s="236"/>
      <c r="AH11" s="236"/>
      <c r="AI11" s="236"/>
    </row>
    <row r="12" spans="1:35" ht="8.25" customHeight="1" x14ac:dyDescent="0.35">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2"/>
    </row>
    <row r="13" spans="1:35" ht="16.5" customHeight="1" x14ac:dyDescent="0.35">
      <c r="A13" s="240" t="s">
        <v>34</v>
      </c>
      <c r="B13" s="240"/>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c r="AA13" s="240"/>
      <c r="AB13" s="240"/>
      <c r="AC13" s="240"/>
      <c r="AD13" s="240"/>
      <c r="AE13" s="240"/>
      <c r="AF13" s="240"/>
      <c r="AG13" s="240"/>
      <c r="AH13" s="240"/>
      <c r="AI13" s="240"/>
    </row>
    <row r="14" spans="1:35" ht="15" customHeight="1" x14ac:dyDescent="0.35">
      <c r="A14" s="240" t="s">
        <v>35</v>
      </c>
      <c r="B14" s="240"/>
      <c r="C14" s="240"/>
      <c r="D14" s="240"/>
      <c r="E14" s="240"/>
      <c r="F14" s="240"/>
      <c r="G14" s="240"/>
      <c r="H14" s="240"/>
      <c r="I14" s="240" t="s">
        <v>36</v>
      </c>
      <c r="J14" s="240"/>
      <c r="K14" s="240"/>
      <c r="L14" s="240"/>
      <c r="M14" s="240"/>
      <c r="N14" s="240"/>
      <c r="O14" s="240"/>
      <c r="P14" s="240"/>
      <c r="Q14" s="240" t="s">
        <v>37</v>
      </c>
      <c r="R14" s="240"/>
      <c r="S14" s="240"/>
      <c r="T14" s="240"/>
      <c r="U14" s="240"/>
      <c r="V14" s="240"/>
      <c r="W14" s="240" t="s">
        <v>38</v>
      </c>
      <c r="X14" s="240"/>
      <c r="Y14" s="240"/>
      <c r="Z14" s="240"/>
      <c r="AA14" s="240"/>
      <c r="AB14" s="264" t="s">
        <v>39</v>
      </c>
      <c r="AC14" s="264"/>
      <c r="AD14" s="264"/>
      <c r="AE14" s="264"/>
      <c r="AF14" s="264"/>
      <c r="AG14" s="264"/>
      <c r="AH14" s="264"/>
      <c r="AI14" s="264"/>
    </row>
    <row r="15" spans="1:35" ht="16.5" customHeight="1" x14ac:dyDescent="0.35">
      <c r="A15" s="244" t="s">
        <v>40</v>
      </c>
      <c r="B15" s="244"/>
      <c r="C15" s="244"/>
      <c r="D15" s="244"/>
      <c r="E15" s="244"/>
      <c r="F15" s="244"/>
      <c r="G15" s="244"/>
      <c r="H15" s="244"/>
      <c r="I15" s="269" t="s">
        <v>41</v>
      </c>
      <c r="J15" s="269"/>
      <c r="K15" s="269"/>
      <c r="L15" s="269"/>
      <c r="M15" s="269"/>
      <c r="N15" s="269"/>
      <c r="O15" s="269"/>
      <c r="P15" s="269"/>
      <c r="Q15" s="269" t="s">
        <v>42</v>
      </c>
      <c r="R15" s="269"/>
      <c r="S15" s="269"/>
      <c r="T15" s="269"/>
      <c r="U15" s="269"/>
      <c r="V15" s="269"/>
      <c r="W15" s="269" t="s">
        <v>66</v>
      </c>
      <c r="X15" s="269"/>
      <c r="Y15" s="269"/>
      <c r="Z15" s="269"/>
      <c r="AA15" s="269"/>
      <c r="AB15" s="268" t="str">
        <f>IFERROR(INDEX(referencias!$A$41:$B$44,MATCH('Información Gral'!W15,referencias!$A$41:$A$44,0),2),"NA")</f>
        <v>NA</v>
      </c>
      <c r="AC15" s="268"/>
      <c r="AD15" s="268"/>
      <c r="AE15" s="268"/>
      <c r="AF15" s="268"/>
      <c r="AG15" s="268"/>
      <c r="AH15" s="268"/>
      <c r="AI15" s="268"/>
    </row>
    <row r="16" spans="1:35" ht="16.5" customHeight="1" x14ac:dyDescent="0.35">
      <c r="A16" s="245"/>
      <c r="B16" s="245"/>
      <c r="C16" s="245"/>
      <c r="D16" s="245"/>
      <c r="E16" s="245"/>
      <c r="F16" s="245"/>
      <c r="G16" s="245"/>
      <c r="H16" s="245"/>
      <c r="I16" s="267"/>
      <c r="J16" s="267"/>
      <c r="K16" s="267"/>
      <c r="L16" s="267"/>
      <c r="M16" s="267"/>
      <c r="N16" s="267"/>
      <c r="O16" s="267"/>
      <c r="P16" s="267"/>
      <c r="Q16" s="267"/>
      <c r="R16" s="267"/>
      <c r="S16" s="267"/>
      <c r="T16" s="267"/>
      <c r="U16" s="267"/>
      <c r="V16" s="267"/>
      <c r="W16" s="267"/>
      <c r="X16" s="267"/>
      <c r="Y16" s="267"/>
      <c r="Z16" s="267"/>
      <c r="AA16" s="267"/>
      <c r="AB16" s="312" t="str">
        <f>IFERROR(INDEX(referencias!$A$41:$B$44,MATCH('Información Gral'!W16,referencias!$A$41:$A$44,0),2),"NA")</f>
        <v>NA</v>
      </c>
      <c r="AC16" s="312"/>
      <c r="AD16" s="312"/>
      <c r="AE16" s="312"/>
      <c r="AF16" s="312"/>
      <c r="AG16" s="312"/>
      <c r="AH16" s="312"/>
      <c r="AI16" s="312"/>
    </row>
    <row r="17" spans="1:35" ht="4.5" customHeight="1" x14ac:dyDescent="0.35">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2"/>
    </row>
    <row r="18" spans="1:35" ht="16.5" customHeight="1" x14ac:dyDescent="0.35">
      <c r="A18" s="240" t="s">
        <v>43</v>
      </c>
      <c r="B18" s="240"/>
      <c r="C18" s="240"/>
      <c r="D18" s="240"/>
      <c r="E18" s="240"/>
      <c r="F18" s="240"/>
      <c r="G18" s="240"/>
      <c r="H18" s="240"/>
      <c r="I18" s="240"/>
      <c r="J18" s="240"/>
      <c r="K18" s="240"/>
      <c r="L18" s="240"/>
      <c r="M18" s="240"/>
      <c r="N18" s="240"/>
      <c r="O18" s="240"/>
      <c r="P18" s="240"/>
      <c r="Q18" s="240"/>
      <c r="R18" s="240"/>
      <c r="S18" s="240"/>
      <c r="T18" s="240"/>
      <c r="U18" s="240"/>
      <c r="V18" s="240"/>
      <c r="W18" s="240"/>
      <c r="X18" s="240"/>
      <c r="Y18" s="240"/>
      <c r="Z18" s="240"/>
      <c r="AA18" s="240"/>
      <c r="AB18" s="240"/>
      <c r="AC18" s="240"/>
      <c r="AD18" s="240"/>
      <c r="AE18" s="240"/>
      <c r="AF18" s="240"/>
      <c r="AG18" s="240"/>
      <c r="AH18" s="240"/>
      <c r="AI18" s="240"/>
    </row>
    <row r="19" spans="1:35" ht="18.75" customHeight="1" x14ac:dyDescent="0.35">
      <c r="A19" s="240" t="s">
        <v>44</v>
      </c>
      <c r="B19" s="240"/>
      <c r="C19" s="240"/>
      <c r="D19" s="240"/>
      <c r="E19" s="240"/>
      <c r="F19" s="240"/>
      <c r="G19" s="240"/>
      <c r="H19" s="240"/>
      <c r="I19" s="240" t="s">
        <v>45</v>
      </c>
      <c r="J19" s="240"/>
      <c r="K19" s="240"/>
      <c r="L19" s="240"/>
      <c r="M19" s="240"/>
      <c r="N19" s="240"/>
      <c r="O19" s="240"/>
      <c r="P19" s="240"/>
      <c r="Q19" s="240" t="s">
        <v>46</v>
      </c>
      <c r="R19" s="240"/>
      <c r="S19" s="240"/>
      <c r="T19" s="240"/>
      <c r="U19" s="240"/>
      <c r="V19" s="240"/>
      <c r="W19" s="240"/>
      <c r="X19" s="240"/>
      <c r="Y19" s="264" t="s">
        <v>47</v>
      </c>
      <c r="Z19" s="264"/>
      <c r="AA19" s="264"/>
      <c r="AB19" s="264"/>
      <c r="AC19" s="264"/>
      <c r="AD19" s="264"/>
      <c r="AE19" s="264"/>
      <c r="AF19" s="264"/>
      <c r="AG19" s="264"/>
      <c r="AH19" s="264"/>
      <c r="AI19" s="264"/>
    </row>
    <row r="20" spans="1:35" ht="18.75" customHeight="1" x14ac:dyDescent="0.35">
      <c r="A20" s="241" t="s">
        <v>50</v>
      </c>
      <c r="B20" s="241"/>
      <c r="C20" s="241"/>
      <c r="D20" s="241"/>
      <c r="E20" s="241"/>
      <c r="F20" s="241"/>
      <c r="G20" s="241"/>
      <c r="H20" s="230"/>
      <c r="I20" s="242" t="str">
        <f>IFERROR(INDEX(COORDENADAS[],MATCH(A20,TX_TDT,0),4),"NA")</f>
        <v>NA</v>
      </c>
      <c r="J20" s="243"/>
      <c r="K20" s="243"/>
      <c r="L20" s="243"/>
      <c r="M20" s="243"/>
      <c r="N20" s="243"/>
      <c r="O20" s="243"/>
      <c r="P20" s="195" t="str">
        <f>IFERROR(INDEX(COORDENADAS[],MATCH(A20,TX_TDT,0),2),"NA")</f>
        <v>NA</v>
      </c>
      <c r="Q20" s="242" t="str">
        <f>IFERROR(INDEX(COORDENADAS[],MATCH(A20,TX_TDT,0),9),"NA")</f>
        <v>NA</v>
      </c>
      <c r="R20" s="243"/>
      <c r="S20" s="243"/>
      <c r="T20" s="243"/>
      <c r="U20" s="243"/>
      <c r="V20" s="243"/>
      <c r="W20" s="243"/>
      <c r="X20" s="195" t="str">
        <f>IFERROR(INDEX(COORDENADAS[],MATCH(A20,TX_TDT,0),3),"NA")</f>
        <v>NA</v>
      </c>
      <c r="Y20" s="196" t="str">
        <f>IFERROR(INDEX(COORDENADAS[],MATCH(A20,TX_TDT,0),15),"NA")</f>
        <v>NA</v>
      </c>
      <c r="Z20" s="238" t="str">
        <f>IFERROR(INDEX(COORDENADAS[],MATCH(A20,TX_TDT,0),14),"NA")</f>
        <v>NA</v>
      </c>
      <c r="AA20" s="239"/>
      <c r="AB20" s="239"/>
      <c r="AC20" s="239"/>
      <c r="AD20" s="239"/>
      <c r="AE20" s="239"/>
      <c r="AF20" s="239"/>
      <c r="AG20" s="239"/>
      <c r="AH20" s="239"/>
      <c r="AI20" s="239"/>
    </row>
    <row r="21" spans="1:35" ht="18.75" customHeight="1" x14ac:dyDescent="0.35">
      <c r="A21" s="218" t="s">
        <v>50</v>
      </c>
      <c r="B21" s="218"/>
      <c r="C21" s="218"/>
      <c r="D21" s="218"/>
      <c r="E21" s="218"/>
      <c r="F21" s="218"/>
      <c r="G21" s="218"/>
      <c r="H21" s="219"/>
      <c r="I21" s="310" t="str">
        <f>IFERROR(INDEX(COORDENADAS[],MATCH(A21,TX_TDT,0),4),"NA")</f>
        <v>NA</v>
      </c>
      <c r="J21" s="311"/>
      <c r="K21" s="311"/>
      <c r="L21" s="311"/>
      <c r="M21" s="311"/>
      <c r="N21" s="311"/>
      <c r="O21" s="311"/>
      <c r="P21" s="123" t="str">
        <f>IFERROR(INDEX(COORDENADAS[],MATCH(A21,TX_TDT,0),2),"NA")</f>
        <v>NA</v>
      </c>
      <c r="Q21" s="220" t="str">
        <f>IFERROR(INDEX(COORDENADAS[],MATCH(A21,TX_TDT,0),9),"NA")</f>
        <v>NA</v>
      </c>
      <c r="R21" s="221"/>
      <c r="S21" s="221"/>
      <c r="T21" s="221"/>
      <c r="U21" s="221"/>
      <c r="V21" s="221"/>
      <c r="W21" s="221"/>
      <c r="X21" s="123" t="str">
        <f>IFERROR(INDEX(COORDENADAS[],MATCH(A21,TX_TDT,0),3),"NA")</f>
        <v>NA</v>
      </c>
      <c r="Y21" s="124" t="str">
        <f>IFERROR(INDEX(COORDENADAS[],MATCH(A21,TX_TDT,0),15),"NA")</f>
        <v>NA</v>
      </c>
      <c r="Z21" s="222" t="str">
        <f>IFERROR(INDEX(COORDENADAS[],MATCH(A21,TX_TDT,0),14),"NA")</f>
        <v>NA</v>
      </c>
      <c r="AA21" s="223"/>
      <c r="AB21" s="223"/>
      <c r="AC21" s="223"/>
      <c r="AD21" s="223"/>
      <c r="AE21" s="223"/>
      <c r="AF21" s="223"/>
      <c r="AG21" s="223"/>
      <c r="AH21" s="223"/>
      <c r="AI21" s="223"/>
    </row>
    <row r="22" spans="1:35" ht="18.75" customHeight="1" x14ac:dyDescent="0.35">
      <c r="A22" s="218" t="s">
        <v>50</v>
      </c>
      <c r="B22" s="218"/>
      <c r="C22" s="218"/>
      <c r="D22" s="218"/>
      <c r="E22" s="218"/>
      <c r="F22" s="218"/>
      <c r="G22" s="218"/>
      <c r="H22" s="219"/>
      <c r="I22" s="220" t="str">
        <f>IFERROR(INDEX(COORDENADAS[],MATCH(A22,TX_TDT,0),4),"NA")</f>
        <v>NA</v>
      </c>
      <c r="J22" s="221"/>
      <c r="K22" s="221"/>
      <c r="L22" s="221"/>
      <c r="M22" s="221"/>
      <c r="N22" s="221"/>
      <c r="O22" s="221"/>
      <c r="P22" s="123" t="str">
        <f>IFERROR(INDEX(COORDENADAS[],MATCH(A22,TX_TDT,0),2),"NA")</f>
        <v>NA</v>
      </c>
      <c r="Q22" s="265" t="str">
        <f>IFERROR(INDEX(COORDENADAS[],MATCH(A22,TX_TDT,0),9),"NA")</f>
        <v>NA</v>
      </c>
      <c r="R22" s="266"/>
      <c r="S22" s="266"/>
      <c r="T22" s="266"/>
      <c r="U22" s="266"/>
      <c r="V22" s="266"/>
      <c r="W22" s="266"/>
      <c r="X22" s="123" t="str">
        <f>IFERROR(INDEX(COORDENADAS[],MATCH(A22,TX_TDT,0),3),"NA")</f>
        <v>NA</v>
      </c>
      <c r="Y22" s="124" t="str">
        <f>IFERROR(INDEX(COORDENADAS[],MATCH(A22,TX_TDT,0),15),"NA")</f>
        <v>NA</v>
      </c>
      <c r="Z22" s="222" t="str">
        <f>IFERROR(INDEX(COORDENADAS[],MATCH(A22,TX_TDT,0),14),"NA")</f>
        <v>NA</v>
      </c>
      <c r="AA22" s="223"/>
      <c r="AB22" s="223"/>
      <c r="AC22" s="223"/>
      <c r="AD22" s="223"/>
      <c r="AE22" s="223"/>
      <c r="AF22" s="223"/>
      <c r="AG22" s="223"/>
      <c r="AH22" s="223"/>
      <c r="AI22" s="223"/>
    </row>
    <row r="23" spans="1:35" ht="18.75" customHeight="1" x14ac:dyDescent="0.35">
      <c r="A23" s="218" t="s">
        <v>50</v>
      </c>
      <c r="B23" s="218"/>
      <c r="C23" s="218"/>
      <c r="D23" s="218"/>
      <c r="E23" s="218"/>
      <c r="F23" s="218"/>
      <c r="G23" s="218"/>
      <c r="H23" s="219"/>
      <c r="I23" s="220" t="str">
        <f>IFERROR(INDEX(COORDENADAS[],MATCH(A23,TX_TDT,0),4),"NA")</f>
        <v>NA</v>
      </c>
      <c r="J23" s="221"/>
      <c r="K23" s="221"/>
      <c r="L23" s="221"/>
      <c r="M23" s="221"/>
      <c r="N23" s="221"/>
      <c r="O23" s="221"/>
      <c r="P23" s="123" t="str">
        <f>IFERROR(INDEX(COORDENADAS[],MATCH(A23,TX_TDT,0),2),"NA")</f>
        <v>NA</v>
      </c>
      <c r="Q23" s="220" t="str">
        <f>IFERROR(INDEX(COORDENADAS[],MATCH(A23,TX_TDT,0),9),"NA")</f>
        <v>NA</v>
      </c>
      <c r="R23" s="221"/>
      <c r="S23" s="221"/>
      <c r="T23" s="221"/>
      <c r="U23" s="221"/>
      <c r="V23" s="221"/>
      <c r="W23" s="221"/>
      <c r="X23" s="123" t="str">
        <f>IFERROR(INDEX(COORDENADAS[],MATCH(A23,TX_TDT,0),3),"NA")</f>
        <v>NA</v>
      </c>
      <c r="Y23" s="124" t="str">
        <f>IFERROR(INDEX(COORDENADAS[],MATCH(A23,TX_TDT,0),15),"NA")</f>
        <v>NA</v>
      </c>
      <c r="Z23" s="222" t="str">
        <f>IFERROR(INDEX(COORDENADAS[],MATCH(A23,TX_TDT,0),14),"NA")</f>
        <v>NA</v>
      </c>
      <c r="AA23" s="223"/>
      <c r="AB23" s="223"/>
      <c r="AC23" s="223"/>
      <c r="AD23" s="223"/>
      <c r="AE23" s="223"/>
      <c r="AF23" s="223"/>
      <c r="AG23" s="223"/>
      <c r="AH23" s="223"/>
      <c r="AI23" s="223"/>
    </row>
    <row r="24" spans="1:35" ht="18.75" customHeight="1" x14ac:dyDescent="0.35">
      <c r="A24" s="218" t="s">
        <v>50</v>
      </c>
      <c r="B24" s="218"/>
      <c r="C24" s="218"/>
      <c r="D24" s="218"/>
      <c r="E24" s="218"/>
      <c r="F24" s="218"/>
      <c r="G24" s="218"/>
      <c r="H24" s="219"/>
      <c r="I24" s="220" t="str">
        <f>IFERROR(INDEX(COORDENADAS[],MATCH(A24,TX_TDT,0),4),"NA")</f>
        <v>NA</v>
      </c>
      <c r="J24" s="221"/>
      <c r="K24" s="221"/>
      <c r="L24" s="221"/>
      <c r="M24" s="221"/>
      <c r="N24" s="221"/>
      <c r="O24" s="221"/>
      <c r="P24" s="123" t="str">
        <f>IFERROR(INDEX(COORDENADAS[],MATCH(A24,TX_TDT,0),2),"NA")</f>
        <v>NA</v>
      </c>
      <c r="Q24" s="220" t="str">
        <f>IFERROR(INDEX(COORDENADAS[],MATCH(A24,TX_TDT,0),9),"NA")</f>
        <v>NA</v>
      </c>
      <c r="R24" s="221"/>
      <c r="S24" s="221"/>
      <c r="T24" s="221"/>
      <c r="U24" s="221"/>
      <c r="V24" s="221"/>
      <c r="W24" s="221"/>
      <c r="X24" s="123" t="str">
        <f>IFERROR(INDEX(COORDENADAS[],MATCH(A24,TX_TDT,0),3),"NA")</f>
        <v>NA</v>
      </c>
      <c r="Y24" s="124" t="str">
        <f>IFERROR(INDEX(COORDENADAS[],MATCH(A24,TX_TDT,0),15),"NA")</f>
        <v>NA</v>
      </c>
      <c r="Z24" s="222" t="str">
        <f>IFERROR(INDEX(COORDENADAS[],MATCH(A24,TX_TDT,0),14),"NA")</f>
        <v>NA</v>
      </c>
      <c r="AA24" s="223"/>
      <c r="AB24" s="223"/>
      <c r="AC24" s="223"/>
      <c r="AD24" s="223"/>
      <c r="AE24" s="223"/>
      <c r="AF24" s="223"/>
      <c r="AG24" s="223"/>
      <c r="AH24" s="223"/>
      <c r="AI24" s="223"/>
    </row>
    <row r="25" spans="1:35" ht="18.75" customHeight="1" x14ac:dyDescent="0.35">
      <c r="A25" s="219" t="s">
        <v>50</v>
      </c>
      <c r="B25" s="315"/>
      <c r="C25" s="315"/>
      <c r="D25" s="315"/>
      <c r="E25" s="315"/>
      <c r="F25" s="315"/>
      <c r="G25" s="315"/>
      <c r="H25" s="316"/>
      <c r="I25" s="220" t="str">
        <f>IFERROR(INDEX(COORDENADAS[],MATCH(A25,TX_TDT,0),4),"NA")</f>
        <v>NA</v>
      </c>
      <c r="J25" s="221"/>
      <c r="K25" s="221"/>
      <c r="L25" s="221"/>
      <c r="M25" s="221"/>
      <c r="N25" s="221"/>
      <c r="O25" s="221"/>
      <c r="P25" s="123" t="str">
        <f>IFERROR(INDEX(COORDENADAS[],MATCH(A25,TX_TDT,0),2),"NA")</f>
        <v>NA</v>
      </c>
      <c r="Q25" s="220" t="str">
        <f>IFERROR(INDEX(COORDENADAS[],MATCH(A25,TX_TDT,0),9),"NA")</f>
        <v>NA</v>
      </c>
      <c r="R25" s="221"/>
      <c r="S25" s="221"/>
      <c r="T25" s="221"/>
      <c r="U25" s="221"/>
      <c r="V25" s="221"/>
      <c r="W25" s="221"/>
      <c r="X25" s="123" t="str">
        <f>IFERROR(INDEX(COORDENADAS[],MATCH(A25,TX_TDT,0),3),"NA")</f>
        <v>NA</v>
      </c>
      <c r="Y25" s="124" t="str">
        <f>IFERROR(INDEX(COORDENADAS[],MATCH(A25,TX_TDT,0),15),"NA")</f>
        <v>NA</v>
      </c>
      <c r="Z25" s="222" t="str">
        <f>IFERROR(INDEX(COORDENADAS[],MATCH(A25,TX_TDT,0),14),"NA")</f>
        <v>NA</v>
      </c>
      <c r="AA25" s="223"/>
      <c r="AB25" s="223"/>
      <c r="AC25" s="223"/>
      <c r="AD25" s="223"/>
      <c r="AE25" s="223"/>
      <c r="AF25" s="223"/>
      <c r="AG25" s="223"/>
      <c r="AH25" s="223"/>
      <c r="AI25" s="223"/>
    </row>
    <row r="26" spans="1:35" ht="18.75" customHeight="1" x14ac:dyDescent="0.35">
      <c r="A26" s="219" t="s">
        <v>50</v>
      </c>
      <c r="B26" s="315"/>
      <c r="C26" s="315"/>
      <c r="D26" s="315"/>
      <c r="E26" s="315"/>
      <c r="F26" s="315"/>
      <c r="G26" s="315"/>
      <c r="H26" s="316"/>
      <c r="I26" s="220" t="str">
        <f>IFERROR(INDEX(COORDENADAS[],MATCH(A26,TX_TDT,0),4),"NA")</f>
        <v>NA</v>
      </c>
      <c r="J26" s="221"/>
      <c r="K26" s="221"/>
      <c r="L26" s="221"/>
      <c r="M26" s="221"/>
      <c r="N26" s="221"/>
      <c r="O26" s="221"/>
      <c r="P26" s="123" t="str">
        <f>IFERROR(INDEX(COORDENADAS[],MATCH(A26,TX_TDT,0),2),"NA")</f>
        <v>NA</v>
      </c>
      <c r="Q26" s="220" t="str">
        <f>IFERROR(INDEX(COORDENADAS[],MATCH(A26,TX_TDT,0),9),"NA")</f>
        <v>NA</v>
      </c>
      <c r="R26" s="221"/>
      <c r="S26" s="221"/>
      <c r="T26" s="221"/>
      <c r="U26" s="221"/>
      <c r="V26" s="221"/>
      <c r="W26" s="221"/>
      <c r="X26" s="123" t="str">
        <f>IFERROR(INDEX(COORDENADAS[],MATCH(A26,TX_TDT,0),3),"NA")</f>
        <v>NA</v>
      </c>
      <c r="Y26" s="124" t="str">
        <f>IFERROR(INDEX(COORDENADAS[],MATCH(A26,TX_TDT,0),15),"NA")</f>
        <v>NA</v>
      </c>
      <c r="Z26" s="222" t="str">
        <f>IFERROR(INDEX(COORDENADAS[],MATCH(A26,TX_TDT,0),14),"NA")</f>
        <v>NA</v>
      </c>
      <c r="AA26" s="223"/>
      <c r="AB26" s="223"/>
      <c r="AC26" s="223"/>
      <c r="AD26" s="223"/>
      <c r="AE26" s="223"/>
      <c r="AF26" s="223"/>
      <c r="AG26" s="223"/>
      <c r="AH26" s="223"/>
      <c r="AI26" s="223"/>
    </row>
    <row r="27" spans="1:35" ht="18.75" customHeight="1" x14ac:dyDescent="0.35">
      <c r="A27" s="218" t="s">
        <v>50</v>
      </c>
      <c r="B27" s="218"/>
      <c r="C27" s="218"/>
      <c r="D27" s="218"/>
      <c r="E27" s="218"/>
      <c r="F27" s="218"/>
      <c r="G27" s="218"/>
      <c r="H27" s="219"/>
      <c r="I27" s="220" t="str">
        <f>IFERROR(INDEX(COORDENADAS[],MATCH(A27,TX_TDT,0),4),"NA")</f>
        <v>NA</v>
      </c>
      <c r="J27" s="221"/>
      <c r="K27" s="221"/>
      <c r="L27" s="221"/>
      <c r="M27" s="221"/>
      <c r="N27" s="221"/>
      <c r="O27" s="221"/>
      <c r="P27" s="123" t="str">
        <f>IFERROR(INDEX(COORDENADAS[],MATCH(A27,TX_TDT,0),2),"NA")</f>
        <v>NA</v>
      </c>
      <c r="Q27" s="220" t="str">
        <f>IFERROR(INDEX(COORDENADAS[],MATCH(A27,TX_TDT,0),9),"NA")</f>
        <v>NA</v>
      </c>
      <c r="R27" s="221"/>
      <c r="S27" s="221"/>
      <c r="T27" s="221"/>
      <c r="U27" s="221"/>
      <c r="V27" s="221"/>
      <c r="W27" s="221"/>
      <c r="X27" s="123" t="str">
        <f>IFERROR(INDEX(COORDENADAS[],MATCH(A27,TX_TDT,0),3),"NA")</f>
        <v>NA</v>
      </c>
      <c r="Y27" s="124" t="str">
        <f>IFERROR(INDEX(COORDENADAS[],MATCH(A27,TX_TDT,0),15),"NA")</f>
        <v>NA</v>
      </c>
      <c r="Z27" s="222" t="str">
        <f>IFERROR(INDEX(COORDENADAS[],MATCH(A27,TX_TDT,0),14),"NA")</f>
        <v>NA</v>
      </c>
      <c r="AA27" s="223"/>
      <c r="AB27" s="223"/>
      <c r="AC27" s="223"/>
      <c r="AD27" s="223"/>
      <c r="AE27" s="223"/>
      <c r="AF27" s="223"/>
      <c r="AG27" s="223"/>
      <c r="AH27" s="223"/>
      <c r="AI27" s="223"/>
    </row>
    <row r="28" spans="1:35" ht="4.5" customHeight="1" x14ac:dyDescent="0.3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row>
    <row r="29" spans="1:35" ht="16.5" customHeight="1" x14ac:dyDescent="0.35">
      <c r="A29" s="240" t="s">
        <v>51</v>
      </c>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c r="AH29" s="240"/>
      <c r="AI29" s="240"/>
    </row>
    <row r="30" spans="1:35" ht="38.25" customHeight="1" x14ac:dyDescent="0.35">
      <c r="A30" s="314" t="s">
        <v>44</v>
      </c>
      <c r="B30" s="314"/>
      <c r="C30" s="314"/>
      <c r="D30" s="314"/>
      <c r="E30" s="314"/>
      <c r="F30" s="314"/>
      <c r="G30" s="314"/>
      <c r="H30" s="314"/>
      <c r="I30" s="314" t="s">
        <v>52</v>
      </c>
      <c r="J30" s="314"/>
      <c r="K30" s="314"/>
      <c r="L30" s="314"/>
      <c r="M30" s="314"/>
      <c r="N30" s="314"/>
      <c r="O30" s="314"/>
      <c r="P30" s="314"/>
      <c r="Q30" s="314" t="s">
        <v>53</v>
      </c>
      <c r="R30" s="314"/>
      <c r="S30" s="314"/>
      <c r="T30" s="314"/>
      <c r="U30" s="314"/>
      <c r="V30" s="314" t="s">
        <v>54</v>
      </c>
      <c r="W30" s="314"/>
      <c r="X30" s="314"/>
      <c r="Y30" s="314"/>
      <c r="Z30" s="314"/>
      <c r="AA30" s="314"/>
      <c r="AB30" s="314" t="s">
        <v>55</v>
      </c>
      <c r="AC30" s="314"/>
      <c r="AD30" s="314"/>
      <c r="AE30" s="314" t="s">
        <v>56</v>
      </c>
      <c r="AF30" s="314"/>
      <c r="AG30" s="314"/>
      <c r="AH30" s="314"/>
      <c r="AI30" s="314"/>
    </row>
    <row r="31" spans="1:35" x14ac:dyDescent="0.35">
      <c r="A31" s="259" t="str">
        <f t="shared" ref="A31:A36" si="0">A20</f>
        <v>NO APLICA</v>
      </c>
      <c r="B31" s="259"/>
      <c r="C31" s="259"/>
      <c r="D31" s="259"/>
      <c r="E31" s="259"/>
      <c r="F31" s="259"/>
      <c r="G31" s="259"/>
      <c r="H31" s="259"/>
      <c r="I31" s="313" t="str">
        <f>IF(AND(A31&lt;&gt;"NO APLICA",OR($V$9="ERROR",$AB$9="ERROR")),"ERROR, ¡VERIFIQUE!",IFERROR(MOD(
DEGREES(ATAN2(
COS(RADIANS($V$9))*SIN(RADIANS($P20))
-SIN(RADIANS($V$9))*COS(RADIANS($P20))*COS(RADIANS($X20)-RADIANS($AB$9)),
SIN(RADIANS($X20)-RADIANS($AB$9))*COS(RADIANS($P20)))),360),"NA"))</f>
        <v>NA</v>
      </c>
      <c r="J31" s="313"/>
      <c r="K31" s="313"/>
      <c r="L31" s="313"/>
      <c r="M31" s="313"/>
      <c r="N31" s="313"/>
      <c r="O31" s="313"/>
      <c r="P31" s="313"/>
      <c r="Q31" s="236"/>
      <c r="R31" s="236"/>
      <c r="S31" s="236"/>
      <c r="T31" s="236"/>
      <c r="U31" s="236"/>
      <c r="V31" s="260" t="str">
        <f>IF(AND(A31&lt;&gt;"NO APLICA",OR($V$9="ERROR",$AB$9="ERROR")),"ERROR, ¡VERIFIQUE!",IFERROR(ACOS(SIN(RADIANS($V$9))*SIN(RADIANS($P20))+COS(RADIANS($V$9))*COS(RADIANS($P20))*COS(RADIANS($X20)-RADIANS($AB$9)))*6371,"NA"))</f>
        <v>NA</v>
      </c>
      <c r="W31" s="260"/>
      <c r="X31" s="260"/>
      <c r="Y31" s="260"/>
      <c r="Z31" s="260"/>
      <c r="AA31" s="260"/>
      <c r="AB31" s="236"/>
      <c r="AC31" s="236"/>
      <c r="AD31" s="236"/>
      <c r="AE31" s="270"/>
      <c r="AF31" s="270"/>
      <c r="AG31" s="270"/>
      <c r="AH31" s="270"/>
      <c r="AI31" s="270"/>
    </row>
    <row r="32" spans="1:35" x14ac:dyDescent="0.35">
      <c r="A32" s="255" t="str">
        <f t="shared" si="0"/>
        <v>NO APLICA</v>
      </c>
      <c r="B32" s="255"/>
      <c r="C32" s="255"/>
      <c r="D32" s="255"/>
      <c r="E32" s="255"/>
      <c r="F32" s="255"/>
      <c r="G32" s="255"/>
      <c r="H32" s="255"/>
      <c r="I32" s="258" t="str">
        <f t="shared" ref="I32:I38" si="1">IF(AND(A32&lt;&gt;"NO APLICA",OR($V$9="ERROR",$AB$9="ERROR")),"ERROR, ¡VERIFIQUE!",IFERROR(MOD(
DEGREES(ATAN2(
COS(RADIANS($V$9))*SIN(RADIANS($P21))
-SIN(RADIANS($V$9))*COS(RADIANS($P21))*COS(RADIANS($X21)-RADIANS($AB$9)),
SIN(RADIANS($X21)-RADIANS($AB$9))*COS(RADIANS($P21)))),360),"NA"))</f>
        <v>NA</v>
      </c>
      <c r="J32" s="258"/>
      <c r="K32" s="258"/>
      <c r="L32" s="258"/>
      <c r="M32" s="258"/>
      <c r="N32" s="258"/>
      <c r="O32" s="258"/>
      <c r="P32" s="258"/>
      <c r="Q32" s="257"/>
      <c r="R32" s="257"/>
      <c r="S32" s="257"/>
      <c r="T32" s="257"/>
      <c r="U32" s="257"/>
      <c r="V32" s="256" t="str">
        <f t="shared" ref="V32:V38" si="2">IF(AND(A32&lt;&gt;"NO APLICA",OR($V$9="ERROR",$AB$9="ERROR")),"ERROR, ¡VERIFIQUE!",IFERROR(ACOS(SIN(RADIANS($V$9))*SIN(RADIANS($P21))+COS(RADIANS($V$9))*COS(RADIANS($P21))*COS(RADIANS($X21)-RADIANS($AB$9)))*6371,"NA"))</f>
        <v>NA</v>
      </c>
      <c r="W32" s="256"/>
      <c r="X32" s="256"/>
      <c r="Y32" s="256"/>
      <c r="Z32" s="256"/>
      <c r="AA32" s="256"/>
      <c r="AB32" s="257"/>
      <c r="AC32" s="257"/>
      <c r="AD32" s="257"/>
      <c r="AE32" s="305" t="str">
        <f t="shared" ref="AE32:AE38" si="3">IF(A32="NO APLICA","NA",Fecha_de_medición)</f>
        <v>NA</v>
      </c>
      <c r="AF32" s="305"/>
      <c r="AG32" s="305"/>
      <c r="AH32" s="305"/>
      <c r="AI32" s="305"/>
    </row>
    <row r="33" spans="1:35" x14ac:dyDescent="0.35">
      <c r="A33" s="255" t="str">
        <f t="shared" si="0"/>
        <v>NO APLICA</v>
      </c>
      <c r="B33" s="255"/>
      <c r="C33" s="255"/>
      <c r="D33" s="255"/>
      <c r="E33" s="255"/>
      <c r="F33" s="255"/>
      <c r="G33" s="255"/>
      <c r="H33" s="255"/>
      <c r="I33" s="258" t="str">
        <f t="shared" si="1"/>
        <v>NA</v>
      </c>
      <c r="J33" s="258"/>
      <c r="K33" s="258"/>
      <c r="L33" s="258"/>
      <c r="M33" s="258"/>
      <c r="N33" s="258"/>
      <c r="O33" s="258"/>
      <c r="P33" s="258"/>
      <c r="Q33" s="257"/>
      <c r="R33" s="257"/>
      <c r="S33" s="257"/>
      <c r="T33" s="257"/>
      <c r="U33" s="257"/>
      <c r="V33" s="256" t="str">
        <f t="shared" si="2"/>
        <v>NA</v>
      </c>
      <c r="W33" s="256"/>
      <c r="X33" s="256"/>
      <c r="Y33" s="256"/>
      <c r="Z33" s="256"/>
      <c r="AA33" s="256"/>
      <c r="AB33" s="257"/>
      <c r="AC33" s="257"/>
      <c r="AD33" s="257"/>
      <c r="AE33" s="305" t="str">
        <f t="shared" si="3"/>
        <v>NA</v>
      </c>
      <c r="AF33" s="305"/>
      <c r="AG33" s="305"/>
      <c r="AH33" s="305"/>
      <c r="AI33" s="305"/>
    </row>
    <row r="34" spans="1:35" x14ac:dyDescent="0.35">
      <c r="A34" s="255" t="str">
        <f t="shared" si="0"/>
        <v>NO APLICA</v>
      </c>
      <c r="B34" s="255"/>
      <c r="C34" s="255"/>
      <c r="D34" s="255"/>
      <c r="E34" s="255"/>
      <c r="F34" s="255"/>
      <c r="G34" s="255"/>
      <c r="H34" s="255"/>
      <c r="I34" s="258" t="str">
        <f t="shared" si="1"/>
        <v>NA</v>
      </c>
      <c r="J34" s="258"/>
      <c r="K34" s="258"/>
      <c r="L34" s="258"/>
      <c r="M34" s="258"/>
      <c r="N34" s="258"/>
      <c r="O34" s="258"/>
      <c r="P34" s="258"/>
      <c r="Q34" s="257"/>
      <c r="R34" s="257"/>
      <c r="S34" s="257"/>
      <c r="T34" s="257"/>
      <c r="U34" s="257"/>
      <c r="V34" s="256" t="str">
        <f t="shared" si="2"/>
        <v>NA</v>
      </c>
      <c r="W34" s="256"/>
      <c r="X34" s="256"/>
      <c r="Y34" s="256"/>
      <c r="Z34" s="256"/>
      <c r="AA34" s="256"/>
      <c r="AB34" s="257"/>
      <c r="AC34" s="257"/>
      <c r="AD34" s="257"/>
      <c r="AE34" s="305" t="str">
        <f t="shared" si="3"/>
        <v>NA</v>
      </c>
      <c r="AF34" s="305"/>
      <c r="AG34" s="305"/>
      <c r="AH34" s="305"/>
      <c r="AI34" s="305"/>
    </row>
    <row r="35" spans="1:35" x14ac:dyDescent="0.35">
      <c r="A35" s="255" t="str">
        <f t="shared" si="0"/>
        <v>NO APLICA</v>
      </c>
      <c r="B35" s="255"/>
      <c r="C35" s="255"/>
      <c r="D35" s="255"/>
      <c r="E35" s="255"/>
      <c r="F35" s="255"/>
      <c r="G35" s="255"/>
      <c r="H35" s="255"/>
      <c r="I35" s="258" t="str">
        <f t="shared" si="1"/>
        <v>NA</v>
      </c>
      <c r="J35" s="258"/>
      <c r="K35" s="258"/>
      <c r="L35" s="258"/>
      <c r="M35" s="258"/>
      <c r="N35" s="258"/>
      <c r="O35" s="258"/>
      <c r="P35" s="258"/>
      <c r="Q35" s="257"/>
      <c r="R35" s="257"/>
      <c r="S35" s="257"/>
      <c r="T35" s="257"/>
      <c r="U35" s="257"/>
      <c r="V35" s="256" t="str">
        <f t="shared" si="2"/>
        <v>NA</v>
      </c>
      <c r="W35" s="256"/>
      <c r="X35" s="256"/>
      <c r="Y35" s="256"/>
      <c r="Z35" s="256"/>
      <c r="AA35" s="256"/>
      <c r="AB35" s="257"/>
      <c r="AC35" s="257"/>
      <c r="AD35" s="257"/>
      <c r="AE35" s="305" t="str">
        <f t="shared" si="3"/>
        <v>NA</v>
      </c>
      <c r="AF35" s="305"/>
      <c r="AG35" s="305"/>
      <c r="AH35" s="305"/>
      <c r="AI35" s="305"/>
    </row>
    <row r="36" spans="1:35" x14ac:dyDescent="0.35">
      <c r="A36" s="255" t="str">
        <f t="shared" si="0"/>
        <v>NO APLICA</v>
      </c>
      <c r="B36" s="255"/>
      <c r="C36" s="255"/>
      <c r="D36" s="255"/>
      <c r="E36" s="255"/>
      <c r="F36" s="255"/>
      <c r="G36" s="255"/>
      <c r="H36" s="255"/>
      <c r="I36" s="258" t="str">
        <f t="shared" si="1"/>
        <v>NA</v>
      </c>
      <c r="J36" s="258"/>
      <c r="K36" s="258"/>
      <c r="L36" s="258"/>
      <c r="M36" s="258"/>
      <c r="N36" s="258"/>
      <c r="O36" s="258"/>
      <c r="P36" s="258"/>
      <c r="Q36" s="257"/>
      <c r="R36" s="257"/>
      <c r="S36" s="257"/>
      <c r="T36" s="257"/>
      <c r="U36" s="257"/>
      <c r="V36" s="256" t="str">
        <f t="shared" si="2"/>
        <v>NA</v>
      </c>
      <c r="W36" s="256"/>
      <c r="X36" s="256"/>
      <c r="Y36" s="256"/>
      <c r="Z36" s="256"/>
      <c r="AA36" s="256"/>
      <c r="AB36" s="257"/>
      <c r="AC36" s="257"/>
      <c r="AD36" s="257"/>
      <c r="AE36" s="305" t="str">
        <f t="shared" si="3"/>
        <v>NA</v>
      </c>
      <c r="AF36" s="305"/>
      <c r="AG36" s="305"/>
      <c r="AH36" s="305"/>
      <c r="AI36" s="305"/>
    </row>
    <row r="37" spans="1:35" x14ac:dyDescent="0.35">
      <c r="A37" s="255" t="str">
        <f t="shared" ref="A37:A38" si="4">A26</f>
        <v>NO APLICA</v>
      </c>
      <c r="B37" s="255"/>
      <c r="C37" s="255"/>
      <c r="D37" s="255"/>
      <c r="E37" s="255"/>
      <c r="F37" s="255"/>
      <c r="G37" s="255"/>
      <c r="H37" s="255"/>
      <c r="I37" s="258" t="str">
        <f t="shared" si="1"/>
        <v>NA</v>
      </c>
      <c r="J37" s="258"/>
      <c r="K37" s="258"/>
      <c r="L37" s="258"/>
      <c r="M37" s="258"/>
      <c r="N37" s="258"/>
      <c r="O37" s="258"/>
      <c r="P37" s="258"/>
      <c r="Q37" s="257"/>
      <c r="R37" s="257"/>
      <c r="S37" s="257"/>
      <c r="T37" s="257"/>
      <c r="U37" s="257"/>
      <c r="V37" s="256" t="str">
        <f t="shared" si="2"/>
        <v>NA</v>
      </c>
      <c r="W37" s="256"/>
      <c r="X37" s="256"/>
      <c r="Y37" s="256"/>
      <c r="Z37" s="256"/>
      <c r="AA37" s="256"/>
      <c r="AB37" s="257"/>
      <c r="AC37" s="257"/>
      <c r="AD37" s="257"/>
      <c r="AE37" s="305" t="str">
        <f t="shared" si="3"/>
        <v>NA</v>
      </c>
      <c r="AF37" s="305"/>
      <c r="AG37" s="305"/>
      <c r="AH37" s="305"/>
      <c r="AI37" s="305"/>
    </row>
    <row r="38" spans="1:35" x14ac:dyDescent="0.35">
      <c r="A38" s="255" t="str">
        <f t="shared" si="4"/>
        <v>NO APLICA</v>
      </c>
      <c r="B38" s="255"/>
      <c r="C38" s="255"/>
      <c r="D38" s="255"/>
      <c r="E38" s="255"/>
      <c r="F38" s="255"/>
      <c r="G38" s="255"/>
      <c r="H38" s="255"/>
      <c r="I38" s="258" t="str">
        <f t="shared" si="1"/>
        <v>NA</v>
      </c>
      <c r="J38" s="258"/>
      <c r="K38" s="258"/>
      <c r="L38" s="258"/>
      <c r="M38" s="258"/>
      <c r="N38" s="258"/>
      <c r="O38" s="258"/>
      <c r="P38" s="258"/>
      <c r="Q38" s="257"/>
      <c r="R38" s="257"/>
      <c r="S38" s="257"/>
      <c r="T38" s="257"/>
      <c r="U38" s="257"/>
      <c r="V38" s="256" t="str">
        <f t="shared" si="2"/>
        <v>NA</v>
      </c>
      <c r="W38" s="256"/>
      <c r="X38" s="256"/>
      <c r="Y38" s="256"/>
      <c r="Z38" s="256"/>
      <c r="AA38" s="256"/>
      <c r="AB38" s="257"/>
      <c r="AC38" s="257"/>
      <c r="AD38" s="257"/>
      <c r="AE38" s="305" t="str">
        <f t="shared" si="3"/>
        <v>NA</v>
      </c>
      <c r="AF38" s="305"/>
      <c r="AG38" s="305"/>
      <c r="AH38" s="305"/>
      <c r="AI38" s="305"/>
    </row>
    <row r="39" spans="1:35" ht="4.5" customHeight="1" x14ac:dyDescent="0.35">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1"/>
    </row>
    <row r="40" spans="1:35" ht="16.5" customHeight="1" x14ac:dyDescent="0.35">
      <c r="A40" s="261" t="s">
        <v>57</v>
      </c>
      <c r="B40" s="262"/>
      <c r="C40" s="262"/>
      <c r="D40" s="262"/>
      <c r="E40" s="262"/>
      <c r="F40" s="262"/>
      <c r="G40" s="262"/>
      <c r="H40" s="262"/>
      <c r="I40" s="262"/>
      <c r="J40" s="262"/>
      <c r="K40" s="262"/>
      <c r="L40" s="262"/>
      <c r="M40" s="262"/>
      <c r="N40" s="262"/>
      <c r="O40" s="262"/>
      <c r="P40" s="262"/>
      <c r="Q40" s="262"/>
      <c r="R40" s="262"/>
      <c r="S40" s="262"/>
      <c r="T40" s="262"/>
      <c r="U40" s="262"/>
      <c r="V40" s="262"/>
      <c r="W40" s="262"/>
      <c r="X40" s="262"/>
      <c r="Y40" s="262"/>
      <c r="Z40" s="262"/>
      <c r="AA40" s="262"/>
      <c r="AB40" s="262"/>
      <c r="AC40" s="262"/>
      <c r="AD40" s="262"/>
      <c r="AE40" s="262"/>
      <c r="AF40" s="262"/>
      <c r="AG40" s="262"/>
      <c r="AH40" s="262"/>
      <c r="AI40" s="263"/>
    </row>
    <row r="41" spans="1:35" ht="4.5" customHeight="1" x14ac:dyDescent="0.35">
      <c r="A41" s="126"/>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8"/>
    </row>
    <row r="42" spans="1:35" ht="18" customHeight="1" x14ac:dyDescent="0.35">
      <c r="A42" s="129"/>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11"/>
      <c r="AH42" s="111"/>
      <c r="AI42" s="130"/>
    </row>
    <row r="43" spans="1:35" x14ac:dyDescent="0.35">
      <c r="A43" s="129"/>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11"/>
      <c r="AH43" s="111"/>
      <c r="AI43" s="130"/>
    </row>
    <row r="44" spans="1:35" ht="18" customHeight="1" x14ac:dyDescent="0.35">
      <c r="A44" s="129"/>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11"/>
      <c r="AH44" s="111"/>
      <c r="AI44" s="130"/>
    </row>
    <row r="45" spans="1:35" ht="18" customHeight="1" x14ac:dyDescent="0.35">
      <c r="A45" s="129"/>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11"/>
      <c r="AH45" s="111"/>
      <c r="AI45" s="130"/>
    </row>
    <row r="46" spans="1:35" ht="18" customHeight="1" x14ac:dyDescent="0.35">
      <c r="A46" s="129"/>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11"/>
      <c r="AH46" s="111"/>
      <c r="AI46" s="130"/>
    </row>
    <row r="47" spans="1:35" x14ac:dyDescent="0.35">
      <c r="A47" s="129"/>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11"/>
      <c r="AH47" s="111"/>
      <c r="AI47" s="130"/>
    </row>
    <row r="48" spans="1:35" x14ac:dyDescent="0.35">
      <c r="A48" s="129"/>
      <c r="B48" s="111"/>
      <c r="C48" s="125"/>
      <c r="D48" s="125"/>
      <c r="E48" s="125"/>
      <c r="F48" s="125"/>
      <c r="G48" s="125"/>
      <c r="H48" s="125"/>
      <c r="I48" s="122"/>
      <c r="J48" s="125"/>
      <c r="K48" s="125"/>
      <c r="L48" s="125"/>
      <c r="M48" s="125"/>
      <c r="N48" s="125"/>
      <c r="O48" s="125"/>
      <c r="P48" s="125"/>
      <c r="Q48" s="122"/>
      <c r="R48" s="125"/>
      <c r="S48" s="125"/>
      <c r="T48" s="125"/>
      <c r="U48" s="125"/>
      <c r="V48" s="125"/>
      <c r="W48" s="125"/>
      <c r="X48" s="125"/>
      <c r="Y48" s="122"/>
      <c r="Z48" s="125"/>
      <c r="AA48" s="125"/>
      <c r="AB48" s="125"/>
      <c r="AC48" s="125"/>
      <c r="AD48" s="125"/>
      <c r="AE48" s="125"/>
      <c r="AF48" s="125"/>
      <c r="AG48" s="111"/>
      <c r="AH48" s="111"/>
      <c r="AI48" s="130"/>
    </row>
    <row r="49" spans="1:35" ht="18" customHeight="1" x14ac:dyDescent="0.35">
      <c r="A49" s="129"/>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c r="AC49" s="122"/>
      <c r="AD49" s="122"/>
      <c r="AE49" s="122"/>
      <c r="AF49" s="122"/>
      <c r="AG49" s="111"/>
      <c r="AH49" s="111"/>
      <c r="AI49" s="130"/>
    </row>
    <row r="50" spans="1:35" x14ac:dyDescent="0.35">
      <c r="A50" s="129"/>
      <c r="B50" s="125"/>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11"/>
      <c r="AH50" s="111"/>
      <c r="AI50" s="130"/>
    </row>
    <row r="51" spans="1:35" ht="16.5" customHeight="1" x14ac:dyDescent="0.35">
      <c r="A51" s="129"/>
      <c r="B51" s="122"/>
      <c r="C51" s="122"/>
      <c r="D51" s="122"/>
      <c r="E51" s="112"/>
      <c r="F51" s="122"/>
      <c r="G51" s="122"/>
      <c r="H51" s="122"/>
      <c r="I51" s="122"/>
      <c r="J51" s="122"/>
      <c r="K51" s="122"/>
      <c r="L51" s="122"/>
      <c r="M51" s="122"/>
      <c r="N51" s="122"/>
      <c r="O51" s="112"/>
      <c r="P51" s="122"/>
      <c r="Q51" s="122"/>
      <c r="R51" s="122"/>
      <c r="S51" s="122"/>
      <c r="T51" s="122"/>
      <c r="U51" s="122"/>
      <c r="V51" s="122"/>
      <c r="W51" s="122"/>
      <c r="X51" s="122"/>
      <c r="Y51" s="112"/>
      <c r="Z51" s="122"/>
      <c r="AA51" s="122"/>
      <c r="AB51" s="122"/>
      <c r="AC51" s="122"/>
      <c r="AD51" s="122"/>
      <c r="AE51" s="122"/>
      <c r="AF51" s="122"/>
      <c r="AG51" s="112"/>
      <c r="AH51" s="111"/>
      <c r="AI51" s="130"/>
    </row>
    <row r="52" spans="1:35" x14ac:dyDescent="0.35">
      <c r="A52" s="129"/>
      <c r="B52" s="122"/>
      <c r="C52" s="122"/>
      <c r="D52" s="122"/>
      <c r="E52" s="122" t="s">
        <v>58</v>
      </c>
      <c r="F52" s="122"/>
      <c r="G52" s="122"/>
      <c r="H52" s="122"/>
      <c r="I52" s="122"/>
      <c r="J52" s="122"/>
      <c r="K52" s="122"/>
      <c r="L52" s="122"/>
      <c r="M52" s="122"/>
      <c r="N52" s="122"/>
      <c r="O52" s="122" t="s">
        <v>59</v>
      </c>
      <c r="P52" s="122"/>
      <c r="Q52" s="122"/>
      <c r="R52" s="122"/>
      <c r="S52" s="122"/>
      <c r="T52" s="122"/>
      <c r="U52" s="122"/>
      <c r="V52" s="122"/>
      <c r="W52" s="122"/>
      <c r="X52" s="122"/>
      <c r="Y52" s="122" t="s">
        <v>60</v>
      </c>
      <c r="Z52" s="122"/>
      <c r="AA52" s="122"/>
      <c r="AB52" s="122"/>
      <c r="AC52" s="122"/>
      <c r="AD52" s="122"/>
      <c r="AE52" s="122"/>
      <c r="AF52" s="122"/>
      <c r="AG52" s="111" t="s">
        <v>61</v>
      </c>
      <c r="AH52" s="111"/>
      <c r="AI52" s="130"/>
    </row>
    <row r="53" spans="1:35" x14ac:dyDescent="0.35">
      <c r="A53" s="129"/>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11"/>
      <c r="AH53" s="111"/>
      <c r="AI53" s="130"/>
    </row>
    <row r="54" spans="1:35" x14ac:dyDescent="0.35">
      <c r="A54" s="129"/>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11"/>
      <c r="AH54" s="111"/>
      <c r="AI54" s="130"/>
    </row>
    <row r="55" spans="1:35" x14ac:dyDescent="0.35">
      <c r="A55" s="129"/>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11"/>
      <c r="AH55" s="111"/>
      <c r="AI55" s="130"/>
    </row>
    <row r="56" spans="1:35" x14ac:dyDescent="0.35">
      <c r="A56" s="129"/>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11"/>
      <c r="AH56" s="111"/>
      <c r="AI56" s="130"/>
    </row>
    <row r="57" spans="1:35" ht="18" customHeight="1" x14ac:dyDescent="0.35">
      <c r="A57" s="129"/>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11"/>
      <c r="AH57" s="111"/>
      <c r="AI57" s="130"/>
    </row>
    <row r="58" spans="1:35" x14ac:dyDescent="0.35">
      <c r="A58" s="129"/>
      <c r="B58" s="122"/>
      <c r="C58" s="122"/>
      <c r="D58" s="122"/>
      <c r="E58" s="122"/>
      <c r="F58" s="122"/>
      <c r="G58" s="122"/>
      <c r="H58" s="122"/>
      <c r="I58" s="122"/>
      <c r="J58" s="122"/>
      <c r="K58" s="122"/>
      <c r="L58" s="122"/>
      <c r="M58" s="122"/>
      <c r="N58" s="122"/>
      <c r="P58" s="122"/>
      <c r="Q58" s="122"/>
      <c r="R58" s="122"/>
      <c r="S58" s="122"/>
      <c r="T58" s="122"/>
      <c r="U58" s="122"/>
      <c r="V58" s="122"/>
      <c r="W58" s="122"/>
      <c r="X58" s="122"/>
      <c r="Y58" s="122"/>
      <c r="Z58" s="122"/>
      <c r="AA58" s="122"/>
      <c r="AB58" s="122"/>
      <c r="AC58" s="122"/>
      <c r="AD58" s="122"/>
      <c r="AE58" s="122"/>
      <c r="AF58" s="122"/>
      <c r="AG58" s="111"/>
      <c r="AH58" s="111"/>
      <c r="AI58" s="130"/>
    </row>
    <row r="59" spans="1:35" ht="18" customHeight="1" x14ac:dyDescent="0.35">
      <c r="A59" s="129"/>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11"/>
      <c r="AH59" s="111"/>
      <c r="AI59" s="130"/>
    </row>
    <row r="60" spans="1:35" x14ac:dyDescent="0.35">
      <c r="A60" s="129"/>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11"/>
      <c r="AH60" s="111"/>
      <c r="AI60" s="130"/>
    </row>
    <row r="61" spans="1:35" x14ac:dyDescent="0.35">
      <c r="A61" s="129"/>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11"/>
      <c r="AH61" s="111"/>
      <c r="AI61" s="130"/>
    </row>
    <row r="62" spans="1:35" ht="18" customHeight="1" x14ac:dyDescent="0.35">
      <c r="A62" s="129"/>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11"/>
      <c r="AH62" s="111"/>
      <c r="AI62" s="130"/>
    </row>
    <row r="63" spans="1:35" x14ac:dyDescent="0.35">
      <c r="A63" s="129"/>
      <c r="B63" s="122"/>
      <c r="C63" s="122"/>
      <c r="D63" s="122"/>
      <c r="E63" s="122"/>
      <c r="F63" s="122"/>
      <c r="G63" s="112"/>
      <c r="H63" s="125"/>
      <c r="I63" s="125"/>
      <c r="J63" s="125"/>
      <c r="K63" s="125"/>
      <c r="L63" s="125"/>
      <c r="M63" s="125"/>
      <c r="N63" s="122"/>
      <c r="O63" s="112"/>
      <c r="P63" s="125"/>
      <c r="Q63" s="125"/>
      <c r="R63" s="125"/>
      <c r="S63" s="125"/>
      <c r="T63" s="125"/>
      <c r="U63" s="125"/>
      <c r="V63" s="122"/>
      <c r="W63" s="112"/>
      <c r="X63" s="125"/>
      <c r="Y63" s="125"/>
      <c r="Z63" s="125"/>
      <c r="AA63" s="125"/>
      <c r="AB63" s="125"/>
      <c r="AC63" s="125"/>
      <c r="AD63" s="122"/>
      <c r="AE63" s="122"/>
      <c r="AF63" s="122"/>
      <c r="AG63" s="111"/>
      <c r="AH63" s="111"/>
      <c r="AI63" s="130"/>
    </row>
    <row r="64" spans="1:35" x14ac:dyDescent="0.35">
      <c r="A64" s="129"/>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30"/>
    </row>
    <row r="65" spans="1:35" x14ac:dyDescent="0.35">
      <c r="A65" s="129"/>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30"/>
    </row>
    <row r="66" spans="1:35" x14ac:dyDescent="0.35">
      <c r="A66" s="129"/>
      <c r="B66" s="111"/>
      <c r="C66" s="111"/>
      <c r="D66" s="111"/>
      <c r="E66" s="111"/>
      <c r="F66" s="111"/>
      <c r="G66" s="111"/>
      <c r="H66" s="111"/>
      <c r="I66" s="111"/>
      <c r="J66" s="112"/>
      <c r="K66" s="111"/>
      <c r="L66" s="111"/>
      <c r="M66" s="111"/>
      <c r="N66" s="111"/>
      <c r="O66" s="111"/>
      <c r="P66" s="111"/>
      <c r="Q66" s="111"/>
      <c r="R66" s="112"/>
      <c r="S66" s="111"/>
      <c r="T66" s="111"/>
      <c r="U66" s="111"/>
      <c r="V66" s="111"/>
      <c r="W66" s="111"/>
      <c r="X66" s="111"/>
      <c r="Y66" s="111"/>
      <c r="Z66" s="111"/>
      <c r="AA66" s="111"/>
      <c r="AB66" s="111"/>
      <c r="AC66" s="111"/>
      <c r="AD66" s="112"/>
      <c r="AE66" s="111"/>
      <c r="AF66" s="111"/>
      <c r="AG66" s="111"/>
      <c r="AH66" s="111"/>
      <c r="AI66" s="130"/>
    </row>
    <row r="67" spans="1:35" x14ac:dyDescent="0.35">
      <c r="A67" s="129"/>
      <c r="B67" s="111"/>
      <c r="C67" s="111"/>
      <c r="D67" s="111"/>
      <c r="E67" s="111"/>
      <c r="F67" s="111"/>
      <c r="G67" s="111"/>
      <c r="H67" s="111"/>
      <c r="I67" s="111"/>
      <c r="J67" s="122" t="s">
        <v>62</v>
      </c>
      <c r="K67" s="111"/>
      <c r="L67" s="111"/>
      <c r="M67" s="111"/>
      <c r="N67" s="111"/>
      <c r="O67" s="111"/>
      <c r="P67" s="111"/>
      <c r="Q67" s="111"/>
      <c r="R67" s="125" t="s">
        <v>63</v>
      </c>
      <c r="S67" s="111"/>
      <c r="T67" s="111"/>
      <c r="U67" s="111"/>
      <c r="V67" s="111"/>
      <c r="W67" s="111"/>
      <c r="X67" s="111"/>
      <c r="Y67" s="111"/>
      <c r="Z67" s="111"/>
      <c r="AA67" s="111"/>
      <c r="AB67" s="111"/>
      <c r="AC67" s="111"/>
      <c r="AD67" s="125" t="s">
        <v>64</v>
      </c>
      <c r="AE67" s="111"/>
      <c r="AF67" s="111"/>
      <c r="AG67" s="111"/>
      <c r="AH67" s="111"/>
      <c r="AI67" s="130"/>
    </row>
    <row r="68" spans="1:35" ht="8.25" customHeight="1" x14ac:dyDescent="0.35">
      <c r="A68" s="131"/>
      <c r="B68" s="132"/>
      <c r="C68" s="132"/>
      <c r="D68" s="132"/>
      <c r="E68" s="132"/>
      <c r="F68" s="132"/>
      <c r="G68" s="132"/>
      <c r="H68" s="132"/>
      <c r="I68" s="132"/>
      <c r="J68" s="133"/>
      <c r="K68" s="132"/>
      <c r="L68" s="132"/>
      <c r="M68" s="132"/>
      <c r="N68" s="132"/>
      <c r="O68" s="132"/>
      <c r="P68" s="132"/>
      <c r="Q68" s="132"/>
      <c r="R68" s="134"/>
      <c r="S68" s="135"/>
      <c r="T68" s="132"/>
      <c r="U68" s="132"/>
      <c r="V68" s="132"/>
      <c r="W68" s="132"/>
      <c r="X68" s="132"/>
      <c r="Y68" s="132"/>
      <c r="Z68" s="132"/>
      <c r="AA68" s="132"/>
      <c r="AB68" s="132"/>
      <c r="AC68" s="132"/>
      <c r="AD68" s="134"/>
      <c r="AE68" s="132"/>
      <c r="AF68" s="132"/>
      <c r="AG68" s="132"/>
      <c r="AH68" s="132"/>
      <c r="AI68" s="136"/>
    </row>
    <row r="69" spans="1:35" ht="4.5" customHeight="1" x14ac:dyDescent="0.35">
      <c r="A69" s="113"/>
      <c r="B69" s="113"/>
      <c r="C69" s="113"/>
      <c r="D69" s="113"/>
      <c r="E69" s="113"/>
      <c r="F69" s="113"/>
      <c r="G69" s="113"/>
      <c r="H69" s="113"/>
      <c r="I69" s="113"/>
      <c r="J69" s="115"/>
      <c r="K69" s="113"/>
      <c r="L69" s="113"/>
      <c r="M69" s="113"/>
      <c r="N69" s="113"/>
      <c r="O69" s="113"/>
      <c r="P69" s="113"/>
      <c r="Q69" s="113"/>
      <c r="R69" s="116"/>
      <c r="S69" s="112"/>
      <c r="T69" s="113"/>
      <c r="U69" s="113"/>
      <c r="V69" s="113"/>
      <c r="W69" s="113"/>
      <c r="X69" s="113"/>
      <c r="Y69" s="113"/>
      <c r="Z69" s="113"/>
      <c r="AA69" s="113"/>
      <c r="AB69" s="113"/>
      <c r="AC69" s="113"/>
      <c r="AD69" s="116"/>
      <c r="AE69" s="113"/>
      <c r="AF69" s="113"/>
      <c r="AG69" s="113"/>
      <c r="AH69" s="113"/>
      <c r="AI69" s="111"/>
    </row>
    <row r="70" spans="1:35" ht="16.5" customHeight="1" x14ac:dyDescent="0.35">
      <c r="A70" s="294" t="s">
        <v>65</v>
      </c>
      <c r="B70" s="295"/>
      <c r="C70" s="295"/>
      <c r="D70" s="295"/>
      <c r="E70" s="295"/>
      <c r="F70" s="295"/>
      <c r="G70" s="295"/>
      <c r="H70" s="295"/>
      <c r="I70" s="295"/>
      <c r="J70" s="295"/>
      <c r="K70" s="295"/>
      <c r="L70" s="295"/>
      <c r="M70" s="295"/>
      <c r="N70" s="295"/>
      <c r="O70" s="295"/>
      <c r="P70" s="295"/>
      <c r="Q70" s="295"/>
      <c r="R70" s="295"/>
      <c r="S70" s="295"/>
      <c r="T70" s="295"/>
      <c r="U70" s="295"/>
      <c r="V70" s="295"/>
      <c r="W70" s="295"/>
      <c r="X70" s="295"/>
      <c r="Y70" s="295"/>
      <c r="Z70" s="295"/>
      <c r="AA70" s="295"/>
      <c r="AB70" s="295"/>
      <c r="AC70" s="295"/>
      <c r="AD70" s="295"/>
      <c r="AE70" s="295"/>
      <c r="AF70" s="295"/>
      <c r="AG70" s="295"/>
      <c r="AH70" s="295"/>
      <c r="AI70" s="296"/>
    </row>
    <row r="71" spans="1:35" ht="16.5" customHeight="1" x14ac:dyDescent="0.35">
      <c r="A71" s="291" t="str">
        <f xml:space="preserve"> _xlfn.CONCAT("ESTACIÓN: "&amp;A20)</f>
        <v>ESTACIÓN: NO APLICA</v>
      </c>
      <c r="B71" s="292"/>
      <c r="C71" s="292"/>
      <c r="D71" s="292"/>
      <c r="E71" s="292"/>
      <c r="F71" s="292"/>
      <c r="G71" s="292"/>
      <c r="H71" s="292"/>
      <c r="I71" s="292"/>
      <c r="J71" s="292"/>
      <c r="K71" s="292"/>
      <c r="L71" s="292"/>
      <c r="M71" s="292"/>
      <c r="N71" s="292"/>
      <c r="O71" s="292"/>
      <c r="P71" s="292"/>
      <c r="Q71" s="292"/>
      <c r="R71" s="292"/>
      <c r="S71" s="292"/>
      <c r="T71" s="292"/>
      <c r="U71" s="292"/>
      <c r="V71" s="292"/>
      <c r="W71" s="292"/>
      <c r="X71" s="292"/>
      <c r="Y71" s="292"/>
      <c r="Z71" s="292"/>
      <c r="AA71" s="292"/>
      <c r="AB71" s="292"/>
      <c r="AC71" s="292"/>
      <c r="AD71" s="292"/>
      <c r="AE71" s="292"/>
      <c r="AF71" s="292"/>
      <c r="AG71" s="292"/>
      <c r="AH71" s="292"/>
      <c r="AI71" s="293"/>
    </row>
    <row r="72" spans="1:35" ht="81.75" customHeight="1" x14ac:dyDescent="0.35">
      <c r="A72" s="297"/>
      <c r="B72" s="298"/>
      <c r="C72" s="298"/>
      <c r="D72" s="298"/>
      <c r="E72" s="298"/>
      <c r="F72" s="298"/>
      <c r="G72" s="298"/>
      <c r="H72" s="298"/>
      <c r="I72" s="298"/>
      <c r="J72" s="298"/>
      <c r="K72" s="298"/>
      <c r="L72" s="298"/>
      <c r="M72" s="298"/>
      <c r="N72" s="298"/>
      <c r="O72" s="298"/>
      <c r="P72" s="298"/>
      <c r="Q72" s="298"/>
      <c r="R72" s="298"/>
      <c r="S72" s="298"/>
      <c r="T72" s="298"/>
      <c r="U72" s="298"/>
      <c r="V72" s="298"/>
      <c r="W72" s="298"/>
      <c r="X72" s="298"/>
      <c r="Y72" s="298"/>
      <c r="Z72" s="298"/>
      <c r="AA72" s="298"/>
      <c r="AB72" s="298"/>
      <c r="AC72" s="298"/>
      <c r="AD72" s="298"/>
      <c r="AE72" s="298"/>
      <c r="AF72" s="298"/>
      <c r="AG72" s="298"/>
      <c r="AH72" s="298"/>
      <c r="AI72" s="299"/>
    </row>
    <row r="73" spans="1:35" ht="80.25" customHeight="1" x14ac:dyDescent="0.35">
      <c r="A73" s="276"/>
      <c r="B73" s="277"/>
      <c r="C73" s="277"/>
      <c r="D73" s="277"/>
      <c r="E73" s="277"/>
      <c r="F73" s="277"/>
      <c r="G73" s="277"/>
      <c r="H73" s="277"/>
      <c r="I73" s="277"/>
      <c r="J73" s="277"/>
      <c r="K73" s="277"/>
      <c r="L73" s="277"/>
      <c r="M73" s="277"/>
      <c r="N73" s="277"/>
      <c r="O73" s="277"/>
      <c r="P73" s="277"/>
      <c r="Q73" s="277"/>
      <c r="R73" s="277"/>
      <c r="S73" s="277"/>
      <c r="T73" s="277"/>
      <c r="U73" s="277"/>
      <c r="V73" s="277"/>
      <c r="W73" s="277"/>
      <c r="X73" s="277"/>
      <c r="Y73" s="277"/>
      <c r="Z73" s="277"/>
      <c r="AA73" s="277"/>
      <c r="AB73" s="277"/>
      <c r="AC73" s="277"/>
      <c r="AD73" s="277"/>
      <c r="AE73" s="277"/>
      <c r="AF73" s="277"/>
      <c r="AG73" s="277"/>
      <c r="AH73" s="277"/>
      <c r="AI73" s="278"/>
    </row>
    <row r="74" spans="1:35" ht="80.25" customHeight="1" x14ac:dyDescent="0.35">
      <c r="A74" s="300"/>
      <c r="B74" s="301"/>
      <c r="C74" s="301"/>
      <c r="D74" s="301"/>
      <c r="E74" s="301"/>
      <c r="F74" s="301"/>
      <c r="G74" s="301"/>
      <c r="H74" s="301"/>
      <c r="I74" s="301"/>
      <c r="J74" s="301"/>
      <c r="K74" s="301"/>
      <c r="L74" s="301"/>
      <c r="M74" s="301"/>
      <c r="N74" s="301"/>
      <c r="O74" s="301"/>
      <c r="P74" s="301"/>
      <c r="Q74" s="301"/>
      <c r="R74" s="301"/>
      <c r="S74" s="301"/>
      <c r="T74" s="301"/>
      <c r="U74" s="301"/>
      <c r="V74" s="301"/>
      <c r="W74" s="301"/>
      <c r="X74" s="301"/>
      <c r="Y74" s="301"/>
      <c r="Z74" s="301"/>
      <c r="AA74" s="301"/>
      <c r="AB74" s="301"/>
      <c r="AC74" s="301"/>
      <c r="AD74" s="301"/>
      <c r="AE74" s="301"/>
      <c r="AF74" s="301"/>
      <c r="AG74" s="301"/>
      <c r="AH74" s="301"/>
      <c r="AI74" s="302"/>
    </row>
    <row r="75" spans="1:35" ht="15" customHeight="1" x14ac:dyDescent="0.35">
      <c r="A75" s="261" t="str">
        <f xml:space="preserve"> _xlfn.CONCAT("ESTACIÓN: "&amp;A21)</f>
        <v>ESTACIÓN: NO APLICA</v>
      </c>
      <c r="B75" s="262"/>
      <c r="C75" s="262"/>
      <c r="D75" s="262"/>
      <c r="E75" s="262"/>
      <c r="F75" s="262"/>
      <c r="G75" s="262"/>
      <c r="H75" s="262"/>
      <c r="I75" s="262"/>
      <c r="J75" s="262"/>
      <c r="K75" s="262"/>
      <c r="L75" s="262"/>
      <c r="M75" s="262"/>
      <c r="N75" s="262"/>
      <c r="O75" s="262"/>
      <c r="P75" s="262"/>
      <c r="Q75" s="262"/>
      <c r="R75" s="262"/>
      <c r="S75" s="262"/>
      <c r="T75" s="262"/>
      <c r="U75" s="262"/>
      <c r="V75" s="262"/>
      <c r="W75" s="262"/>
      <c r="X75" s="262"/>
      <c r="Y75" s="262"/>
      <c r="Z75" s="262"/>
      <c r="AA75" s="262"/>
      <c r="AB75" s="262"/>
      <c r="AC75" s="262"/>
      <c r="AD75" s="262"/>
      <c r="AE75" s="262"/>
      <c r="AF75" s="262"/>
      <c r="AG75" s="262"/>
      <c r="AH75" s="262"/>
      <c r="AI75" s="263"/>
    </row>
    <row r="76" spans="1:35" ht="81.75" customHeight="1" x14ac:dyDescent="0.35">
      <c r="A76" s="273"/>
      <c r="B76" s="274"/>
      <c r="C76" s="274"/>
      <c r="D76" s="274"/>
      <c r="E76" s="274"/>
      <c r="F76" s="274"/>
      <c r="G76" s="274"/>
      <c r="H76" s="274"/>
      <c r="I76" s="274"/>
      <c r="J76" s="274"/>
      <c r="K76" s="274"/>
      <c r="L76" s="274"/>
      <c r="M76" s="274"/>
      <c r="N76" s="274"/>
      <c r="O76" s="274"/>
      <c r="P76" s="274"/>
      <c r="Q76" s="274"/>
      <c r="R76" s="274"/>
      <c r="S76" s="274"/>
      <c r="T76" s="274"/>
      <c r="U76" s="274"/>
      <c r="V76" s="274"/>
      <c r="W76" s="274"/>
      <c r="X76" s="274"/>
      <c r="Y76" s="274"/>
      <c r="Z76" s="274"/>
      <c r="AA76" s="274"/>
      <c r="AB76" s="274"/>
      <c r="AC76" s="274"/>
      <c r="AD76" s="274"/>
      <c r="AE76" s="274"/>
      <c r="AF76" s="274"/>
      <c r="AG76" s="274"/>
      <c r="AH76" s="274"/>
      <c r="AI76" s="275"/>
    </row>
    <row r="77" spans="1:35" ht="81.75" customHeight="1" x14ac:dyDescent="0.35">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277"/>
      <c r="AA77" s="277"/>
      <c r="AB77" s="277"/>
      <c r="AC77" s="277"/>
      <c r="AD77" s="277"/>
      <c r="AE77" s="277"/>
      <c r="AF77" s="277"/>
      <c r="AG77" s="277"/>
      <c r="AH77" s="277"/>
      <c r="AI77" s="278"/>
    </row>
    <row r="78" spans="1:35" ht="81.75" customHeight="1" x14ac:dyDescent="0.35">
      <c r="A78" s="279"/>
      <c r="B78" s="280"/>
      <c r="C78" s="280"/>
      <c r="D78" s="280"/>
      <c r="E78" s="280"/>
      <c r="F78" s="280"/>
      <c r="G78" s="280"/>
      <c r="H78" s="280"/>
      <c r="I78" s="280"/>
      <c r="J78" s="280"/>
      <c r="K78" s="280"/>
      <c r="L78" s="280"/>
      <c r="M78" s="280"/>
      <c r="N78" s="280"/>
      <c r="O78" s="280"/>
      <c r="P78" s="280"/>
      <c r="Q78" s="280"/>
      <c r="R78" s="280"/>
      <c r="S78" s="280"/>
      <c r="T78" s="280"/>
      <c r="U78" s="280"/>
      <c r="V78" s="280"/>
      <c r="W78" s="280"/>
      <c r="X78" s="280"/>
      <c r="Y78" s="280"/>
      <c r="Z78" s="280"/>
      <c r="AA78" s="280"/>
      <c r="AB78" s="280"/>
      <c r="AC78" s="280"/>
      <c r="AD78" s="280"/>
      <c r="AE78" s="280"/>
      <c r="AF78" s="280"/>
      <c r="AG78" s="280"/>
      <c r="AH78" s="280"/>
      <c r="AI78" s="281"/>
    </row>
    <row r="79" spans="1:35" ht="15" customHeight="1" x14ac:dyDescent="0.35">
      <c r="A79" s="261" t="str">
        <f xml:space="preserve"> _xlfn.CONCAT("ESTACIÓN: "&amp;A22)</f>
        <v>ESTACIÓN: NO APLICA</v>
      </c>
      <c r="B79" s="262"/>
      <c r="C79" s="262"/>
      <c r="D79" s="262"/>
      <c r="E79" s="262"/>
      <c r="F79" s="262"/>
      <c r="G79" s="262"/>
      <c r="H79" s="262"/>
      <c r="I79" s="262"/>
      <c r="J79" s="262"/>
      <c r="K79" s="262"/>
      <c r="L79" s="262"/>
      <c r="M79" s="262"/>
      <c r="N79" s="262"/>
      <c r="O79" s="262"/>
      <c r="P79" s="262"/>
      <c r="Q79" s="262"/>
      <c r="R79" s="262"/>
      <c r="S79" s="262"/>
      <c r="T79" s="262"/>
      <c r="U79" s="262"/>
      <c r="V79" s="262"/>
      <c r="W79" s="262"/>
      <c r="X79" s="262"/>
      <c r="Y79" s="262"/>
      <c r="Z79" s="262"/>
      <c r="AA79" s="262"/>
      <c r="AB79" s="262"/>
      <c r="AC79" s="262"/>
      <c r="AD79" s="262"/>
      <c r="AE79" s="262"/>
      <c r="AF79" s="262"/>
      <c r="AG79" s="262"/>
      <c r="AH79" s="262"/>
      <c r="AI79" s="263"/>
    </row>
    <row r="80" spans="1:35" ht="81.75" customHeight="1" x14ac:dyDescent="0.35">
      <c r="A80" s="282" t="s">
        <v>66</v>
      </c>
      <c r="B80" s="283"/>
      <c r="C80" s="283"/>
      <c r="D80" s="283"/>
      <c r="E80" s="283"/>
      <c r="F80" s="283"/>
      <c r="G80" s="283"/>
      <c r="H80" s="283"/>
      <c r="I80" s="283"/>
      <c r="J80" s="283"/>
      <c r="K80" s="283"/>
      <c r="L80" s="283"/>
      <c r="M80" s="283"/>
      <c r="N80" s="283"/>
      <c r="O80" s="283"/>
      <c r="P80" s="283"/>
      <c r="Q80" s="283"/>
      <c r="R80" s="283"/>
      <c r="S80" s="283"/>
      <c r="T80" s="283"/>
      <c r="U80" s="283"/>
      <c r="V80" s="283"/>
      <c r="W80" s="283"/>
      <c r="X80" s="283"/>
      <c r="Y80" s="283"/>
      <c r="Z80" s="283"/>
      <c r="AA80" s="283"/>
      <c r="AB80" s="283"/>
      <c r="AC80" s="283"/>
      <c r="AD80" s="283"/>
      <c r="AE80" s="283"/>
      <c r="AF80" s="283"/>
      <c r="AG80" s="283"/>
      <c r="AH80" s="283"/>
      <c r="AI80" s="284"/>
    </row>
    <row r="81" spans="1:35" ht="81.75" customHeight="1" x14ac:dyDescent="0.35">
      <c r="A81" s="285"/>
      <c r="B81" s="286"/>
      <c r="C81" s="286"/>
      <c r="D81" s="286"/>
      <c r="E81" s="286"/>
      <c r="F81" s="286"/>
      <c r="G81" s="286"/>
      <c r="H81" s="286"/>
      <c r="I81" s="286"/>
      <c r="J81" s="286"/>
      <c r="K81" s="286"/>
      <c r="L81" s="286"/>
      <c r="M81" s="286"/>
      <c r="N81" s="286"/>
      <c r="O81" s="286"/>
      <c r="P81" s="286"/>
      <c r="Q81" s="286"/>
      <c r="R81" s="286"/>
      <c r="S81" s="286"/>
      <c r="T81" s="286"/>
      <c r="U81" s="286"/>
      <c r="V81" s="286"/>
      <c r="W81" s="286"/>
      <c r="X81" s="286"/>
      <c r="Y81" s="286"/>
      <c r="Z81" s="286"/>
      <c r="AA81" s="286"/>
      <c r="AB81" s="286"/>
      <c r="AC81" s="286"/>
      <c r="AD81" s="286"/>
      <c r="AE81" s="286"/>
      <c r="AF81" s="286"/>
      <c r="AG81" s="286"/>
      <c r="AH81" s="286"/>
      <c r="AI81" s="287"/>
    </row>
    <row r="82" spans="1:35" ht="81.75" customHeight="1" x14ac:dyDescent="0.35">
      <c r="A82" s="288"/>
      <c r="B82" s="289"/>
      <c r="C82" s="289"/>
      <c r="D82" s="289"/>
      <c r="E82" s="289"/>
      <c r="F82" s="289"/>
      <c r="G82" s="289"/>
      <c r="H82" s="289"/>
      <c r="I82" s="289"/>
      <c r="J82" s="289"/>
      <c r="K82" s="289"/>
      <c r="L82" s="289"/>
      <c r="M82" s="289"/>
      <c r="N82" s="289"/>
      <c r="O82" s="289"/>
      <c r="P82" s="289"/>
      <c r="Q82" s="289"/>
      <c r="R82" s="289"/>
      <c r="S82" s="289"/>
      <c r="T82" s="289"/>
      <c r="U82" s="289"/>
      <c r="V82" s="289"/>
      <c r="W82" s="289"/>
      <c r="X82" s="289"/>
      <c r="Y82" s="289"/>
      <c r="Z82" s="289"/>
      <c r="AA82" s="289"/>
      <c r="AB82" s="289"/>
      <c r="AC82" s="289"/>
      <c r="AD82" s="289"/>
      <c r="AE82" s="289"/>
      <c r="AF82" s="289"/>
      <c r="AG82" s="289"/>
      <c r="AH82" s="289"/>
      <c r="AI82" s="290"/>
    </row>
    <row r="83" spans="1:35" x14ac:dyDescent="0.35">
      <c r="A83" s="261" t="str">
        <f xml:space="preserve"> _xlfn.CONCAT("ESTACIÓN: "&amp;A23)</f>
        <v>ESTACIÓN: NO APLICA</v>
      </c>
      <c r="B83" s="262"/>
      <c r="C83" s="262"/>
      <c r="D83" s="262"/>
      <c r="E83" s="262"/>
      <c r="F83" s="262"/>
      <c r="G83" s="262"/>
      <c r="H83" s="262"/>
      <c r="I83" s="262"/>
      <c r="J83" s="262"/>
      <c r="K83" s="262"/>
      <c r="L83" s="262"/>
      <c r="M83" s="262"/>
      <c r="N83" s="262"/>
      <c r="O83" s="262"/>
      <c r="P83" s="262"/>
      <c r="Q83" s="262"/>
      <c r="R83" s="262"/>
      <c r="S83" s="262"/>
      <c r="T83" s="262"/>
      <c r="U83" s="262"/>
      <c r="V83" s="262"/>
      <c r="W83" s="262"/>
      <c r="X83" s="262"/>
      <c r="Y83" s="262"/>
      <c r="Z83" s="262"/>
      <c r="AA83" s="262"/>
      <c r="AB83" s="262"/>
      <c r="AC83" s="262"/>
      <c r="AD83" s="262"/>
      <c r="AE83" s="262"/>
      <c r="AF83" s="262"/>
      <c r="AG83" s="262"/>
      <c r="AH83" s="262"/>
      <c r="AI83" s="263"/>
    </row>
    <row r="84" spans="1:35" ht="81.75" customHeight="1" x14ac:dyDescent="0.35">
      <c r="A84" s="282" t="s">
        <v>66</v>
      </c>
      <c r="B84" s="283"/>
      <c r="C84" s="283"/>
      <c r="D84" s="283"/>
      <c r="E84" s="283"/>
      <c r="F84" s="283"/>
      <c r="G84" s="283"/>
      <c r="H84" s="283"/>
      <c r="I84" s="283"/>
      <c r="J84" s="283"/>
      <c r="K84" s="283"/>
      <c r="L84" s="283"/>
      <c r="M84" s="283"/>
      <c r="N84" s="283"/>
      <c r="O84" s="283"/>
      <c r="P84" s="283"/>
      <c r="Q84" s="283"/>
      <c r="R84" s="283"/>
      <c r="S84" s="283"/>
      <c r="T84" s="283"/>
      <c r="U84" s="283"/>
      <c r="V84" s="283"/>
      <c r="W84" s="283"/>
      <c r="X84" s="283"/>
      <c r="Y84" s="283"/>
      <c r="Z84" s="283"/>
      <c r="AA84" s="283"/>
      <c r="AB84" s="283"/>
      <c r="AC84" s="283"/>
      <c r="AD84" s="283"/>
      <c r="AE84" s="283"/>
      <c r="AF84" s="283"/>
      <c r="AG84" s="283"/>
      <c r="AH84" s="283"/>
      <c r="AI84" s="284"/>
    </row>
    <row r="85" spans="1:35" ht="81.75" customHeight="1" x14ac:dyDescent="0.35">
      <c r="A85" s="285"/>
      <c r="B85" s="286"/>
      <c r="C85" s="286"/>
      <c r="D85" s="286"/>
      <c r="E85" s="286"/>
      <c r="F85" s="286"/>
      <c r="G85" s="286"/>
      <c r="H85" s="286"/>
      <c r="I85" s="286"/>
      <c r="J85" s="286"/>
      <c r="K85" s="286"/>
      <c r="L85" s="286"/>
      <c r="M85" s="286"/>
      <c r="N85" s="286"/>
      <c r="O85" s="286"/>
      <c r="P85" s="286"/>
      <c r="Q85" s="286"/>
      <c r="R85" s="286"/>
      <c r="S85" s="286"/>
      <c r="T85" s="286"/>
      <c r="U85" s="286"/>
      <c r="V85" s="286"/>
      <c r="W85" s="286"/>
      <c r="X85" s="286"/>
      <c r="Y85" s="286"/>
      <c r="Z85" s="286"/>
      <c r="AA85" s="286"/>
      <c r="AB85" s="286"/>
      <c r="AC85" s="286"/>
      <c r="AD85" s="286"/>
      <c r="AE85" s="286"/>
      <c r="AF85" s="286"/>
      <c r="AG85" s="286"/>
      <c r="AH85" s="286"/>
      <c r="AI85" s="287"/>
    </row>
    <row r="86" spans="1:35" ht="81.75" customHeight="1" x14ac:dyDescent="0.35">
      <c r="A86" s="288"/>
      <c r="B86" s="289"/>
      <c r="C86" s="289"/>
      <c r="D86" s="289"/>
      <c r="E86" s="289"/>
      <c r="F86" s="289"/>
      <c r="G86" s="289"/>
      <c r="H86" s="289"/>
      <c r="I86" s="289"/>
      <c r="J86" s="289"/>
      <c r="K86" s="289"/>
      <c r="L86" s="289"/>
      <c r="M86" s="289"/>
      <c r="N86" s="289"/>
      <c r="O86" s="289"/>
      <c r="P86" s="289"/>
      <c r="Q86" s="289"/>
      <c r="R86" s="289"/>
      <c r="S86" s="289"/>
      <c r="T86" s="289"/>
      <c r="U86" s="289"/>
      <c r="V86" s="289"/>
      <c r="W86" s="289"/>
      <c r="X86" s="289"/>
      <c r="Y86" s="289"/>
      <c r="Z86" s="289"/>
      <c r="AA86" s="289"/>
      <c r="AB86" s="289"/>
      <c r="AC86" s="289"/>
      <c r="AD86" s="289"/>
      <c r="AE86" s="289"/>
      <c r="AF86" s="289"/>
      <c r="AG86" s="289"/>
      <c r="AH86" s="289"/>
      <c r="AI86" s="290"/>
    </row>
    <row r="87" spans="1:35" ht="14.25" customHeight="1" x14ac:dyDescent="0.35">
      <c r="A87" s="233" t="str">
        <f xml:space="preserve"> _xlfn.CONCAT("ESTACIÓN: "&amp;A24)</f>
        <v>ESTACIÓN: NO APLICA</v>
      </c>
      <c r="B87" s="234"/>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5"/>
    </row>
    <row r="88" spans="1:35" ht="81.75" customHeight="1" x14ac:dyDescent="0.35">
      <c r="A88" s="224" t="s">
        <v>66</v>
      </c>
      <c r="B88" s="225"/>
      <c r="C88" s="225"/>
      <c r="D88" s="225"/>
      <c r="E88" s="225"/>
      <c r="F88" s="225"/>
      <c r="G88" s="225"/>
      <c r="H88" s="225"/>
      <c r="I88" s="225"/>
      <c r="J88" s="225"/>
      <c r="K88" s="225"/>
      <c r="L88" s="225"/>
      <c r="M88" s="225"/>
      <c r="N88" s="225"/>
      <c r="O88" s="225"/>
      <c r="P88" s="225"/>
      <c r="Q88" s="225"/>
      <c r="R88" s="225"/>
      <c r="S88" s="225"/>
      <c r="T88" s="225"/>
      <c r="U88" s="225"/>
      <c r="V88" s="225"/>
      <c r="W88" s="225"/>
      <c r="X88" s="225"/>
      <c r="Y88" s="225"/>
      <c r="Z88" s="225"/>
      <c r="AA88" s="225"/>
      <c r="AB88" s="225"/>
      <c r="AC88" s="225"/>
      <c r="AD88" s="225"/>
      <c r="AE88" s="225"/>
      <c r="AF88" s="225"/>
      <c r="AG88" s="225"/>
      <c r="AH88" s="225"/>
      <c r="AI88" s="226"/>
    </row>
    <row r="89" spans="1:35" ht="81.75" customHeight="1" x14ac:dyDescent="0.35">
      <c r="A89" s="227"/>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c r="AA89" s="228"/>
      <c r="AB89" s="228"/>
      <c r="AC89" s="228"/>
      <c r="AD89" s="228"/>
      <c r="AE89" s="228"/>
      <c r="AF89" s="228"/>
      <c r="AG89" s="228"/>
      <c r="AH89" s="228"/>
      <c r="AI89" s="229"/>
    </row>
    <row r="90" spans="1:35" ht="81.75" customHeight="1" x14ac:dyDescent="0.35">
      <c r="A90" s="230"/>
      <c r="B90" s="231"/>
      <c r="C90" s="231"/>
      <c r="D90" s="231"/>
      <c r="E90" s="231"/>
      <c r="F90" s="231"/>
      <c r="G90" s="231"/>
      <c r="H90" s="231"/>
      <c r="I90" s="231"/>
      <c r="J90" s="231"/>
      <c r="K90" s="231"/>
      <c r="L90" s="231"/>
      <c r="M90" s="231"/>
      <c r="N90" s="231"/>
      <c r="O90" s="231"/>
      <c r="P90" s="231"/>
      <c r="Q90" s="231"/>
      <c r="R90" s="231"/>
      <c r="S90" s="231"/>
      <c r="T90" s="231"/>
      <c r="U90" s="231"/>
      <c r="V90" s="231"/>
      <c r="W90" s="231"/>
      <c r="X90" s="231"/>
      <c r="Y90" s="231"/>
      <c r="Z90" s="231"/>
      <c r="AA90" s="231"/>
      <c r="AB90" s="231"/>
      <c r="AC90" s="231"/>
      <c r="AD90" s="231"/>
      <c r="AE90" s="231"/>
      <c r="AF90" s="231"/>
      <c r="AG90" s="231"/>
      <c r="AH90" s="231"/>
      <c r="AI90" s="232"/>
    </row>
    <row r="91" spans="1:35" ht="14.25" customHeight="1" x14ac:dyDescent="0.35">
      <c r="A91" s="261" t="str">
        <f xml:space="preserve"> _xlfn.CONCAT("ESTACIÓN: "&amp;A25)</f>
        <v>ESTACIÓN: NO APLICA</v>
      </c>
      <c r="B91" s="262"/>
      <c r="C91" s="262"/>
      <c r="D91" s="262"/>
      <c r="E91" s="262"/>
      <c r="F91" s="262"/>
      <c r="G91" s="262"/>
      <c r="H91" s="262"/>
      <c r="I91" s="262"/>
      <c r="J91" s="262"/>
      <c r="K91" s="262"/>
      <c r="L91" s="262"/>
      <c r="M91" s="262"/>
      <c r="N91" s="262"/>
      <c r="O91" s="262"/>
      <c r="P91" s="262"/>
      <c r="Q91" s="262"/>
      <c r="R91" s="262"/>
      <c r="S91" s="262"/>
      <c r="T91" s="262"/>
      <c r="U91" s="262"/>
      <c r="V91" s="262"/>
      <c r="W91" s="262"/>
      <c r="X91" s="262"/>
      <c r="Y91" s="262"/>
      <c r="Z91" s="262"/>
      <c r="AA91" s="262"/>
      <c r="AB91" s="262"/>
      <c r="AC91" s="262"/>
      <c r="AD91" s="262"/>
      <c r="AE91" s="262"/>
      <c r="AF91" s="262"/>
      <c r="AG91" s="262"/>
      <c r="AH91" s="262"/>
      <c r="AI91" s="263"/>
    </row>
    <row r="92" spans="1:35" ht="81.75" customHeight="1" x14ac:dyDescent="0.35">
      <c r="A92" s="224" t="s">
        <v>66</v>
      </c>
      <c r="B92" s="225"/>
      <c r="C92" s="225"/>
      <c r="D92" s="225"/>
      <c r="E92" s="225"/>
      <c r="F92" s="225"/>
      <c r="G92" s="225"/>
      <c r="H92" s="225"/>
      <c r="I92" s="225"/>
      <c r="J92" s="225"/>
      <c r="K92" s="225"/>
      <c r="L92" s="225"/>
      <c r="M92" s="225"/>
      <c r="N92" s="225"/>
      <c r="O92" s="225"/>
      <c r="P92" s="225"/>
      <c r="Q92" s="225"/>
      <c r="R92" s="225"/>
      <c r="S92" s="225"/>
      <c r="T92" s="225"/>
      <c r="U92" s="225"/>
      <c r="V92" s="225"/>
      <c r="W92" s="225"/>
      <c r="X92" s="225"/>
      <c r="Y92" s="225"/>
      <c r="Z92" s="225"/>
      <c r="AA92" s="225"/>
      <c r="AB92" s="225"/>
      <c r="AC92" s="225"/>
      <c r="AD92" s="225"/>
      <c r="AE92" s="225"/>
      <c r="AF92" s="225"/>
      <c r="AG92" s="225"/>
      <c r="AH92" s="225"/>
      <c r="AI92" s="226"/>
    </row>
    <row r="93" spans="1:35" ht="81.75" customHeight="1" x14ac:dyDescent="0.35">
      <c r="A93" s="227"/>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c r="AA93" s="228"/>
      <c r="AB93" s="228"/>
      <c r="AC93" s="228"/>
      <c r="AD93" s="228"/>
      <c r="AE93" s="228"/>
      <c r="AF93" s="228"/>
      <c r="AG93" s="228"/>
      <c r="AH93" s="228"/>
      <c r="AI93" s="229"/>
    </row>
    <row r="94" spans="1:35" ht="80.25" customHeight="1" x14ac:dyDescent="0.35">
      <c r="A94" s="230"/>
      <c r="B94" s="231"/>
      <c r="C94" s="231"/>
      <c r="D94" s="231"/>
      <c r="E94" s="231"/>
      <c r="F94" s="231"/>
      <c r="G94" s="231"/>
      <c r="H94" s="231"/>
      <c r="I94" s="231"/>
      <c r="J94" s="231"/>
      <c r="K94" s="231"/>
      <c r="L94" s="231"/>
      <c r="M94" s="231"/>
      <c r="N94" s="231"/>
      <c r="O94" s="231"/>
      <c r="P94" s="231"/>
      <c r="Q94" s="231"/>
      <c r="R94" s="231"/>
      <c r="S94" s="231"/>
      <c r="T94" s="231"/>
      <c r="U94" s="231"/>
      <c r="V94" s="231"/>
      <c r="W94" s="231"/>
      <c r="X94" s="231"/>
      <c r="Y94" s="231"/>
      <c r="Z94" s="231"/>
      <c r="AA94" s="231"/>
      <c r="AB94" s="231"/>
      <c r="AC94" s="231"/>
      <c r="AD94" s="231"/>
      <c r="AE94" s="231"/>
      <c r="AF94" s="231"/>
      <c r="AG94" s="231"/>
      <c r="AH94" s="231"/>
      <c r="AI94" s="232"/>
    </row>
    <row r="95" spans="1:35" ht="5.25" customHeight="1" x14ac:dyDescent="0.3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row>
    <row r="96" spans="1:35" x14ac:dyDescent="0.35">
      <c r="A96" s="261" t="str">
        <f xml:space="preserve"> _xlfn.CONCAT("ESTACIÓN: "&amp;A26)</f>
        <v>ESTACIÓN: NO APLICA</v>
      </c>
      <c r="B96" s="262"/>
      <c r="C96" s="262"/>
      <c r="D96" s="262"/>
      <c r="E96" s="262"/>
      <c r="F96" s="262"/>
      <c r="G96" s="262"/>
      <c r="H96" s="262"/>
      <c r="I96" s="262"/>
      <c r="J96" s="262"/>
      <c r="K96" s="262"/>
      <c r="L96" s="262"/>
      <c r="M96" s="262"/>
      <c r="N96" s="262"/>
      <c r="O96" s="262"/>
      <c r="P96" s="262"/>
      <c r="Q96" s="262"/>
      <c r="R96" s="262"/>
      <c r="S96" s="262"/>
      <c r="T96" s="262"/>
      <c r="U96" s="262"/>
      <c r="V96" s="262"/>
      <c r="W96" s="262"/>
      <c r="X96" s="262"/>
      <c r="Y96" s="262"/>
      <c r="Z96" s="262"/>
      <c r="AA96" s="262"/>
      <c r="AB96" s="262"/>
      <c r="AC96" s="262"/>
      <c r="AD96" s="262"/>
      <c r="AE96" s="262"/>
      <c r="AF96" s="262"/>
      <c r="AG96" s="262"/>
      <c r="AH96" s="262"/>
      <c r="AI96" s="263"/>
    </row>
    <row r="97" spans="1:35" ht="81.75" customHeight="1" x14ac:dyDescent="0.35">
      <c r="A97" s="224" t="s">
        <v>66</v>
      </c>
      <c r="B97" s="225"/>
      <c r="C97" s="225"/>
      <c r="D97" s="225"/>
      <c r="E97" s="225"/>
      <c r="F97" s="225"/>
      <c r="G97" s="225"/>
      <c r="H97" s="225"/>
      <c r="I97" s="225"/>
      <c r="J97" s="225"/>
      <c r="K97" s="225"/>
      <c r="L97" s="225"/>
      <c r="M97" s="225"/>
      <c r="N97" s="225"/>
      <c r="O97" s="225"/>
      <c r="P97" s="225"/>
      <c r="Q97" s="225"/>
      <c r="R97" s="225"/>
      <c r="S97" s="225"/>
      <c r="T97" s="225"/>
      <c r="U97" s="225"/>
      <c r="V97" s="225"/>
      <c r="W97" s="225"/>
      <c r="X97" s="225"/>
      <c r="Y97" s="225"/>
      <c r="Z97" s="225"/>
      <c r="AA97" s="225"/>
      <c r="AB97" s="225"/>
      <c r="AC97" s="225"/>
      <c r="AD97" s="225"/>
      <c r="AE97" s="225"/>
      <c r="AF97" s="225"/>
      <c r="AG97" s="225"/>
      <c r="AH97" s="225"/>
      <c r="AI97" s="226"/>
    </row>
    <row r="98" spans="1:35" ht="81.75" customHeight="1" x14ac:dyDescent="0.35">
      <c r="A98" s="227"/>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c r="AA98" s="228"/>
      <c r="AB98" s="228"/>
      <c r="AC98" s="228"/>
      <c r="AD98" s="228"/>
      <c r="AE98" s="228"/>
      <c r="AF98" s="228"/>
      <c r="AG98" s="228"/>
      <c r="AH98" s="228"/>
      <c r="AI98" s="229"/>
    </row>
    <row r="99" spans="1:35" ht="81.75" customHeight="1" x14ac:dyDescent="0.35">
      <c r="A99" s="230"/>
      <c r="B99" s="23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31"/>
      <c r="AE99" s="231"/>
      <c r="AF99" s="231"/>
      <c r="AG99" s="231"/>
      <c r="AH99" s="231"/>
      <c r="AI99" s="232"/>
    </row>
    <row r="100" spans="1:35" x14ac:dyDescent="0.35">
      <c r="A100" s="261" t="str">
        <f xml:space="preserve"> _xlfn.CONCAT("ESTACIÓN: "&amp;A27)</f>
        <v>ESTACIÓN: NO APLICA</v>
      </c>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c r="AD100" s="262"/>
      <c r="AE100" s="262"/>
      <c r="AF100" s="262"/>
      <c r="AG100" s="262"/>
      <c r="AH100" s="262"/>
      <c r="AI100" s="263"/>
    </row>
    <row r="101" spans="1:35" ht="81.75" customHeight="1" x14ac:dyDescent="0.35">
      <c r="A101" s="224" t="s">
        <v>66</v>
      </c>
      <c r="B101" s="225"/>
      <c r="C101" s="225"/>
      <c r="D101" s="225"/>
      <c r="E101" s="225"/>
      <c r="F101" s="225"/>
      <c r="G101" s="225"/>
      <c r="H101" s="225"/>
      <c r="I101" s="225"/>
      <c r="J101" s="225"/>
      <c r="K101" s="225"/>
      <c r="L101" s="225"/>
      <c r="M101" s="225"/>
      <c r="N101" s="225"/>
      <c r="O101" s="225"/>
      <c r="P101" s="225"/>
      <c r="Q101" s="225"/>
      <c r="R101" s="225"/>
      <c r="S101" s="225"/>
      <c r="T101" s="225"/>
      <c r="U101" s="225"/>
      <c r="V101" s="225"/>
      <c r="W101" s="225"/>
      <c r="X101" s="225"/>
      <c r="Y101" s="225"/>
      <c r="Z101" s="225"/>
      <c r="AA101" s="225"/>
      <c r="AB101" s="225"/>
      <c r="AC101" s="225"/>
      <c r="AD101" s="225"/>
      <c r="AE101" s="225"/>
      <c r="AF101" s="225"/>
      <c r="AG101" s="225"/>
      <c r="AH101" s="225"/>
      <c r="AI101" s="226"/>
    </row>
    <row r="102" spans="1:35" ht="81.75" customHeight="1" x14ac:dyDescent="0.35">
      <c r="A102" s="227"/>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c r="AA102" s="228"/>
      <c r="AB102" s="228"/>
      <c r="AC102" s="228"/>
      <c r="AD102" s="228"/>
      <c r="AE102" s="228"/>
      <c r="AF102" s="228"/>
      <c r="AG102" s="228"/>
      <c r="AH102" s="228"/>
      <c r="AI102" s="229"/>
    </row>
    <row r="103" spans="1:35" ht="81.75" customHeight="1" x14ac:dyDescent="0.35">
      <c r="A103" s="230"/>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231"/>
      <c r="Y103" s="231"/>
      <c r="Z103" s="231"/>
      <c r="AA103" s="231"/>
      <c r="AB103" s="231"/>
      <c r="AC103" s="231"/>
      <c r="AD103" s="231"/>
      <c r="AE103" s="231"/>
      <c r="AF103" s="231"/>
      <c r="AG103" s="231"/>
      <c r="AH103" s="231"/>
      <c r="AI103" s="232"/>
    </row>
    <row r="104" spans="1:35" ht="16.5" customHeight="1" x14ac:dyDescent="0.35">
      <c r="A104" s="261" t="s">
        <v>67</v>
      </c>
      <c r="B104" s="262"/>
      <c r="C104" s="26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c r="AA104" s="262"/>
      <c r="AB104" s="262"/>
      <c r="AC104" s="262"/>
      <c r="AD104" s="262"/>
      <c r="AE104" s="262"/>
      <c r="AF104" s="262"/>
      <c r="AG104" s="262"/>
      <c r="AH104" s="262"/>
      <c r="AI104" s="263"/>
    </row>
    <row r="105" spans="1:35" ht="15" customHeight="1" x14ac:dyDescent="0.35">
      <c r="A105" s="246"/>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8"/>
    </row>
    <row r="106" spans="1:35" ht="15" customHeight="1" x14ac:dyDescent="0.35">
      <c r="A106" s="249"/>
      <c r="B106" s="250"/>
      <c r="C106" s="250"/>
      <c r="D106" s="250"/>
      <c r="E106" s="250"/>
      <c r="F106" s="250"/>
      <c r="G106" s="250"/>
      <c r="H106" s="250"/>
      <c r="I106" s="250"/>
      <c r="J106" s="250"/>
      <c r="K106" s="250"/>
      <c r="L106" s="250"/>
      <c r="M106" s="250"/>
      <c r="N106" s="250"/>
      <c r="O106" s="250"/>
      <c r="P106" s="250"/>
      <c r="Q106" s="250"/>
      <c r="R106" s="250"/>
      <c r="S106" s="250"/>
      <c r="T106" s="250"/>
      <c r="U106" s="250"/>
      <c r="V106" s="250"/>
      <c r="W106" s="250"/>
      <c r="X106" s="250"/>
      <c r="Y106" s="250"/>
      <c r="Z106" s="250"/>
      <c r="AA106" s="250"/>
      <c r="AB106" s="250"/>
      <c r="AC106" s="250"/>
      <c r="AD106" s="250"/>
      <c r="AE106" s="250"/>
      <c r="AF106" s="250"/>
      <c r="AG106" s="250"/>
      <c r="AH106" s="250"/>
      <c r="AI106" s="251"/>
    </row>
    <row r="107" spans="1:35" ht="15" customHeight="1" x14ac:dyDescent="0.35">
      <c r="A107" s="249"/>
      <c r="B107" s="250"/>
      <c r="C107" s="250"/>
      <c r="D107" s="250"/>
      <c r="E107" s="250"/>
      <c r="F107" s="250"/>
      <c r="G107" s="250"/>
      <c r="H107" s="250"/>
      <c r="I107" s="250"/>
      <c r="J107" s="250"/>
      <c r="K107" s="250"/>
      <c r="L107" s="250"/>
      <c r="M107" s="250"/>
      <c r="N107" s="250"/>
      <c r="O107" s="250"/>
      <c r="P107" s="250"/>
      <c r="Q107" s="250"/>
      <c r="R107" s="250"/>
      <c r="S107" s="250"/>
      <c r="T107" s="250"/>
      <c r="U107" s="250"/>
      <c r="V107" s="250"/>
      <c r="W107" s="250"/>
      <c r="X107" s="250"/>
      <c r="Y107" s="250"/>
      <c r="Z107" s="250"/>
      <c r="AA107" s="250"/>
      <c r="AB107" s="250"/>
      <c r="AC107" s="250"/>
      <c r="AD107" s="250"/>
      <c r="AE107" s="250"/>
      <c r="AF107" s="250"/>
      <c r="AG107" s="250"/>
      <c r="AH107" s="250"/>
      <c r="AI107" s="251"/>
    </row>
    <row r="108" spans="1:35" ht="15" customHeight="1" x14ac:dyDescent="0.35">
      <c r="A108" s="249"/>
      <c r="B108" s="250"/>
      <c r="C108" s="250"/>
      <c r="D108" s="250"/>
      <c r="E108" s="250"/>
      <c r="F108" s="250"/>
      <c r="G108" s="250"/>
      <c r="H108" s="250"/>
      <c r="I108" s="250"/>
      <c r="J108" s="250"/>
      <c r="K108" s="250"/>
      <c r="L108" s="250"/>
      <c r="M108" s="250"/>
      <c r="N108" s="250"/>
      <c r="O108" s="250"/>
      <c r="P108" s="250"/>
      <c r="Q108" s="250"/>
      <c r="R108" s="250"/>
      <c r="S108" s="250"/>
      <c r="T108" s="250"/>
      <c r="U108" s="250"/>
      <c r="V108" s="250"/>
      <c r="W108" s="250"/>
      <c r="X108" s="250"/>
      <c r="Y108" s="250"/>
      <c r="Z108" s="250"/>
      <c r="AA108" s="250"/>
      <c r="AB108" s="250"/>
      <c r="AC108" s="250"/>
      <c r="AD108" s="250"/>
      <c r="AE108" s="250"/>
      <c r="AF108" s="250"/>
      <c r="AG108" s="250"/>
      <c r="AH108" s="250"/>
      <c r="AI108" s="251"/>
    </row>
    <row r="109" spans="1:35" ht="15" customHeight="1" x14ac:dyDescent="0.35">
      <c r="A109" s="249"/>
      <c r="B109" s="250"/>
      <c r="C109" s="250"/>
      <c r="D109" s="250"/>
      <c r="E109" s="250"/>
      <c r="F109" s="250"/>
      <c r="G109" s="250"/>
      <c r="H109" s="250"/>
      <c r="I109" s="250"/>
      <c r="J109" s="250"/>
      <c r="K109" s="250"/>
      <c r="L109" s="250"/>
      <c r="M109" s="250"/>
      <c r="N109" s="250"/>
      <c r="O109" s="250"/>
      <c r="P109" s="250"/>
      <c r="Q109" s="250"/>
      <c r="R109" s="250"/>
      <c r="S109" s="250"/>
      <c r="T109" s="250"/>
      <c r="U109" s="250"/>
      <c r="V109" s="250"/>
      <c r="W109" s="250"/>
      <c r="X109" s="250"/>
      <c r="Y109" s="250"/>
      <c r="Z109" s="250"/>
      <c r="AA109" s="250"/>
      <c r="AB109" s="250"/>
      <c r="AC109" s="250"/>
      <c r="AD109" s="250"/>
      <c r="AE109" s="250"/>
      <c r="AF109" s="250"/>
      <c r="AG109" s="250"/>
      <c r="AH109" s="250"/>
      <c r="AI109" s="251"/>
    </row>
    <row r="110" spans="1:35" ht="15" customHeight="1" x14ac:dyDescent="0.35">
      <c r="A110" s="249"/>
      <c r="B110" s="250"/>
      <c r="C110" s="250"/>
      <c r="D110" s="250"/>
      <c r="E110" s="250"/>
      <c r="F110" s="250"/>
      <c r="G110" s="250"/>
      <c r="H110" s="250"/>
      <c r="I110" s="250"/>
      <c r="J110" s="250"/>
      <c r="K110" s="250"/>
      <c r="L110" s="250"/>
      <c r="M110" s="250"/>
      <c r="N110" s="250"/>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1"/>
    </row>
    <row r="111" spans="1:35" ht="15" customHeight="1" x14ac:dyDescent="0.35">
      <c r="A111" s="249"/>
      <c r="B111" s="250"/>
      <c r="C111" s="250"/>
      <c r="D111" s="250"/>
      <c r="E111" s="250"/>
      <c r="F111" s="250"/>
      <c r="G111" s="250"/>
      <c r="H111" s="250"/>
      <c r="I111" s="250"/>
      <c r="J111" s="250"/>
      <c r="K111" s="250"/>
      <c r="L111" s="250"/>
      <c r="M111" s="250"/>
      <c r="N111" s="250"/>
      <c r="O111" s="250"/>
      <c r="P111" s="250"/>
      <c r="Q111" s="250"/>
      <c r="R111" s="250"/>
      <c r="S111" s="250"/>
      <c r="T111" s="250"/>
      <c r="U111" s="250"/>
      <c r="V111" s="250"/>
      <c r="W111" s="250"/>
      <c r="X111" s="250"/>
      <c r="Y111" s="250"/>
      <c r="Z111" s="250"/>
      <c r="AA111" s="250"/>
      <c r="AB111" s="250"/>
      <c r="AC111" s="250"/>
      <c r="AD111" s="250"/>
      <c r="AE111" s="250"/>
      <c r="AF111" s="250"/>
      <c r="AG111" s="250"/>
      <c r="AH111" s="250"/>
      <c r="AI111" s="251"/>
    </row>
    <row r="112" spans="1:35" ht="15" customHeight="1" x14ac:dyDescent="0.35">
      <c r="A112" s="249"/>
      <c r="B112" s="250"/>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0"/>
      <c r="AA112" s="250"/>
      <c r="AB112" s="250"/>
      <c r="AC112" s="250"/>
      <c r="AD112" s="250"/>
      <c r="AE112" s="250"/>
      <c r="AF112" s="250"/>
      <c r="AG112" s="250"/>
      <c r="AH112" s="250"/>
      <c r="AI112" s="251"/>
    </row>
    <row r="113" spans="1:35" ht="15" customHeight="1" x14ac:dyDescent="0.35">
      <c r="A113" s="249"/>
      <c r="B113" s="250"/>
      <c r="C113" s="250"/>
      <c r="D113" s="250"/>
      <c r="E113" s="250"/>
      <c r="F113" s="250"/>
      <c r="G113" s="250"/>
      <c r="H113" s="250"/>
      <c r="I113" s="250"/>
      <c r="J113" s="250"/>
      <c r="K113" s="250"/>
      <c r="L113" s="250"/>
      <c r="M113" s="250"/>
      <c r="N113" s="250"/>
      <c r="O113" s="250"/>
      <c r="P113" s="250"/>
      <c r="Q113" s="250"/>
      <c r="R113" s="250"/>
      <c r="S113" s="250"/>
      <c r="T113" s="250"/>
      <c r="U113" s="250"/>
      <c r="V113" s="250"/>
      <c r="W113" s="250"/>
      <c r="X113" s="250"/>
      <c r="Y113" s="250"/>
      <c r="Z113" s="250"/>
      <c r="AA113" s="250"/>
      <c r="AB113" s="250"/>
      <c r="AC113" s="250"/>
      <c r="AD113" s="250"/>
      <c r="AE113" s="250"/>
      <c r="AF113" s="250"/>
      <c r="AG113" s="250"/>
      <c r="AH113" s="250"/>
      <c r="AI113" s="251"/>
    </row>
    <row r="114" spans="1:35" ht="15" customHeight="1" x14ac:dyDescent="0.35">
      <c r="A114" s="249"/>
      <c r="B114" s="250"/>
      <c r="C114" s="250"/>
      <c r="D114" s="250"/>
      <c r="E114" s="250"/>
      <c r="F114" s="250"/>
      <c r="G114" s="250"/>
      <c r="H114" s="250"/>
      <c r="I114" s="250"/>
      <c r="J114" s="250"/>
      <c r="K114" s="250"/>
      <c r="L114" s="250"/>
      <c r="M114" s="250"/>
      <c r="N114" s="250"/>
      <c r="O114" s="250"/>
      <c r="P114" s="250"/>
      <c r="Q114" s="250"/>
      <c r="R114" s="250"/>
      <c r="S114" s="250"/>
      <c r="T114" s="250"/>
      <c r="U114" s="250"/>
      <c r="V114" s="250"/>
      <c r="W114" s="250"/>
      <c r="X114" s="250"/>
      <c r="Y114" s="250"/>
      <c r="Z114" s="250"/>
      <c r="AA114" s="250"/>
      <c r="AB114" s="250"/>
      <c r="AC114" s="250"/>
      <c r="AD114" s="250"/>
      <c r="AE114" s="250"/>
      <c r="AF114" s="250"/>
      <c r="AG114" s="250"/>
      <c r="AH114" s="250"/>
      <c r="AI114" s="251"/>
    </row>
    <row r="115" spans="1:35" ht="15" customHeight="1" x14ac:dyDescent="0.35">
      <c r="A115" s="249"/>
      <c r="B115" s="250"/>
      <c r="C115" s="250"/>
      <c r="D115" s="250"/>
      <c r="E115" s="250"/>
      <c r="F115" s="250"/>
      <c r="G115" s="250"/>
      <c r="H115" s="250"/>
      <c r="I115" s="250"/>
      <c r="J115" s="250"/>
      <c r="K115" s="250"/>
      <c r="L115" s="250"/>
      <c r="M115" s="250"/>
      <c r="N115" s="250"/>
      <c r="O115" s="250"/>
      <c r="P115" s="250"/>
      <c r="Q115" s="250"/>
      <c r="R115" s="250"/>
      <c r="S115" s="250"/>
      <c r="T115" s="250"/>
      <c r="U115" s="250"/>
      <c r="V115" s="250"/>
      <c r="W115" s="250"/>
      <c r="X115" s="250"/>
      <c r="Y115" s="250"/>
      <c r="Z115" s="250"/>
      <c r="AA115" s="250"/>
      <c r="AB115" s="250"/>
      <c r="AC115" s="250"/>
      <c r="AD115" s="250"/>
      <c r="AE115" s="250"/>
      <c r="AF115" s="250"/>
      <c r="AG115" s="250"/>
      <c r="AH115" s="250"/>
      <c r="AI115" s="251"/>
    </row>
    <row r="116" spans="1:35" ht="15" customHeight="1" x14ac:dyDescent="0.35">
      <c r="A116" s="249"/>
      <c r="B116" s="250"/>
      <c r="C116" s="250"/>
      <c r="D116" s="250"/>
      <c r="E116" s="250"/>
      <c r="F116" s="250"/>
      <c r="G116" s="250"/>
      <c r="H116" s="250"/>
      <c r="I116" s="250"/>
      <c r="J116" s="250"/>
      <c r="K116" s="250"/>
      <c r="L116" s="250"/>
      <c r="M116" s="250"/>
      <c r="N116" s="250"/>
      <c r="O116" s="250"/>
      <c r="P116" s="250"/>
      <c r="Q116" s="250"/>
      <c r="R116" s="250"/>
      <c r="S116" s="250"/>
      <c r="T116" s="250"/>
      <c r="U116" s="250"/>
      <c r="V116" s="250"/>
      <c r="W116" s="250"/>
      <c r="X116" s="250"/>
      <c r="Y116" s="250"/>
      <c r="Z116" s="250"/>
      <c r="AA116" s="250"/>
      <c r="AB116" s="250"/>
      <c r="AC116" s="250"/>
      <c r="AD116" s="250"/>
      <c r="AE116" s="250"/>
      <c r="AF116" s="250"/>
      <c r="AG116" s="250"/>
      <c r="AH116" s="250"/>
      <c r="AI116" s="251"/>
    </row>
    <row r="117" spans="1:35" ht="15" customHeight="1" x14ac:dyDescent="0.35">
      <c r="A117" s="249"/>
      <c r="B117" s="250"/>
      <c r="C117" s="250"/>
      <c r="D117" s="250"/>
      <c r="E117" s="250"/>
      <c r="F117" s="250"/>
      <c r="G117" s="250"/>
      <c r="H117" s="250"/>
      <c r="I117" s="250"/>
      <c r="J117" s="250"/>
      <c r="K117" s="250"/>
      <c r="L117" s="250"/>
      <c r="M117" s="250"/>
      <c r="N117" s="250"/>
      <c r="O117" s="250"/>
      <c r="P117" s="250"/>
      <c r="Q117" s="250"/>
      <c r="R117" s="250"/>
      <c r="S117" s="250"/>
      <c r="T117" s="250"/>
      <c r="U117" s="250"/>
      <c r="V117" s="250"/>
      <c r="W117" s="250"/>
      <c r="X117" s="250"/>
      <c r="Y117" s="250"/>
      <c r="Z117" s="250"/>
      <c r="AA117" s="250"/>
      <c r="AB117" s="250"/>
      <c r="AC117" s="250"/>
      <c r="AD117" s="250"/>
      <c r="AE117" s="250"/>
      <c r="AF117" s="250"/>
      <c r="AG117" s="250"/>
      <c r="AH117" s="250"/>
      <c r="AI117" s="251"/>
    </row>
    <row r="118" spans="1:35" ht="15" customHeight="1" x14ac:dyDescent="0.35">
      <c r="A118" s="249"/>
      <c r="B118" s="250"/>
      <c r="C118" s="250"/>
      <c r="D118" s="250"/>
      <c r="E118" s="250"/>
      <c r="F118" s="250"/>
      <c r="G118" s="250"/>
      <c r="H118" s="250"/>
      <c r="I118" s="250"/>
      <c r="J118" s="250"/>
      <c r="K118" s="250"/>
      <c r="L118" s="250"/>
      <c r="M118" s="250"/>
      <c r="N118" s="250"/>
      <c r="O118" s="250"/>
      <c r="P118" s="250"/>
      <c r="Q118" s="250"/>
      <c r="R118" s="250"/>
      <c r="S118" s="250"/>
      <c r="T118" s="250"/>
      <c r="U118" s="250"/>
      <c r="V118" s="250"/>
      <c r="W118" s="250"/>
      <c r="X118" s="250"/>
      <c r="Y118" s="250"/>
      <c r="Z118" s="250"/>
      <c r="AA118" s="250"/>
      <c r="AB118" s="250"/>
      <c r="AC118" s="250"/>
      <c r="AD118" s="250"/>
      <c r="AE118" s="250"/>
      <c r="AF118" s="250"/>
      <c r="AG118" s="250"/>
      <c r="AH118" s="250"/>
      <c r="AI118" s="251"/>
    </row>
    <row r="119" spans="1:35" ht="15" customHeight="1" x14ac:dyDescent="0.35">
      <c r="A119" s="249"/>
      <c r="B119" s="250"/>
      <c r="C119" s="250"/>
      <c r="D119" s="250"/>
      <c r="E119" s="250"/>
      <c r="F119" s="250"/>
      <c r="G119" s="250"/>
      <c r="H119" s="250"/>
      <c r="I119" s="250"/>
      <c r="J119" s="250"/>
      <c r="K119" s="250"/>
      <c r="L119" s="250"/>
      <c r="M119" s="250"/>
      <c r="N119" s="250"/>
      <c r="O119" s="250"/>
      <c r="P119" s="250"/>
      <c r="Q119" s="250"/>
      <c r="R119" s="250"/>
      <c r="S119" s="250"/>
      <c r="T119" s="250"/>
      <c r="U119" s="250"/>
      <c r="V119" s="250"/>
      <c r="W119" s="250"/>
      <c r="X119" s="250"/>
      <c r="Y119" s="250"/>
      <c r="Z119" s="250"/>
      <c r="AA119" s="250"/>
      <c r="AB119" s="250"/>
      <c r="AC119" s="250"/>
      <c r="AD119" s="250"/>
      <c r="AE119" s="250"/>
      <c r="AF119" s="250"/>
      <c r="AG119" s="250"/>
      <c r="AH119" s="250"/>
      <c r="AI119" s="251"/>
    </row>
    <row r="120" spans="1:35" ht="15" customHeight="1" x14ac:dyDescent="0.35">
      <c r="A120" s="249"/>
      <c r="B120" s="250"/>
      <c r="C120" s="250"/>
      <c r="D120" s="250"/>
      <c r="E120" s="250"/>
      <c r="F120" s="250"/>
      <c r="G120" s="250"/>
      <c r="H120" s="250"/>
      <c r="I120" s="250"/>
      <c r="J120" s="250"/>
      <c r="K120" s="250"/>
      <c r="L120" s="250"/>
      <c r="M120" s="250"/>
      <c r="N120" s="250"/>
      <c r="O120" s="250"/>
      <c r="P120" s="250"/>
      <c r="Q120" s="250"/>
      <c r="R120" s="250"/>
      <c r="S120" s="250"/>
      <c r="T120" s="250"/>
      <c r="U120" s="250"/>
      <c r="V120" s="250"/>
      <c r="W120" s="250"/>
      <c r="X120" s="250"/>
      <c r="Y120" s="250"/>
      <c r="Z120" s="250"/>
      <c r="AA120" s="250"/>
      <c r="AB120" s="250"/>
      <c r="AC120" s="250"/>
      <c r="AD120" s="250"/>
      <c r="AE120" s="250"/>
      <c r="AF120" s="250"/>
      <c r="AG120" s="250"/>
      <c r="AH120" s="250"/>
      <c r="AI120" s="251"/>
    </row>
    <row r="121" spans="1:35" ht="15" customHeight="1" x14ac:dyDescent="0.35">
      <c r="A121" s="249"/>
      <c r="B121" s="250"/>
      <c r="C121" s="250"/>
      <c r="D121" s="250"/>
      <c r="E121" s="250"/>
      <c r="F121" s="250"/>
      <c r="G121" s="250"/>
      <c r="H121" s="250"/>
      <c r="I121" s="250"/>
      <c r="J121" s="250"/>
      <c r="K121" s="250"/>
      <c r="L121" s="250"/>
      <c r="M121" s="250"/>
      <c r="N121" s="250"/>
      <c r="O121" s="250"/>
      <c r="P121" s="250"/>
      <c r="Q121" s="250"/>
      <c r="R121" s="250"/>
      <c r="S121" s="250"/>
      <c r="T121" s="250"/>
      <c r="U121" s="250"/>
      <c r="V121" s="250"/>
      <c r="W121" s="250"/>
      <c r="X121" s="250"/>
      <c r="Y121" s="250"/>
      <c r="Z121" s="250"/>
      <c r="AA121" s="250"/>
      <c r="AB121" s="250"/>
      <c r="AC121" s="250"/>
      <c r="AD121" s="250"/>
      <c r="AE121" s="250"/>
      <c r="AF121" s="250"/>
      <c r="AG121" s="250"/>
      <c r="AH121" s="250"/>
      <c r="AI121" s="251"/>
    </row>
    <row r="122" spans="1:35" ht="15" customHeight="1" x14ac:dyDescent="0.35">
      <c r="A122" s="249"/>
      <c r="B122" s="250"/>
      <c r="C122" s="250"/>
      <c r="D122" s="250"/>
      <c r="E122" s="250"/>
      <c r="F122" s="250"/>
      <c r="G122" s="250"/>
      <c r="H122" s="250"/>
      <c r="I122" s="250"/>
      <c r="J122" s="250"/>
      <c r="K122" s="250"/>
      <c r="L122" s="250"/>
      <c r="M122" s="250"/>
      <c r="N122" s="250"/>
      <c r="O122" s="250"/>
      <c r="P122" s="250"/>
      <c r="Q122" s="250"/>
      <c r="R122" s="250"/>
      <c r="S122" s="250"/>
      <c r="T122" s="250"/>
      <c r="U122" s="250"/>
      <c r="V122" s="250"/>
      <c r="W122" s="250"/>
      <c r="X122" s="250"/>
      <c r="Y122" s="250"/>
      <c r="Z122" s="250"/>
      <c r="AA122" s="250"/>
      <c r="AB122" s="250"/>
      <c r="AC122" s="250"/>
      <c r="AD122" s="250"/>
      <c r="AE122" s="250"/>
      <c r="AF122" s="250"/>
      <c r="AG122" s="250"/>
      <c r="AH122" s="250"/>
      <c r="AI122" s="251"/>
    </row>
    <row r="123" spans="1:35" ht="15" customHeight="1" x14ac:dyDescent="0.35">
      <c r="A123" s="249"/>
      <c r="B123" s="250"/>
      <c r="C123" s="250"/>
      <c r="D123" s="250"/>
      <c r="E123" s="250"/>
      <c r="F123" s="250"/>
      <c r="G123" s="250"/>
      <c r="H123" s="250"/>
      <c r="I123" s="250"/>
      <c r="J123" s="250"/>
      <c r="K123" s="250"/>
      <c r="L123" s="250"/>
      <c r="M123" s="250"/>
      <c r="N123" s="250"/>
      <c r="O123" s="250"/>
      <c r="P123" s="250"/>
      <c r="Q123" s="250"/>
      <c r="R123" s="250"/>
      <c r="S123" s="250"/>
      <c r="T123" s="250"/>
      <c r="U123" s="250"/>
      <c r="V123" s="250"/>
      <c r="W123" s="250"/>
      <c r="X123" s="250"/>
      <c r="Y123" s="250"/>
      <c r="Z123" s="250"/>
      <c r="AA123" s="250"/>
      <c r="AB123" s="250"/>
      <c r="AC123" s="250"/>
      <c r="AD123" s="250"/>
      <c r="AE123" s="250"/>
      <c r="AF123" s="250"/>
      <c r="AG123" s="250"/>
      <c r="AH123" s="250"/>
      <c r="AI123" s="251"/>
    </row>
    <row r="124" spans="1:35" ht="15" customHeight="1" x14ac:dyDescent="0.35">
      <c r="A124" s="249"/>
      <c r="B124" s="250"/>
      <c r="C124" s="250"/>
      <c r="D124" s="250"/>
      <c r="E124" s="250"/>
      <c r="F124" s="250"/>
      <c r="G124" s="250"/>
      <c r="H124" s="250"/>
      <c r="I124" s="250"/>
      <c r="J124" s="250"/>
      <c r="K124" s="250"/>
      <c r="L124" s="250"/>
      <c r="M124" s="250"/>
      <c r="N124" s="250"/>
      <c r="O124" s="250"/>
      <c r="P124" s="250"/>
      <c r="Q124" s="250"/>
      <c r="R124" s="250"/>
      <c r="S124" s="250"/>
      <c r="T124" s="250"/>
      <c r="U124" s="250"/>
      <c r="V124" s="250"/>
      <c r="W124" s="250"/>
      <c r="X124" s="250"/>
      <c r="Y124" s="250"/>
      <c r="Z124" s="250"/>
      <c r="AA124" s="250"/>
      <c r="AB124" s="250"/>
      <c r="AC124" s="250"/>
      <c r="AD124" s="250"/>
      <c r="AE124" s="250"/>
      <c r="AF124" s="250"/>
      <c r="AG124" s="250"/>
      <c r="AH124" s="250"/>
      <c r="AI124" s="251"/>
    </row>
    <row r="125" spans="1:35" ht="15" customHeight="1" x14ac:dyDescent="0.35">
      <c r="A125" s="249"/>
      <c r="B125" s="250"/>
      <c r="C125" s="250"/>
      <c r="D125" s="250"/>
      <c r="E125" s="250"/>
      <c r="F125" s="250"/>
      <c r="G125" s="250"/>
      <c r="H125" s="250"/>
      <c r="I125" s="250"/>
      <c r="J125" s="250"/>
      <c r="K125" s="250"/>
      <c r="L125" s="250"/>
      <c r="M125" s="250"/>
      <c r="N125" s="250"/>
      <c r="O125" s="250"/>
      <c r="P125" s="250"/>
      <c r="Q125" s="250"/>
      <c r="R125" s="250"/>
      <c r="S125" s="250"/>
      <c r="T125" s="250"/>
      <c r="U125" s="250"/>
      <c r="V125" s="250"/>
      <c r="W125" s="250"/>
      <c r="X125" s="250"/>
      <c r="Y125" s="250"/>
      <c r="Z125" s="250"/>
      <c r="AA125" s="250"/>
      <c r="AB125" s="250"/>
      <c r="AC125" s="250"/>
      <c r="AD125" s="250"/>
      <c r="AE125" s="250"/>
      <c r="AF125" s="250"/>
      <c r="AG125" s="250"/>
      <c r="AH125" s="250"/>
      <c r="AI125" s="251"/>
    </row>
    <row r="126" spans="1:35" ht="15" customHeight="1" x14ac:dyDescent="0.35">
      <c r="A126" s="249"/>
      <c r="B126" s="250"/>
      <c r="C126" s="250"/>
      <c r="D126" s="250"/>
      <c r="E126" s="250"/>
      <c r="F126" s="250"/>
      <c r="G126" s="250"/>
      <c r="H126" s="250"/>
      <c r="I126" s="250"/>
      <c r="J126" s="250"/>
      <c r="K126" s="250"/>
      <c r="L126" s="250"/>
      <c r="M126" s="250"/>
      <c r="N126" s="250"/>
      <c r="O126" s="250"/>
      <c r="P126" s="250"/>
      <c r="Q126" s="250"/>
      <c r="R126" s="250"/>
      <c r="S126" s="250"/>
      <c r="T126" s="250"/>
      <c r="U126" s="250"/>
      <c r="V126" s="250"/>
      <c r="W126" s="250"/>
      <c r="X126" s="250"/>
      <c r="Y126" s="250"/>
      <c r="Z126" s="250"/>
      <c r="AA126" s="250"/>
      <c r="AB126" s="250"/>
      <c r="AC126" s="250"/>
      <c r="AD126" s="250"/>
      <c r="AE126" s="250"/>
      <c r="AF126" s="250"/>
      <c r="AG126" s="250"/>
      <c r="AH126" s="250"/>
      <c r="AI126" s="251"/>
    </row>
    <row r="127" spans="1:35" ht="15" customHeight="1" x14ac:dyDescent="0.35">
      <c r="A127" s="249"/>
      <c r="B127" s="250"/>
      <c r="C127" s="250"/>
      <c r="D127" s="250"/>
      <c r="E127" s="250"/>
      <c r="F127" s="250"/>
      <c r="G127" s="250"/>
      <c r="H127" s="250"/>
      <c r="I127" s="250"/>
      <c r="J127" s="250"/>
      <c r="K127" s="250"/>
      <c r="L127" s="250"/>
      <c r="M127" s="250"/>
      <c r="N127" s="250"/>
      <c r="O127" s="250"/>
      <c r="P127" s="250"/>
      <c r="Q127" s="250"/>
      <c r="R127" s="250"/>
      <c r="S127" s="250"/>
      <c r="T127" s="250"/>
      <c r="U127" s="250"/>
      <c r="V127" s="250"/>
      <c r="W127" s="250"/>
      <c r="X127" s="250"/>
      <c r="Y127" s="250"/>
      <c r="Z127" s="250"/>
      <c r="AA127" s="250"/>
      <c r="AB127" s="250"/>
      <c r="AC127" s="250"/>
      <c r="AD127" s="250"/>
      <c r="AE127" s="250"/>
      <c r="AF127" s="250"/>
      <c r="AG127" s="250"/>
      <c r="AH127" s="250"/>
      <c r="AI127" s="251"/>
    </row>
    <row r="128" spans="1:35" ht="15" customHeight="1" x14ac:dyDescent="0.35">
      <c r="A128" s="249"/>
      <c r="B128" s="250"/>
      <c r="C128" s="250"/>
      <c r="D128" s="250"/>
      <c r="E128" s="250"/>
      <c r="F128" s="250"/>
      <c r="G128" s="250"/>
      <c r="H128" s="250"/>
      <c r="I128" s="250"/>
      <c r="J128" s="250"/>
      <c r="K128" s="250"/>
      <c r="L128" s="250"/>
      <c r="M128" s="250"/>
      <c r="N128" s="250"/>
      <c r="O128" s="250"/>
      <c r="P128" s="250"/>
      <c r="Q128" s="250"/>
      <c r="R128" s="250"/>
      <c r="S128" s="250"/>
      <c r="T128" s="250"/>
      <c r="U128" s="250"/>
      <c r="V128" s="250"/>
      <c r="W128" s="250"/>
      <c r="X128" s="250"/>
      <c r="Y128" s="250"/>
      <c r="Z128" s="250"/>
      <c r="AA128" s="250"/>
      <c r="AB128" s="250"/>
      <c r="AC128" s="250"/>
      <c r="AD128" s="250"/>
      <c r="AE128" s="250"/>
      <c r="AF128" s="250"/>
      <c r="AG128" s="250"/>
      <c r="AH128" s="250"/>
      <c r="AI128" s="251"/>
    </row>
    <row r="129" spans="1:35" ht="15" customHeight="1" x14ac:dyDescent="0.35">
      <c r="A129" s="249"/>
      <c r="B129" s="250"/>
      <c r="C129" s="250"/>
      <c r="D129" s="250"/>
      <c r="E129" s="250"/>
      <c r="F129" s="250"/>
      <c r="G129" s="250"/>
      <c r="H129" s="250"/>
      <c r="I129" s="250"/>
      <c r="J129" s="250"/>
      <c r="K129" s="250"/>
      <c r="L129" s="250"/>
      <c r="M129" s="250"/>
      <c r="N129" s="250"/>
      <c r="O129" s="250"/>
      <c r="P129" s="250"/>
      <c r="Q129" s="250"/>
      <c r="R129" s="250"/>
      <c r="S129" s="250"/>
      <c r="T129" s="250"/>
      <c r="U129" s="250"/>
      <c r="V129" s="250"/>
      <c r="W129" s="250"/>
      <c r="X129" s="250"/>
      <c r="Y129" s="250"/>
      <c r="Z129" s="250"/>
      <c r="AA129" s="250"/>
      <c r="AB129" s="250"/>
      <c r="AC129" s="250"/>
      <c r="AD129" s="250"/>
      <c r="AE129" s="250"/>
      <c r="AF129" s="250"/>
      <c r="AG129" s="250"/>
      <c r="AH129" s="250"/>
      <c r="AI129" s="251"/>
    </row>
    <row r="130" spans="1:35" ht="15" customHeight="1" x14ac:dyDescent="0.35">
      <c r="A130" s="249"/>
      <c r="B130" s="250"/>
      <c r="C130" s="250"/>
      <c r="D130" s="250"/>
      <c r="E130" s="250"/>
      <c r="F130" s="250"/>
      <c r="G130" s="250"/>
      <c r="H130" s="250"/>
      <c r="I130" s="250"/>
      <c r="J130" s="250"/>
      <c r="K130" s="250"/>
      <c r="L130" s="250"/>
      <c r="M130" s="250"/>
      <c r="N130" s="250"/>
      <c r="O130" s="250"/>
      <c r="P130" s="250"/>
      <c r="Q130" s="250"/>
      <c r="R130" s="250"/>
      <c r="S130" s="250"/>
      <c r="T130" s="250"/>
      <c r="U130" s="250"/>
      <c r="V130" s="250"/>
      <c r="W130" s="250"/>
      <c r="X130" s="250"/>
      <c r="Y130" s="250"/>
      <c r="Z130" s="250"/>
      <c r="AA130" s="250"/>
      <c r="AB130" s="250"/>
      <c r="AC130" s="250"/>
      <c r="AD130" s="250"/>
      <c r="AE130" s="250"/>
      <c r="AF130" s="250"/>
      <c r="AG130" s="250"/>
      <c r="AH130" s="250"/>
      <c r="AI130" s="251"/>
    </row>
    <row r="131" spans="1:35" ht="15" customHeight="1" x14ac:dyDescent="0.35">
      <c r="A131" s="249"/>
      <c r="B131" s="250"/>
      <c r="C131" s="250"/>
      <c r="D131" s="250"/>
      <c r="E131" s="250"/>
      <c r="F131" s="250"/>
      <c r="G131" s="250"/>
      <c r="H131" s="250"/>
      <c r="I131" s="250"/>
      <c r="J131" s="250"/>
      <c r="K131" s="250"/>
      <c r="L131" s="250"/>
      <c r="M131" s="250"/>
      <c r="N131" s="250"/>
      <c r="O131" s="250"/>
      <c r="P131" s="250"/>
      <c r="Q131" s="250"/>
      <c r="R131" s="250"/>
      <c r="S131" s="250"/>
      <c r="T131" s="250"/>
      <c r="U131" s="250"/>
      <c r="V131" s="250"/>
      <c r="W131" s="250"/>
      <c r="X131" s="250"/>
      <c r="Y131" s="250"/>
      <c r="Z131" s="250"/>
      <c r="AA131" s="250"/>
      <c r="AB131" s="250"/>
      <c r="AC131" s="250"/>
      <c r="AD131" s="250"/>
      <c r="AE131" s="250"/>
      <c r="AF131" s="250"/>
      <c r="AG131" s="250"/>
      <c r="AH131" s="250"/>
      <c r="AI131" s="251"/>
    </row>
    <row r="132" spans="1:35" ht="15" customHeight="1" x14ac:dyDescent="0.35">
      <c r="A132" s="249"/>
      <c r="B132" s="250"/>
      <c r="C132" s="250"/>
      <c r="D132" s="250"/>
      <c r="E132" s="250"/>
      <c r="F132" s="250"/>
      <c r="G132" s="250"/>
      <c r="H132" s="250"/>
      <c r="I132" s="250"/>
      <c r="J132" s="250"/>
      <c r="K132" s="250"/>
      <c r="L132" s="250"/>
      <c r="M132" s="250"/>
      <c r="N132" s="250"/>
      <c r="O132" s="250"/>
      <c r="P132" s="250"/>
      <c r="Q132" s="250"/>
      <c r="R132" s="250"/>
      <c r="S132" s="250"/>
      <c r="T132" s="250"/>
      <c r="U132" s="250"/>
      <c r="V132" s="250"/>
      <c r="W132" s="250"/>
      <c r="X132" s="250"/>
      <c r="Y132" s="250"/>
      <c r="Z132" s="250"/>
      <c r="AA132" s="250"/>
      <c r="AB132" s="250"/>
      <c r="AC132" s="250"/>
      <c r="AD132" s="250"/>
      <c r="AE132" s="250"/>
      <c r="AF132" s="250"/>
      <c r="AG132" s="250"/>
      <c r="AH132" s="250"/>
      <c r="AI132" s="251"/>
    </row>
    <row r="133" spans="1:35" ht="15" customHeight="1" x14ac:dyDescent="0.35">
      <c r="A133" s="252"/>
      <c r="B133" s="253"/>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c r="AA133" s="253"/>
      <c r="AB133" s="253"/>
      <c r="AC133" s="253"/>
      <c r="AD133" s="253"/>
      <c r="AE133" s="253"/>
      <c r="AF133" s="253"/>
      <c r="AG133" s="253"/>
      <c r="AH133" s="253"/>
      <c r="AI133" s="254"/>
    </row>
    <row r="134" spans="1:35" ht="5.25" customHeight="1" x14ac:dyDescent="0.35">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c r="AF134" s="118"/>
      <c r="AG134" s="118"/>
      <c r="AH134" s="118"/>
      <c r="AI134" s="111"/>
    </row>
    <row r="135" spans="1:35" x14ac:dyDescent="0.35">
      <c r="A135" s="209" t="s">
        <v>68</v>
      </c>
      <c r="B135" s="210"/>
      <c r="C135" s="210"/>
      <c r="D135" s="210"/>
      <c r="E135" s="210"/>
      <c r="F135" s="210"/>
      <c r="G135" s="210"/>
      <c r="H135" s="210"/>
      <c r="I135" s="210"/>
      <c r="J135" s="210"/>
      <c r="K135" s="211"/>
      <c r="L135" s="211"/>
      <c r="M135" s="215"/>
      <c r="N135" s="212" t="s">
        <v>68</v>
      </c>
      <c r="O135" s="210"/>
      <c r="P135" s="210"/>
      <c r="Q135" s="210"/>
      <c r="R135" s="210"/>
      <c r="S135" s="210"/>
      <c r="T135" s="210"/>
      <c r="U135" s="210"/>
      <c r="V135" s="211"/>
      <c r="W135" s="210"/>
      <c r="X135" s="211"/>
      <c r="Y135" s="210"/>
      <c r="Z135" s="210"/>
      <c r="AA135" s="215"/>
      <c r="AB135" s="212" t="s">
        <v>69</v>
      </c>
      <c r="AC135" s="213"/>
      <c r="AD135" s="213"/>
      <c r="AE135" s="210"/>
      <c r="AF135" s="210"/>
      <c r="AG135" s="210"/>
      <c r="AH135" s="210"/>
      <c r="AI135" s="214"/>
    </row>
    <row r="136" spans="1:35" x14ac:dyDescent="0.35">
      <c r="A136" s="137"/>
      <c r="B136" s="138"/>
      <c r="C136" s="138"/>
      <c r="D136" s="138"/>
      <c r="E136" s="138"/>
      <c r="F136" s="138"/>
      <c r="G136" s="138"/>
      <c r="H136" s="138"/>
      <c r="I136" s="138"/>
      <c r="J136" s="138"/>
      <c r="K136" s="111"/>
      <c r="L136" s="111"/>
      <c r="M136" s="138"/>
      <c r="N136" s="137"/>
      <c r="O136" s="138"/>
      <c r="P136" s="138"/>
      <c r="Q136" s="138"/>
      <c r="R136" s="138"/>
      <c r="S136" s="138"/>
      <c r="T136" s="138"/>
      <c r="U136" s="138"/>
      <c r="V136" s="111"/>
      <c r="W136" s="138"/>
      <c r="X136" s="111"/>
      <c r="Y136" s="138"/>
      <c r="Z136" s="138"/>
      <c r="AA136" s="151"/>
      <c r="AB136" s="138"/>
      <c r="AC136" s="139"/>
      <c r="AD136" s="139"/>
      <c r="AE136" s="138"/>
      <c r="AF136" s="138"/>
      <c r="AG136" s="138"/>
      <c r="AH136" s="138"/>
      <c r="AI136" s="130"/>
    </row>
    <row r="137" spans="1:35" x14ac:dyDescent="0.35">
      <c r="A137" s="137"/>
      <c r="B137" s="138"/>
      <c r="C137" s="138"/>
      <c r="D137" s="138"/>
      <c r="E137" s="138"/>
      <c r="F137" s="138"/>
      <c r="G137" s="138"/>
      <c r="H137" s="138"/>
      <c r="I137" s="138"/>
      <c r="J137" s="138"/>
      <c r="K137" s="111"/>
      <c r="L137" s="111"/>
      <c r="M137" s="138"/>
      <c r="N137" s="137"/>
      <c r="O137" s="138"/>
      <c r="P137" s="138"/>
      <c r="Q137" s="138"/>
      <c r="R137" s="138"/>
      <c r="S137" s="138"/>
      <c r="T137" s="138"/>
      <c r="U137" s="138"/>
      <c r="V137" s="111"/>
      <c r="W137" s="138"/>
      <c r="X137" s="111"/>
      <c r="Y137" s="138"/>
      <c r="Z137" s="138"/>
      <c r="AA137" s="151"/>
      <c r="AB137" s="138"/>
      <c r="AC137" s="139"/>
      <c r="AD137" s="139"/>
      <c r="AE137" s="138"/>
      <c r="AF137" s="138"/>
      <c r="AG137" s="138"/>
      <c r="AH137" s="138"/>
      <c r="AI137" s="130"/>
    </row>
    <row r="138" spans="1:35" ht="16.5" customHeight="1" x14ac:dyDescent="0.35">
      <c r="A138" s="271"/>
      <c r="B138" s="272"/>
      <c r="C138" s="272"/>
      <c r="D138" s="272"/>
      <c r="E138" s="272"/>
      <c r="F138" s="272"/>
      <c r="G138" s="272"/>
      <c r="H138" s="272"/>
      <c r="I138" s="272"/>
      <c r="J138" s="272"/>
      <c r="K138" s="272"/>
      <c r="L138" s="111"/>
      <c r="M138" s="140"/>
      <c r="N138" s="303"/>
      <c r="O138" s="304"/>
      <c r="P138" s="304"/>
      <c r="Q138" s="304"/>
      <c r="R138" s="304"/>
      <c r="S138" s="304"/>
      <c r="T138" s="304"/>
      <c r="U138" s="304"/>
      <c r="V138" s="304"/>
      <c r="W138" s="304"/>
      <c r="X138" s="304"/>
      <c r="Y138" s="304"/>
      <c r="Z138" s="140"/>
      <c r="AA138" s="152"/>
      <c r="AB138" s="304"/>
      <c r="AC138" s="304"/>
      <c r="AD138" s="304"/>
      <c r="AE138" s="304"/>
      <c r="AF138" s="304"/>
      <c r="AG138" s="304"/>
      <c r="AH138" s="304"/>
      <c r="AI138" s="130"/>
    </row>
    <row r="139" spans="1:35" x14ac:dyDescent="0.35">
      <c r="A139" s="141" t="str">
        <f>IFERROR(INDEX(referencias!$E$2:$G$21,MATCH(A138,Ingeniero,0),3),"NA")</f>
        <v>NA</v>
      </c>
      <c r="B139" s="142"/>
      <c r="C139" s="142"/>
      <c r="D139" s="142"/>
      <c r="E139" s="142"/>
      <c r="F139" s="142"/>
      <c r="G139" s="142"/>
      <c r="H139" s="142"/>
      <c r="I139" s="142"/>
      <c r="J139" s="142"/>
      <c r="K139" s="111"/>
      <c r="L139" s="111"/>
      <c r="M139" s="142"/>
      <c r="N139" s="141" t="str">
        <f>IFERROR(INDEX(referencias!$E$2:$G$21,MATCH(N138,Ingeniero,0),3),"NA")</f>
        <v>NA</v>
      </c>
      <c r="O139" s="142"/>
      <c r="P139" s="142"/>
      <c r="Q139" s="142"/>
      <c r="R139" s="142"/>
      <c r="S139" s="142"/>
      <c r="T139" s="142"/>
      <c r="U139" s="142"/>
      <c r="V139" s="111"/>
      <c r="W139" s="138"/>
      <c r="X139" s="111"/>
      <c r="Y139" s="142"/>
      <c r="Z139" s="142"/>
      <c r="AA139" s="153"/>
      <c r="AB139" s="147" t="str">
        <f>IFERROR(INDEX(referencias!$E$2:$G$21,MATCH(AB138,Ingeniero,0),3),"NA")</f>
        <v>NA</v>
      </c>
      <c r="AC139" s="139"/>
      <c r="AD139" s="143"/>
      <c r="AE139" s="142"/>
      <c r="AF139" s="142"/>
      <c r="AG139" s="142"/>
      <c r="AH139" s="142"/>
      <c r="AI139" s="130"/>
    </row>
    <row r="140" spans="1:35" x14ac:dyDescent="0.35">
      <c r="A140" s="144" t="str">
        <f>IFERROR(_xlfn.CONCAT("No. Tarjeta Profesional: "&amp;INDEX(referencias!$E$2:$G$21,MATCH(A138,Ingeniero,0),2)),"NA")</f>
        <v>NA</v>
      </c>
      <c r="B140" s="145"/>
      <c r="C140" s="145"/>
      <c r="D140" s="145"/>
      <c r="E140" s="145"/>
      <c r="F140" s="145"/>
      <c r="G140" s="145"/>
      <c r="H140" s="145"/>
      <c r="I140" s="145"/>
      <c r="J140" s="145"/>
      <c r="K140" s="111"/>
      <c r="L140" s="111"/>
      <c r="M140" s="146"/>
      <c r="N140" s="154" t="str">
        <f>IFERROR(_xlfn.CONCAT("No. Tarjeta Profesional: "&amp;INDEX(referencias!$E$2:$G$21,MATCH(N138,Ingeniero,0),2)),"NA")</f>
        <v>NA</v>
      </c>
      <c r="O140" s="146"/>
      <c r="P140" s="146"/>
      <c r="Q140" s="146"/>
      <c r="R140" s="146"/>
      <c r="S140" s="146"/>
      <c r="T140" s="146"/>
      <c r="U140" s="146"/>
      <c r="V140" s="146"/>
      <c r="W140" s="138"/>
      <c r="X140" s="111"/>
      <c r="Y140" s="145"/>
      <c r="Z140" s="145"/>
      <c r="AA140" s="155"/>
      <c r="AB140" s="145" t="str">
        <f>IFERROR(_xlfn.CONCAT("No. Tarjeta Profesional: "&amp;INDEX(referencias!$E$2:$G$21,MATCH(AB138,Ingeniero,0),2)),"NA")</f>
        <v>NA</v>
      </c>
      <c r="AC140" s="145"/>
      <c r="AD140" s="145"/>
      <c r="AE140" s="145"/>
      <c r="AF140" s="145"/>
      <c r="AG140" s="145"/>
      <c r="AH140" s="145"/>
      <c r="AI140" s="130"/>
    </row>
    <row r="141" spans="1:35" x14ac:dyDescent="0.35">
      <c r="A141" s="141" t="s">
        <v>70</v>
      </c>
      <c r="B141" s="147"/>
      <c r="C141" s="147"/>
      <c r="D141" s="147"/>
      <c r="E141" s="147"/>
      <c r="F141" s="147"/>
      <c r="G141" s="147"/>
      <c r="H141" s="147"/>
      <c r="I141" s="147"/>
      <c r="J141" s="147"/>
      <c r="K141" s="111"/>
      <c r="L141" s="111"/>
      <c r="M141" s="147"/>
      <c r="N141" s="141" t="s">
        <v>70</v>
      </c>
      <c r="O141" s="147"/>
      <c r="P141" s="147"/>
      <c r="Q141" s="147"/>
      <c r="R141" s="147"/>
      <c r="S141" s="147"/>
      <c r="T141" s="147"/>
      <c r="U141" s="147"/>
      <c r="V141" s="111"/>
      <c r="W141" s="138"/>
      <c r="X141" s="111"/>
      <c r="Y141" s="147"/>
      <c r="Z141" s="147"/>
      <c r="AA141" s="156"/>
      <c r="AB141" s="147" t="s">
        <v>70</v>
      </c>
      <c r="AC141" s="143"/>
      <c r="AD141" s="143"/>
      <c r="AE141" s="147"/>
      <c r="AF141" s="147"/>
      <c r="AG141" s="147"/>
      <c r="AH141" s="147"/>
      <c r="AI141" s="130"/>
    </row>
    <row r="142" spans="1:35" x14ac:dyDescent="0.35">
      <c r="A142" s="148" t="s">
        <v>71</v>
      </c>
      <c r="B142" s="149"/>
      <c r="C142" s="149"/>
      <c r="D142" s="149"/>
      <c r="E142" s="149"/>
      <c r="F142" s="149"/>
      <c r="G142" s="149"/>
      <c r="H142" s="149"/>
      <c r="I142" s="149"/>
      <c r="J142" s="149"/>
      <c r="K142" s="132"/>
      <c r="L142" s="132"/>
      <c r="M142" s="149"/>
      <c r="N142" s="148" t="s">
        <v>71</v>
      </c>
      <c r="O142" s="149"/>
      <c r="P142" s="149"/>
      <c r="Q142" s="149"/>
      <c r="R142" s="149"/>
      <c r="S142" s="149"/>
      <c r="T142" s="149"/>
      <c r="U142" s="149"/>
      <c r="V142" s="132"/>
      <c r="W142" s="150"/>
      <c r="X142" s="132"/>
      <c r="Y142" s="149"/>
      <c r="Z142" s="149"/>
      <c r="AA142" s="157"/>
      <c r="AB142" s="149" t="s">
        <v>71</v>
      </c>
      <c r="AC142" s="150"/>
      <c r="AD142" s="150"/>
      <c r="AE142" s="149"/>
      <c r="AF142" s="149"/>
      <c r="AG142" s="149"/>
      <c r="AH142" s="149"/>
      <c r="AI142" s="136"/>
    </row>
    <row r="143" spans="1:35" x14ac:dyDescent="0.35">
      <c r="A143" s="158" t="s">
        <v>72</v>
      </c>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c r="AG143" s="127"/>
      <c r="AH143" s="127"/>
      <c r="AI143" s="128"/>
    </row>
    <row r="144" spans="1:35" x14ac:dyDescent="0.35">
      <c r="A144" s="129"/>
      <c r="B144" s="111"/>
      <c r="C144" s="111"/>
      <c r="D144" s="111"/>
      <c r="E144" s="111"/>
      <c r="F144" s="111"/>
      <c r="G144" s="111"/>
      <c r="H144" s="111"/>
      <c r="I144" s="111"/>
      <c r="J144" s="111"/>
      <c r="K144" s="159" t="s">
        <v>73</v>
      </c>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30"/>
    </row>
    <row r="145" spans="1:35" x14ac:dyDescent="0.35">
      <c r="A145" s="160"/>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30"/>
    </row>
    <row r="146" spans="1:35" x14ac:dyDescent="0.35">
      <c r="A146" s="161" t="s">
        <v>74</v>
      </c>
      <c r="B146" s="114"/>
      <c r="C146" s="114"/>
      <c r="D146" s="114"/>
      <c r="E146" s="114"/>
      <c r="F146" s="114" t="s">
        <v>66</v>
      </c>
      <c r="G146" s="114"/>
      <c r="H146" s="114"/>
      <c r="I146" s="114"/>
      <c r="J146" s="111"/>
      <c r="K146" s="159" t="s">
        <v>75</v>
      </c>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30"/>
    </row>
    <row r="147" spans="1:35" x14ac:dyDescent="0.35">
      <c r="A147" s="162" t="s">
        <v>76</v>
      </c>
      <c r="B147" s="119"/>
      <c r="C147" s="119"/>
      <c r="D147" s="119"/>
      <c r="E147" s="119"/>
      <c r="F147" s="119" t="s">
        <v>66</v>
      </c>
      <c r="G147" s="119"/>
      <c r="H147" s="119"/>
      <c r="I147" s="119"/>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30"/>
    </row>
    <row r="148" spans="1:35" x14ac:dyDescent="0.35">
      <c r="A148" s="163" t="s">
        <v>77</v>
      </c>
      <c r="B148" s="164"/>
      <c r="C148" s="164"/>
      <c r="D148" s="164"/>
      <c r="E148" s="164"/>
      <c r="F148" s="164" t="s">
        <v>66</v>
      </c>
      <c r="G148" s="164"/>
      <c r="H148" s="164"/>
      <c r="I148" s="164"/>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6"/>
    </row>
    <row r="149" spans="1:35" x14ac:dyDescent="0.35">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row>
    <row r="150" spans="1:35" x14ac:dyDescent="0.35">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row>
    <row r="151" spans="1:35" x14ac:dyDescent="0.35">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row>
    <row r="152" spans="1:35"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sheetData>
  <sheetProtection algorithmName="SHA-512" hashValue="Rds9euikCGb1i7GlFJEH+bZo7fF5ZYsLGbELPCYymt92l5n8UfypHQ1ILOUUpQd85ciXSynL2pT3PB6YVSF0cA==" saltValue="MfZzV8tGmg9bj201wikl/Q==" spinCount="100000" sheet="1" scenarios="1"/>
  <mergeCells count="159">
    <mergeCell ref="A100:AI100"/>
    <mergeCell ref="A101:AI103"/>
    <mergeCell ref="AB37:AD37"/>
    <mergeCell ref="AE37:AI37"/>
    <mergeCell ref="A38:H38"/>
    <mergeCell ref="I38:P38"/>
    <mergeCell ref="Q38:U38"/>
    <mergeCell ref="V38:AA38"/>
    <mergeCell ref="AB38:AD38"/>
    <mergeCell ref="AE38:AI38"/>
    <mergeCell ref="A96:AI96"/>
    <mergeCell ref="Q26:W26"/>
    <mergeCell ref="A37:H37"/>
    <mergeCell ref="I37:P37"/>
    <mergeCell ref="Q37:U37"/>
    <mergeCell ref="V37:AA37"/>
    <mergeCell ref="AB36:AD36"/>
    <mergeCell ref="A97:AI99"/>
    <mergeCell ref="AE36:AI36"/>
    <mergeCell ref="I32:P32"/>
    <mergeCell ref="Q24:W24"/>
    <mergeCell ref="I34:P34"/>
    <mergeCell ref="A35:H35"/>
    <mergeCell ref="AE31:AI31"/>
    <mergeCell ref="AE32:AI32"/>
    <mergeCell ref="AE33:AI33"/>
    <mergeCell ref="AE34:AI34"/>
    <mergeCell ref="AB32:AD32"/>
    <mergeCell ref="AB33:AD33"/>
    <mergeCell ref="I31:P31"/>
    <mergeCell ref="A30:H30"/>
    <mergeCell ref="V30:AA30"/>
    <mergeCell ref="Q30:U30"/>
    <mergeCell ref="I30:P30"/>
    <mergeCell ref="AB30:AD30"/>
    <mergeCell ref="AB31:AD31"/>
    <mergeCell ref="AE30:AI30"/>
    <mergeCell ref="A25:H25"/>
    <mergeCell ref="A26:H26"/>
    <mergeCell ref="Z25:AI25"/>
    <mergeCell ref="Z26:AI26"/>
    <mergeCell ref="I25:O25"/>
    <mergeCell ref="I26:O26"/>
    <mergeCell ref="Q25:W25"/>
    <mergeCell ref="A2:AI2"/>
    <mergeCell ref="A4:AI4"/>
    <mergeCell ref="V9:AA9"/>
    <mergeCell ref="AB9:AG9"/>
    <mergeCell ref="I21:O21"/>
    <mergeCell ref="I22:O22"/>
    <mergeCell ref="I24:O24"/>
    <mergeCell ref="Q20:W20"/>
    <mergeCell ref="A18:AI18"/>
    <mergeCell ref="Y19:AI19"/>
    <mergeCell ref="I19:P19"/>
    <mergeCell ref="Q19:X19"/>
    <mergeCell ref="AB16:AI16"/>
    <mergeCell ref="A23:H23"/>
    <mergeCell ref="I23:O23"/>
    <mergeCell ref="W15:AA15"/>
    <mergeCell ref="W16:AA16"/>
    <mergeCell ref="Q14:V14"/>
    <mergeCell ref="Q15:V15"/>
    <mergeCell ref="Q16:V16"/>
    <mergeCell ref="H11:L11"/>
    <mergeCell ref="A10:G10"/>
    <mergeCell ref="A11:G11"/>
    <mergeCell ref="A13:AI13"/>
    <mergeCell ref="A138:K138"/>
    <mergeCell ref="A75:AI75"/>
    <mergeCell ref="A76:AI78"/>
    <mergeCell ref="A79:AI79"/>
    <mergeCell ref="A80:AI82"/>
    <mergeCell ref="A71:AI71"/>
    <mergeCell ref="A70:AI70"/>
    <mergeCell ref="A72:AI74"/>
    <mergeCell ref="A34:H34"/>
    <mergeCell ref="AB34:AD34"/>
    <mergeCell ref="V34:AA34"/>
    <mergeCell ref="Q34:U34"/>
    <mergeCell ref="I35:P35"/>
    <mergeCell ref="N138:Y138"/>
    <mergeCell ref="AB138:AH138"/>
    <mergeCell ref="A104:AI104"/>
    <mergeCell ref="A92:AI94"/>
    <mergeCell ref="A91:AI91"/>
    <mergeCell ref="A84:AI86"/>
    <mergeCell ref="AE35:AI35"/>
    <mergeCell ref="A36:H36"/>
    <mergeCell ref="I36:P36"/>
    <mergeCell ref="Q36:U36"/>
    <mergeCell ref="V36:AA36"/>
    <mergeCell ref="C7:L7"/>
    <mergeCell ref="C8:L8"/>
    <mergeCell ref="Z10:AI10"/>
    <mergeCell ref="H10:L10"/>
    <mergeCell ref="AH8:AI8"/>
    <mergeCell ref="A14:H14"/>
    <mergeCell ref="Q21:W21"/>
    <mergeCell ref="Q22:W22"/>
    <mergeCell ref="Q23:W23"/>
    <mergeCell ref="I16:P16"/>
    <mergeCell ref="AB14:AI14"/>
    <mergeCell ref="AB15:AI15"/>
    <mergeCell ref="I14:P14"/>
    <mergeCell ref="I15:P15"/>
    <mergeCell ref="Z11:AI11"/>
    <mergeCell ref="M10:R10"/>
    <mergeCell ref="S10:Y10"/>
    <mergeCell ref="M11:R11"/>
    <mergeCell ref="S11:Y11"/>
    <mergeCell ref="A6:AI6"/>
    <mergeCell ref="A105:AI133"/>
    <mergeCell ref="A33:H33"/>
    <mergeCell ref="V33:AA33"/>
    <mergeCell ref="Q33:U33"/>
    <mergeCell ref="I33:P33"/>
    <mergeCell ref="A32:H32"/>
    <mergeCell ref="V32:AA32"/>
    <mergeCell ref="Q32:U32"/>
    <mergeCell ref="A31:H31"/>
    <mergeCell ref="V31:AA31"/>
    <mergeCell ref="Q31:U31"/>
    <mergeCell ref="AB7:AG7"/>
    <mergeCell ref="AB8:AG8"/>
    <mergeCell ref="V7:AA7"/>
    <mergeCell ref="V8:AA8"/>
    <mergeCell ref="W14:AA14"/>
    <mergeCell ref="A83:AI83"/>
    <mergeCell ref="A40:AI40"/>
    <mergeCell ref="Q35:U35"/>
    <mergeCell ref="V35:AA35"/>
    <mergeCell ref="AB35:AD35"/>
    <mergeCell ref="M7:U7"/>
    <mergeCell ref="M8:U8"/>
    <mergeCell ref="AH1:AI1"/>
    <mergeCell ref="A27:H27"/>
    <mergeCell ref="I27:O27"/>
    <mergeCell ref="Q27:W27"/>
    <mergeCell ref="Z27:AI27"/>
    <mergeCell ref="A88:AI90"/>
    <mergeCell ref="A87:AI87"/>
    <mergeCell ref="A8:B8"/>
    <mergeCell ref="A7:B7"/>
    <mergeCell ref="AH7:AI7"/>
    <mergeCell ref="Z20:AI20"/>
    <mergeCell ref="A29:AI29"/>
    <mergeCell ref="A24:H24"/>
    <mergeCell ref="A21:H21"/>
    <mergeCell ref="A22:H22"/>
    <mergeCell ref="A19:H19"/>
    <mergeCell ref="A20:H20"/>
    <mergeCell ref="I20:O20"/>
    <mergeCell ref="A15:H15"/>
    <mergeCell ref="A16:H16"/>
    <mergeCell ref="Z21:AI21"/>
    <mergeCell ref="Z22:AI22"/>
    <mergeCell ref="Z23:AI23"/>
    <mergeCell ref="Z24:AI24"/>
  </mergeCells>
  <conditionalFormatting sqref="A8:B8">
    <cfRule type="cellIs" dxfId="11" priority="1" operator="equal">
      <formula>""</formula>
    </cfRule>
  </conditionalFormatting>
  <conditionalFormatting sqref="I31:P38">
    <cfRule type="expression" dxfId="10" priority="4">
      <formula>AND(OR($V$9="ERROR",$AB$9="ERROR",$I31="NA"),$A31&lt;&gt;"NO APLICA")</formula>
    </cfRule>
  </conditionalFormatting>
  <conditionalFormatting sqref="V31:AA38">
    <cfRule type="expression" dxfId="9" priority="3">
      <formula>AND(OR($V$9="ERROR",$AB$9="ERROR",$V31="NA"),$A31&lt;&gt;"NO APLICA")</formula>
    </cfRule>
  </conditionalFormatting>
  <conditionalFormatting sqref="V8:AG8">
    <cfRule type="containsText" dxfId="8" priority="6" operator="containsText" text=".">
      <formula>NOT(ISERROR(SEARCH(".",V8)))</formula>
    </cfRule>
  </conditionalFormatting>
  <conditionalFormatting sqref="V9:AG9">
    <cfRule type="cellIs" dxfId="7" priority="5" operator="equal">
      <formula>"ERROR"</formula>
    </cfRule>
  </conditionalFormatting>
  <conditionalFormatting sqref="AH8 Z11:AI11 AE31">
    <cfRule type="cellIs" dxfId="6" priority="2" operator="equal">
      <formula>""</formula>
    </cfRule>
  </conditionalFormatting>
  <dataValidations count="2">
    <dataValidation type="list" allowBlank="1" showInputMessage="1" showErrorMessage="1" sqref="AB138 N138 A138:K138" xr:uid="{114F8DB4-582F-4A06-B9D6-4392B08C6C09}">
      <formula1>Ingeniero</formula1>
    </dataValidation>
    <dataValidation type="list" allowBlank="1" showInputMessage="1" showErrorMessage="1" sqref="A20:A27 B20:H24 B27:H27" xr:uid="{22EDABDA-513A-471D-96C0-4948C1315889}">
      <formula1>TX_TDT</formula1>
    </dataValidation>
  </dataValidations>
  <pageMargins left="0.7" right="0.7" top="0.82333333333333336" bottom="0.6283333333333333" header="0.3" footer="0.19500000000000001"/>
  <pageSetup scale="52" orientation="portrait" r:id="rId1"/>
  <headerFooter>
    <oddHeader>&amp;L&amp;G&amp;C&amp;"Verdana,Negrita"&amp;12&amp;K404040
MONITOREO IN SITU - BANDAS DEL SERVICIO DE RADIODIFUSIÓN
DEL SERVICIO DE TELEVISIÓN DIGITAL TERRESTRE - TDT
REGISTRO NO. 0 0 X  - X X X X X X&amp;R
&amp;"Verdana,Normal"&amp;10&amp;K01+019Versión 6
TRD 120.121.31.4</oddHeader>
    <oddFooter xml:space="preserve">&amp;L&amp;G&amp;C&amp;"Verdana,Normal"&amp;9&amp;K404040
Página &amp;P de &amp;N
&amp;R&amp;"Verdana,Normal"&amp;10&amp;K404040
</oddFooter>
  </headerFooter>
  <rowBreaks count="2" manualBreakCount="2">
    <brk id="74" max="34" man="1"/>
    <brk id="94" max="34"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7" r:id="rId5" name="Group Box 9">
              <controlPr defaultSize="0" autoFill="0" autoPict="0">
                <anchor moveWithCells="1">
                  <from>
                    <xdr:col>10</xdr:col>
                    <xdr:colOff>38100</xdr:colOff>
                    <xdr:row>143</xdr:row>
                    <xdr:rowOff>177800</xdr:rowOff>
                  </from>
                  <to>
                    <xdr:col>34</xdr:col>
                    <xdr:colOff>196850</xdr:colOff>
                    <xdr:row>145</xdr:row>
                    <xdr:rowOff>76200</xdr:rowOff>
                  </to>
                </anchor>
              </controlPr>
            </control>
          </mc:Choice>
        </mc:AlternateContent>
        <mc:AlternateContent xmlns:mc="http://schemas.openxmlformats.org/markup-compatibility/2006">
          <mc:Choice Requires="x14">
            <control shapeId="2058" r:id="rId6" name="Option Button 10">
              <controlPr defaultSize="0" autoFill="0" autoLine="0" autoPict="0">
                <anchor moveWithCells="1">
                  <from>
                    <xdr:col>11</xdr:col>
                    <xdr:colOff>82550</xdr:colOff>
                    <xdr:row>144</xdr:row>
                    <xdr:rowOff>63500</xdr:rowOff>
                  </from>
                  <to>
                    <xdr:col>15</xdr:col>
                    <xdr:colOff>120650</xdr:colOff>
                    <xdr:row>145</xdr:row>
                    <xdr:rowOff>76200</xdr:rowOff>
                  </to>
                </anchor>
              </controlPr>
            </control>
          </mc:Choice>
        </mc:AlternateContent>
        <mc:AlternateContent xmlns:mc="http://schemas.openxmlformats.org/markup-compatibility/2006">
          <mc:Choice Requires="x14">
            <control shapeId="2059" r:id="rId7" name="Option Button 11">
              <controlPr defaultSize="0" autoFill="0" autoLine="0" autoPict="0">
                <anchor moveWithCells="1">
                  <from>
                    <xdr:col>19</xdr:col>
                    <xdr:colOff>228600</xdr:colOff>
                    <xdr:row>144</xdr:row>
                    <xdr:rowOff>63500</xdr:rowOff>
                  </from>
                  <to>
                    <xdr:col>24</xdr:col>
                    <xdr:colOff>0</xdr:colOff>
                    <xdr:row>145</xdr:row>
                    <xdr:rowOff>76200</xdr:rowOff>
                  </to>
                </anchor>
              </controlPr>
            </control>
          </mc:Choice>
        </mc:AlternateContent>
        <mc:AlternateContent xmlns:mc="http://schemas.openxmlformats.org/markup-compatibility/2006">
          <mc:Choice Requires="x14">
            <control shapeId="2060" r:id="rId8" name="Option Button 12">
              <controlPr defaultSize="0" autoFill="0" autoLine="0" autoPict="0">
                <anchor moveWithCells="1">
                  <from>
                    <xdr:col>27</xdr:col>
                    <xdr:colOff>31750</xdr:colOff>
                    <xdr:row>144</xdr:row>
                    <xdr:rowOff>63500</xdr:rowOff>
                  </from>
                  <to>
                    <xdr:col>31</xdr:col>
                    <xdr:colOff>76200</xdr:colOff>
                    <xdr:row>145</xdr:row>
                    <xdr:rowOff>76200</xdr:rowOff>
                  </to>
                </anchor>
              </controlPr>
            </control>
          </mc:Choice>
        </mc:AlternateContent>
        <mc:AlternateContent xmlns:mc="http://schemas.openxmlformats.org/markup-compatibility/2006">
          <mc:Choice Requires="x14">
            <control shapeId="2061" r:id="rId9" name="Option Button 13">
              <controlPr defaultSize="0" autoFill="0" autoLine="0" autoPict="0">
                <anchor moveWithCells="1">
                  <from>
                    <xdr:col>11</xdr:col>
                    <xdr:colOff>101600</xdr:colOff>
                    <xdr:row>146</xdr:row>
                    <xdr:rowOff>114300</xdr:rowOff>
                  </from>
                  <to>
                    <xdr:col>15</xdr:col>
                    <xdr:colOff>101600</xdr:colOff>
                    <xdr:row>147</xdr:row>
                    <xdr:rowOff>139700</xdr:rowOff>
                  </to>
                </anchor>
              </controlPr>
            </control>
          </mc:Choice>
        </mc:AlternateContent>
        <mc:AlternateContent xmlns:mc="http://schemas.openxmlformats.org/markup-compatibility/2006">
          <mc:Choice Requires="x14">
            <control shapeId="2062" r:id="rId10" name="Option Button 14">
              <controlPr defaultSize="0" autoFill="0" autoLine="0" autoPict="0">
                <anchor moveWithCells="1">
                  <from>
                    <xdr:col>19</xdr:col>
                    <xdr:colOff>234950</xdr:colOff>
                    <xdr:row>146</xdr:row>
                    <xdr:rowOff>114300</xdr:rowOff>
                  </from>
                  <to>
                    <xdr:col>24</xdr:col>
                    <xdr:colOff>0</xdr:colOff>
                    <xdr:row>147</xdr:row>
                    <xdr:rowOff>139700</xdr:rowOff>
                  </to>
                </anchor>
              </controlPr>
            </control>
          </mc:Choice>
        </mc:AlternateContent>
        <mc:AlternateContent xmlns:mc="http://schemas.openxmlformats.org/markup-compatibility/2006">
          <mc:Choice Requires="x14">
            <control shapeId="2063" r:id="rId11" name="Option Button 15">
              <controlPr defaultSize="0" autoFill="0" autoLine="0" autoPict="0">
                <anchor moveWithCells="1">
                  <from>
                    <xdr:col>27</xdr:col>
                    <xdr:colOff>38100</xdr:colOff>
                    <xdr:row>146</xdr:row>
                    <xdr:rowOff>114300</xdr:rowOff>
                  </from>
                  <to>
                    <xdr:col>31</xdr:col>
                    <xdr:colOff>76200</xdr:colOff>
                    <xdr:row>147</xdr:row>
                    <xdr:rowOff>139700</xdr:rowOff>
                  </to>
                </anchor>
              </controlPr>
            </control>
          </mc:Choice>
        </mc:AlternateContent>
        <mc:AlternateContent xmlns:mc="http://schemas.openxmlformats.org/markup-compatibility/2006">
          <mc:Choice Requires="x14">
            <control shapeId="2064" r:id="rId12" name="Group Box 16">
              <controlPr defaultSize="0" autoFill="0" autoPict="0">
                <anchor moveWithCells="1">
                  <from>
                    <xdr:col>10</xdr:col>
                    <xdr:colOff>69850</xdr:colOff>
                    <xdr:row>146</xdr:row>
                    <xdr:rowOff>38100</xdr:rowOff>
                  </from>
                  <to>
                    <xdr:col>34</xdr:col>
                    <xdr:colOff>177800</xdr:colOff>
                    <xdr:row>148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allowBlank="1" showInputMessage="1" showErrorMessage="1" xr:uid="{2A1DC6EE-B743-4810-893C-C8C0C45A3C2B}">
          <x14:formula1>
            <xm:f>referencias!$I$1:$I$1119</xm:f>
          </x14:formula1>
          <xm:sqref>C8:L8</xm:sqref>
        </x14:dataValidation>
        <x14:dataValidation type="list" allowBlank="1" showInputMessage="1" showErrorMessage="1" xr:uid="{B8951311-5C0B-45D1-8443-6AC5DBCB822F}">
          <x14:formula1>
            <xm:f>referencias!$M$1:$M$33</xm:f>
          </x14:formula1>
          <xm:sqref>M8:U8</xm:sqref>
        </x14:dataValidation>
        <x14:dataValidation type="list" allowBlank="1" showInputMessage="1" showErrorMessage="1" xr:uid="{9C5DFF53-E81C-44D3-894F-DE4DFDF74E54}">
          <x14:formula1>
            <xm:f>referencias!$A$2:$A$4</xm:f>
          </x14:formula1>
          <xm:sqref>A11:G11</xm:sqref>
        </x14:dataValidation>
        <x14:dataValidation type="list" allowBlank="1" showInputMessage="1" showErrorMessage="1" xr:uid="{C22CE776-BFA0-4688-82A6-62FBE8D53351}">
          <x14:formula1>
            <xm:f>referencias!$A$7:$A$8</xm:f>
          </x14:formula1>
          <xm:sqref>H11:L11</xm:sqref>
        </x14:dataValidation>
        <x14:dataValidation type="list" allowBlank="1" showInputMessage="1" showErrorMessage="1" xr:uid="{ABE56386-E583-405C-81A6-3599EE78CEFF}">
          <x14:formula1>
            <xm:f>referencias!$A$11:$A$13</xm:f>
          </x14:formula1>
          <xm:sqref>M11:R11</xm:sqref>
        </x14:dataValidation>
        <x14:dataValidation type="list" allowBlank="1" showInputMessage="1" showErrorMessage="1" xr:uid="{8FE50D2A-878A-405D-9727-F96B2FA16378}">
          <x14:formula1>
            <xm:f>referencias!$A$17:$A$21</xm:f>
          </x14:formula1>
          <xm:sqref>S11:Y11</xm:sqref>
        </x14:dataValidation>
        <x14:dataValidation type="list" allowBlank="1" showInputMessage="1" showErrorMessage="1" xr:uid="{3D8913EC-D3D1-4397-AB46-828EA59088FF}">
          <x14:formula1>
            <xm:f>referencias!$A$31:$A$32</xm:f>
          </x14:formula1>
          <xm:sqref>I15:P16</xm:sqref>
        </x14:dataValidation>
        <x14:dataValidation type="list" allowBlank="1" showInputMessage="1" showErrorMessage="1" xr:uid="{D332CA3A-4B34-481B-AA2A-09417EE19A27}">
          <x14:formula1>
            <xm:f>referencias!$A$35:$A$38</xm:f>
          </x14:formula1>
          <xm:sqref>Q15:V16</xm:sqref>
        </x14:dataValidation>
        <x14:dataValidation type="list" allowBlank="1" showInputMessage="1" showErrorMessage="1" xr:uid="{37946B5D-7873-4677-B138-4C6B5F0A900B}">
          <x14:formula1>
            <xm:f>referencias!$A$41:$A$48</xm:f>
          </x14:formula1>
          <xm:sqref>W15:AA15</xm:sqref>
        </x14:dataValidation>
        <x14:dataValidation type="list" allowBlank="1" showInputMessage="1" showErrorMessage="1" xr:uid="{C2F1232B-B0E4-40F2-94CC-8894D7A2C445}">
          <x14:formula1>
            <xm:f>referencias!$A$25:$A$27</xm:f>
          </x14:formula1>
          <xm:sqref>A15:H16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9767-3236-4F7E-98EA-627873DD5BE4}">
  <dimension ref="A1:AH104"/>
  <sheetViews>
    <sheetView zoomScaleNormal="100" zoomScalePageLayoutView="80" workbookViewId="0"/>
  </sheetViews>
  <sheetFormatPr baseColWidth="10" defaultColWidth="11.453125" defaultRowHeight="14.5" x14ac:dyDescent="0.35"/>
  <cols>
    <col min="1" max="2" width="4" customWidth="1"/>
    <col min="3" max="3" width="5" customWidth="1"/>
    <col min="4" max="4" width="4.08984375" customWidth="1"/>
    <col min="5" max="6" width="4.90625" customWidth="1"/>
    <col min="7" max="9" width="4" customWidth="1"/>
    <col min="10" max="10" width="4.90625" customWidth="1"/>
    <col min="11" max="11" width="4" customWidth="1"/>
    <col min="12" max="12" width="3.90625" customWidth="1"/>
    <col min="13" max="13" width="4.90625" customWidth="1"/>
    <col min="14" max="14" width="4.6328125" customWidth="1"/>
    <col min="15" max="15" width="4" customWidth="1"/>
    <col min="16" max="16" width="5" customWidth="1"/>
    <col min="17" max="17" width="5.453125" customWidth="1"/>
    <col min="18" max="20" width="4" customWidth="1"/>
    <col min="21" max="21" width="3.54296875" customWidth="1"/>
    <col min="22" max="22" width="4" customWidth="1"/>
    <col min="23" max="23" width="3.36328125" customWidth="1"/>
    <col min="24" max="24" width="4" customWidth="1"/>
    <col min="25" max="25" width="7.36328125" customWidth="1"/>
    <col min="26" max="26" width="3.54296875" customWidth="1"/>
    <col min="27" max="28" width="4" customWidth="1"/>
    <col min="29" max="29" width="5" customWidth="1"/>
    <col min="30" max="30" width="6.90625" customWidth="1"/>
    <col min="31" max="31" width="5.6328125" customWidth="1"/>
    <col min="32" max="32" width="4.36328125" customWidth="1"/>
    <col min="33" max="33" width="4.90625" customWidth="1"/>
    <col min="34" max="34" width="16.6328125" customWidth="1"/>
  </cols>
  <sheetData>
    <row r="1" spans="1:34" ht="7.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62"/>
    </row>
    <row r="2" spans="1:34" x14ac:dyDescent="0.35">
      <c r="A2" s="306" t="s">
        <v>22</v>
      </c>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row>
    <row r="3" spans="1:34" ht="7.5" customHeight="1" x14ac:dyDescent="0.3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x14ac:dyDescent="0.35">
      <c r="A4" s="307" t="str" cm="1">
        <f t="array" ref="A4">IFERROR(_xlfn.CONCAT(UPPER('Información Gral'!C8:L8)," - ",UPPER('Información Gral'!M8:U8)," - ","PUNTO ",'Información Gral'!A8:B8," - CANAL ",INDEX(referencias!C1:C35,MATCH(Q8,referencias!D1:D35,0),1)),"FALTA FRECUENCIA DE CANAL")</f>
        <v>FALTA FRECUENCIA DE CANAL</v>
      </c>
      <c r="B4" s="307"/>
      <c r="C4" s="307"/>
      <c r="D4" s="307"/>
      <c r="E4" s="307"/>
      <c r="F4" s="307"/>
      <c r="G4" s="307"/>
      <c r="H4" s="307"/>
      <c r="I4" s="307"/>
      <c r="J4" s="307"/>
      <c r="K4" s="307"/>
      <c r="L4" s="307"/>
      <c r="M4" s="307"/>
      <c r="N4" s="307"/>
      <c r="O4" s="307"/>
      <c r="P4" s="307"/>
      <c r="Q4" s="307"/>
      <c r="R4" s="307"/>
      <c r="S4" s="307"/>
      <c r="T4" s="307"/>
      <c r="U4" s="307"/>
      <c r="V4" s="307"/>
      <c r="W4" s="307"/>
      <c r="X4" s="307"/>
      <c r="Y4" s="307"/>
      <c r="Z4" s="307"/>
      <c r="AA4" s="307"/>
      <c r="AB4" s="307"/>
      <c r="AC4" s="307"/>
      <c r="AD4" s="307"/>
      <c r="AE4" s="307"/>
      <c r="AF4" s="307"/>
      <c r="AG4" s="307"/>
      <c r="AH4" s="307"/>
    </row>
    <row r="5" spans="1:34" ht="6" customHeight="1" x14ac:dyDescent="0.3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35">
      <c r="A6" s="240" t="s">
        <v>51</v>
      </c>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0"/>
      <c r="AH6" s="240"/>
    </row>
    <row r="7" spans="1:34" ht="30.75" customHeight="1" x14ac:dyDescent="0.35">
      <c r="A7" s="264" t="s">
        <v>44</v>
      </c>
      <c r="B7" s="264"/>
      <c r="C7" s="264"/>
      <c r="D7" s="264"/>
      <c r="E7" s="264"/>
      <c r="F7" s="264"/>
      <c r="G7" s="264"/>
      <c r="H7" s="264"/>
      <c r="I7" s="264" t="s">
        <v>78</v>
      </c>
      <c r="J7" s="264"/>
      <c r="K7" s="264"/>
      <c r="L7" s="264"/>
      <c r="M7" s="264"/>
      <c r="N7" s="264"/>
      <c r="O7" s="264"/>
      <c r="P7" s="264"/>
      <c r="Q7" s="264" t="s">
        <v>79</v>
      </c>
      <c r="R7" s="264"/>
      <c r="S7" s="264"/>
      <c r="T7" s="264"/>
      <c r="U7" s="264"/>
      <c r="V7" s="264"/>
      <c r="W7" s="264" t="s">
        <v>80</v>
      </c>
      <c r="X7" s="264"/>
      <c r="Y7" s="264"/>
      <c r="Z7" s="264"/>
      <c r="AA7" s="264"/>
      <c r="AB7" s="264"/>
      <c r="AC7" s="264" t="s">
        <v>56</v>
      </c>
      <c r="AD7" s="264"/>
      <c r="AE7" s="264"/>
      <c r="AF7" s="264" t="s">
        <v>81</v>
      </c>
      <c r="AG7" s="264"/>
      <c r="AH7" s="264"/>
    </row>
    <row r="8" spans="1:34" ht="16.5" customHeight="1" x14ac:dyDescent="0.35">
      <c r="A8" s="329"/>
      <c r="B8" s="329"/>
      <c r="C8" s="329"/>
      <c r="D8" s="329"/>
      <c r="E8" s="329"/>
      <c r="F8" s="329"/>
      <c r="G8" s="329"/>
      <c r="H8" s="329"/>
      <c r="I8" s="241" t="s">
        <v>82</v>
      </c>
      <c r="J8" s="241"/>
      <c r="K8" s="241"/>
      <c r="L8" s="241"/>
      <c r="M8" s="241"/>
      <c r="N8" s="241"/>
      <c r="O8" s="241"/>
      <c r="P8" s="241"/>
      <c r="Q8" s="241"/>
      <c r="R8" s="241"/>
      <c r="S8" s="241"/>
      <c r="T8" s="241"/>
      <c r="U8" s="241"/>
      <c r="V8" s="241"/>
      <c r="W8" s="241"/>
      <c r="X8" s="241"/>
      <c r="Y8" s="241"/>
      <c r="Z8" s="241"/>
      <c r="AA8" s="241"/>
      <c r="AB8" s="241"/>
      <c r="AC8" s="363">
        <f>Fecha_de_medición</f>
        <v>0</v>
      </c>
      <c r="AD8" s="363"/>
      <c r="AE8" s="363"/>
      <c r="AF8" s="364"/>
      <c r="AG8" s="364"/>
      <c r="AH8" s="364"/>
    </row>
    <row r="9" spans="1:34" ht="10.5" customHeight="1" x14ac:dyDescent="0.35">
      <c r="A9" s="3"/>
      <c r="B9" s="3"/>
      <c r="C9" s="9"/>
      <c r="D9" s="9"/>
      <c r="E9" s="9"/>
      <c r="F9" s="9"/>
      <c r="G9" s="9"/>
      <c r="H9" s="9"/>
      <c r="I9" s="361" t="str">
        <f>I8</f>
        <v>CARACOL</v>
      </c>
      <c r="J9" s="361"/>
      <c r="K9" s="361"/>
      <c r="L9" s="361"/>
      <c r="M9" s="361"/>
      <c r="N9" s="361"/>
      <c r="O9" s="361"/>
      <c r="P9" s="361"/>
      <c r="Q9" s="9"/>
      <c r="R9" s="9"/>
      <c r="S9" s="9"/>
      <c r="T9" s="9"/>
      <c r="U9" s="9"/>
      <c r="V9" s="9"/>
      <c r="W9" s="9"/>
      <c r="X9" s="9"/>
      <c r="Y9" s="9"/>
      <c r="Z9" s="9"/>
      <c r="AA9" s="9"/>
      <c r="AB9" s="9"/>
      <c r="AC9" s="9"/>
      <c r="AD9" s="9"/>
      <c r="AE9" s="9"/>
      <c r="AF9" s="9"/>
      <c r="AG9" s="9"/>
      <c r="AH9" s="9"/>
    </row>
    <row r="10" spans="1:34" x14ac:dyDescent="0.35">
      <c r="A10" s="362" t="s">
        <v>83</v>
      </c>
      <c r="B10" s="362"/>
      <c r="C10" s="362"/>
      <c r="D10" s="362"/>
      <c r="E10" s="362"/>
      <c r="F10" s="362"/>
      <c r="G10" s="362"/>
      <c r="H10" s="362"/>
      <c r="I10" s="362"/>
      <c r="J10" s="362"/>
      <c r="K10" s="362"/>
      <c r="L10" s="362"/>
      <c r="M10" s="362"/>
      <c r="N10" s="362"/>
      <c r="O10" s="362"/>
      <c r="P10" s="362"/>
      <c r="Q10" s="362"/>
      <c r="R10" s="362"/>
      <c r="S10" s="362"/>
      <c r="T10" s="362"/>
      <c r="U10" s="362"/>
      <c r="V10" s="362"/>
      <c r="W10" s="362"/>
      <c r="X10" s="362"/>
      <c r="Y10" s="362"/>
      <c r="Z10" s="362"/>
      <c r="AA10" s="362"/>
      <c r="AB10" s="362"/>
      <c r="AC10" s="362"/>
      <c r="AD10" s="362"/>
      <c r="AE10" s="362"/>
      <c r="AF10" s="362"/>
      <c r="AG10" s="362"/>
      <c r="AH10" s="362"/>
    </row>
    <row r="11" spans="1:34" x14ac:dyDescent="0.35">
      <c r="A11" s="264" t="s">
        <v>44</v>
      </c>
      <c r="B11" s="264"/>
      <c r="C11" s="264"/>
      <c r="D11" s="264"/>
      <c r="E11" s="264"/>
      <c r="F11" s="264"/>
      <c r="G11" s="264"/>
      <c r="H11" s="264"/>
      <c r="I11" s="264"/>
      <c r="J11" s="264"/>
      <c r="K11" s="264"/>
      <c r="L11" s="264" t="s">
        <v>45</v>
      </c>
      <c r="M11" s="264"/>
      <c r="N11" s="264"/>
      <c r="O11" s="264"/>
      <c r="P11" s="264"/>
      <c r="Q11" s="264"/>
      <c r="R11" s="264"/>
      <c r="S11" s="264" t="s">
        <v>84</v>
      </c>
      <c r="T11" s="264"/>
      <c r="U11" s="264"/>
      <c r="V11" s="264"/>
      <c r="W11" s="264"/>
      <c r="X11" s="264"/>
      <c r="Y11" s="264"/>
      <c r="Z11" s="264" t="s">
        <v>47</v>
      </c>
      <c r="AA11" s="264"/>
      <c r="AB11" s="264"/>
      <c r="AC11" s="264"/>
      <c r="AD11" s="264"/>
      <c r="AE11" s="264"/>
      <c r="AF11" s="264"/>
      <c r="AG11" s="264"/>
      <c r="AH11" s="264"/>
    </row>
    <row r="12" spans="1:34" x14ac:dyDescent="0.35">
      <c r="A12" s="329" t="s">
        <v>50</v>
      </c>
      <c r="B12" s="329"/>
      <c r="C12" s="329"/>
      <c r="D12" s="329"/>
      <c r="E12" s="329"/>
      <c r="F12" s="329"/>
      <c r="G12" s="329"/>
      <c r="H12" s="329"/>
      <c r="I12" s="329"/>
      <c r="J12" s="329"/>
      <c r="K12" s="329"/>
      <c r="L12" s="328" t="str">
        <f>IFERROR(INDEX(COORDENADAS[],MATCH(A12,TX_TDT,0),4),"NA")</f>
        <v>NA</v>
      </c>
      <c r="M12" s="328"/>
      <c r="N12" s="328"/>
      <c r="O12" s="328"/>
      <c r="P12" s="328"/>
      <c r="Q12" s="328"/>
      <c r="R12" s="328"/>
      <c r="S12" s="328" t="str">
        <f>IFERROR(INDEX(COORDENADAS[],MATCH(A12,TX_TDT,0),9),"NA")</f>
        <v>NA</v>
      </c>
      <c r="T12" s="328"/>
      <c r="U12" s="328"/>
      <c r="V12" s="328"/>
      <c r="W12" s="328"/>
      <c r="X12" s="328"/>
      <c r="Y12" s="328"/>
      <c r="Z12" s="328" t="str">
        <f>IF(OR(I$9="CARACOL",I$9="RCN",I$9="RTVC"),IFERROR(INDEX(referencias!$Q$2:$AD$276,MATCH(A12,TX_TDT,0),14),"NA"),IFERROR(INDEX(referencias!$Q$2:$AE$276,MATCH(A12,TX_TDT,0),15),"NA"))</f>
        <v>NA</v>
      </c>
      <c r="AA12" s="328"/>
      <c r="AB12" s="328"/>
      <c r="AC12" s="328"/>
      <c r="AD12" s="328"/>
      <c r="AE12" s="328"/>
      <c r="AF12" s="328"/>
      <c r="AG12" s="328"/>
      <c r="AH12" s="328"/>
    </row>
    <row r="13" spans="1:34" x14ac:dyDescent="0.35">
      <c r="A13" s="319" t="s">
        <v>50</v>
      </c>
      <c r="B13" s="319"/>
      <c r="C13" s="319"/>
      <c r="D13" s="319"/>
      <c r="E13" s="319"/>
      <c r="F13" s="319"/>
      <c r="G13" s="319"/>
      <c r="H13" s="319"/>
      <c r="I13" s="319"/>
      <c r="J13" s="319"/>
      <c r="K13" s="319"/>
      <c r="L13" s="318" t="str">
        <f>IFERROR(INDEX(COORDENADAS[],MATCH(A13,TX_TDT,0),4),"NA")</f>
        <v>NA</v>
      </c>
      <c r="M13" s="318"/>
      <c r="N13" s="318"/>
      <c r="O13" s="318"/>
      <c r="P13" s="318"/>
      <c r="Q13" s="318"/>
      <c r="R13" s="318"/>
      <c r="S13" s="318" t="str">
        <f>IFERROR(INDEX(COORDENADAS[],MATCH(A13,TX_TDT,0),9),"NA")</f>
        <v>NA</v>
      </c>
      <c r="T13" s="318"/>
      <c r="U13" s="318"/>
      <c r="V13" s="318"/>
      <c r="W13" s="318"/>
      <c r="X13" s="318"/>
      <c r="Y13" s="318"/>
      <c r="Z13" s="318" t="str">
        <f>IF(OR(I$9="CARACOL",I$9="RCN",I$9="RTVC"),IFERROR(INDEX(referencias!$Q$2:$AD$276,MATCH(A13,TX_TDT,0),14),"NA"),IFERROR(INDEX(referencias!$Q$2:$AE$276,MATCH(A13,TX_TDT,0),15),"NA"))</f>
        <v>NA</v>
      </c>
      <c r="AA13" s="318"/>
      <c r="AB13" s="318"/>
      <c r="AC13" s="318"/>
      <c r="AD13" s="318"/>
      <c r="AE13" s="318"/>
      <c r="AF13" s="318"/>
      <c r="AG13" s="318"/>
      <c r="AH13" s="318"/>
    </row>
    <row r="14" spans="1:34" x14ac:dyDescent="0.35">
      <c r="A14" s="319" t="s">
        <v>50</v>
      </c>
      <c r="B14" s="319"/>
      <c r="C14" s="319"/>
      <c r="D14" s="319"/>
      <c r="E14" s="319"/>
      <c r="F14" s="319"/>
      <c r="G14" s="319"/>
      <c r="H14" s="319"/>
      <c r="I14" s="319"/>
      <c r="J14" s="319"/>
      <c r="K14" s="319"/>
      <c r="L14" s="318" t="str">
        <f>IFERROR(INDEX(COORDENADAS[],MATCH(A14,TX_TDT,0),4),"NA")</f>
        <v>NA</v>
      </c>
      <c r="M14" s="318"/>
      <c r="N14" s="318"/>
      <c r="O14" s="318"/>
      <c r="P14" s="318"/>
      <c r="Q14" s="318"/>
      <c r="R14" s="318"/>
      <c r="S14" s="318" t="str">
        <f>IFERROR(INDEX(COORDENADAS[],MATCH(A14,TX_TDT,0),9),"NA")</f>
        <v>NA</v>
      </c>
      <c r="T14" s="318"/>
      <c r="U14" s="318"/>
      <c r="V14" s="318"/>
      <c r="W14" s="318"/>
      <c r="X14" s="318"/>
      <c r="Y14" s="318"/>
      <c r="Z14" s="318" t="str">
        <f>IF(OR(I$9="CARACOL",I$9="RCN",I$9="RTVC"),IFERROR(INDEX(referencias!$Q$2:$AD$276,MATCH(A14,TX_TDT,0),14),"NA"),IFERROR(INDEX(referencias!$Q$2:$AE$276,MATCH(A14,TX_TDT,0),15),"NA"))</f>
        <v>NA</v>
      </c>
      <c r="AA14" s="318"/>
      <c r="AB14" s="318"/>
      <c r="AC14" s="318"/>
      <c r="AD14" s="318"/>
      <c r="AE14" s="318"/>
      <c r="AF14" s="318"/>
      <c r="AG14" s="318"/>
      <c r="AH14" s="318"/>
    </row>
    <row r="15" spans="1:34" ht="10.5" customHeight="1" x14ac:dyDescent="0.35">
      <c r="A15" s="3"/>
      <c r="B15" s="3"/>
      <c r="C15" s="3"/>
      <c r="D15" s="3"/>
      <c r="E15" s="4"/>
      <c r="F15" s="4"/>
      <c r="G15" s="4"/>
      <c r="H15" s="4"/>
      <c r="I15" s="4"/>
      <c r="J15" s="4"/>
      <c r="K15" s="4"/>
      <c r="L15" s="4"/>
      <c r="M15" s="4"/>
      <c r="N15" s="4"/>
      <c r="O15" s="4"/>
      <c r="P15" s="4"/>
      <c r="Q15" s="4"/>
      <c r="R15" s="4"/>
      <c r="S15" s="4"/>
      <c r="T15" s="4"/>
      <c r="U15" s="4"/>
      <c r="V15" s="4"/>
      <c r="W15" s="5"/>
      <c r="X15" s="5"/>
      <c r="Y15" s="4"/>
      <c r="Z15" s="4"/>
      <c r="AA15" s="4"/>
      <c r="AB15" s="4"/>
      <c r="AC15" s="6"/>
      <c r="AD15" s="6"/>
      <c r="AE15" s="6"/>
      <c r="AF15" s="7"/>
      <c r="AG15" s="7"/>
      <c r="AH15" s="7"/>
    </row>
    <row r="16" spans="1:34" x14ac:dyDescent="0.35">
      <c r="A16" s="240" t="s">
        <v>85</v>
      </c>
      <c r="B16" s="240"/>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0"/>
      <c r="AH16" s="240"/>
    </row>
    <row r="17" spans="1:34" x14ac:dyDescent="0.35">
      <c r="A17" s="240" t="s">
        <v>86</v>
      </c>
      <c r="B17" s="240"/>
      <c r="C17" s="240"/>
      <c r="D17" s="240"/>
      <c r="E17" s="240"/>
      <c r="F17" s="240"/>
      <c r="G17" s="240"/>
      <c r="H17" s="240"/>
      <c r="I17" s="240"/>
      <c r="J17" s="240"/>
      <c r="K17" s="240"/>
      <c r="L17" s="240"/>
      <c r="M17" s="240"/>
      <c r="N17" s="240"/>
      <c r="O17" s="240"/>
      <c r="P17" s="240"/>
      <c r="Q17" s="240"/>
      <c r="R17" s="240"/>
      <c r="S17" s="240"/>
      <c r="T17" s="240"/>
      <c r="U17" s="240"/>
      <c r="V17" s="240"/>
      <c r="W17" s="240"/>
      <c r="X17" s="240"/>
      <c r="Y17" s="240"/>
      <c r="Z17" s="240"/>
      <c r="AA17" s="240"/>
      <c r="AB17" s="240"/>
      <c r="AC17" s="240"/>
      <c r="AD17" s="240"/>
      <c r="AE17" s="240"/>
      <c r="AF17" s="240"/>
      <c r="AG17" s="240"/>
      <c r="AH17" s="240"/>
    </row>
    <row r="18" spans="1:34" ht="51.75" customHeight="1" x14ac:dyDescent="0.35">
      <c r="A18" s="264" t="s">
        <v>44</v>
      </c>
      <c r="B18" s="264"/>
      <c r="C18" s="264"/>
      <c r="D18" s="264"/>
      <c r="E18" s="264"/>
      <c r="F18" s="264"/>
      <c r="G18" s="264"/>
      <c r="H18" s="264"/>
      <c r="I18" s="264"/>
      <c r="J18" s="264" t="s">
        <v>87</v>
      </c>
      <c r="K18" s="264"/>
      <c r="L18" s="264" t="s">
        <v>88</v>
      </c>
      <c r="M18" s="264"/>
      <c r="N18" s="264"/>
      <c r="O18" s="264"/>
      <c r="P18" s="356" t="s">
        <v>89</v>
      </c>
      <c r="Q18" s="356"/>
      <c r="R18" s="264" t="s">
        <v>90</v>
      </c>
      <c r="S18" s="264"/>
      <c r="T18" s="264"/>
      <c r="U18" s="264"/>
      <c r="V18" s="264" t="s">
        <v>14</v>
      </c>
      <c r="W18" s="264"/>
      <c r="X18" s="264"/>
      <c r="Y18" s="264" t="s">
        <v>15</v>
      </c>
      <c r="Z18" s="264"/>
      <c r="AA18" s="264" t="s">
        <v>16</v>
      </c>
      <c r="AB18" s="264"/>
      <c r="AC18" s="264"/>
      <c r="AD18" s="357" t="s">
        <v>17</v>
      </c>
      <c r="AE18" s="357"/>
      <c r="AF18" s="357"/>
      <c r="AG18" s="264" t="s">
        <v>18</v>
      </c>
      <c r="AH18" s="264"/>
    </row>
    <row r="19" spans="1:34" x14ac:dyDescent="0.35">
      <c r="A19" s="328">
        <f>A8</f>
        <v>0</v>
      </c>
      <c r="B19" s="328"/>
      <c r="C19" s="328"/>
      <c r="D19" s="328"/>
      <c r="E19" s="328"/>
      <c r="F19" s="328"/>
      <c r="G19" s="328"/>
      <c r="H19" s="328"/>
      <c r="I19" s="328"/>
      <c r="J19" s="328">
        <f>IFERROR(INDEX(referencias!$AH$5:$BK$38,(MATCH(I9,referencias!$AH$5:$AH$38,0)),2),"NA")</f>
        <v>0</v>
      </c>
      <c r="K19" s="328"/>
      <c r="L19" s="241"/>
      <c r="M19" s="241"/>
      <c r="N19" s="241"/>
      <c r="O19" s="241"/>
      <c r="P19" s="241"/>
      <c r="Q19" s="241"/>
      <c r="R19" s="358"/>
      <c r="S19" s="358"/>
      <c r="T19" s="358"/>
      <c r="U19" s="358"/>
      <c r="V19" s="241"/>
      <c r="W19" s="241"/>
      <c r="X19" s="241"/>
      <c r="Y19" s="359" t="s">
        <v>93</v>
      </c>
      <c r="Z19" s="359"/>
      <c r="AA19" s="241"/>
      <c r="AB19" s="241"/>
      <c r="AC19" s="241"/>
      <c r="AD19" s="360" t="s">
        <v>93</v>
      </c>
      <c r="AE19" s="360"/>
      <c r="AF19" s="360"/>
      <c r="AG19" s="241"/>
      <c r="AH19" s="241"/>
    </row>
    <row r="20" spans="1:34" ht="16.5" customHeight="1" x14ac:dyDescent="0.35">
      <c r="A20" s="318">
        <f xml:space="preserve"> IF(
         OR(
             I9="CARACOL", I9="RCN"),A19,"NA")</f>
        <v>0</v>
      </c>
      <c r="B20" s="318"/>
      <c r="C20" s="318"/>
      <c r="D20" s="318"/>
      <c r="E20" s="318"/>
      <c r="F20" s="318"/>
      <c r="G20" s="318"/>
      <c r="H20" s="318"/>
      <c r="I20" s="318"/>
      <c r="J20" s="318">
        <f>IFERROR(INDEX(referencias!$AH$5:$BK$38,(MATCH(I9,referencias!$AH$5:$AH$38,0)),3),"NA")</f>
        <v>1</v>
      </c>
      <c r="K20" s="318"/>
      <c r="L20" s="318">
        <f>IF(OR(I8="CARACOL",I8="RCN"),L19,"NA")</f>
        <v>0</v>
      </c>
      <c r="M20" s="318"/>
      <c r="N20" s="318"/>
      <c r="O20" s="318"/>
      <c r="P20" s="218" t="s">
        <v>93</v>
      </c>
      <c r="Q20" s="218"/>
      <c r="R20" s="353"/>
      <c r="S20" s="354"/>
      <c r="T20" s="354"/>
      <c r="U20" s="355"/>
      <c r="V20" s="218"/>
      <c r="W20" s="218"/>
      <c r="X20" s="218"/>
      <c r="Y20" s="350"/>
      <c r="Z20" s="350"/>
      <c r="AA20" s="218"/>
      <c r="AB20" s="218"/>
      <c r="AC20" s="218"/>
      <c r="AD20" s="351"/>
      <c r="AE20" s="351"/>
      <c r="AF20" s="351"/>
      <c r="AG20" s="218"/>
      <c r="AH20" s="218"/>
    </row>
    <row r="21" spans="1:34" ht="9.75" customHeight="1" x14ac:dyDescent="0.35">
      <c r="A21" s="8"/>
      <c r="B21" s="8"/>
      <c r="C21" s="8"/>
      <c r="D21" s="8"/>
      <c r="E21" s="8"/>
      <c r="F21" s="8"/>
      <c r="G21" s="8"/>
      <c r="H21" s="8"/>
      <c r="I21" s="8"/>
      <c r="J21" s="8"/>
      <c r="K21" s="8"/>
      <c r="L21" s="8"/>
      <c r="M21" s="8"/>
      <c r="N21" s="8"/>
      <c r="O21" s="8"/>
      <c r="P21" s="8"/>
      <c r="Q21" s="8"/>
      <c r="R21" s="61" t="b">
        <f>OR(NOT(ISERROR(FIND("NA",R20))),NOT(ISERROR(FIND("ND",R20))),AND(ISNUMBER(VALUE(LEFT(R20,1))), OR(MID(R20,2,1)=",",MID(R20,2,1)="."), ISNUMBER(VALUE(MID(TEXT(R20,"0,0E+0"),3,1))), MID(TEXT(R20,"0,0E+0"),4,1) = "E",MID(SUBSTITUTE(TEXT(R20,"0,0E+0"),"+","-"),5,1) = "-", ISNUMBER(VALUE(RIGHT(R20,1))), LEN(TEXT(R20,"0,0E+0")) = 6))</f>
        <v>0</v>
      </c>
      <c r="S21" s="61" t="b">
        <f>OR(ISERROR(FIND("0.0E-7",R20))*ISERROR(FIND("0.0E-8",R20)),ISERROR(FIND("0.0E-9",R20)))</f>
        <v>1</v>
      </c>
      <c r="T21" s="61" t="b">
        <f>OR(NOT(ISERROR(FIND("ND",R19))),AND(ISNUMBER(VALUE(LEFT(R19,1))), OR(MID(R19,2,1)=",",MID(R19,2,1)="."), ISNUMBER(VALUE(MID(TEXT(R19,"0,0E+0"),3,1))), MID(TEXT(R19,"0,0E+0"),4,1) = "E",MID(SUBSTITUTE(TEXT(R19,"0,0E+0"),"+","-"),5,1) = "-", ISNUMBER(VALUE(RIGHT(R19,1))), LEN(TEXT(R19,"0,0E+0")) = 6))</f>
        <v>0</v>
      </c>
      <c r="U21" s="61" t="b">
        <f>OR(ISERROR(FIND("0.0E-7",R19)),ISERROR(FIND("0.0E-8",R19)),ISERROR(FIND("0.0E-9",R19)))</f>
        <v>1</v>
      </c>
      <c r="V21" s="8"/>
      <c r="W21" s="8"/>
      <c r="X21" s="8"/>
      <c r="Y21" s="8"/>
      <c r="Z21" s="8"/>
      <c r="AA21" s="8"/>
      <c r="AB21" s="8"/>
      <c r="AC21" s="8"/>
      <c r="AD21" s="8"/>
      <c r="AE21" s="8"/>
      <c r="AF21" s="8"/>
      <c r="AG21" s="8"/>
      <c r="AH21" s="8"/>
    </row>
    <row r="22" spans="1:34" x14ac:dyDescent="0.35">
      <c r="A22" s="240" t="s">
        <v>94</v>
      </c>
      <c r="B22" s="352"/>
      <c r="C22" s="352"/>
      <c r="D22" s="352"/>
      <c r="E22" s="352"/>
      <c r="F22" s="352"/>
      <c r="G22" s="352"/>
      <c r="H22" s="352"/>
      <c r="I22" s="352"/>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row>
    <row r="23" spans="1:34" ht="59.25" customHeight="1" x14ac:dyDescent="0.35">
      <c r="A23" s="264" t="s">
        <v>44</v>
      </c>
      <c r="B23" s="264"/>
      <c r="C23" s="264"/>
      <c r="D23" s="264"/>
      <c r="E23" s="264"/>
      <c r="F23" s="264" t="s">
        <v>87</v>
      </c>
      <c r="G23" s="264"/>
      <c r="H23" s="264" t="s">
        <v>95</v>
      </c>
      <c r="I23" s="264"/>
      <c r="J23" s="264"/>
      <c r="K23" s="264"/>
      <c r="L23" s="264"/>
      <c r="M23" s="314" t="s">
        <v>96</v>
      </c>
      <c r="N23" s="314"/>
      <c r="O23" s="314" t="s">
        <v>97</v>
      </c>
      <c r="P23" s="314"/>
      <c r="Q23" s="356" t="s">
        <v>98</v>
      </c>
      <c r="R23" s="356"/>
      <c r="S23" s="356"/>
      <c r="T23" s="314" t="s">
        <v>99</v>
      </c>
      <c r="U23" s="314"/>
      <c r="V23" s="314"/>
      <c r="W23" s="314"/>
      <c r="X23" s="314" t="s">
        <v>100</v>
      </c>
      <c r="Y23" s="314"/>
      <c r="Z23" s="314"/>
      <c r="AA23" s="314" t="s">
        <v>101</v>
      </c>
      <c r="AB23" s="314"/>
      <c r="AC23" s="314"/>
      <c r="AD23" s="264" t="s">
        <v>102</v>
      </c>
      <c r="AE23" s="264"/>
      <c r="AF23" s="264" t="s">
        <v>103</v>
      </c>
      <c r="AG23" s="264"/>
      <c r="AH23" s="198" t="s">
        <v>104</v>
      </c>
    </row>
    <row r="24" spans="1:34" ht="66.75" customHeight="1" x14ac:dyDescent="0.35">
      <c r="A24" s="339" t="str">
        <f>IF(OR(AD24="NA",AD24="No decodificó",AD24="ND",AD24=""),"NA",A8)</f>
        <v>NA</v>
      </c>
      <c r="B24" s="339"/>
      <c r="C24" s="339"/>
      <c r="D24" s="339"/>
      <c r="E24" s="339"/>
      <c r="F24" s="327" t="str">
        <f>IF(OR(AD24="NA",AD24="No decodificó",AD24="ND",AD24=""),"NA",IFERROR(INDEX(referencias!$AH$5:$BK$38,(MATCH(I9,referencias!$AH$5:$AH$38,0)),4),"NA"))</f>
        <v>NA</v>
      </c>
      <c r="G24" s="327"/>
      <c r="H24" s="349" t="str">
        <f>IF(OR(AD24="NA",AD24="No decodificó",AD24="ND",AD24=""),"NA",IFERROR(INDEX(referencias!$AH$5:$BK$38,(MATCH(I9,referencias!$AH$5:$AH$38,0)),5),"NA"))</f>
        <v>NA</v>
      </c>
      <c r="I24" s="349"/>
      <c r="J24" s="349"/>
      <c r="K24" s="349"/>
      <c r="L24" s="349"/>
      <c r="M24" s="348"/>
      <c r="N24" s="348"/>
      <c r="O24" s="348"/>
      <c r="P24" s="348"/>
      <c r="Q24" s="348"/>
      <c r="R24" s="348"/>
      <c r="S24" s="348"/>
      <c r="T24" s="348"/>
      <c r="U24" s="348"/>
      <c r="V24" s="348"/>
      <c r="W24" s="348"/>
      <c r="X24" s="348"/>
      <c r="Y24" s="348"/>
      <c r="Z24" s="348"/>
      <c r="AA24" s="348"/>
      <c r="AB24" s="348"/>
      <c r="AC24" s="348"/>
      <c r="AD24" s="348" t="s">
        <v>66</v>
      </c>
      <c r="AE24" s="348"/>
      <c r="AF24" s="348" t="s">
        <v>105</v>
      </c>
      <c r="AG24" s="348"/>
      <c r="AH24" s="197"/>
    </row>
    <row r="25" spans="1:34" ht="66.75" customHeight="1" x14ac:dyDescent="0.35">
      <c r="A25" s="332" t="str">
        <f>IF(OR(AD25="NA",AD25="No decodificó",AD25="ND",AD25=""),"NA",A8)</f>
        <v>NA</v>
      </c>
      <c r="B25" s="332"/>
      <c r="C25" s="332"/>
      <c r="D25" s="332"/>
      <c r="E25" s="332"/>
      <c r="F25" s="346" t="str">
        <f>IF(OR(AD25="NA",AD25="No decodificó",AD25="ND",AD25=""),"NA",IFERROR(INDEX(referencias!$AH$5:$BK$38,(MATCH(I9,referencias!$AH$5:$AH$38,0)),6),"NA"))</f>
        <v>NA</v>
      </c>
      <c r="G25" s="346"/>
      <c r="H25" s="347" t="str">
        <f>IF(OR(AD25="NA",AD25="No decodificó",AD25="ND",AD25=""),"NA",IFERROR(INDEX(referencias!$AH$5:$BK$38,(MATCH(I9,referencias!$AH$5:$AH$38,0)),7),"NA"))</f>
        <v>NA</v>
      </c>
      <c r="I25" s="347"/>
      <c r="J25" s="347"/>
      <c r="K25" s="347"/>
      <c r="L25" s="347"/>
      <c r="M25" s="345"/>
      <c r="N25" s="345"/>
      <c r="O25" s="345"/>
      <c r="P25" s="345"/>
      <c r="Q25" s="345"/>
      <c r="R25" s="345"/>
      <c r="S25" s="345"/>
      <c r="T25" s="345"/>
      <c r="U25" s="345"/>
      <c r="V25" s="345"/>
      <c r="W25" s="345"/>
      <c r="X25" s="345"/>
      <c r="Y25" s="345"/>
      <c r="Z25" s="345"/>
      <c r="AA25" s="345"/>
      <c r="AB25" s="345"/>
      <c r="AC25" s="345"/>
      <c r="AD25" s="345" t="s">
        <v>66</v>
      </c>
      <c r="AE25" s="345"/>
      <c r="AF25" s="345" t="s">
        <v>105</v>
      </c>
      <c r="AG25" s="345"/>
      <c r="AH25" s="166"/>
    </row>
    <row r="26" spans="1:34" ht="66.75" customHeight="1" x14ac:dyDescent="0.35">
      <c r="A26" s="332" t="str">
        <f>IFERROR(IF(F26&lt;&gt;"NA",A8,"NA"),"NA")</f>
        <v>NA</v>
      </c>
      <c r="B26" s="332"/>
      <c r="C26" s="332"/>
      <c r="D26" s="332"/>
      <c r="E26" s="332"/>
      <c r="F26" s="346" t="str">
        <f>IF(OR(AD26="NA",AD26="No decodificó",AD26="ND",AD26=""),"NA",IFERROR(INDEX(referencias!$AH$5:$BK$38,(MATCH(I9,referencias!$AH$5:$AH$38,0)),8),"NA"))</f>
        <v>NA</v>
      </c>
      <c r="G26" s="346"/>
      <c r="H26" s="347" t="str">
        <f>IF(OR(AD26="NA",AD26="No decodificó",AD26="ND",AD26=""),"NA",IFERROR(INDEX(referencias!$AH$5:$BK$38,(MATCH(I9,referencias!$AH$5:$AH$38,0)),9),"NA"))</f>
        <v>NA</v>
      </c>
      <c r="I26" s="347"/>
      <c r="J26" s="347"/>
      <c r="K26" s="347"/>
      <c r="L26" s="347"/>
      <c r="M26" s="345"/>
      <c r="N26" s="345"/>
      <c r="O26" s="345"/>
      <c r="P26" s="345"/>
      <c r="Q26" s="345"/>
      <c r="R26" s="345"/>
      <c r="S26" s="345"/>
      <c r="T26" s="345"/>
      <c r="U26" s="345"/>
      <c r="V26" s="345"/>
      <c r="W26" s="345"/>
      <c r="X26" s="345"/>
      <c r="Y26" s="345"/>
      <c r="Z26" s="345"/>
      <c r="AA26" s="345"/>
      <c r="AB26" s="345"/>
      <c r="AC26" s="345"/>
      <c r="AD26" s="345" t="s">
        <v>66</v>
      </c>
      <c r="AE26" s="345"/>
      <c r="AF26" s="345" t="s">
        <v>105</v>
      </c>
      <c r="AG26" s="345"/>
      <c r="AH26" s="166"/>
    </row>
    <row r="27" spans="1:34" ht="66.75" customHeight="1" x14ac:dyDescent="0.35">
      <c r="A27" s="332" t="str">
        <f>IFERROR(IF(F27&lt;&gt;"NA",A8,"NA"),"NA")</f>
        <v>NA</v>
      </c>
      <c r="B27" s="332"/>
      <c r="C27" s="332"/>
      <c r="D27" s="332"/>
      <c r="E27" s="332"/>
      <c r="F27" s="332" t="str">
        <f>IF(OR(AD27="NA",AD27="No decodificó",AD27="ND",AD27=""),"NA",IFERROR(INDEX(referencias!$AH$5:$BK$38,(MATCH(I9,referencias!$AH$5:$AH$38,0)),10),"NA"))</f>
        <v>NA</v>
      </c>
      <c r="G27" s="332"/>
      <c r="H27" s="346" t="str">
        <f>IF(OR(AD27="NA",AD27="No decodificó",AD27="ND",AD27=""),"NA",IFERROR(INDEX(referencias!$AH$5:$BK$38,(MATCH(I9,referencias!$AH$5:$AH$38,0)),11),"NA"))</f>
        <v>NA</v>
      </c>
      <c r="I27" s="346"/>
      <c r="J27" s="346"/>
      <c r="K27" s="346"/>
      <c r="L27" s="346"/>
      <c r="M27" s="345"/>
      <c r="N27" s="345"/>
      <c r="O27" s="345"/>
      <c r="P27" s="345"/>
      <c r="Q27" s="345"/>
      <c r="R27" s="345"/>
      <c r="S27" s="345"/>
      <c r="T27" s="345"/>
      <c r="U27" s="345"/>
      <c r="V27" s="345"/>
      <c r="W27" s="345"/>
      <c r="X27" s="345"/>
      <c r="Y27" s="345"/>
      <c r="Z27" s="345"/>
      <c r="AA27" s="345"/>
      <c r="AB27" s="345"/>
      <c r="AC27" s="345"/>
      <c r="AD27" s="345" t="s">
        <v>66</v>
      </c>
      <c r="AE27" s="345"/>
      <c r="AF27" s="345" t="s">
        <v>105</v>
      </c>
      <c r="AG27" s="345"/>
      <c r="AH27" s="166"/>
    </row>
    <row r="28" spans="1:34" ht="7.5" customHeight="1"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x14ac:dyDescent="0.35">
      <c r="A29" s="240" t="s">
        <v>106</v>
      </c>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c r="AH29" s="240"/>
    </row>
    <row r="30" spans="1:34" x14ac:dyDescent="0.35">
      <c r="A30" s="264" t="s">
        <v>107</v>
      </c>
      <c r="B30" s="264"/>
      <c r="C30" s="264" t="s">
        <v>108</v>
      </c>
      <c r="D30" s="264"/>
      <c r="E30" s="264"/>
      <c r="F30" s="264"/>
      <c r="G30" s="264"/>
      <c r="H30" s="264"/>
      <c r="I30" s="264" t="s">
        <v>109</v>
      </c>
      <c r="J30" s="264"/>
      <c r="K30" s="264"/>
      <c r="L30" s="264"/>
      <c r="M30" s="264" t="s">
        <v>110</v>
      </c>
      <c r="N30" s="264"/>
      <c r="O30" s="264"/>
      <c r="P30" s="264"/>
      <c r="Q30" s="264" t="s">
        <v>111</v>
      </c>
      <c r="R30" s="264"/>
      <c r="S30" s="264"/>
      <c r="T30" s="264"/>
      <c r="U30" s="264"/>
      <c r="V30" s="264" t="s">
        <v>104</v>
      </c>
      <c r="W30" s="264"/>
      <c r="X30" s="264"/>
      <c r="Y30" s="264"/>
      <c r="Z30" s="264"/>
      <c r="AA30" s="264"/>
      <c r="AB30" s="264"/>
      <c r="AC30" s="264"/>
      <c r="AD30" s="264"/>
      <c r="AE30" s="264"/>
      <c r="AF30" s="264"/>
      <c r="AG30" s="264"/>
      <c r="AH30" s="264"/>
    </row>
    <row r="31" spans="1:34" ht="23.25" customHeight="1" x14ac:dyDescent="0.35">
      <c r="A31" s="343">
        <v>1</v>
      </c>
      <c r="B31" s="343"/>
      <c r="C31" s="343" t="s">
        <v>66</v>
      </c>
      <c r="D31" s="343"/>
      <c r="E31" s="343"/>
      <c r="F31" s="343"/>
      <c r="G31" s="343"/>
      <c r="H31" s="343"/>
      <c r="I31" s="343" t="s">
        <v>66</v>
      </c>
      <c r="J31" s="343"/>
      <c r="K31" s="343"/>
      <c r="L31" s="343"/>
      <c r="M31" s="343" t="s">
        <v>66</v>
      </c>
      <c r="N31" s="343"/>
      <c r="O31" s="343"/>
      <c r="P31" s="343"/>
      <c r="Q31" s="343" t="s">
        <v>66</v>
      </c>
      <c r="R31" s="343"/>
      <c r="S31" s="343"/>
      <c r="T31" s="343"/>
      <c r="U31" s="343"/>
      <c r="V31" s="340" t="s">
        <v>66</v>
      </c>
      <c r="W31" s="344"/>
      <c r="X31" s="344"/>
      <c r="Y31" s="344"/>
      <c r="Z31" s="344"/>
      <c r="AA31" s="344"/>
      <c r="AB31" s="344"/>
      <c r="AC31" s="344"/>
      <c r="AD31" s="344"/>
      <c r="AE31" s="344"/>
      <c r="AF31" s="344"/>
      <c r="AG31" s="344"/>
      <c r="AH31" s="344"/>
    </row>
    <row r="32" spans="1:34" ht="23.25" customHeight="1" x14ac:dyDescent="0.35">
      <c r="A32" s="341">
        <v>2</v>
      </c>
      <c r="B32" s="341"/>
      <c r="C32" s="341" t="s">
        <v>66</v>
      </c>
      <c r="D32" s="341"/>
      <c r="E32" s="341"/>
      <c r="F32" s="341"/>
      <c r="G32" s="341"/>
      <c r="H32" s="341"/>
      <c r="I32" s="341" t="s">
        <v>66</v>
      </c>
      <c r="J32" s="341"/>
      <c r="K32" s="341"/>
      <c r="L32" s="341"/>
      <c r="M32" s="341" t="s">
        <v>66</v>
      </c>
      <c r="N32" s="341"/>
      <c r="O32" s="341"/>
      <c r="P32" s="341"/>
      <c r="Q32" s="341" t="s">
        <v>66</v>
      </c>
      <c r="R32" s="341"/>
      <c r="S32" s="341"/>
      <c r="T32" s="341"/>
      <c r="U32" s="341"/>
      <c r="V32" s="333" t="s">
        <v>66</v>
      </c>
      <c r="W32" s="342"/>
      <c r="X32" s="342"/>
      <c r="Y32" s="342"/>
      <c r="Z32" s="342"/>
      <c r="AA32" s="342"/>
      <c r="AB32" s="342"/>
      <c r="AC32" s="342"/>
      <c r="AD32" s="342"/>
      <c r="AE32" s="342"/>
      <c r="AF32" s="342"/>
      <c r="AG32" s="342"/>
      <c r="AH32" s="342"/>
    </row>
    <row r="33" spans="1:34" ht="7.5" customHeight="1" x14ac:dyDescent="0.3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spans="1:34" x14ac:dyDescent="0.35">
      <c r="A34" s="240" t="s">
        <v>112</v>
      </c>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40"/>
      <c r="AE34" s="240"/>
      <c r="AF34" s="240"/>
      <c r="AG34" s="240"/>
      <c r="AH34" s="240"/>
    </row>
    <row r="35" spans="1:34" ht="46.5" customHeight="1" x14ac:dyDescent="0.35">
      <c r="A35" s="339">
        <v>1</v>
      </c>
      <c r="B35" s="339"/>
      <c r="C35" s="340" t="s">
        <v>66</v>
      </c>
      <c r="D35" s="340"/>
      <c r="E35" s="340"/>
      <c r="F35" s="340"/>
      <c r="G35" s="340"/>
      <c r="H35" s="340"/>
      <c r="I35" s="340"/>
      <c r="J35" s="340"/>
      <c r="K35" s="340"/>
      <c r="L35" s="340"/>
      <c r="M35" s="340"/>
      <c r="N35" s="340"/>
      <c r="O35" s="340"/>
      <c r="P35" s="340"/>
      <c r="Q35" s="340"/>
      <c r="R35" s="340"/>
      <c r="S35" s="340"/>
      <c r="T35" s="340"/>
      <c r="U35" s="340"/>
      <c r="V35" s="340"/>
      <c r="W35" s="340"/>
      <c r="X35" s="340"/>
      <c r="Y35" s="340"/>
      <c r="Z35" s="340"/>
      <c r="AA35" s="340"/>
      <c r="AB35" s="340"/>
      <c r="AC35" s="340"/>
      <c r="AD35" s="340"/>
      <c r="AE35" s="340"/>
      <c r="AF35" s="340"/>
      <c r="AG35" s="340"/>
      <c r="AH35" s="340"/>
    </row>
    <row r="36" spans="1:34" ht="26.25" customHeight="1" x14ac:dyDescent="0.35">
      <c r="A36" s="332">
        <v>2</v>
      </c>
      <c r="B36" s="332"/>
      <c r="C36" s="333" t="s">
        <v>66</v>
      </c>
      <c r="D36" s="333"/>
      <c r="E36" s="333"/>
      <c r="F36" s="333"/>
      <c r="G36" s="333"/>
      <c r="H36" s="333"/>
      <c r="I36" s="333"/>
      <c r="J36" s="333"/>
      <c r="K36" s="333"/>
      <c r="L36" s="333"/>
      <c r="M36" s="333"/>
      <c r="N36" s="333"/>
      <c r="O36" s="333"/>
      <c r="P36" s="333"/>
      <c r="Q36" s="333"/>
      <c r="R36" s="333"/>
      <c r="S36" s="333"/>
      <c r="T36" s="333"/>
      <c r="U36" s="333"/>
      <c r="V36" s="333"/>
      <c r="W36" s="333"/>
      <c r="X36" s="333"/>
      <c r="Y36" s="333"/>
      <c r="Z36" s="333"/>
      <c r="AA36" s="333"/>
      <c r="AB36" s="333"/>
      <c r="AC36" s="333"/>
      <c r="AD36" s="333"/>
      <c r="AE36" s="333"/>
      <c r="AF36" s="333"/>
      <c r="AG36" s="333"/>
      <c r="AH36" s="333"/>
    </row>
    <row r="37" spans="1:34" ht="26.25" customHeight="1" x14ac:dyDescent="0.35">
      <c r="A37" s="332">
        <v>3</v>
      </c>
      <c r="B37" s="332"/>
      <c r="C37" s="333" t="s">
        <v>66</v>
      </c>
      <c r="D37" s="333"/>
      <c r="E37" s="333"/>
      <c r="F37" s="333"/>
      <c r="G37" s="333"/>
      <c r="H37" s="333"/>
      <c r="I37" s="333"/>
      <c r="J37" s="333"/>
      <c r="K37" s="333"/>
      <c r="L37" s="333"/>
      <c r="M37" s="333"/>
      <c r="N37" s="333"/>
      <c r="O37" s="333"/>
      <c r="P37" s="333"/>
      <c r="Q37" s="333"/>
      <c r="R37" s="333"/>
      <c r="S37" s="333"/>
      <c r="T37" s="333"/>
      <c r="U37" s="333"/>
      <c r="V37" s="333"/>
      <c r="W37" s="333"/>
      <c r="X37" s="333"/>
      <c r="Y37" s="333"/>
      <c r="Z37" s="333"/>
      <c r="AA37" s="333"/>
      <c r="AB37" s="333"/>
      <c r="AC37" s="333"/>
      <c r="AD37" s="333"/>
      <c r="AE37" s="333"/>
      <c r="AF37" s="333"/>
      <c r="AG37" s="333"/>
      <c r="AH37" s="333"/>
    </row>
    <row r="38" spans="1:34" ht="26.25" customHeight="1" x14ac:dyDescent="0.35">
      <c r="A38" s="332">
        <v>4</v>
      </c>
      <c r="B38" s="332"/>
      <c r="C38" s="333" t="s">
        <v>66</v>
      </c>
      <c r="D38" s="333"/>
      <c r="E38" s="333"/>
      <c r="F38" s="333"/>
      <c r="G38" s="333"/>
      <c r="H38" s="333"/>
      <c r="I38" s="333"/>
      <c r="J38" s="333"/>
      <c r="K38" s="333"/>
      <c r="L38" s="333"/>
      <c r="M38" s="333"/>
      <c r="N38" s="333"/>
      <c r="O38" s="333"/>
      <c r="P38" s="333"/>
      <c r="Q38" s="333"/>
      <c r="R38" s="333"/>
      <c r="S38" s="333"/>
      <c r="T38" s="333"/>
      <c r="U38" s="333"/>
      <c r="V38" s="333"/>
      <c r="W38" s="333"/>
      <c r="X38" s="333"/>
      <c r="Y38" s="333"/>
      <c r="Z38" s="333"/>
      <c r="AA38" s="333"/>
      <c r="AB38" s="333"/>
      <c r="AC38" s="333"/>
      <c r="AD38" s="333"/>
      <c r="AE38" s="333"/>
      <c r="AF38" s="333"/>
      <c r="AG38" s="333"/>
      <c r="AH38" s="333"/>
    </row>
    <row r="39" spans="1:34" ht="26.25" customHeight="1" x14ac:dyDescent="0.35">
      <c r="A39" s="332">
        <v>5</v>
      </c>
      <c r="B39" s="332"/>
      <c r="C39" s="333" t="s">
        <v>66</v>
      </c>
      <c r="D39" s="333"/>
      <c r="E39" s="333"/>
      <c r="F39" s="333"/>
      <c r="G39" s="333"/>
      <c r="H39" s="333"/>
      <c r="I39" s="333"/>
      <c r="J39" s="333"/>
      <c r="K39" s="333"/>
      <c r="L39" s="333"/>
      <c r="M39" s="333"/>
      <c r="N39" s="333"/>
      <c r="O39" s="333"/>
      <c r="P39" s="333"/>
      <c r="Q39" s="333"/>
      <c r="R39" s="333"/>
      <c r="S39" s="333"/>
      <c r="T39" s="333"/>
      <c r="U39" s="333"/>
      <c r="V39" s="333"/>
      <c r="W39" s="333"/>
      <c r="X39" s="333"/>
      <c r="Y39" s="333"/>
      <c r="Z39" s="333"/>
      <c r="AA39" s="333"/>
      <c r="AB39" s="333"/>
      <c r="AC39" s="333"/>
      <c r="AD39" s="333"/>
      <c r="AE39" s="333"/>
      <c r="AF39" s="333"/>
      <c r="AG39" s="333"/>
      <c r="AH39" s="333"/>
    </row>
    <row r="40" spans="1:34" ht="7.5" customHeight="1" x14ac:dyDescent="0.35">
      <c r="A40" s="334"/>
      <c r="B40" s="334"/>
      <c r="C40" s="334"/>
      <c r="D40" s="334"/>
      <c r="E40" s="334"/>
      <c r="F40" s="334"/>
      <c r="G40" s="334"/>
      <c r="H40" s="334"/>
      <c r="I40" s="334"/>
      <c r="J40" s="334"/>
      <c r="K40" s="334"/>
      <c r="L40" s="334"/>
      <c r="M40" s="334"/>
      <c r="N40" s="334"/>
      <c r="O40" s="334"/>
      <c r="P40" s="334"/>
      <c r="Q40" s="334"/>
      <c r="R40" s="334"/>
      <c r="S40" s="334"/>
      <c r="T40" s="334"/>
      <c r="U40" s="334"/>
      <c r="V40" s="334"/>
      <c r="W40" s="334"/>
      <c r="X40" s="334"/>
      <c r="Y40" s="334"/>
      <c r="Z40" s="334"/>
      <c r="AA40" s="334"/>
      <c r="AB40" s="334"/>
      <c r="AC40" s="334"/>
      <c r="AD40" s="334"/>
      <c r="AE40" s="334"/>
      <c r="AF40" s="334"/>
      <c r="AG40" s="334"/>
      <c r="AH40" s="334"/>
    </row>
    <row r="41" spans="1:34" x14ac:dyDescent="0.35">
      <c r="A41" s="335" t="str">
        <f>$A$4</f>
        <v>FALTA FRECUENCIA DE CANAL</v>
      </c>
      <c r="B41" s="335"/>
      <c r="C41" s="335"/>
      <c r="D41" s="335"/>
      <c r="E41" s="335"/>
      <c r="F41" s="335"/>
      <c r="G41" s="335"/>
      <c r="H41" s="335"/>
      <c r="I41" s="335"/>
      <c r="J41" s="335"/>
      <c r="K41" s="335"/>
      <c r="L41" s="335"/>
      <c r="M41" s="335"/>
      <c r="N41" s="335"/>
      <c r="O41" s="335"/>
      <c r="P41" s="335"/>
      <c r="Q41" s="335"/>
      <c r="R41" s="335"/>
      <c r="S41" s="335"/>
      <c r="T41" s="335"/>
      <c r="U41" s="335"/>
      <c r="V41" s="335"/>
      <c r="W41" s="335"/>
      <c r="X41" s="335"/>
      <c r="Y41" s="335"/>
      <c r="Z41" s="335"/>
      <c r="AA41" s="335"/>
      <c r="AB41" s="335"/>
      <c r="AC41" s="335"/>
      <c r="AD41" s="335"/>
      <c r="AE41" s="335"/>
      <c r="AF41" s="335"/>
      <c r="AG41" s="335"/>
      <c r="AH41" s="335"/>
    </row>
    <row r="42" spans="1:34" ht="7.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x14ac:dyDescent="0.35">
      <c r="A43" s="233"/>
      <c r="B43" s="234"/>
      <c r="C43" s="234"/>
      <c r="D43" s="234"/>
      <c r="E43" s="234"/>
      <c r="F43" s="234"/>
      <c r="G43" s="234"/>
      <c r="H43" s="234"/>
      <c r="I43" s="234"/>
      <c r="J43" s="234"/>
      <c r="K43" s="234"/>
      <c r="L43" s="235"/>
      <c r="M43" s="233" t="s">
        <v>113</v>
      </c>
      <c r="N43" s="234"/>
      <c r="O43" s="234"/>
      <c r="P43" s="234"/>
      <c r="Q43" s="234"/>
      <c r="R43" s="234"/>
      <c r="S43" s="234"/>
      <c r="T43" s="234"/>
      <c r="U43" s="234"/>
      <c r="V43" s="234"/>
      <c r="W43" s="234"/>
      <c r="X43" s="234"/>
      <c r="Y43" s="235"/>
      <c r="Z43" s="336"/>
      <c r="AA43" s="337"/>
      <c r="AB43" s="337"/>
      <c r="AC43" s="337"/>
      <c r="AD43" s="337"/>
      <c r="AE43" s="337"/>
      <c r="AF43" s="337"/>
      <c r="AG43" s="337"/>
      <c r="AH43" s="338"/>
    </row>
    <row r="44" spans="1:34" ht="15" customHeight="1" x14ac:dyDescent="0.35">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row>
    <row r="45" spans="1:34" ht="15" customHeight="1" x14ac:dyDescent="0.35">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row>
    <row r="46" spans="1:34" ht="15" customHeight="1" x14ac:dyDescent="0.35">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row>
    <row r="47" spans="1:34" ht="15" customHeight="1" x14ac:dyDescent="0.35">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row>
    <row r="48" spans="1:34" ht="15" customHeight="1" x14ac:dyDescent="0.35">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row>
    <row r="49" spans="1:34" ht="15" customHeight="1" x14ac:dyDescent="0.35">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row>
    <row r="50" spans="1:34" ht="15" customHeight="1" x14ac:dyDescent="0.35">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row>
    <row r="51" spans="1:34" ht="15" customHeight="1" x14ac:dyDescent="0.35">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row>
    <row r="52" spans="1:34" ht="15" customHeight="1" x14ac:dyDescent="0.35">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row>
    <row r="53" spans="1:34" ht="15" customHeight="1" x14ac:dyDescent="0.35">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row>
    <row r="54" spans="1:34" ht="15" customHeight="1" x14ac:dyDescent="0.35">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row>
    <row r="55" spans="1:34" ht="15" customHeight="1" x14ac:dyDescent="0.35">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row>
    <row r="56" spans="1:34" ht="15" customHeight="1" x14ac:dyDescent="0.35">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row>
    <row r="57" spans="1:34" ht="15" customHeight="1" x14ac:dyDescent="0.35">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row>
    <row r="58" spans="1:34" ht="15" customHeight="1" x14ac:dyDescent="0.35">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row>
    <row r="59" spans="1:34" ht="15" customHeight="1" x14ac:dyDescent="0.35">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row>
    <row r="60" spans="1:34" ht="15" customHeight="1" x14ac:dyDescent="0.35">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row>
    <row r="61" spans="1:34" x14ac:dyDescent="0.35">
      <c r="A61" s="240" t="s">
        <v>114</v>
      </c>
      <c r="B61" s="240"/>
      <c r="C61" s="240"/>
      <c r="D61" s="240"/>
      <c r="E61" s="240"/>
      <c r="F61" s="240"/>
      <c r="G61" s="240"/>
      <c r="H61" s="240"/>
      <c r="I61" s="240"/>
      <c r="J61" s="240"/>
      <c r="K61" s="240"/>
      <c r="L61" s="240"/>
      <c r="M61" s="240" t="s">
        <v>115</v>
      </c>
      <c r="N61" s="240"/>
      <c r="O61" s="240"/>
      <c r="P61" s="240"/>
      <c r="Q61" s="240"/>
      <c r="R61" s="240"/>
      <c r="S61" s="240"/>
      <c r="T61" s="240"/>
      <c r="U61" s="240"/>
      <c r="V61" s="240"/>
      <c r="W61" s="240"/>
      <c r="X61" s="240"/>
      <c r="Y61" s="240"/>
      <c r="Z61" s="240" t="s">
        <v>116</v>
      </c>
      <c r="AA61" s="240"/>
      <c r="AB61" s="240"/>
      <c r="AC61" s="240"/>
      <c r="AD61" s="240"/>
      <c r="AE61" s="240"/>
      <c r="AF61" s="240"/>
      <c r="AG61" s="240"/>
      <c r="AH61" s="240"/>
    </row>
    <row r="62" spans="1:34" x14ac:dyDescent="0.35">
      <c r="A62" s="165"/>
      <c r="B62" s="165"/>
      <c r="C62" s="165"/>
      <c r="D62" s="165"/>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row>
    <row r="63" spans="1:34"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 customHeight="1" x14ac:dyDescent="0.35">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c r="AA64" s="218"/>
      <c r="AB64" s="218"/>
      <c r="AC64" s="218"/>
      <c r="AD64" s="218"/>
      <c r="AE64" s="218"/>
      <c r="AF64" s="218"/>
      <c r="AG64" s="218"/>
      <c r="AH64" s="218"/>
    </row>
    <row r="65" spans="1:34" ht="15" customHeight="1" x14ac:dyDescent="0.35">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c r="AA65" s="218"/>
      <c r="AB65" s="218"/>
      <c r="AC65" s="218"/>
      <c r="AD65" s="218"/>
      <c r="AE65" s="218"/>
      <c r="AF65" s="218"/>
      <c r="AG65" s="218"/>
      <c r="AH65" s="218"/>
    </row>
    <row r="66" spans="1:34" ht="15" customHeight="1" x14ac:dyDescent="0.35">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c r="AA66" s="218"/>
      <c r="AB66" s="218"/>
      <c r="AC66" s="218"/>
      <c r="AD66" s="218"/>
      <c r="AE66" s="218"/>
      <c r="AF66" s="218"/>
      <c r="AG66" s="218"/>
      <c r="AH66" s="218"/>
    </row>
    <row r="67" spans="1:34" ht="15" customHeight="1" x14ac:dyDescent="0.35">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c r="AA67" s="218"/>
      <c r="AB67" s="218"/>
      <c r="AC67" s="218"/>
      <c r="AD67" s="218"/>
      <c r="AE67" s="218"/>
      <c r="AF67" s="218"/>
      <c r="AG67" s="218"/>
      <c r="AH67" s="218"/>
    </row>
    <row r="68" spans="1:34" ht="15" customHeight="1" x14ac:dyDescent="0.35">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c r="AA68" s="218"/>
      <c r="AB68" s="218"/>
      <c r="AC68" s="218"/>
      <c r="AD68" s="218"/>
      <c r="AE68" s="218"/>
      <c r="AF68" s="218"/>
      <c r="AG68" s="218"/>
      <c r="AH68" s="218"/>
    </row>
    <row r="69" spans="1:34" ht="15" customHeight="1" x14ac:dyDescent="0.35">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c r="AA69" s="218"/>
      <c r="AB69" s="218"/>
      <c r="AC69" s="218"/>
      <c r="AD69" s="218"/>
      <c r="AE69" s="218"/>
      <c r="AF69" s="218"/>
      <c r="AG69" s="218"/>
      <c r="AH69" s="218"/>
    </row>
    <row r="70" spans="1:34" ht="15" customHeight="1" x14ac:dyDescent="0.35">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c r="AA70" s="218"/>
      <c r="AB70" s="218"/>
      <c r="AC70" s="218"/>
      <c r="AD70" s="218"/>
      <c r="AE70" s="218"/>
      <c r="AF70" s="218"/>
      <c r="AG70" s="218"/>
      <c r="AH70" s="218"/>
    </row>
    <row r="71" spans="1:34" ht="15" customHeight="1" x14ac:dyDescent="0.35">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c r="AA71" s="218"/>
      <c r="AB71" s="218"/>
      <c r="AC71" s="218"/>
      <c r="AD71" s="218"/>
      <c r="AE71" s="218"/>
      <c r="AF71" s="218"/>
      <c r="AG71" s="218"/>
      <c r="AH71" s="218"/>
    </row>
    <row r="72" spans="1:34" ht="15" customHeight="1" x14ac:dyDescent="0.35">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c r="AA72" s="218"/>
      <c r="AB72" s="218"/>
      <c r="AC72" s="218"/>
      <c r="AD72" s="218"/>
      <c r="AE72" s="218"/>
      <c r="AF72" s="218"/>
      <c r="AG72" s="218"/>
      <c r="AH72" s="218"/>
    </row>
    <row r="73" spans="1:34" ht="15" customHeight="1" x14ac:dyDescent="0.35">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c r="AA73" s="218"/>
      <c r="AB73" s="218"/>
      <c r="AC73" s="218"/>
      <c r="AD73" s="218"/>
      <c r="AE73" s="218"/>
      <c r="AF73" s="218"/>
      <c r="AG73" s="218"/>
      <c r="AH73" s="218"/>
    </row>
    <row r="74" spans="1:34" ht="15" customHeight="1" x14ac:dyDescent="0.35">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c r="AA74" s="218"/>
      <c r="AB74" s="218"/>
      <c r="AC74" s="218"/>
      <c r="AD74" s="218"/>
      <c r="AE74" s="218"/>
      <c r="AF74" s="218"/>
      <c r="AG74" s="218"/>
      <c r="AH74" s="218"/>
    </row>
    <row r="75" spans="1:34" ht="15" customHeight="1" x14ac:dyDescent="0.35">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c r="AA75" s="218"/>
      <c r="AB75" s="218"/>
      <c r="AC75" s="218"/>
      <c r="AD75" s="218"/>
      <c r="AE75" s="218"/>
      <c r="AF75" s="218"/>
      <c r="AG75" s="218"/>
      <c r="AH75" s="218"/>
    </row>
    <row r="76" spans="1:34" ht="15" customHeight="1" x14ac:dyDescent="0.35">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c r="AA76" s="218"/>
      <c r="AB76" s="218"/>
      <c r="AC76" s="218"/>
      <c r="AD76" s="218"/>
      <c r="AE76" s="218"/>
      <c r="AF76" s="218"/>
      <c r="AG76" s="218"/>
      <c r="AH76" s="218"/>
    </row>
    <row r="77" spans="1:34" ht="15" customHeight="1" x14ac:dyDescent="0.35">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c r="AA77" s="218"/>
      <c r="AB77" s="218"/>
      <c r="AC77" s="218"/>
      <c r="AD77" s="218"/>
      <c r="AE77" s="218"/>
      <c r="AF77" s="218"/>
      <c r="AG77" s="218"/>
      <c r="AH77" s="218"/>
    </row>
    <row r="78" spans="1:34" ht="15" customHeight="1" x14ac:dyDescent="0.35">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c r="AA78" s="218"/>
      <c r="AB78" s="218"/>
      <c r="AC78" s="218"/>
      <c r="AD78" s="218"/>
      <c r="AE78" s="218"/>
      <c r="AF78" s="218"/>
      <c r="AG78" s="218"/>
      <c r="AH78" s="218"/>
    </row>
    <row r="79" spans="1:34" ht="15" customHeight="1" x14ac:dyDescent="0.35">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c r="AA79" s="218"/>
      <c r="AB79" s="218"/>
      <c r="AC79" s="218"/>
      <c r="AD79" s="218"/>
      <c r="AE79" s="218"/>
      <c r="AF79" s="218"/>
      <c r="AG79" s="218"/>
      <c r="AH79" s="218"/>
    </row>
    <row r="80" spans="1:34" ht="15" customHeight="1" x14ac:dyDescent="0.35">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c r="AA80" s="218"/>
      <c r="AB80" s="218"/>
      <c r="AC80" s="218"/>
      <c r="AD80" s="218"/>
      <c r="AE80" s="218"/>
      <c r="AF80" s="218"/>
      <c r="AG80" s="218"/>
      <c r="AH80" s="218"/>
    </row>
    <row r="81" spans="1:34" x14ac:dyDescent="0.35">
      <c r="A81" s="331" t="s">
        <v>117</v>
      </c>
      <c r="B81" s="331"/>
      <c r="C81" s="331"/>
      <c r="D81" s="331"/>
      <c r="E81" s="331"/>
      <c r="F81" s="331"/>
      <c r="G81" s="331"/>
      <c r="H81" s="331"/>
      <c r="I81" s="331"/>
      <c r="J81" s="331"/>
      <c r="K81" s="331"/>
      <c r="L81" s="331"/>
      <c r="M81" s="240" t="s">
        <v>118</v>
      </c>
      <c r="N81" s="240"/>
      <c r="O81" s="240"/>
      <c r="P81" s="240"/>
      <c r="Q81" s="240"/>
      <c r="R81" s="240"/>
      <c r="S81" s="240"/>
      <c r="T81" s="240"/>
      <c r="U81" s="240"/>
      <c r="V81" s="240"/>
      <c r="W81" s="240"/>
      <c r="X81" s="240"/>
      <c r="Y81" s="240"/>
      <c r="Z81" s="331" t="s">
        <v>119</v>
      </c>
      <c r="AA81" s="331"/>
      <c r="AB81" s="331"/>
      <c r="AC81" s="331"/>
      <c r="AD81" s="331"/>
      <c r="AE81" s="331"/>
      <c r="AF81" s="331"/>
      <c r="AG81" s="331"/>
      <c r="AH81" s="331"/>
    </row>
    <row r="82" spans="1:34" x14ac:dyDescent="0.35">
      <c r="A82" s="330"/>
      <c r="B82" s="330"/>
      <c r="C82" s="330"/>
      <c r="D82" s="330"/>
      <c r="E82" s="330"/>
      <c r="F82" s="330"/>
      <c r="G82" s="330"/>
      <c r="H82" s="330"/>
      <c r="I82" s="330"/>
      <c r="J82" s="330"/>
      <c r="K82" s="330"/>
      <c r="L82" s="330"/>
      <c r="M82" s="330"/>
      <c r="N82" s="330"/>
      <c r="O82" s="330"/>
      <c r="P82" s="330"/>
      <c r="Q82" s="330"/>
      <c r="R82" s="330"/>
      <c r="S82" s="330"/>
      <c r="T82" s="330"/>
      <c r="U82" s="330"/>
      <c r="V82" s="330"/>
      <c r="W82" s="330"/>
      <c r="X82" s="330"/>
      <c r="Y82" s="330"/>
      <c r="Z82" s="330"/>
      <c r="AA82" s="330"/>
      <c r="AB82" s="330"/>
      <c r="AC82" s="330"/>
      <c r="AD82" s="330"/>
      <c r="AE82" s="330"/>
      <c r="AF82" s="330"/>
      <c r="AG82" s="330"/>
      <c r="AH82" s="330"/>
    </row>
    <row r="83" spans="1:34" x14ac:dyDescent="0.35">
      <c r="A83" s="307" t="str">
        <f>$A$4</f>
        <v>FALTA FRECUENCIA DE CANAL</v>
      </c>
      <c r="B83" s="307"/>
      <c r="C83" s="307"/>
      <c r="D83" s="307"/>
      <c r="E83" s="307"/>
      <c r="F83" s="307"/>
      <c r="G83" s="307"/>
      <c r="H83" s="307"/>
      <c r="I83" s="307"/>
      <c r="J83" s="307"/>
      <c r="K83" s="307"/>
      <c r="L83" s="307"/>
      <c r="M83" s="307"/>
      <c r="N83" s="307"/>
      <c r="O83" s="307"/>
      <c r="P83" s="307"/>
      <c r="Q83" s="307"/>
      <c r="R83" s="307"/>
      <c r="S83" s="307"/>
      <c r="T83" s="307"/>
      <c r="U83" s="307"/>
      <c r="V83" s="307"/>
      <c r="W83" s="307"/>
      <c r="X83" s="307"/>
      <c r="Y83" s="307"/>
      <c r="Z83" s="307"/>
      <c r="AA83" s="307"/>
      <c r="AB83" s="307"/>
      <c r="AC83" s="307"/>
      <c r="AD83" s="307"/>
      <c r="AE83" s="307"/>
      <c r="AF83" s="307"/>
      <c r="AG83" s="307"/>
      <c r="AH83" s="307"/>
    </row>
    <row r="84" spans="1:34" ht="10.5" customHeight="1" x14ac:dyDescent="0.35">
      <c r="A84" s="8"/>
      <c r="B84" s="8"/>
      <c r="C84" s="8"/>
      <c r="D84" s="8"/>
      <c r="E84" s="8"/>
      <c r="F84" s="8"/>
      <c r="G84" s="8"/>
      <c r="H84" s="8"/>
      <c r="I84" s="8"/>
      <c r="J84" s="8"/>
      <c r="K84" s="8"/>
      <c r="L84" s="8"/>
      <c r="M84" s="8"/>
      <c r="N84" s="8"/>
      <c r="O84" s="8"/>
      <c r="P84" s="61" t="e">
        <f>INDEX('Información Gral'!$A$20:$AI$27,MATCH(A8,'Información Gral'!$A$20:$A$27,0),26)</f>
        <v>#N/A</v>
      </c>
      <c r="Q84" s="61"/>
      <c r="R84" s="61" t="e">
        <f>INDEX('Información Gral'!$A$20:$AI$27,MATCH(A8,'Información Gral'!$A$20:$A$27,0),25)</f>
        <v>#N/A</v>
      </c>
      <c r="S84" s="8"/>
      <c r="T84" s="8"/>
      <c r="U84" s="8"/>
      <c r="V84" s="8"/>
      <c r="W84" s="8"/>
      <c r="X84" s="8"/>
      <c r="Y84" s="8"/>
      <c r="Z84" s="8"/>
      <c r="AA84" s="8"/>
      <c r="AB84" s="8"/>
      <c r="AC84" s="8"/>
      <c r="AD84" s="8"/>
      <c r="AE84" s="8"/>
      <c r="AF84" s="8"/>
      <c r="AG84" s="8"/>
      <c r="AH84" s="8"/>
    </row>
    <row r="85" spans="1:34" x14ac:dyDescent="0.35">
      <c r="A85" s="240" t="s">
        <v>120</v>
      </c>
      <c r="B85" s="240"/>
      <c r="C85" s="240"/>
      <c r="D85" s="240"/>
      <c r="E85" s="240"/>
      <c r="F85" s="240"/>
      <c r="G85" s="240"/>
      <c r="H85" s="240"/>
      <c r="I85" s="240"/>
      <c r="J85" s="240"/>
      <c r="K85" s="240"/>
      <c r="L85" s="240"/>
      <c r="M85" s="240"/>
      <c r="N85" s="240"/>
      <c r="O85" s="240"/>
      <c r="P85" s="240"/>
      <c r="Q85" s="240"/>
      <c r="R85" s="240"/>
      <c r="S85" s="240"/>
      <c r="T85" s="240"/>
      <c r="U85" s="240"/>
      <c r="V85" s="240"/>
      <c r="W85" s="240"/>
      <c r="X85" s="240"/>
      <c r="Y85" s="240"/>
      <c r="Z85" s="240"/>
      <c r="AA85" s="240"/>
      <c r="AB85" s="240"/>
      <c r="AC85" s="240"/>
      <c r="AD85" s="240"/>
      <c r="AE85" s="240"/>
      <c r="AF85" s="240"/>
      <c r="AG85" s="240"/>
      <c r="AH85" s="240"/>
    </row>
    <row r="86" spans="1:34" ht="48" customHeight="1" x14ac:dyDescent="0.35">
      <c r="A86" s="240" t="s">
        <v>121</v>
      </c>
      <c r="B86" s="240"/>
      <c r="C86" s="240"/>
      <c r="D86" s="240"/>
      <c r="E86" s="240"/>
      <c r="F86" s="240"/>
      <c r="G86" s="240"/>
      <c r="H86" s="240"/>
      <c r="I86" s="240"/>
      <c r="J86" s="240" t="s">
        <v>122</v>
      </c>
      <c r="K86" s="240"/>
      <c r="L86" s="240"/>
      <c r="M86" s="240"/>
      <c r="N86" s="240"/>
      <c r="O86" s="240"/>
      <c r="P86" s="264" t="s">
        <v>123</v>
      </c>
      <c r="Q86" s="264"/>
      <c r="R86" s="264"/>
      <c r="S86" s="264"/>
      <c r="T86" s="264" t="s">
        <v>124</v>
      </c>
      <c r="U86" s="264"/>
      <c r="V86" s="264"/>
      <c r="W86" s="264"/>
      <c r="X86" s="264" t="s">
        <v>125</v>
      </c>
      <c r="Y86" s="264"/>
      <c r="Z86" s="264"/>
      <c r="AA86" s="264"/>
      <c r="AB86" s="199" t="s">
        <v>126</v>
      </c>
      <c r="AC86" s="200"/>
      <c r="AD86" s="200"/>
      <c r="AE86" s="200"/>
      <c r="AF86" s="200"/>
      <c r="AG86" s="200"/>
      <c r="AH86" s="200"/>
    </row>
    <row r="87" spans="1:34" ht="51" customHeight="1" x14ac:dyDescent="0.35">
      <c r="A87" s="326" t="s">
        <v>127</v>
      </c>
      <c r="B87" s="326"/>
      <c r="C87" s="326"/>
      <c r="D87" s="326"/>
      <c r="E87" s="326"/>
      <c r="F87" s="326"/>
      <c r="G87" s="326"/>
      <c r="H87" s="326"/>
      <c r="I87" s="326"/>
      <c r="J87" s="327" t="str">
        <f>CONCATENATE("Estudio técnico"," ",I9," ","estación"," ", A8)</f>
        <v xml:space="preserve">Estudio técnico CARACOL estación </v>
      </c>
      <c r="K87" s="327"/>
      <c r="L87" s="327"/>
      <c r="M87" s="327"/>
      <c r="N87" s="327"/>
      <c r="O87" s="327"/>
      <c r="P87" s="328" t="str">
        <f xml:space="preserve"> IFERROR(IF(
         OR(
             I9="CARACOL", I9="RCN",I9="RTVC",I9="CITYTV"),P84,R84),"NA")</f>
        <v>NA</v>
      </c>
      <c r="Q87" s="328"/>
      <c r="R87" s="328"/>
      <c r="S87" s="328"/>
      <c r="T87" s="328">
        <f>$L$19</f>
        <v>0</v>
      </c>
      <c r="U87" s="328"/>
      <c r="V87" s="328"/>
      <c r="W87" s="328"/>
      <c r="X87" s="328" t="str">
        <f>IF(T87&gt;=P87,"CUMPLE","NO CUMPLE")</f>
        <v>NO CUMPLE</v>
      </c>
      <c r="Y87" s="328"/>
      <c r="Z87" s="328"/>
      <c r="AA87" s="328"/>
      <c r="AB87" s="329" t="s">
        <v>66</v>
      </c>
      <c r="AC87" s="329"/>
      <c r="AD87" s="329"/>
      <c r="AE87" s="329"/>
      <c r="AF87" s="329"/>
      <c r="AG87" s="329"/>
      <c r="AH87" s="329"/>
    </row>
    <row r="88" spans="1:34" ht="51" customHeight="1" x14ac:dyDescent="0.35">
      <c r="A88" s="323" t="s">
        <v>128</v>
      </c>
      <c r="B88" s="323"/>
      <c r="C88" s="323"/>
      <c r="D88" s="323"/>
      <c r="E88" s="323"/>
      <c r="F88" s="323"/>
      <c r="G88" s="323"/>
      <c r="H88" s="323"/>
      <c r="I88" s="323"/>
      <c r="J88" s="320" t="str">
        <f>IFERROR(INDEX(RESOLUCIONES[],MATCH(A8&amp;I9,LLAVE_X_RES,0),6),"VERIFIQUE ESTACIÓN Y OPERADOR")</f>
        <v>VERIFIQUE ESTACIÓN Y OPERADOR</v>
      </c>
      <c r="K88" s="320"/>
      <c r="L88" s="320"/>
      <c r="M88" s="320"/>
      <c r="N88" s="320"/>
      <c r="O88" s="320"/>
      <c r="P88" s="318" t="str">
        <f>IFERROR(INDEX(referencias!$AH$5:$BK$38,(MATCH(I9,referencias!$AH$5:$AH$38,0)),22),"NA")</f>
        <v>64QAM</v>
      </c>
      <c r="Q88" s="318"/>
      <c r="R88" s="318"/>
      <c r="S88" s="318"/>
      <c r="T88" s="318">
        <f>$V$19</f>
        <v>0</v>
      </c>
      <c r="U88" s="318"/>
      <c r="V88" s="318"/>
      <c r="W88" s="318"/>
      <c r="X88" s="318" t="str">
        <f>IF(OR(T88="ND",T88="NA",T88=0),"NA",IF(T88=P88,"CUMPLE","NO CUMPLE"))</f>
        <v>NA</v>
      </c>
      <c r="Y88" s="318"/>
      <c r="Z88" s="318"/>
      <c r="AA88" s="318"/>
      <c r="AB88" s="319" t="s">
        <v>66</v>
      </c>
      <c r="AC88" s="319"/>
      <c r="AD88" s="319"/>
      <c r="AE88" s="319"/>
      <c r="AF88" s="319"/>
      <c r="AG88" s="319"/>
      <c r="AH88" s="319"/>
    </row>
    <row r="89" spans="1:34" ht="51" customHeight="1" x14ac:dyDescent="0.35">
      <c r="A89" s="323" t="s">
        <v>15</v>
      </c>
      <c r="B89" s="323"/>
      <c r="C89" s="323"/>
      <c r="D89" s="323"/>
      <c r="E89" s="323"/>
      <c r="F89" s="323"/>
      <c r="G89" s="323"/>
      <c r="H89" s="323"/>
      <c r="I89" s="323"/>
      <c r="J89" s="320" t="str">
        <f>J88</f>
        <v>VERIFIQUE ESTACIÓN Y OPERADOR</v>
      </c>
      <c r="K89" s="320"/>
      <c r="L89" s="320"/>
      <c r="M89" s="320"/>
      <c r="N89" s="320"/>
      <c r="O89" s="320"/>
      <c r="P89" s="322" t="str">
        <f>IFERROR(INDEX(referencias!$AH$5:$BK$38,(MATCH(I9,referencias!$AH$5:$AH$38,0)),24),"NA")</f>
        <v>3/4</v>
      </c>
      <c r="Q89" s="322"/>
      <c r="R89" s="322"/>
      <c r="S89" s="322"/>
      <c r="T89" s="325" t="str">
        <f>$Y$19</f>
        <v>ND</v>
      </c>
      <c r="U89" s="324"/>
      <c r="V89" s="324"/>
      <c r="W89" s="324"/>
      <c r="X89" s="322" t="str">
        <f>IF(OR(T89="ND",T89="NA",T89=0),"NA",IF(T89=P89,"CUMPLE","NO CUMPLE"))</f>
        <v>NA</v>
      </c>
      <c r="Y89" s="322"/>
      <c r="Z89" s="322"/>
      <c r="AA89" s="322"/>
      <c r="AB89" s="319" t="s">
        <v>66</v>
      </c>
      <c r="AC89" s="319"/>
      <c r="AD89" s="319"/>
      <c r="AE89" s="319"/>
      <c r="AF89" s="319"/>
      <c r="AG89" s="319"/>
      <c r="AH89" s="319"/>
    </row>
    <row r="90" spans="1:34" ht="51" customHeight="1" x14ac:dyDescent="0.35">
      <c r="A90" s="323" t="s">
        <v>16</v>
      </c>
      <c r="B90" s="323"/>
      <c r="C90" s="323"/>
      <c r="D90" s="323"/>
      <c r="E90" s="323"/>
      <c r="F90" s="323"/>
      <c r="G90" s="323"/>
      <c r="H90" s="323"/>
      <c r="I90" s="323"/>
      <c r="J90" s="320" t="str">
        <f>J88</f>
        <v>VERIFIQUE ESTACIÓN Y OPERADOR</v>
      </c>
      <c r="K90" s="320"/>
      <c r="L90" s="320"/>
      <c r="M90" s="320"/>
      <c r="N90" s="320"/>
      <c r="O90" s="320"/>
      <c r="P90" s="318" t="str">
        <f>IFERROR(INDEX(referencias!$AH$5:$BK$38,(MATCH(I9,referencias!$AH$5:$AH$38,0)),26),"NA")</f>
        <v>16k ext</v>
      </c>
      <c r="Q90" s="318"/>
      <c r="R90" s="318"/>
      <c r="S90" s="318"/>
      <c r="T90" s="318">
        <f>$AA$19</f>
        <v>0</v>
      </c>
      <c r="U90" s="318"/>
      <c r="V90" s="318"/>
      <c r="W90" s="318"/>
      <c r="X90" s="322" t="str">
        <f>IF(OR(T90="ND",T90="NA",T90=0),"NA",IF(T90=P90,"CUMPLE","NO CUMPLE"))</f>
        <v>NA</v>
      </c>
      <c r="Y90" s="322"/>
      <c r="Z90" s="322"/>
      <c r="AA90" s="322"/>
      <c r="AB90" s="319" t="s">
        <v>66</v>
      </c>
      <c r="AC90" s="319"/>
      <c r="AD90" s="319"/>
      <c r="AE90" s="319"/>
      <c r="AF90" s="319"/>
      <c r="AG90" s="319"/>
      <c r="AH90" s="319"/>
    </row>
    <row r="91" spans="1:34" ht="51" customHeight="1" x14ac:dyDescent="0.35">
      <c r="A91" s="323" t="s">
        <v>129</v>
      </c>
      <c r="B91" s="323"/>
      <c r="C91" s="323"/>
      <c r="D91" s="323"/>
      <c r="E91" s="323"/>
      <c r="F91" s="323"/>
      <c r="G91" s="323"/>
      <c r="H91" s="323"/>
      <c r="I91" s="323"/>
      <c r="J91" s="320" t="str">
        <f>J88</f>
        <v>VERIFIQUE ESTACIÓN Y OPERADOR</v>
      </c>
      <c r="K91" s="320"/>
      <c r="L91" s="320"/>
      <c r="M91" s="320"/>
      <c r="N91" s="320"/>
      <c r="O91" s="320"/>
      <c r="P91" s="318" t="str">
        <f>IFERROR(INDEX(referencias!$AH$5:$BK$38,(MATCH(I9,referencias!$AH$5:$AH$38,0)),30),"NA")</f>
        <v>PP3</v>
      </c>
      <c r="Q91" s="318"/>
      <c r="R91" s="318"/>
      <c r="S91" s="318"/>
      <c r="T91" s="318">
        <f>$AG$19</f>
        <v>0</v>
      </c>
      <c r="U91" s="318"/>
      <c r="V91" s="318"/>
      <c r="W91" s="318"/>
      <c r="X91" s="322" t="str">
        <f t="shared" ref="X91:X93" si="0">IF(OR(T91="ND",T91="NA",T91=0),"NA",IF(T91=P91,"CUMPLE","NO CUMPLE"))</f>
        <v>NA</v>
      </c>
      <c r="Y91" s="322"/>
      <c r="Z91" s="322"/>
      <c r="AA91" s="322"/>
      <c r="AB91" s="319" t="s">
        <v>66</v>
      </c>
      <c r="AC91" s="319"/>
      <c r="AD91" s="319"/>
      <c r="AE91" s="319"/>
      <c r="AF91" s="319"/>
      <c r="AG91" s="319"/>
      <c r="AH91" s="319"/>
    </row>
    <row r="92" spans="1:34" ht="51" customHeight="1" x14ac:dyDescent="0.35">
      <c r="A92" s="323" t="s">
        <v>17</v>
      </c>
      <c r="B92" s="323"/>
      <c r="C92" s="323"/>
      <c r="D92" s="323"/>
      <c r="E92" s="323"/>
      <c r="F92" s="323"/>
      <c r="G92" s="323"/>
      <c r="H92" s="323"/>
      <c r="I92" s="323"/>
      <c r="J92" s="320" t="str">
        <f>J88</f>
        <v>VERIFIQUE ESTACIÓN Y OPERADOR</v>
      </c>
      <c r="K92" s="320"/>
      <c r="L92" s="320"/>
      <c r="M92" s="320"/>
      <c r="N92" s="320"/>
      <c r="O92" s="320"/>
      <c r="P92" s="318" t="str">
        <f>IFERROR(INDEX(referencias!$AH$5:$BK$38,(MATCH(I9,referencias!$AH$5:$AH$38,0)),28),"NA")</f>
        <v>1/8</v>
      </c>
      <c r="Q92" s="318"/>
      <c r="R92" s="318"/>
      <c r="S92" s="318"/>
      <c r="T92" s="324" t="str">
        <f>$AD$19</f>
        <v>ND</v>
      </c>
      <c r="U92" s="324"/>
      <c r="V92" s="324"/>
      <c r="W92" s="324"/>
      <c r="X92" s="322" t="str">
        <f t="shared" si="0"/>
        <v>NA</v>
      </c>
      <c r="Y92" s="322"/>
      <c r="Z92" s="322"/>
      <c r="AA92" s="322"/>
      <c r="AB92" s="319" t="s">
        <v>66</v>
      </c>
      <c r="AC92" s="319"/>
      <c r="AD92" s="319"/>
      <c r="AE92" s="319"/>
      <c r="AF92" s="319"/>
      <c r="AG92" s="319"/>
      <c r="AH92" s="319"/>
    </row>
    <row r="93" spans="1:34" ht="51" customHeight="1" x14ac:dyDescent="0.35">
      <c r="A93" s="323" t="s">
        <v>130</v>
      </c>
      <c r="B93" s="323"/>
      <c r="C93" s="323"/>
      <c r="D93" s="323"/>
      <c r="E93" s="323"/>
      <c r="F93" s="323"/>
      <c r="G93" s="323"/>
      <c r="H93" s="323"/>
      <c r="I93" s="323"/>
      <c r="J93" s="320" t="str">
        <f>J88</f>
        <v>VERIFIQUE ESTACIÓN Y OPERADOR</v>
      </c>
      <c r="K93" s="320"/>
      <c r="L93" s="320"/>
      <c r="M93" s="320"/>
      <c r="N93" s="320"/>
      <c r="O93" s="320"/>
      <c r="P93" s="223" t="str">
        <f>IFERROR(INDEX(RESOLUCIONES[],MATCH(A8&amp;I9,LLAVE_X_RES,0),7),"VERIFIQUE ESTACIÓN Y OPERADOR")</f>
        <v>VERIFIQUE ESTACIÓN Y OPERADOR</v>
      </c>
      <c r="Q93" s="223"/>
      <c r="R93" s="223"/>
      <c r="S93" s="223"/>
      <c r="T93" s="318">
        <f>$Q$8</f>
        <v>0</v>
      </c>
      <c r="U93" s="318"/>
      <c r="V93" s="318"/>
      <c r="W93" s="318"/>
      <c r="X93" s="322" t="str">
        <f t="shared" si="0"/>
        <v>NA</v>
      </c>
      <c r="Y93" s="322"/>
      <c r="Z93" s="322"/>
      <c r="AA93" s="322"/>
      <c r="AB93" s="319" t="s">
        <v>66</v>
      </c>
      <c r="AC93" s="319"/>
      <c r="AD93" s="319"/>
      <c r="AE93" s="319"/>
      <c r="AF93" s="319"/>
      <c r="AG93" s="319"/>
      <c r="AH93" s="319"/>
    </row>
    <row r="94" spans="1:34" ht="51" customHeight="1" x14ac:dyDescent="0.35">
      <c r="A94" s="323" t="s">
        <v>131</v>
      </c>
      <c r="B94" s="323"/>
      <c r="C94" s="323"/>
      <c r="D94" s="323"/>
      <c r="E94" s="323"/>
      <c r="F94" s="323"/>
      <c r="G94" s="323"/>
      <c r="H94" s="323"/>
      <c r="I94" s="323"/>
      <c r="J94" s="223" t="str">
        <f>J88</f>
        <v>VERIFIQUE ESTACIÓN Y OPERADOR</v>
      </c>
      <c r="K94" s="223"/>
      <c r="L94" s="223"/>
      <c r="M94" s="223"/>
      <c r="N94" s="223"/>
      <c r="O94" s="223"/>
      <c r="P94" s="318">
        <v>6</v>
      </c>
      <c r="Q94" s="318"/>
      <c r="R94" s="318"/>
      <c r="S94" s="318"/>
      <c r="T94" s="318">
        <v>6</v>
      </c>
      <c r="U94" s="318"/>
      <c r="V94" s="318"/>
      <c r="W94" s="318"/>
      <c r="X94" s="322" t="str">
        <f t="shared" ref="X94:X95" si="1">IF(OR(T94="ND",T94="NA",T94=0),"NA",IF(T94=P94,"CUMPLE","NO CUMPLE"))</f>
        <v>CUMPLE</v>
      </c>
      <c r="Y94" s="322"/>
      <c r="Z94" s="322"/>
      <c r="AA94" s="322"/>
      <c r="AB94" s="319" t="s">
        <v>66</v>
      </c>
      <c r="AC94" s="319"/>
      <c r="AD94" s="319"/>
      <c r="AE94" s="319"/>
      <c r="AF94" s="319"/>
      <c r="AG94" s="319"/>
      <c r="AH94" s="319"/>
    </row>
    <row r="95" spans="1:34" ht="51" customHeight="1" x14ac:dyDescent="0.35">
      <c r="A95" s="323" t="s">
        <v>97</v>
      </c>
      <c r="B95" s="323"/>
      <c r="C95" s="323"/>
      <c r="D95" s="323"/>
      <c r="E95" s="323"/>
      <c r="F95" s="323"/>
      <c r="G95" s="323"/>
      <c r="H95" s="323"/>
      <c r="I95" s="323"/>
      <c r="J95" s="223" t="str">
        <f>IFERROR(INDEX(referencias!$AH$5:$BK$38,(MATCH(I9,referencias!$AH$5:$AH$38,0)),14),"NA")</f>
        <v>Resolución CRC No.  4650 DE 2014</v>
      </c>
      <c r="K95" s="223"/>
      <c r="L95" s="223"/>
      <c r="M95" s="223"/>
      <c r="N95" s="223"/>
      <c r="O95" s="223"/>
      <c r="P95" s="318">
        <f>IFERROR(INDEX(referencias!$AH$5:$BK$38,(MATCH(I9,referencias!$AH$5:$AH$38,0)),15),"NA")</f>
        <v>12290</v>
      </c>
      <c r="Q95" s="318"/>
      <c r="R95" s="318"/>
      <c r="S95" s="318"/>
      <c r="T95" s="318">
        <f>$O$24</f>
        <v>0</v>
      </c>
      <c r="U95" s="318"/>
      <c r="V95" s="318"/>
      <c r="W95" s="318"/>
      <c r="X95" s="322" t="str">
        <f t="shared" si="1"/>
        <v>NA</v>
      </c>
      <c r="Y95" s="322"/>
      <c r="Z95" s="322"/>
      <c r="AA95" s="322"/>
      <c r="AB95" s="319" t="s">
        <v>66</v>
      </c>
      <c r="AC95" s="319"/>
      <c r="AD95" s="319"/>
      <c r="AE95" s="319"/>
      <c r="AF95" s="319"/>
      <c r="AG95" s="319"/>
      <c r="AH95" s="319"/>
    </row>
    <row r="96" spans="1:34" ht="51" customHeight="1" x14ac:dyDescent="0.35">
      <c r="A96" s="323" t="s">
        <v>98</v>
      </c>
      <c r="B96" s="323"/>
      <c r="C96" s="323"/>
      <c r="D96" s="323"/>
      <c r="E96" s="323"/>
      <c r="F96" s="323"/>
      <c r="G96" s="323"/>
      <c r="H96" s="323"/>
      <c r="I96" s="323"/>
      <c r="J96" s="223" t="str">
        <f>IFERROR(INDEX(referencias!$AH$5:$BK$38,(MATCH(I9,referencias!$AH$5:$AH$38,0)),14),"NA")</f>
        <v>Resolución CRC No.  4650 DE 2014</v>
      </c>
      <c r="K96" s="223"/>
      <c r="L96" s="223"/>
      <c r="M96" s="223"/>
      <c r="N96" s="223"/>
      <c r="O96" s="223"/>
      <c r="P96" s="318">
        <f>IFERROR(INDEX(referencias!$AH$5:$BK$38,(MATCH(I9,referencias!$AH$5:$AH$38,0)),16),"NA")</f>
        <v>20</v>
      </c>
      <c r="Q96" s="318"/>
      <c r="R96" s="318"/>
      <c r="S96" s="318"/>
      <c r="T96" s="318">
        <f>$Q$24</f>
        <v>0</v>
      </c>
      <c r="U96" s="318"/>
      <c r="V96" s="318"/>
      <c r="W96" s="318"/>
      <c r="X96" s="322" t="str">
        <f t="shared" ref="X96:X97" si="2">IF(OR(T96="ND",T96="NA",T96=0),"NA",IF(T96=P96,"CUMPLE","NO CUMPLE"))</f>
        <v>NA</v>
      </c>
      <c r="Y96" s="322"/>
      <c r="Z96" s="322"/>
      <c r="AA96" s="322"/>
      <c r="AB96" s="319" t="s">
        <v>66</v>
      </c>
      <c r="AC96" s="319"/>
      <c r="AD96" s="319"/>
      <c r="AE96" s="319"/>
      <c r="AF96" s="319"/>
      <c r="AG96" s="319"/>
      <c r="AH96" s="319"/>
    </row>
    <row r="97" spans="1:34" ht="43.5" customHeight="1" x14ac:dyDescent="0.35">
      <c r="A97" s="321" t="s">
        <v>96</v>
      </c>
      <c r="B97" s="321"/>
      <c r="C97" s="321"/>
      <c r="D97" s="318" t="str">
        <f>H24</f>
        <v>NA</v>
      </c>
      <c r="E97" s="318"/>
      <c r="F97" s="318"/>
      <c r="G97" s="318"/>
      <c r="H97" s="318"/>
      <c r="I97" s="318"/>
      <c r="J97" s="320" t="str">
        <f>IF(D97&lt;&gt;"NA",IFERROR(INDEX(referencias!$AH$5:$BK$38,(MATCH(I9,referencias!$AH$5:$AH$38,0)),14),"NA"),"NA")</f>
        <v>NA</v>
      </c>
      <c r="K97" s="320"/>
      <c r="L97" s="320"/>
      <c r="M97" s="320"/>
      <c r="N97" s="320"/>
      <c r="O97" s="320"/>
      <c r="P97" s="318" t="str">
        <f>IF(D97&lt;&gt;"NA",IFERROR(INDEX(referencias!$AH$5:$BK$38,(MATCH(I9,referencias!$AH$5:$AH$38,0)),17),"NA"),"NA")</f>
        <v>NA</v>
      </c>
      <c r="Q97" s="318"/>
      <c r="R97" s="318"/>
      <c r="S97" s="318"/>
      <c r="T97" s="318">
        <f>$M24</f>
        <v>0</v>
      </c>
      <c r="U97" s="318"/>
      <c r="V97" s="318"/>
      <c r="W97" s="318"/>
      <c r="X97" s="322" t="str">
        <f t="shared" si="2"/>
        <v>NA</v>
      </c>
      <c r="Y97" s="322"/>
      <c r="Z97" s="322"/>
      <c r="AA97" s="322"/>
      <c r="AB97" s="319" t="s">
        <v>66</v>
      </c>
      <c r="AC97" s="319"/>
      <c r="AD97" s="319"/>
      <c r="AE97" s="319"/>
      <c r="AF97" s="319"/>
      <c r="AG97" s="319"/>
      <c r="AH97" s="319"/>
    </row>
    <row r="98" spans="1:34" ht="43.5" customHeight="1" x14ac:dyDescent="0.35">
      <c r="A98" s="321"/>
      <c r="B98" s="321"/>
      <c r="C98" s="321"/>
      <c r="D98" s="318" t="str">
        <f>H25</f>
        <v>NA</v>
      </c>
      <c r="E98" s="318"/>
      <c r="F98" s="318"/>
      <c r="G98" s="318"/>
      <c r="H98" s="318"/>
      <c r="I98" s="318"/>
      <c r="J98" s="320" t="str">
        <f>IF(D98&lt;&gt;"NA",INDEX(referencias!$AH$5:$BK$38,(MATCH(I9,referencias!$AH$5:$AH$38,0)),14),"NA")</f>
        <v>NA</v>
      </c>
      <c r="K98" s="320"/>
      <c r="L98" s="320"/>
      <c r="M98" s="320"/>
      <c r="N98" s="320"/>
      <c r="O98" s="320"/>
      <c r="P98" s="318" t="str">
        <f>IF(D98&lt;&gt;"NA",IFERROR(INDEX(referencias!$AH$5:$BK$38,(MATCH(I9,referencias!$AH$5:$AH$38,0)),18),"NA"),"NA")</f>
        <v>NA</v>
      </c>
      <c r="Q98" s="318"/>
      <c r="R98" s="318"/>
      <c r="S98" s="318"/>
      <c r="T98" s="318">
        <f>$M25</f>
        <v>0</v>
      </c>
      <c r="U98" s="318"/>
      <c r="V98" s="318"/>
      <c r="W98" s="318"/>
      <c r="X98" s="318" t="str">
        <f>IF(OR(D98="NA",T98="ND"),"NA",IF(ISERROR(FIND("-",P98)),IF(T98=P98,"CUMPLE","NO CUMPLE"),IF(AND(T98&gt;=VALUE(LEFT(P98,FIND("-",P98)-1)),T98&lt;=VALUE(RIGHT(P98,LEN(P98)-FIND("-",P98)))),"CUMPLE","NO CUMPLE")))</f>
        <v>NA</v>
      </c>
      <c r="Y98" s="318"/>
      <c r="Z98" s="318"/>
      <c r="AA98" s="318"/>
      <c r="AB98" s="319" t="s">
        <v>66</v>
      </c>
      <c r="AC98" s="319"/>
      <c r="AD98" s="319"/>
      <c r="AE98" s="319"/>
      <c r="AF98" s="319"/>
      <c r="AG98" s="319"/>
      <c r="AH98" s="319"/>
    </row>
    <row r="99" spans="1:34" ht="43.5" customHeight="1" x14ac:dyDescent="0.35">
      <c r="A99" s="321"/>
      <c r="B99" s="321"/>
      <c r="C99" s="321"/>
      <c r="D99" s="318" t="str">
        <f>H26</f>
        <v>NA</v>
      </c>
      <c r="E99" s="318"/>
      <c r="F99" s="318"/>
      <c r="G99" s="318"/>
      <c r="H99" s="318"/>
      <c r="I99" s="318"/>
      <c r="J99" s="320" t="str">
        <f>IF(D99&lt;&gt;"NA",INDEX(referencias!$AH$5:$BK$38,(MATCH(I9,referencias!$AH$5:$AH$38,0)),14),"NA")</f>
        <v>NA</v>
      </c>
      <c r="K99" s="320"/>
      <c r="L99" s="320"/>
      <c r="M99" s="320"/>
      <c r="N99" s="320"/>
      <c r="O99" s="320"/>
      <c r="P99" s="318" t="str">
        <f>IF(D99&lt;&gt;"NA",IFERROR(INDEX(referencias!$AH$5:$BK$38,(MATCH(I9,referencias!$AH$5:$AH$38,0)),19),"NA"),"NA")</f>
        <v>NA</v>
      </c>
      <c r="Q99" s="318"/>
      <c r="R99" s="318"/>
      <c r="S99" s="318"/>
      <c r="T99" s="318">
        <f>$M26</f>
        <v>0</v>
      </c>
      <c r="U99" s="318"/>
      <c r="V99" s="318"/>
      <c r="W99" s="318"/>
      <c r="X99" s="318" t="str">
        <f>IF(OR(D99="NA",T99="ND"),"NA",IF(ISERROR(FIND("-",P99)),IF(T99=P99,"CUMPLE","NO CUMPLE"),IF(AND(T99&gt;=VALUE(LEFT(P99,FIND("-",P99)-1)),T99&lt;=VALUE(RIGHT(P99,LEN(P99)-FIND("-",P99)))),"CUMPLE","NO CUMPLE")))</f>
        <v>NA</v>
      </c>
      <c r="Y99" s="318"/>
      <c r="Z99" s="318"/>
      <c r="AA99" s="318"/>
      <c r="AB99" s="319" t="s">
        <v>66</v>
      </c>
      <c r="AC99" s="319"/>
      <c r="AD99" s="319"/>
      <c r="AE99" s="319"/>
      <c r="AF99" s="319"/>
      <c r="AG99" s="319"/>
      <c r="AH99" s="319"/>
    </row>
    <row r="100" spans="1:34" ht="43.5" customHeight="1" x14ac:dyDescent="0.35">
      <c r="A100" s="321"/>
      <c r="B100" s="321"/>
      <c r="C100" s="321"/>
      <c r="D100" s="318" t="str">
        <f>H27</f>
        <v>NA</v>
      </c>
      <c r="E100" s="318"/>
      <c r="F100" s="318"/>
      <c r="G100" s="318"/>
      <c r="H100" s="318"/>
      <c r="I100" s="318"/>
      <c r="J100" s="320" t="str">
        <f>IF(D100&lt;&gt;"NA",INDEX(referencias!$AH$5:$BK$38,(MATCH(I9,referencias!$AH$5:$AH$38,0)),14),"NA")</f>
        <v>NA</v>
      </c>
      <c r="K100" s="320"/>
      <c r="L100" s="320"/>
      <c r="M100" s="320"/>
      <c r="N100" s="320"/>
      <c r="O100" s="320"/>
      <c r="P100" s="318" t="str">
        <f>IF(D100&lt;&gt;"NA",IFERROR(INDEX(referencias!$AH$5:$BK$38,(MATCH(I9,referencias!$AH$5:$AH$38,0)),20),"NA"),"NA")</f>
        <v>NA</v>
      </c>
      <c r="Q100" s="318"/>
      <c r="R100" s="318"/>
      <c r="S100" s="318"/>
      <c r="T100" s="318">
        <f>$M27</f>
        <v>0</v>
      </c>
      <c r="U100" s="318"/>
      <c r="V100" s="318"/>
      <c r="W100" s="318"/>
      <c r="X100" s="318" t="str">
        <f>IF(OR(D100="NA",T100="ND"),"NA",IF(ISERROR(FIND("-",P100)),IF(T100=P100,"CUMPLE","NO CUMPLE"),IF(AND(T100&gt;=VALUE(LEFT(P100,FIND("-",P100)-1)),T100&lt;=VALUE(RIGHT(P100,LEN(P100)-FIND("-",P100)))),"CUMPLE","NO CUMPLE")))</f>
        <v>NA</v>
      </c>
      <c r="Y100" s="318"/>
      <c r="Z100" s="318"/>
      <c r="AA100" s="318"/>
      <c r="AB100" s="319" t="s">
        <v>66</v>
      </c>
      <c r="AC100" s="319"/>
      <c r="AD100" s="319"/>
      <c r="AE100" s="319"/>
      <c r="AF100" s="319"/>
      <c r="AG100" s="319"/>
      <c r="AH100" s="319"/>
    </row>
    <row r="101" spans="1:34" ht="59.25" customHeight="1" x14ac:dyDescent="0.35">
      <c r="A101" s="317" t="s">
        <v>132</v>
      </c>
      <c r="B101" s="317"/>
      <c r="C101" s="317"/>
      <c r="D101" s="317"/>
      <c r="E101" s="317"/>
      <c r="F101" s="317"/>
      <c r="G101" s="317"/>
      <c r="H101" s="317"/>
      <c r="I101" s="317"/>
      <c r="J101" s="318" t="s">
        <v>66</v>
      </c>
      <c r="K101" s="318"/>
      <c r="L101" s="318"/>
      <c r="M101" s="318"/>
      <c r="N101" s="318"/>
      <c r="O101" s="318"/>
      <c r="P101" s="318" t="s">
        <v>66</v>
      </c>
      <c r="Q101" s="318"/>
      <c r="R101" s="318"/>
      <c r="S101" s="318"/>
      <c r="T101" s="223">
        <f>$T$24</f>
        <v>0</v>
      </c>
      <c r="U101" s="223"/>
      <c r="V101" s="223"/>
      <c r="W101" s="223"/>
      <c r="X101" s="318" t="s">
        <v>66</v>
      </c>
      <c r="Y101" s="318"/>
      <c r="Z101" s="318"/>
      <c r="AA101" s="318"/>
      <c r="AB101" s="319" t="s">
        <v>66</v>
      </c>
      <c r="AC101" s="319"/>
      <c r="AD101" s="319"/>
      <c r="AE101" s="319"/>
      <c r="AF101" s="319"/>
      <c r="AG101" s="319"/>
      <c r="AH101" s="319"/>
    </row>
    <row r="102" spans="1:34" ht="54" customHeight="1" x14ac:dyDescent="0.35">
      <c r="A102" s="317" t="s">
        <v>133</v>
      </c>
      <c r="B102" s="317"/>
      <c r="C102" s="317"/>
      <c r="D102" s="317"/>
      <c r="E102" s="317"/>
      <c r="F102" s="317"/>
      <c r="G102" s="317"/>
      <c r="H102" s="317"/>
      <c r="I102" s="317"/>
      <c r="J102" s="318" t="s">
        <v>66</v>
      </c>
      <c r="K102" s="318"/>
      <c r="L102" s="318"/>
      <c r="M102" s="318"/>
      <c r="N102" s="318"/>
      <c r="O102" s="318"/>
      <c r="P102" s="318" t="s">
        <v>66</v>
      </c>
      <c r="Q102" s="318"/>
      <c r="R102" s="318"/>
      <c r="S102" s="318"/>
      <c r="T102" s="223">
        <f>$X$24</f>
        <v>0</v>
      </c>
      <c r="U102" s="223"/>
      <c r="V102" s="223"/>
      <c r="W102" s="223"/>
      <c r="X102" s="318" t="s">
        <v>66</v>
      </c>
      <c r="Y102" s="318"/>
      <c r="Z102" s="318"/>
      <c r="AA102" s="318"/>
      <c r="AB102" s="319" t="s">
        <v>66</v>
      </c>
      <c r="AC102" s="319"/>
      <c r="AD102" s="319"/>
      <c r="AE102" s="319"/>
      <c r="AF102" s="319"/>
      <c r="AG102" s="319"/>
      <c r="AH102" s="319"/>
    </row>
    <row r="103" spans="1:34" ht="52.5" customHeight="1" x14ac:dyDescent="0.35">
      <c r="A103" s="317" t="s">
        <v>134</v>
      </c>
      <c r="B103" s="317"/>
      <c r="C103" s="317"/>
      <c r="D103" s="317"/>
      <c r="E103" s="317"/>
      <c r="F103" s="317"/>
      <c r="G103" s="317"/>
      <c r="H103" s="317"/>
      <c r="I103" s="317"/>
      <c r="J103" s="318" t="s">
        <v>66</v>
      </c>
      <c r="K103" s="318"/>
      <c r="L103" s="318"/>
      <c r="M103" s="318"/>
      <c r="N103" s="318"/>
      <c r="O103" s="318"/>
      <c r="P103" s="318" t="s">
        <v>66</v>
      </c>
      <c r="Q103" s="318"/>
      <c r="R103" s="318"/>
      <c r="S103" s="318"/>
      <c r="T103" s="223">
        <f>$AA$24</f>
        <v>0</v>
      </c>
      <c r="U103" s="223"/>
      <c r="V103" s="223"/>
      <c r="W103" s="223"/>
      <c r="X103" s="318" t="s">
        <v>66</v>
      </c>
      <c r="Y103" s="318"/>
      <c r="Z103" s="318"/>
      <c r="AA103" s="318"/>
      <c r="AB103" s="319" t="s">
        <v>66</v>
      </c>
      <c r="AC103" s="319"/>
      <c r="AD103" s="319"/>
      <c r="AE103" s="319"/>
      <c r="AF103" s="319"/>
      <c r="AG103" s="319"/>
      <c r="AH103" s="319"/>
    </row>
    <row r="104" spans="1:34" ht="17.25" customHeight="1" x14ac:dyDescent="0.35">
      <c r="A104" s="167"/>
      <c r="B104" s="167"/>
      <c r="C104" s="167"/>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row>
  </sheetData>
  <sheetProtection algorithmName="SHA-512" hashValue="UxuTCN2vnRj5CMF78hma+ei36gitcBBhtkh929V6S1WRKavsuGQo6ZmkYl/JkPwkBRt/5D6LtzywogCJcDyq/Q==" saltValue="ipmR8amVhxmGiNz3OB1IYg==" spinCount="100000" sheet="1" scenarios="1"/>
  <mergeCells count="279">
    <mergeCell ref="A2:AH2"/>
    <mergeCell ref="A4:AH4"/>
    <mergeCell ref="A6:AH6"/>
    <mergeCell ref="A7:H7"/>
    <mergeCell ref="I7:P7"/>
    <mergeCell ref="Q7:V7"/>
    <mergeCell ref="W7:AB7"/>
    <mergeCell ref="AC7:AE7"/>
    <mergeCell ref="AF7:AH7"/>
    <mergeCell ref="I9:P9"/>
    <mergeCell ref="A10:AH10"/>
    <mergeCell ref="A11:K11"/>
    <mergeCell ref="L11:R11"/>
    <mergeCell ref="S11:Y11"/>
    <mergeCell ref="Z11:AH11"/>
    <mergeCell ref="A8:H8"/>
    <mergeCell ref="I8:P8"/>
    <mergeCell ref="Q8:V8"/>
    <mergeCell ref="W8:AB8"/>
    <mergeCell ref="AC8:AE8"/>
    <mergeCell ref="AF8:AH8"/>
    <mergeCell ref="A14:K14"/>
    <mergeCell ref="L14:R14"/>
    <mergeCell ref="S14:Y14"/>
    <mergeCell ref="Z14:AH14"/>
    <mergeCell ref="A16:AH16"/>
    <mergeCell ref="A17:AH17"/>
    <mergeCell ref="A12:K12"/>
    <mergeCell ref="L12:R12"/>
    <mergeCell ref="S12:Y12"/>
    <mergeCell ref="Z12:AH12"/>
    <mergeCell ref="A13:K13"/>
    <mergeCell ref="L13:R13"/>
    <mergeCell ref="S13:Y13"/>
    <mergeCell ref="Z13:AH13"/>
    <mergeCell ref="Y18:Z18"/>
    <mergeCell ref="AA18:AC18"/>
    <mergeCell ref="AD18:AF18"/>
    <mergeCell ref="AG18:AH18"/>
    <mergeCell ref="A19:I19"/>
    <mergeCell ref="J19:K19"/>
    <mergeCell ref="L19:O19"/>
    <mergeCell ref="P19:Q19"/>
    <mergeCell ref="R19:U19"/>
    <mergeCell ref="V19:X19"/>
    <mergeCell ref="A18:I18"/>
    <mergeCell ref="J18:K18"/>
    <mergeCell ref="L18:O18"/>
    <mergeCell ref="P18:Q18"/>
    <mergeCell ref="R18:U18"/>
    <mergeCell ref="V18:X18"/>
    <mergeCell ref="Y19:Z19"/>
    <mergeCell ref="AA19:AC19"/>
    <mergeCell ref="AD19:AF19"/>
    <mergeCell ref="AG19:AH19"/>
    <mergeCell ref="AA23:AC23"/>
    <mergeCell ref="AD23:AE23"/>
    <mergeCell ref="AF23:AG23"/>
    <mergeCell ref="Y20:Z20"/>
    <mergeCell ref="AA20:AC20"/>
    <mergeCell ref="AD20:AF20"/>
    <mergeCell ref="AG20:AH20"/>
    <mergeCell ref="A22:AH22"/>
    <mergeCell ref="A23:E23"/>
    <mergeCell ref="F23:G23"/>
    <mergeCell ref="H23:L23"/>
    <mergeCell ref="M23:N23"/>
    <mergeCell ref="O23:P23"/>
    <mergeCell ref="A20:I20"/>
    <mergeCell ref="J20:K20"/>
    <mergeCell ref="L20:O20"/>
    <mergeCell ref="P20:Q20"/>
    <mergeCell ref="R20:U20"/>
    <mergeCell ref="V20:X20"/>
    <mergeCell ref="Q23:S23"/>
    <mergeCell ref="T23:W23"/>
    <mergeCell ref="X23:Z23"/>
    <mergeCell ref="A25:E25"/>
    <mergeCell ref="F25:G25"/>
    <mergeCell ref="H25:L25"/>
    <mergeCell ref="M25:N25"/>
    <mergeCell ref="O25:P25"/>
    <mergeCell ref="A24:E24"/>
    <mergeCell ref="F24:G24"/>
    <mergeCell ref="H24:L24"/>
    <mergeCell ref="M24:N24"/>
    <mergeCell ref="O24:P24"/>
    <mergeCell ref="Q25:S25"/>
    <mergeCell ref="T25:W25"/>
    <mergeCell ref="X25:Z25"/>
    <mergeCell ref="AA25:AC25"/>
    <mergeCell ref="AD25:AE25"/>
    <mergeCell ref="AF25:AG25"/>
    <mergeCell ref="T24:W24"/>
    <mergeCell ref="X24:Z24"/>
    <mergeCell ref="AA24:AC24"/>
    <mergeCell ref="AD24:AE24"/>
    <mergeCell ref="AF24:AG24"/>
    <mergeCell ref="Q24:S24"/>
    <mergeCell ref="A27:E27"/>
    <mergeCell ref="F27:G27"/>
    <mergeCell ref="H27:L27"/>
    <mergeCell ref="M27:N27"/>
    <mergeCell ref="O27:P27"/>
    <mergeCell ref="A26:E26"/>
    <mergeCell ref="F26:G26"/>
    <mergeCell ref="H26:L26"/>
    <mergeCell ref="M26:N26"/>
    <mergeCell ref="O26:P26"/>
    <mergeCell ref="Q27:S27"/>
    <mergeCell ref="T27:W27"/>
    <mergeCell ref="X27:Z27"/>
    <mergeCell ref="AA27:AC27"/>
    <mergeCell ref="AD27:AE27"/>
    <mergeCell ref="AF27:AG27"/>
    <mergeCell ref="T26:W26"/>
    <mergeCell ref="X26:Z26"/>
    <mergeCell ref="AA26:AC26"/>
    <mergeCell ref="AD26:AE26"/>
    <mergeCell ref="AF26:AG26"/>
    <mergeCell ref="Q26:S26"/>
    <mergeCell ref="A31:B31"/>
    <mergeCell ref="C31:H31"/>
    <mergeCell ref="I31:L31"/>
    <mergeCell ref="M31:P31"/>
    <mergeCell ref="Q31:U31"/>
    <mergeCell ref="V31:AH31"/>
    <mergeCell ref="A29:AH29"/>
    <mergeCell ref="A30:B30"/>
    <mergeCell ref="C30:H30"/>
    <mergeCell ref="I30:L30"/>
    <mergeCell ref="M30:P30"/>
    <mergeCell ref="Q30:U30"/>
    <mergeCell ref="V30:AH30"/>
    <mergeCell ref="A34:AH34"/>
    <mergeCell ref="A35:B35"/>
    <mergeCell ref="C35:AH35"/>
    <mergeCell ref="A36:B36"/>
    <mergeCell ref="C36:AH36"/>
    <mergeCell ref="A37:B37"/>
    <mergeCell ref="C37:AH37"/>
    <mergeCell ref="A32:B32"/>
    <mergeCell ref="C32:H32"/>
    <mergeCell ref="I32:L32"/>
    <mergeCell ref="M32:P32"/>
    <mergeCell ref="Q32:U32"/>
    <mergeCell ref="V32:AH32"/>
    <mergeCell ref="A44:L60"/>
    <mergeCell ref="M44:Y60"/>
    <mergeCell ref="Z44:AH60"/>
    <mergeCell ref="A61:L61"/>
    <mergeCell ref="M61:Y61"/>
    <mergeCell ref="Z61:AH61"/>
    <mergeCell ref="A38:B38"/>
    <mergeCell ref="C38:AH38"/>
    <mergeCell ref="A39:B39"/>
    <mergeCell ref="C39:AH39"/>
    <mergeCell ref="A40:AH40"/>
    <mergeCell ref="A41:AH41"/>
    <mergeCell ref="M43:Y43"/>
    <mergeCell ref="A43:L43"/>
    <mergeCell ref="Z43:AH43"/>
    <mergeCell ref="A82:AH82"/>
    <mergeCell ref="A83:AH83"/>
    <mergeCell ref="A85:AH85"/>
    <mergeCell ref="A86:I86"/>
    <mergeCell ref="J86:O86"/>
    <mergeCell ref="P86:S86"/>
    <mergeCell ref="T86:W86"/>
    <mergeCell ref="X86:AA86"/>
    <mergeCell ref="A64:L80"/>
    <mergeCell ref="M64:Y80"/>
    <mergeCell ref="Z64:AH80"/>
    <mergeCell ref="A81:L81"/>
    <mergeCell ref="M81:Y81"/>
    <mergeCell ref="Z81:AH81"/>
    <mergeCell ref="A88:I88"/>
    <mergeCell ref="J88:O88"/>
    <mergeCell ref="P88:S88"/>
    <mergeCell ref="T88:W88"/>
    <mergeCell ref="X88:AA88"/>
    <mergeCell ref="AB88:AH88"/>
    <mergeCell ref="A87:I87"/>
    <mergeCell ref="J87:O87"/>
    <mergeCell ref="P87:S87"/>
    <mergeCell ref="T87:W87"/>
    <mergeCell ref="X87:AA87"/>
    <mergeCell ref="AB87:AH87"/>
    <mergeCell ref="A90:I90"/>
    <mergeCell ref="J90:O90"/>
    <mergeCell ref="P90:S90"/>
    <mergeCell ref="T90:W90"/>
    <mergeCell ref="X90:AA90"/>
    <mergeCell ref="AB90:AH90"/>
    <mergeCell ref="A89:I89"/>
    <mergeCell ref="J89:O89"/>
    <mergeCell ref="P89:S89"/>
    <mergeCell ref="T89:W89"/>
    <mergeCell ref="X89:AA89"/>
    <mergeCell ref="AB89:AH89"/>
    <mergeCell ref="A92:I92"/>
    <mergeCell ref="J92:O92"/>
    <mergeCell ref="P92:S92"/>
    <mergeCell ref="T92:W92"/>
    <mergeCell ref="X92:AA92"/>
    <mergeCell ref="AB92:AH92"/>
    <mergeCell ref="A91:I91"/>
    <mergeCell ref="J91:O91"/>
    <mergeCell ref="P91:S91"/>
    <mergeCell ref="T91:W91"/>
    <mergeCell ref="X91:AA91"/>
    <mergeCell ref="AB91:AH91"/>
    <mergeCell ref="A94:I94"/>
    <mergeCell ref="J94:O94"/>
    <mergeCell ref="P94:S94"/>
    <mergeCell ref="T94:W94"/>
    <mergeCell ref="X94:AA94"/>
    <mergeCell ref="AB94:AH94"/>
    <mergeCell ref="A93:I93"/>
    <mergeCell ref="J93:O93"/>
    <mergeCell ref="P93:S93"/>
    <mergeCell ref="T93:W93"/>
    <mergeCell ref="X93:AA93"/>
    <mergeCell ref="AB93:AH93"/>
    <mergeCell ref="A96:I96"/>
    <mergeCell ref="J96:O96"/>
    <mergeCell ref="P96:S96"/>
    <mergeCell ref="T96:W96"/>
    <mergeCell ref="X96:AA96"/>
    <mergeCell ref="AB96:AH96"/>
    <mergeCell ref="A95:I95"/>
    <mergeCell ref="J95:O95"/>
    <mergeCell ref="P95:S95"/>
    <mergeCell ref="T95:W95"/>
    <mergeCell ref="X95:AA95"/>
    <mergeCell ref="AB95:AH95"/>
    <mergeCell ref="AB97:AH97"/>
    <mergeCell ref="D98:I98"/>
    <mergeCell ref="J98:O98"/>
    <mergeCell ref="P98:S98"/>
    <mergeCell ref="T98:W98"/>
    <mergeCell ref="X98:AA98"/>
    <mergeCell ref="AB98:AH98"/>
    <mergeCell ref="A97:C100"/>
    <mergeCell ref="D97:I97"/>
    <mergeCell ref="J97:O97"/>
    <mergeCell ref="P97:S97"/>
    <mergeCell ref="T97:W97"/>
    <mergeCell ref="X97:AA97"/>
    <mergeCell ref="D99:I99"/>
    <mergeCell ref="J99:O99"/>
    <mergeCell ref="P99:S99"/>
    <mergeCell ref="T99:W99"/>
    <mergeCell ref="A101:I101"/>
    <mergeCell ref="J101:O101"/>
    <mergeCell ref="P101:S101"/>
    <mergeCell ref="T101:W101"/>
    <mergeCell ref="X101:AA101"/>
    <mergeCell ref="AB101:AH101"/>
    <mergeCell ref="X99:AA99"/>
    <mergeCell ref="AB99:AH99"/>
    <mergeCell ref="D100:I100"/>
    <mergeCell ref="J100:O100"/>
    <mergeCell ref="P100:S100"/>
    <mergeCell ref="T100:W100"/>
    <mergeCell ref="X100:AA100"/>
    <mergeCell ref="AB100:AH100"/>
    <mergeCell ref="A103:I103"/>
    <mergeCell ref="J103:O103"/>
    <mergeCell ref="P103:S103"/>
    <mergeCell ref="T103:W103"/>
    <mergeCell ref="X103:AA103"/>
    <mergeCell ref="AB103:AH103"/>
    <mergeCell ref="A102:I102"/>
    <mergeCell ref="J102:O102"/>
    <mergeCell ref="P102:S102"/>
    <mergeCell ref="T102:W102"/>
    <mergeCell ref="X102:AA102"/>
    <mergeCell ref="AB102:AH102"/>
  </mergeCells>
  <conditionalFormatting sqref="A4:AH4">
    <cfRule type="cellIs" dxfId="5" priority="1" operator="equal">
      <formula>"FALTA FRECUENCIA DE CANAL"</formula>
    </cfRule>
  </conditionalFormatting>
  <conditionalFormatting sqref="J88:O94 P93:S93">
    <cfRule type="cellIs" dxfId="4" priority="7" operator="equal">
      <formula>"VERIFIQUE ESTACIÓN Y OPERADOR"</formula>
    </cfRule>
  </conditionalFormatting>
  <conditionalFormatting sqref="Q8 W8 AF8 L19:O19 P19:AH20">
    <cfRule type="containsBlanks" dxfId="3" priority="2">
      <formula>LEN(TRIM(L8))=0</formula>
    </cfRule>
  </conditionalFormatting>
  <conditionalFormatting sqref="R20">
    <cfRule type="expression" dxfId="2" priority="4">
      <formula>AND(FIND(".",R20),R20&lt;&gt;"0.0E-7", R20&lt;&gt;"0.0E-8", R20&lt;&gt;"0.0E-9")</formula>
    </cfRule>
  </conditionalFormatting>
  <conditionalFormatting sqref="R19:U19">
    <cfRule type="expression" dxfId="1" priority="3">
      <formula>AND(FIND(".",R19),R19&lt;&gt;"0.0E-7", R19&lt;&gt;"0.0E-8", R19&lt;&gt;"0.0E-9")</formula>
    </cfRule>
  </conditionalFormatting>
  <dataValidations count="8">
    <dataValidation type="list" allowBlank="1" showInputMessage="1" showErrorMessage="1" sqref="A12:K14" xr:uid="{934C910B-9618-4CA5-82BA-7E3690D16610}">
      <formula1>TX_TDT</formula1>
    </dataValidation>
    <dataValidation type="list" allowBlank="1" showInputMessage="1" showErrorMessage="1" sqref="A8:H8" xr:uid="{5B14AB52-E99A-4EA5-8288-1ADA0629D056}">
      <formula1>Estación_de_procedencia</formula1>
    </dataValidation>
    <dataValidation type="list" allowBlank="1" showInputMessage="1" showErrorMessage="1" sqref="I8:P8" xr:uid="{C9EF44C2-20B6-4D06-A3EC-38ABFF2BBDB1}">
      <formula1>OPERADOR</formula1>
    </dataValidation>
    <dataValidation type="decimal" allowBlank="1" showInputMessage="1" showErrorMessage="1" errorTitle="Decimal separado por punto (.)" error="El valor ingresado debe ser un decimal separado por coma (,)" sqref="L19:O19" xr:uid="{4A8CD8F3-95CE-433B-8AEB-C38EC5BF0FE6}">
      <formula1>0.1</formula1>
      <formula2>150</formula2>
    </dataValidation>
    <dataValidation type="custom" allowBlank="1" showInputMessage="1" showErrorMessage="1" sqref="R20" xr:uid="{04A0D769-386E-40D9-83AC-33BC5C3B2B0A}">
      <formula1>AND(R21,S21)</formula1>
    </dataValidation>
    <dataValidation type="custom" allowBlank="1" showInputMessage="1" showErrorMessage="1" promptTitle="Notación Cientifica o Valor Cero" prompt="Escriba el valor en notación cientifica siguiendo este formato #,#E-#, el separador decimal es la coma (,) si el valor es 0.0E-7, 0.0E-8 o 0.0E-9, el separador decimal es el punto " sqref="R19:U19" xr:uid="{B93264B9-A9CE-4704-9594-AF80E1E65495}">
      <formula1>AND(T21,U21)</formula1>
    </dataValidation>
    <dataValidation type="custom" allowBlank="1" showInputMessage="1" showErrorMessage="1" errorTitle="Decimal separado por punto (.)" error="El valor ingresado debe ser un decimal separado por coma (,)" sqref="P19:Q19" xr:uid="{03DBC30A-F161-4866-BAB7-A612C0C59BA7}">
      <formula1>OR(P19="ND",AND(P19&gt;=0.1, P19&lt;=50))</formula1>
    </dataValidation>
    <dataValidation type="custom" allowBlank="1" showInputMessage="1" showErrorMessage="1" errorTitle="Decimal separado por punto (.)" error="El valor ingresado debe ser un decimal separado por coma (,)" sqref="P20:Q20" xr:uid="{F3426D1F-52E9-4B51-9940-407296F76849}">
      <formula1>OR(P20="NA",P20="ND",AND(P20&gt;=0.1, P20&lt;=50))</formula1>
    </dataValidation>
  </dataValidations>
  <pageMargins left="0.7" right="0.7" top="0.79062500000000002" bottom="0.76770833333333333" header="0.3" footer="0.3"/>
  <pageSetup scale="55" orientation="portrait" r:id="rId1"/>
  <headerFooter>
    <oddHeader>&amp;L&amp;G&amp;C&amp;"Verdana,Negrita"&amp;12&amp;K404040MONITOREO IN SITU - BANDAS DEL SERVICIO DE RADIODIFUSIÓN
DEL SERVICIO DE TELEVISIÓN DIGITAL TERRESTRE - TDT
REGISTRO NO. 0 X X  - X X X X X X&amp;R
&amp;"Verdana,Normal"&amp;10&amp;K01+021Versión 6
TRD 120.121.31.4</oddHeader>
    <oddFooter xml:space="preserve">&amp;L&amp;G&amp;C&amp;"Verdana,Normal"&amp;9&amp;K404040
Página &amp;P de &amp;N
&amp;R&amp;"Verdana,Normal"&amp;10&amp;K404040
</oddFooter>
  </headerFooter>
  <rowBreaks count="1" manualBreakCount="1">
    <brk id="61" max="3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36865" r:id="rId5" name="Group Box 1">
              <controlPr defaultSize="0" autoFill="0" autoPict="0">
                <anchor moveWithCells="1">
                  <from>
                    <xdr:col>8</xdr:col>
                    <xdr:colOff>228600</xdr:colOff>
                    <xdr:row>103</xdr:row>
                    <xdr:rowOff>0</xdr:rowOff>
                  </from>
                  <to>
                    <xdr:col>33</xdr:col>
                    <xdr:colOff>787400</xdr:colOff>
                    <xdr:row>103</xdr:row>
                    <xdr:rowOff>190500</xdr:rowOff>
                  </to>
                </anchor>
              </controlPr>
            </control>
          </mc:Choice>
        </mc:AlternateContent>
        <mc:AlternateContent xmlns:mc="http://schemas.openxmlformats.org/markup-compatibility/2006">
          <mc:Choice Requires="x14">
            <control shapeId="36866" r:id="rId6" name="Group Box 2">
              <controlPr defaultSize="0" autoFill="0" autoPict="0">
                <anchor moveWithCells="1">
                  <from>
                    <xdr:col>9</xdr:col>
                    <xdr:colOff>6350</xdr:colOff>
                    <xdr:row>103</xdr:row>
                    <xdr:rowOff>0</xdr:rowOff>
                  </from>
                  <to>
                    <xdr:col>33</xdr:col>
                    <xdr:colOff>762000</xdr:colOff>
                    <xdr:row>103</xdr:row>
                    <xdr:rowOff>190500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xr:uid="{C034CC81-A6D4-43EB-A131-416B0828A9CA}">
          <x14:formula1>
            <xm:f>referencias!$BN$5:$BN$9</xm:f>
          </x14:formula1>
          <xm:sqref>V19:X20</xm:sqref>
        </x14:dataValidation>
        <x14:dataValidation type="list" allowBlank="1" showInputMessage="1" showErrorMessage="1" xr:uid="{38126ED3-5535-4926-B016-F117C442C3DD}">
          <x14:formula1>
            <xm:f>referencias!$BP$5:$BP$10</xm:f>
          </x14:formula1>
          <xm:sqref>Y19:Z20</xm:sqref>
        </x14:dataValidation>
        <x14:dataValidation type="list" allowBlank="1" showInputMessage="1" showErrorMessage="1" xr:uid="{8813C827-B1F3-49A7-B2EB-07232B87F4C7}">
          <x14:formula1>
            <xm:f>referencias!$BR$5:$BR$8</xm:f>
          </x14:formula1>
          <xm:sqref>AA19:AC20</xm:sqref>
        </x14:dataValidation>
        <x14:dataValidation type="list" allowBlank="1" showInputMessage="1" showErrorMessage="1" xr:uid="{4CE52427-AE9B-4D58-87C2-24A2EF60A6F9}">
          <x14:formula1>
            <xm:f>referencias!$BT$5:$BT$8</xm:f>
          </x14:formula1>
          <xm:sqref>AD19:AF20</xm:sqref>
        </x14:dataValidation>
        <x14:dataValidation type="list" allowBlank="1" showInputMessage="1" showErrorMessage="1" xr:uid="{D38CA890-D033-4DA6-8650-BAE0EE265482}">
          <x14:formula1>
            <xm:f>referencias!$BV$5:$BV$9</xm:f>
          </x14:formula1>
          <xm:sqref>AG19:AH20</xm:sqref>
        </x14:dataValidation>
        <x14:dataValidation type="list" allowBlank="1" showInputMessage="1" showErrorMessage="1" xr:uid="{A9DC554F-2E29-4837-9F7D-5BA748254C13}">
          <x14:formula1>
            <xm:f>referencias!$B$2:$B$5</xm:f>
          </x14:formula1>
          <xm:sqref>AD24:AE27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0AAE-A3C8-4022-A4B0-16D250CF4F07}">
  <sheetPr>
    <tabColor theme="4"/>
  </sheetPr>
  <dimension ref="A1:AE18"/>
  <sheetViews>
    <sheetView view="pageBreakPreview" zoomScale="80" zoomScaleNormal="90" zoomScaleSheetLayoutView="80" workbookViewId="0">
      <selection sqref="A1:A2"/>
    </sheetView>
  </sheetViews>
  <sheetFormatPr baseColWidth="10" defaultColWidth="10.90625" defaultRowHeight="14.5" x14ac:dyDescent="0.35"/>
  <cols>
    <col min="1" max="4" width="19.36328125" style="12" customWidth="1"/>
    <col min="5" max="5" width="11.90625" style="12" bestFit="1" customWidth="1"/>
    <col min="6" max="6" width="13" style="12" customWidth="1"/>
    <col min="7" max="8" width="10.90625" style="12"/>
    <col min="9" max="9" width="12.90625" style="12" customWidth="1"/>
    <col min="10" max="13" width="10.90625" style="12"/>
    <col min="14" max="14" width="13" style="12" customWidth="1"/>
    <col min="15" max="21" width="10.90625" style="12"/>
    <col min="22" max="22" width="13.6328125" style="12" customWidth="1"/>
    <col min="23" max="23" width="11.90625" style="12" customWidth="1"/>
    <col min="24" max="24" width="10.90625" style="12"/>
    <col min="25" max="26" width="13.36328125" style="12" customWidth="1"/>
    <col min="27" max="27" width="10.90625" style="12"/>
    <col min="28" max="28" width="11.6328125" style="12" customWidth="1"/>
    <col min="29" max="29" width="10.90625" style="12"/>
    <col min="30" max="30" width="12.36328125" customWidth="1"/>
  </cols>
  <sheetData>
    <row r="1" spans="1:31" s="92" customFormat="1" ht="27.75" customHeight="1" x14ac:dyDescent="0.35">
      <c r="A1" s="371" t="s">
        <v>135</v>
      </c>
      <c r="B1" s="371" t="s">
        <v>136</v>
      </c>
      <c r="C1" s="371" t="s">
        <v>137</v>
      </c>
      <c r="D1" s="371" t="s">
        <v>138</v>
      </c>
      <c r="E1" s="371" t="s">
        <v>139</v>
      </c>
      <c r="F1" s="356" t="s">
        <v>140</v>
      </c>
      <c r="G1" s="356"/>
      <c r="H1" s="356"/>
      <c r="I1" s="356"/>
      <c r="J1" s="356"/>
      <c r="K1" s="356"/>
      <c r="L1" s="356"/>
      <c r="M1" s="356"/>
      <c r="N1" s="356" t="s">
        <v>141</v>
      </c>
      <c r="O1" s="356"/>
      <c r="P1" s="356"/>
      <c r="Q1" s="356"/>
      <c r="R1" s="356"/>
      <c r="S1" s="356"/>
      <c r="T1" s="356"/>
      <c r="U1" s="356"/>
      <c r="V1" s="356" t="s">
        <v>142</v>
      </c>
      <c r="W1" s="356"/>
      <c r="X1" s="356"/>
      <c r="Y1" s="356"/>
      <c r="Z1" s="356"/>
      <c r="AA1" s="356"/>
      <c r="AB1" s="356"/>
      <c r="AC1" s="356"/>
      <c r="AD1" s="368" t="s">
        <v>143</v>
      </c>
      <c r="AE1" s="368" t="s">
        <v>136</v>
      </c>
    </row>
    <row r="2" spans="1:31" s="93" customFormat="1" ht="54.75" customHeight="1" x14ac:dyDescent="0.35">
      <c r="A2" s="371"/>
      <c r="B2" s="371"/>
      <c r="C2" s="371"/>
      <c r="D2" s="371"/>
      <c r="E2" s="371"/>
      <c r="F2" s="193" t="s">
        <v>144</v>
      </c>
      <c r="G2" s="193" t="s">
        <v>127</v>
      </c>
      <c r="H2" s="193" t="s">
        <v>131</v>
      </c>
      <c r="I2" s="198" t="s">
        <v>14</v>
      </c>
      <c r="J2" s="198" t="s">
        <v>15</v>
      </c>
      <c r="K2" s="198" t="s">
        <v>16</v>
      </c>
      <c r="L2" s="198" t="s">
        <v>129</v>
      </c>
      <c r="M2" s="193" t="s">
        <v>17</v>
      </c>
      <c r="N2" s="193" t="s">
        <v>144</v>
      </c>
      <c r="O2" s="193" t="s">
        <v>127</v>
      </c>
      <c r="P2" s="193" t="s">
        <v>131</v>
      </c>
      <c r="Q2" s="198" t="s">
        <v>14</v>
      </c>
      <c r="R2" s="198" t="s">
        <v>15</v>
      </c>
      <c r="S2" s="198" t="s">
        <v>16</v>
      </c>
      <c r="T2" s="198" t="s">
        <v>129</v>
      </c>
      <c r="U2" s="193" t="s">
        <v>17</v>
      </c>
      <c r="V2" s="198" t="s">
        <v>145</v>
      </c>
      <c r="W2" s="198" t="s">
        <v>114</v>
      </c>
      <c r="X2" s="193" t="s">
        <v>146</v>
      </c>
      <c r="Y2" s="193" t="s">
        <v>128</v>
      </c>
      <c r="Z2" s="198" t="s">
        <v>15</v>
      </c>
      <c r="AA2" s="198" t="s">
        <v>16</v>
      </c>
      <c r="AB2" s="198" t="s">
        <v>129</v>
      </c>
      <c r="AC2" s="193" t="s">
        <v>17</v>
      </c>
      <c r="AD2" s="368"/>
      <c r="AE2" s="368"/>
    </row>
    <row r="3" spans="1:31" s="60" customFormat="1" x14ac:dyDescent="0.35">
      <c r="A3" s="369">
        <f>'Información Gral'!AB$138</f>
        <v>0</v>
      </c>
      <c r="B3" s="369"/>
      <c r="C3" s="202">
        <f>'Información Gral'!C$8</f>
        <v>0</v>
      </c>
      <c r="D3" s="201">
        <f>'Información Gral'!M$8</f>
        <v>0</v>
      </c>
      <c r="E3" s="201">
        <f>'Consolidado Punto'!A6</f>
        <v>0</v>
      </c>
      <c r="F3" s="201" t="str" cm="1">
        <f t="array" aca="1" ref="F3" ca="1">IFERROR(INDIRECT($E3 &amp; "!$P$91"),"NA")</f>
        <v>NA</v>
      </c>
      <c r="G3" s="201" t="str" cm="1">
        <f t="array" aca="1" ref="G3" ca="1">IFERROR(INDIRECT($E3 &amp; "!$P$85"),"NA")</f>
        <v>NA</v>
      </c>
      <c r="H3" s="201" t="str" cm="1">
        <f t="array" aca="1" ref="H3" ca="1">IFERROR(INDIRECT($E3 &amp; "!$P$92"),"NA")</f>
        <v>NA</v>
      </c>
      <c r="I3" s="201" t="str" cm="1">
        <f t="array" aca="1" ref="I3" ca="1">IFERROR(INDIRECT($E3 &amp; "!$P$86"),"NA")</f>
        <v>NA</v>
      </c>
      <c r="J3" s="201" t="str" cm="1">
        <f t="array" aca="1" ref="J3" ca="1">IFERROR(INDIRECT($E3 &amp; "!$P$87"),"NA")</f>
        <v>NA</v>
      </c>
      <c r="K3" s="201" t="str" cm="1">
        <f t="array" aca="1" ref="K3" ca="1">IFERROR(INDIRECT($E3 &amp; "!$P$88"),"NA")</f>
        <v>NA</v>
      </c>
      <c r="L3" s="201" t="str" cm="1">
        <f t="array" aca="1" ref="L3" ca="1">IFERROR(INDIRECT($E3 &amp; "!$P$89"),"NA")</f>
        <v>NA</v>
      </c>
      <c r="M3" s="201" t="str" cm="1">
        <f t="array" aca="1" ref="M3" ca="1">IFERROR(INDIRECT($E3 &amp; "!$P$90"),"NA")</f>
        <v>NA</v>
      </c>
      <c r="N3" s="201" t="str" cm="1">
        <f t="array" aca="1" ref="N3" ca="1">IFERROR(INDIRECT($E3 &amp; "!$T$91"),"NA")</f>
        <v>NA</v>
      </c>
      <c r="O3" s="201" t="str" cm="1">
        <f t="array" aca="1" ref="O3" ca="1">IFERROR(INDIRECT($E3 &amp; "!$T$85"),"NA")</f>
        <v>NA</v>
      </c>
      <c r="P3" s="201" t="str" cm="1">
        <f t="array" aca="1" ref="P3" ca="1">IFERROR(INDIRECT($E3 &amp; "!$T$92"),"NA")</f>
        <v>NA</v>
      </c>
      <c r="Q3" s="201" t="str" cm="1">
        <f t="array" aca="1" ref="Q3" ca="1">IFERROR(INDIRECT($E3 &amp; "!$T$86"),"NA")</f>
        <v>NA</v>
      </c>
      <c r="R3" s="203" t="str" cm="1">
        <f t="array" aca="1" ref="R3" ca="1">IFERROR(INDIRECT($E3 &amp; "!$T$87"),"NA")</f>
        <v>NA</v>
      </c>
      <c r="S3" s="203" t="str" cm="1">
        <f t="array" aca="1" ref="S3" ca="1">IFERROR(INDIRECT($E3 &amp; "!$T$88"),"NA")</f>
        <v>NA</v>
      </c>
      <c r="T3" s="201" t="str" cm="1">
        <f t="array" aca="1" ref="T3" ca="1">IFERROR(INDIRECT($E3 &amp; "!$T$89"),"NA")</f>
        <v>NA</v>
      </c>
      <c r="U3" s="203" t="str" cm="1">
        <f t="array" aca="1" ref="U3" ca="1">IFERROR(INDIRECT($E3 &amp; "!$T$90"),"NA")</f>
        <v>NA</v>
      </c>
      <c r="V3" s="204" t="str">
        <f t="shared" ref="V3:V17" ca="1" si="0">IF(N3="NA","NA",IF(N3=F3,"CUMPLE","NO CUMPLE"))</f>
        <v>NA</v>
      </c>
      <c r="W3" s="204" t="str">
        <f t="shared" ref="W3:W17" ca="1" si="1">IF(N3="NA","NA",IF(O3=G3,"CUMPLE","NO CUMPLE"))</f>
        <v>NA</v>
      </c>
      <c r="X3" s="204" t="str">
        <f t="shared" ref="X3:X17" ca="1" si="2">IF(N3="NA","NA",IF(P3=H3,"CUMPLE","NO CUMPLE"))</f>
        <v>NA</v>
      </c>
      <c r="Y3" s="204" t="str">
        <f t="shared" ref="Y3:Y17" ca="1" si="3">IF(N3="NA","NA",IF(Q3=I3,"CUMPLE","NO CUMPLE"))</f>
        <v>NA</v>
      </c>
      <c r="Z3" s="204" t="str">
        <f t="shared" ref="Z3:Z17" ca="1" si="4">IF(N3="NA","NA",IF(R3=J3,"CUMPLE","NO CUMPLE"))</f>
        <v>NA</v>
      </c>
      <c r="AA3" s="204" t="str">
        <f t="shared" ref="AA3:AA17" ca="1" si="5">IF(N3="NA","NA",IF(S3=K3,"CUMPLE","NO CUMPLE"))</f>
        <v>NA</v>
      </c>
      <c r="AB3" s="204" t="str">
        <f t="shared" ref="AB3:AB17" ca="1" si="6">IF(N3="NA","NA",IF(T3=L3,"CUMPLE","NO CUMPLE"))</f>
        <v>NA</v>
      </c>
      <c r="AC3" s="204" t="str">
        <f t="shared" ref="AC3:AC17" ca="1" si="7">IF(N3="NA","NA",IF(U3=M3,"CUMPLE","NO CUMPLE"))</f>
        <v>NA</v>
      </c>
      <c r="AD3" s="365"/>
      <c r="AE3" s="366"/>
    </row>
    <row r="4" spans="1:31" s="60" customFormat="1" x14ac:dyDescent="0.35">
      <c r="A4" s="370"/>
      <c r="B4" s="370"/>
      <c r="C4" s="182">
        <f>'Información Gral'!C$8</f>
        <v>0</v>
      </c>
      <c r="D4" s="169">
        <f>'Información Gral'!M$8</f>
        <v>0</v>
      </c>
      <c r="E4" s="169">
        <f>'Consolidado Punto'!A7</f>
        <v>0</v>
      </c>
      <c r="F4" s="169" t="str" cm="1">
        <f t="array" aca="1" ref="F4" ca="1">IFERROR(INDIRECT($E4 &amp; "!$P$91"),"NA")</f>
        <v>NA</v>
      </c>
      <c r="G4" s="169" t="str" cm="1">
        <f t="array" aca="1" ref="G4" ca="1">IFERROR(INDIRECT($E4 &amp; "!$P$85"),"NA")</f>
        <v>NA</v>
      </c>
      <c r="H4" s="169" t="str" cm="1">
        <f t="array" aca="1" ref="H4" ca="1">IFERROR(INDIRECT($E4 &amp; "!$P$92"),"NA")</f>
        <v>NA</v>
      </c>
      <c r="I4" s="169" t="str" cm="1">
        <f t="array" aca="1" ref="I4" ca="1">IFERROR(INDIRECT($E4 &amp; "!$P$86"),"NA")</f>
        <v>NA</v>
      </c>
      <c r="J4" s="169" t="str" cm="1">
        <f t="array" aca="1" ref="J4" ca="1">IFERROR(INDIRECT($E4 &amp; "!$P$87"),"NA")</f>
        <v>NA</v>
      </c>
      <c r="K4" s="169" t="str" cm="1">
        <f t="array" aca="1" ref="K4" ca="1">IFERROR(INDIRECT($E4 &amp; "!$P$88"),"NA")</f>
        <v>NA</v>
      </c>
      <c r="L4" s="169" t="str" cm="1">
        <f t="array" aca="1" ref="L4" ca="1">IFERROR(INDIRECT($E4 &amp; "!$P$89"),"NA")</f>
        <v>NA</v>
      </c>
      <c r="M4" s="169" t="str" cm="1">
        <f t="array" aca="1" ref="M4" ca="1">IFERROR(INDIRECT($E4 &amp; "!$P$90"),"NA")</f>
        <v>NA</v>
      </c>
      <c r="N4" s="169" t="str" cm="1">
        <f t="array" aca="1" ref="N4" ca="1">IFERROR(INDIRECT($E4 &amp; "!$T$91"),"NA")</f>
        <v>NA</v>
      </c>
      <c r="O4" s="169" t="str" cm="1">
        <f t="array" aca="1" ref="O4" ca="1">IFERROR(INDIRECT($E4 &amp; "!$T$85"),"NA")</f>
        <v>NA</v>
      </c>
      <c r="P4" s="169" t="str" cm="1">
        <f t="array" aca="1" ref="P4" ca="1">IFERROR(INDIRECT($E4 &amp; "!$T$92"),"NA")</f>
        <v>NA</v>
      </c>
      <c r="Q4" s="169" t="str" cm="1">
        <f t="array" aca="1" ref="Q4" ca="1">IFERROR(INDIRECT($E4 &amp; "!$T$86"),"NA")</f>
        <v>NA</v>
      </c>
      <c r="R4" s="170" t="str" cm="1">
        <f t="array" aca="1" ref="R4" ca="1">IFERROR(INDIRECT($E4 &amp; "!$T$87"),"NA")</f>
        <v>NA</v>
      </c>
      <c r="S4" s="170" t="str" cm="1">
        <f t="array" aca="1" ref="S4" ca="1">IFERROR(INDIRECT($E4 &amp; "!$T$88"),"NA")</f>
        <v>NA</v>
      </c>
      <c r="T4" s="169" t="str" cm="1">
        <f t="array" aca="1" ref="T4" ca="1">IFERROR(INDIRECT($E4 &amp; "!$T$89"),"NA")</f>
        <v>NA</v>
      </c>
      <c r="U4" s="170" t="str" cm="1">
        <f t="array" aca="1" ref="U4" ca="1">IFERROR(INDIRECT($E4 &amp; "!$T$90"),"NA")</f>
        <v>NA</v>
      </c>
      <c r="V4" s="168" t="str">
        <f t="shared" ca="1" si="0"/>
        <v>NA</v>
      </c>
      <c r="W4" s="168" t="str">
        <f t="shared" ca="1" si="1"/>
        <v>NA</v>
      </c>
      <c r="X4" s="168" t="str">
        <f t="shared" ca="1" si="2"/>
        <v>NA</v>
      </c>
      <c r="Y4" s="168" t="str">
        <f t="shared" ca="1" si="3"/>
        <v>NA</v>
      </c>
      <c r="Z4" s="168" t="str">
        <f t="shared" ca="1" si="4"/>
        <v>NA</v>
      </c>
      <c r="AA4" s="168" t="str">
        <f t="shared" ca="1" si="5"/>
        <v>NA</v>
      </c>
      <c r="AB4" s="168" t="str">
        <f t="shared" ca="1" si="6"/>
        <v>NA</v>
      </c>
      <c r="AC4" s="168" t="str">
        <f t="shared" ca="1" si="7"/>
        <v>NA</v>
      </c>
      <c r="AD4" s="365"/>
      <c r="AE4" s="367"/>
    </row>
    <row r="5" spans="1:31" s="60" customFormat="1" x14ac:dyDescent="0.35">
      <c r="A5" s="370"/>
      <c r="B5" s="370"/>
      <c r="C5" s="182">
        <f>'Información Gral'!C$8</f>
        <v>0</v>
      </c>
      <c r="D5" s="169">
        <f>'Información Gral'!M$8</f>
        <v>0</v>
      </c>
      <c r="E5" s="169">
        <f>'Consolidado Punto'!A8</f>
        <v>0</v>
      </c>
      <c r="F5" s="169" t="str" cm="1">
        <f t="array" aca="1" ref="F5" ca="1">IFERROR(INDIRECT($E5 &amp; "!$P$91"),"NA")</f>
        <v>NA</v>
      </c>
      <c r="G5" s="169" t="str" cm="1">
        <f t="array" aca="1" ref="G5" ca="1">IFERROR(INDIRECT($E5 &amp; "!$P$85"),"NA")</f>
        <v>NA</v>
      </c>
      <c r="H5" s="169" t="str" cm="1">
        <f t="array" aca="1" ref="H5" ca="1">IFERROR(INDIRECT($E5 &amp; "!$P$92"),"NA")</f>
        <v>NA</v>
      </c>
      <c r="I5" s="169" t="str" cm="1">
        <f t="array" aca="1" ref="I5" ca="1">IFERROR(INDIRECT($E5 &amp; "!$P$86"),"NA")</f>
        <v>NA</v>
      </c>
      <c r="J5" s="169" t="str" cm="1">
        <f t="array" aca="1" ref="J5" ca="1">IFERROR(INDIRECT($E5 &amp; "!$P$87"),"NA")</f>
        <v>NA</v>
      </c>
      <c r="K5" s="169" t="str" cm="1">
        <f t="array" aca="1" ref="K5" ca="1">IFERROR(INDIRECT($E5 &amp; "!$P$88"),"NA")</f>
        <v>NA</v>
      </c>
      <c r="L5" s="169" t="str" cm="1">
        <f t="array" aca="1" ref="L5" ca="1">IFERROR(INDIRECT($E5 &amp; "!$P$89"),"NA")</f>
        <v>NA</v>
      </c>
      <c r="M5" s="169" t="str" cm="1">
        <f t="array" aca="1" ref="M5" ca="1">IFERROR(INDIRECT($E5 &amp; "!$P$90"),"NA")</f>
        <v>NA</v>
      </c>
      <c r="N5" s="169" t="str" cm="1">
        <f t="array" aca="1" ref="N5" ca="1">IFERROR(INDIRECT($E5 &amp; "!$T$91"),"NA")</f>
        <v>NA</v>
      </c>
      <c r="O5" s="169" t="str" cm="1">
        <f t="array" aca="1" ref="O5" ca="1">IFERROR(INDIRECT($E5 &amp; "!$T$85"),"NA")</f>
        <v>NA</v>
      </c>
      <c r="P5" s="169" t="str" cm="1">
        <f t="array" aca="1" ref="P5" ca="1">IFERROR(INDIRECT($E5 &amp; "!$T$92"),"NA")</f>
        <v>NA</v>
      </c>
      <c r="Q5" s="169" t="str" cm="1">
        <f t="array" aca="1" ref="Q5" ca="1">IFERROR(INDIRECT($E5 &amp; "!$T$86"),"NA")</f>
        <v>NA</v>
      </c>
      <c r="R5" s="170" t="str" cm="1">
        <f t="array" aca="1" ref="R5" ca="1">IFERROR(INDIRECT($E5 &amp; "!$T$87"),"NA")</f>
        <v>NA</v>
      </c>
      <c r="S5" s="170" t="str" cm="1">
        <f t="array" aca="1" ref="S5" ca="1">IFERROR(INDIRECT($E5 &amp; "!$T$88"),"NA")</f>
        <v>NA</v>
      </c>
      <c r="T5" s="169" t="str" cm="1">
        <f t="array" aca="1" ref="T5" ca="1">IFERROR(INDIRECT($E5 &amp; "!$T$89"),"NA")</f>
        <v>NA</v>
      </c>
      <c r="U5" s="170" t="str" cm="1">
        <f t="array" aca="1" ref="U5" ca="1">IFERROR(INDIRECT($E5 &amp; "!$T$90"),"NA")</f>
        <v>NA</v>
      </c>
      <c r="V5" s="168" t="str">
        <f t="shared" ca="1" si="0"/>
        <v>NA</v>
      </c>
      <c r="W5" s="168" t="str">
        <f t="shared" ca="1" si="1"/>
        <v>NA</v>
      </c>
      <c r="X5" s="168" t="str">
        <f t="shared" ca="1" si="2"/>
        <v>NA</v>
      </c>
      <c r="Y5" s="168" t="str">
        <f t="shared" ca="1" si="3"/>
        <v>NA</v>
      </c>
      <c r="Z5" s="168" t="str">
        <f t="shared" ca="1" si="4"/>
        <v>NA</v>
      </c>
      <c r="AA5" s="168" t="str">
        <f t="shared" ca="1" si="5"/>
        <v>NA</v>
      </c>
      <c r="AB5" s="168" t="str">
        <f t="shared" ca="1" si="6"/>
        <v>NA</v>
      </c>
      <c r="AC5" s="168" t="str">
        <f t="shared" ca="1" si="7"/>
        <v>NA</v>
      </c>
      <c r="AD5" s="365"/>
      <c r="AE5" s="367"/>
    </row>
    <row r="6" spans="1:31" s="60" customFormat="1" x14ac:dyDescent="0.35">
      <c r="A6" s="370"/>
      <c r="B6" s="370"/>
      <c r="C6" s="182">
        <f>'Información Gral'!C$8</f>
        <v>0</v>
      </c>
      <c r="D6" s="169">
        <f>'Información Gral'!M$8</f>
        <v>0</v>
      </c>
      <c r="E6" s="169">
        <f>'Consolidado Punto'!A9</f>
        <v>0</v>
      </c>
      <c r="F6" s="169" t="str" cm="1">
        <f t="array" aca="1" ref="F6" ca="1">IFERROR(INDIRECT($E6 &amp; "!$P$91"),"NA")</f>
        <v>NA</v>
      </c>
      <c r="G6" s="169" t="str" cm="1">
        <f t="array" aca="1" ref="G6" ca="1">IFERROR(INDIRECT($E6 &amp; "!$P$85"),"NA")</f>
        <v>NA</v>
      </c>
      <c r="H6" s="169" t="str" cm="1">
        <f t="array" aca="1" ref="H6" ca="1">IFERROR(INDIRECT($E6 &amp; "!$P$92"),"NA")</f>
        <v>NA</v>
      </c>
      <c r="I6" s="169" t="str" cm="1">
        <f t="array" aca="1" ref="I6" ca="1">IFERROR(INDIRECT($E6 &amp; "!$P$86"),"NA")</f>
        <v>NA</v>
      </c>
      <c r="J6" s="169" t="str" cm="1">
        <f t="array" aca="1" ref="J6" ca="1">IFERROR(INDIRECT($E6 &amp; "!$P$87"),"NA")</f>
        <v>NA</v>
      </c>
      <c r="K6" s="169" t="str" cm="1">
        <f t="array" aca="1" ref="K6" ca="1">IFERROR(INDIRECT($E6 &amp; "!$P$88"),"NA")</f>
        <v>NA</v>
      </c>
      <c r="L6" s="169" t="str" cm="1">
        <f t="array" aca="1" ref="L6" ca="1">IFERROR(INDIRECT($E6 &amp; "!$P$89"),"NA")</f>
        <v>NA</v>
      </c>
      <c r="M6" s="169" t="str" cm="1">
        <f t="array" aca="1" ref="M6" ca="1">IFERROR(INDIRECT($E6 &amp; "!$P$90"),"NA")</f>
        <v>NA</v>
      </c>
      <c r="N6" s="169" t="str" cm="1">
        <f t="array" aca="1" ref="N6" ca="1">IFERROR(INDIRECT($E6 &amp; "!$T$91"),"NA")</f>
        <v>NA</v>
      </c>
      <c r="O6" s="169" t="str" cm="1">
        <f t="array" aca="1" ref="O6" ca="1">IFERROR(INDIRECT($E6 &amp; "!$T$85"),"NA")</f>
        <v>NA</v>
      </c>
      <c r="P6" s="169" t="str" cm="1">
        <f t="array" aca="1" ref="P6" ca="1">IFERROR(INDIRECT($E6 &amp; "!$T$92"),"NA")</f>
        <v>NA</v>
      </c>
      <c r="Q6" s="169" t="str" cm="1">
        <f t="array" aca="1" ref="Q6" ca="1">IFERROR(INDIRECT($E6 &amp; "!$T$86"),"NA")</f>
        <v>NA</v>
      </c>
      <c r="R6" s="170" t="str" cm="1">
        <f t="array" aca="1" ref="R6" ca="1">IFERROR(INDIRECT($E6 &amp; "!$T$87"),"NA")</f>
        <v>NA</v>
      </c>
      <c r="S6" s="170" t="str" cm="1">
        <f t="array" aca="1" ref="S6" ca="1">IFERROR(INDIRECT($E6 &amp; "!$T$88"),"NA")</f>
        <v>NA</v>
      </c>
      <c r="T6" s="169" t="str" cm="1">
        <f t="array" aca="1" ref="T6" ca="1">IFERROR(INDIRECT($E6 &amp; "!$T$89"),"NA")</f>
        <v>NA</v>
      </c>
      <c r="U6" s="170" t="str" cm="1">
        <f t="array" aca="1" ref="U6" ca="1">IFERROR(INDIRECT($E6 &amp; "!$T$90"),"NA")</f>
        <v>NA</v>
      </c>
      <c r="V6" s="168" t="str">
        <f t="shared" ca="1" si="0"/>
        <v>NA</v>
      </c>
      <c r="W6" s="168" t="str">
        <f t="shared" ca="1" si="1"/>
        <v>NA</v>
      </c>
      <c r="X6" s="168" t="str">
        <f t="shared" ca="1" si="2"/>
        <v>NA</v>
      </c>
      <c r="Y6" s="168" t="str">
        <f t="shared" ca="1" si="3"/>
        <v>NA</v>
      </c>
      <c r="Z6" s="168" t="str">
        <f t="shared" ca="1" si="4"/>
        <v>NA</v>
      </c>
      <c r="AA6" s="168" t="str">
        <f t="shared" ca="1" si="5"/>
        <v>NA</v>
      </c>
      <c r="AB6" s="168" t="str">
        <f t="shared" ca="1" si="6"/>
        <v>NA</v>
      </c>
      <c r="AC6" s="168" t="str">
        <f t="shared" ca="1" si="7"/>
        <v>NA</v>
      </c>
      <c r="AD6" s="365"/>
      <c r="AE6" s="367"/>
    </row>
    <row r="7" spans="1:31" s="60" customFormat="1" x14ac:dyDescent="0.35">
      <c r="A7" s="370"/>
      <c r="B7" s="370"/>
      <c r="C7" s="182">
        <f>'Información Gral'!C$8</f>
        <v>0</v>
      </c>
      <c r="D7" s="169">
        <f>'Información Gral'!M$8</f>
        <v>0</v>
      </c>
      <c r="E7" s="169">
        <f>'Consolidado Punto'!A10</f>
        <v>0</v>
      </c>
      <c r="F7" s="169" t="str" cm="1">
        <f t="array" aca="1" ref="F7" ca="1">IFERROR(INDIRECT($E7 &amp; "!$P$91"),"NA")</f>
        <v>NA</v>
      </c>
      <c r="G7" s="169" t="str" cm="1">
        <f t="array" aca="1" ref="G7" ca="1">IFERROR(INDIRECT($E7 &amp; "!$P$85"),"NA")</f>
        <v>NA</v>
      </c>
      <c r="H7" s="169" t="str" cm="1">
        <f t="array" aca="1" ref="H7" ca="1">IFERROR(INDIRECT($E7 &amp; "!$P$92"),"NA")</f>
        <v>NA</v>
      </c>
      <c r="I7" s="169" t="str" cm="1">
        <f t="array" aca="1" ref="I7" ca="1">IFERROR(INDIRECT($E7 &amp; "!$P$86"),"NA")</f>
        <v>NA</v>
      </c>
      <c r="J7" s="169" t="str" cm="1">
        <f t="array" aca="1" ref="J7" ca="1">IFERROR(INDIRECT($E7 &amp; "!$P$87"),"NA")</f>
        <v>NA</v>
      </c>
      <c r="K7" s="169" t="str" cm="1">
        <f t="array" aca="1" ref="K7" ca="1">IFERROR(INDIRECT($E7 &amp; "!$P$88"),"NA")</f>
        <v>NA</v>
      </c>
      <c r="L7" s="169" t="str" cm="1">
        <f t="array" aca="1" ref="L7" ca="1">IFERROR(INDIRECT($E7 &amp; "!$P$89"),"NA")</f>
        <v>NA</v>
      </c>
      <c r="M7" s="169" t="str" cm="1">
        <f t="array" aca="1" ref="M7" ca="1">IFERROR(INDIRECT($E7 &amp; "!$P$90"),"NA")</f>
        <v>NA</v>
      </c>
      <c r="N7" s="169" t="str" cm="1">
        <f t="array" aca="1" ref="N7" ca="1">IFERROR(INDIRECT($E7 &amp; "!$T$91"),"NA")</f>
        <v>NA</v>
      </c>
      <c r="O7" s="169" t="str" cm="1">
        <f t="array" aca="1" ref="O7" ca="1">IFERROR(INDIRECT($E7 &amp; "!$T$85"),"NA")</f>
        <v>NA</v>
      </c>
      <c r="P7" s="169" t="str" cm="1">
        <f t="array" aca="1" ref="P7" ca="1">IFERROR(INDIRECT($E7 &amp; "!$T$92"),"NA")</f>
        <v>NA</v>
      </c>
      <c r="Q7" s="169" t="str" cm="1">
        <f t="array" aca="1" ref="Q7" ca="1">IFERROR(INDIRECT($E7 &amp; "!$T$86"),"NA")</f>
        <v>NA</v>
      </c>
      <c r="R7" s="170" t="str" cm="1">
        <f t="array" aca="1" ref="R7" ca="1">IFERROR(INDIRECT($E7 &amp; "!$T$87"),"NA")</f>
        <v>NA</v>
      </c>
      <c r="S7" s="170" t="str" cm="1">
        <f t="array" aca="1" ref="S7" ca="1">IFERROR(INDIRECT($E7 &amp; "!$T$88"),"NA")</f>
        <v>NA</v>
      </c>
      <c r="T7" s="169" t="str" cm="1">
        <f t="array" aca="1" ref="T7" ca="1">IFERROR(INDIRECT($E7 &amp; "!$T$89"),"NA")</f>
        <v>NA</v>
      </c>
      <c r="U7" s="170" t="str" cm="1">
        <f t="array" aca="1" ref="U7" ca="1">IFERROR(INDIRECT($E7 &amp; "!$T$90"),"NA")</f>
        <v>NA</v>
      </c>
      <c r="V7" s="168" t="str">
        <f t="shared" ca="1" si="0"/>
        <v>NA</v>
      </c>
      <c r="W7" s="168" t="str">
        <f t="shared" ca="1" si="1"/>
        <v>NA</v>
      </c>
      <c r="X7" s="168" t="str">
        <f t="shared" ca="1" si="2"/>
        <v>NA</v>
      </c>
      <c r="Y7" s="168" t="str">
        <f t="shared" ca="1" si="3"/>
        <v>NA</v>
      </c>
      <c r="Z7" s="168" t="str">
        <f t="shared" ca="1" si="4"/>
        <v>NA</v>
      </c>
      <c r="AA7" s="168" t="str">
        <f t="shared" ca="1" si="5"/>
        <v>NA</v>
      </c>
      <c r="AB7" s="168" t="str">
        <f t="shared" ca="1" si="6"/>
        <v>NA</v>
      </c>
      <c r="AC7" s="168" t="str">
        <f t="shared" ca="1" si="7"/>
        <v>NA</v>
      </c>
      <c r="AD7" s="365"/>
      <c r="AE7" s="367"/>
    </row>
    <row r="8" spans="1:31" s="60" customFormat="1" x14ac:dyDescent="0.35">
      <c r="A8" s="370"/>
      <c r="B8" s="370"/>
      <c r="C8" s="182">
        <f>'Información Gral'!C$8</f>
        <v>0</v>
      </c>
      <c r="D8" s="169">
        <f>'Información Gral'!M$8</f>
        <v>0</v>
      </c>
      <c r="E8" s="169">
        <f>'Consolidado Punto'!A11</f>
        <v>0</v>
      </c>
      <c r="F8" s="169" t="str" cm="1">
        <f t="array" aca="1" ref="F8" ca="1">IFERROR(INDIRECT($E8 &amp; "!$P$91"),"NA")</f>
        <v>NA</v>
      </c>
      <c r="G8" s="169" t="str" cm="1">
        <f t="array" aca="1" ref="G8" ca="1">IFERROR(INDIRECT($E8 &amp; "!$P$85"),"NA")</f>
        <v>NA</v>
      </c>
      <c r="H8" s="169" t="str" cm="1">
        <f t="array" aca="1" ref="H8" ca="1">IFERROR(INDIRECT($E8 &amp; "!$P$92"),"NA")</f>
        <v>NA</v>
      </c>
      <c r="I8" s="169" t="str" cm="1">
        <f t="array" aca="1" ref="I8" ca="1">IFERROR(INDIRECT($E8 &amp; "!$P$86"),"NA")</f>
        <v>NA</v>
      </c>
      <c r="J8" s="169" t="str" cm="1">
        <f t="array" aca="1" ref="J8" ca="1">IFERROR(INDIRECT($E8 &amp; "!$P$87"),"NA")</f>
        <v>NA</v>
      </c>
      <c r="K8" s="169" t="str" cm="1">
        <f t="array" aca="1" ref="K8" ca="1">IFERROR(INDIRECT($E8 &amp; "!$P$88"),"NA")</f>
        <v>NA</v>
      </c>
      <c r="L8" s="169" t="str" cm="1">
        <f t="array" aca="1" ref="L8" ca="1">IFERROR(INDIRECT($E8 &amp; "!$P$89"),"NA")</f>
        <v>NA</v>
      </c>
      <c r="M8" s="169" t="str" cm="1">
        <f t="array" aca="1" ref="M8" ca="1">IFERROR(INDIRECT($E8 &amp; "!$P$90"),"NA")</f>
        <v>NA</v>
      </c>
      <c r="N8" s="169" t="str" cm="1">
        <f t="array" aca="1" ref="N8" ca="1">IFERROR(INDIRECT($E8 &amp; "!$T$91"),"NA")</f>
        <v>NA</v>
      </c>
      <c r="O8" s="169" t="str" cm="1">
        <f t="array" aca="1" ref="O8" ca="1">IFERROR(INDIRECT($E8 &amp; "!$T$85"),"NA")</f>
        <v>NA</v>
      </c>
      <c r="P8" s="169" t="str" cm="1">
        <f t="array" aca="1" ref="P8" ca="1">IFERROR(INDIRECT($E8 &amp; "!$T$92"),"NA")</f>
        <v>NA</v>
      </c>
      <c r="Q8" s="169" t="str" cm="1">
        <f t="array" aca="1" ref="Q8" ca="1">IFERROR(INDIRECT($E8 &amp; "!$T$86"),"NA")</f>
        <v>NA</v>
      </c>
      <c r="R8" s="170" t="str" cm="1">
        <f t="array" aca="1" ref="R8" ca="1">IFERROR(INDIRECT($E8 &amp; "!$T$87"),"NA")</f>
        <v>NA</v>
      </c>
      <c r="S8" s="170" t="str" cm="1">
        <f t="array" aca="1" ref="S8" ca="1">IFERROR(INDIRECT($E8 &amp; "!$T$88"),"NA")</f>
        <v>NA</v>
      </c>
      <c r="T8" s="169" t="str" cm="1">
        <f t="array" aca="1" ref="T8" ca="1">IFERROR(INDIRECT($E8 &amp; "!$T$89"),"NA")</f>
        <v>NA</v>
      </c>
      <c r="U8" s="170" t="str" cm="1">
        <f t="array" aca="1" ref="U8" ca="1">IFERROR(INDIRECT($E8 &amp; "!$T$90"),"NA")</f>
        <v>NA</v>
      </c>
      <c r="V8" s="168" t="str">
        <f t="shared" ca="1" si="0"/>
        <v>NA</v>
      </c>
      <c r="W8" s="168" t="str">
        <f t="shared" ca="1" si="1"/>
        <v>NA</v>
      </c>
      <c r="X8" s="168" t="str">
        <f t="shared" ca="1" si="2"/>
        <v>NA</v>
      </c>
      <c r="Y8" s="168" t="str">
        <f t="shared" ca="1" si="3"/>
        <v>NA</v>
      </c>
      <c r="Z8" s="168" t="str">
        <f t="shared" ca="1" si="4"/>
        <v>NA</v>
      </c>
      <c r="AA8" s="168" t="str">
        <f t="shared" ca="1" si="5"/>
        <v>NA</v>
      </c>
      <c r="AB8" s="168" t="str">
        <f t="shared" ca="1" si="6"/>
        <v>NA</v>
      </c>
      <c r="AC8" s="168" t="str">
        <f t="shared" ca="1" si="7"/>
        <v>NA</v>
      </c>
      <c r="AD8" s="365"/>
      <c r="AE8" s="367"/>
    </row>
    <row r="9" spans="1:31" s="60" customFormat="1" x14ac:dyDescent="0.35">
      <c r="A9" s="370"/>
      <c r="B9" s="370"/>
      <c r="C9" s="182">
        <f>'Información Gral'!C$8</f>
        <v>0</v>
      </c>
      <c r="D9" s="169">
        <f>'Información Gral'!M$8</f>
        <v>0</v>
      </c>
      <c r="E9" s="169">
        <f>'Consolidado Punto'!A12</f>
        <v>0</v>
      </c>
      <c r="F9" s="169" t="str" cm="1">
        <f t="array" aca="1" ref="F9" ca="1">IFERROR(INDIRECT($E9 &amp; "!$P$91"),"NA")</f>
        <v>NA</v>
      </c>
      <c r="G9" s="169" t="str" cm="1">
        <f t="array" aca="1" ref="G9" ca="1">IFERROR(INDIRECT($E9 &amp; "!$P$85"),"NA")</f>
        <v>NA</v>
      </c>
      <c r="H9" s="169" t="str" cm="1">
        <f t="array" aca="1" ref="H9" ca="1">IFERROR(INDIRECT($E9 &amp; "!$P$92"),"NA")</f>
        <v>NA</v>
      </c>
      <c r="I9" s="169" t="str" cm="1">
        <f t="array" aca="1" ref="I9" ca="1">IFERROR(INDIRECT($E9 &amp; "!$P$86"),"NA")</f>
        <v>NA</v>
      </c>
      <c r="J9" s="169" t="str" cm="1">
        <f t="array" aca="1" ref="J9" ca="1">IFERROR(INDIRECT($E9 &amp; "!$P$87"),"NA")</f>
        <v>NA</v>
      </c>
      <c r="K9" s="169" t="str" cm="1">
        <f t="array" aca="1" ref="K9" ca="1">IFERROR(INDIRECT($E9 &amp; "!$P$88"),"NA")</f>
        <v>NA</v>
      </c>
      <c r="L9" s="169" t="str" cm="1">
        <f t="array" aca="1" ref="L9" ca="1">IFERROR(INDIRECT($E9 &amp; "!$P$89"),"NA")</f>
        <v>NA</v>
      </c>
      <c r="M9" s="169" t="str" cm="1">
        <f t="array" aca="1" ref="M9" ca="1">IFERROR(INDIRECT($E9 &amp; "!$P$90"),"NA")</f>
        <v>NA</v>
      </c>
      <c r="N9" s="169" t="str" cm="1">
        <f t="array" aca="1" ref="N9" ca="1">IFERROR(INDIRECT($E9 &amp; "!$T$91"),"NA")</f>
        <v>NA</v>
      </c>
      <c r="O9" s="169" t="str" cm="1">
        <f t="array" aca="1" ref="O9" ca="1">IFERROR(INDIRECT($E9 &amp; "!$T$85"),"NA")</f>
        <v>NA</v>
      </c>
      <c r="P9" s="169" t="str" cm="1">
        <f t="array" aca="1" ref="P9" ca="1">IFERROR(INDIRECT($E9 &amp; "!$T$92"),"NA")</f>
        <v>NA</v>
      </c>
      <c r="Q9" s="169" t="str" cm="1">
        <f t="array" aca="1" ref="Q9" ca="1">IFERROR(INDIRECT($E9 &amp; "!$T$86"),"NA")</f>
        <v>NA</v>
      </c>
      <c r="R9" s="170" t="str" cm="1">
        <f t="array" aca="1" ref="R9" ca="1">IFERROR(INDIRECT($E9 &amp; "!$T$87"),"NA")</f>
        <v>NA</v>
      </c>
      <c r="S9" s="170" t="str" cm="1">
        <f t="array" aca="1" ref="S9" ca="1">IFERROR(INDIRECT($E9 &amp; "!$T$88"),"NA")</f>
        <v>NA</v>
      </c>
      <c r="T9" s="169" t="str" cm="1">
        <f t="array" aca="1" ref="T9" ca="1">IFERROR(INDIRECT($E9 &amp; "!$T$89"),"NA")</f>
        <v>NA</v>
      </c>
      <c r="U9" s="170" t="str" cm="1">
        <f t="array" aca="1" ref="U9" ca="1">IFERROR(INDIRECT($E9 &amp; "!$T$90"),"NA")</f>
        <v>NA</v>
      </c>
      <c r="V9" s="168" t="str">
        <f t="shared" ca="1" si="0"/>
        <v>NA</v>
      </c>
      <c r="W9" s="168" t="str">
        <f t="shared" ca="1" si="1"/>
        <v>NA</v>
      </c>
      <c r="X9" s="168" t="str">
        <f t="shared" ca="1" si="2"/>
        <v>NA</v>
      </c>
      <c r="Y9" s="168" t="str">
        <f t="shared" ca="1" si="3"/>
        <v>NA</v>
      </c>
      <c r="Z9" s="168" t="str">
        <f t="shared" ca="1" si="4"/>
        <v>NA</v>
      </c>
      <c r="AA9" s="168" t="str">
        <f t="shared" ca="1" si="5"/>
        <v>NA</v>
      </c>
      <c r="AB9" s="168" t="str">
        <f t="shared" ca="1" si="6"/>
        <v>NA</v>
      </c>
      <c r="AC9" s="168" t="str">
        <f t="shared" ca="1" si="7"/>
        <v>NA</v>
      </c>
      <c r="AD9" s="365"/>
      <c r="AE9" s="367"/>
    </row>
    <row r="10" spans="1:31" s="60" customFormat="1" x14ac:dyDescent="0.35">
      <c r="A10" s="370"/>
      <c r="B10" s="370"/>
      <c r="C10" s="182">
        <f>'Información Gral'!C$8</f>
        <v>0</v>
      </c>
      <c r="D10" s="169">
        <f>'Información Gral'!M$8</f>
        <v>0</v>
      </c>
      <c r="E10" s="169">
        <f>'Consolidado Punto'!A13</f>
        <v>0</v>
      </c>
      <c r="F10" s="169" t="str" cm="1">
        <f t="array" aca="1" ref="F10" ca="1">IFERROR(INDIRECT($E10 &amp; "!$P$91"),"NA")</f>
        <v>NA</v>
      </c>
      <c r="G10" s="169" t="str" cm="1">
        <f t="array" aca="1" ref="G10" ca="1">IFERROR(INDIRECT($E10 &amp; "!$P$85"),"NA")</f>
        <v>NA</v>
      </c>
      <c r="H10" s="169" t="str" cm="1">
        <f t="array" aca="1" ref="H10" ca="1">IFERROR(INDIRECT($E10 &amp; "!$P$92"),"NA")</f>
        <v>NA</v>
      </c>
      <c r="I10" s="169" t="str" cm="1">
        <f t="array" aca="1" ref="I10" ca="1">IFERROR(INDIRECT($E10 &amp; "!$P$86"),"NA")</f>
        <v>NA</v>
      </c>
      <c r="J10" s="169" t="str" cm="1">
        <f t="array" aca="1" ref="J10" ca="1">IFERROR(INDIRECT($E10 &amp; "!$P$87"),"NA")</f>
        <v>NA</v>
      </c>
      <c r="K10" s="169" t="str" cm="1">
        <f t="array" aca="1" ref="K10" ca="1">IFERROR(INDIRECT($E10 &amp; "!$P$88"),"NA")</f>
        <v>NA</v>
      </c>
      <c r="L10" s="169" t="str" cm="1">
        <f t="array" aca="1" ref="L10" ca="1">IFERROR(INDIRECT($E10 &amp; "!$P$89"),"NA")</f>
        <v>NA</v>
      </c>
      <c r="M10" s="169" t="str" cm="1">
        <f t="array" aca="1" ref="M10" ca="1">IFERROR(INDIRECT($E10 &amp; "!$P$90"),"NA")</f>
        <v>NA</v>
      </c>
      <c r="N10" s="169" t="str" cm="1">
        <f t="array" aca="1" ref="N10" ca="1">IFERROR(INDIRECT($E10 &amp; "!$T$91"),"NA")</f>
        <v>NA</v>
      </c>
      <c r="O10" s="169" t="str" cm="1">
        <f t="array" aca="1" ref="O10" ca="1">IFERROR(INDIRECT($E10 &amp; "!$T$85"),"NA")</f>
        <v>NA</v>
      </c>
      <c r="P10" s="169" t="str" cm="1">
        <f t="array" aca="1" ref="P10" ca="1">IFERROR(INDIRECT($E10 &amp; "!$T$92"),"NA")</f>
        <v>NA</v>
      </c>
      <c r="Q10" s="169" t="str" cm="1">
        <f t="array" aca="1" ref="Q10" ca="1">IFERROR(INDIRECT($E10 &amp; "!$T$86"),"NA")</f>
        <v>NA</v>
      </c>
      <c r="R10" s="170" t="str" cm="1">
        <f t="array" aca="1" ref="R10" ca="1">IFERROR(INDIRECT($E10 &amp; "!$T$87"),"NA")</f>
        <v>NA</v>
      </c>
      <c r="S10" s="170" t="str" cm="1">
        <f t="array" aca="1" ref="S10" ca="1">IFERROR(INDIRECT($E10 &amp; "!$T$88"),"NA")</f>
        <v>NA</v>
      </c>
      <c r="T10" s="169" t="str" cm="1">
        <f t="array" aca="1" ref="T10" ca="1">IFERROR(INDIRECT($E10 &amp; "!$T$89"),"NA")</f>
        <v>NA</v>
      </c>
      <c r="U10" s="170" t="str" cm="1">
        <f t="array" aca="1" ref="U10" ca="1">IFERROR(INDIRECT($E10 &amp; "!$T$90"),"NA")</f>
        <v>NA</v>
      </c>
      <c r="V10" s="168" t="str">
        <f t="shared" ca="1" si="0"/>
        <v>NA</v>
      </c>
      <c r="W10" s="168" t="str">
        <f t="shared" ca="1" si="1"/>
        <v>NA</v>
      </c>
      <c r="X10" s="168" t="str">
        <f t="shared" ca="1" si="2"/>
        <v>NA</v>
      </c>
      <c r="Y10" s="168" t="str">
        <f t="shared" ca="1" si="3"/>
        <v>NA</v>
      </c>
      <c r="Z10" s="168" t="str">
        <f t="shared" ca="1" si="4"/>
        <v>NA</v>
      </c>
      <c r="AA10" s="168" t="str">
        <f t="shared" ca="1" si="5"/>
        <v>NA</v>
      </c>
      <c r="AB10" s="168" t="str">
        <f t="shared" ca="1" si="6"/>
        <v>NA</v>
      </c>
      <c r="AC10" s="168" t="str">
        <f t="shared" ca="1" si="7"/>
        <v>NA</v>
      </c>
      <c r="AD10" s="365"/>
      <c r="AE10" s="367"/>
    </row>
    <row r="11" spans="1:31" s="60" customFormat="1" x14ac:dyDescent="0.35">
      <c r="A11" s="370"/>
      <c r="B11" s="370"/>
      <c r="C11" s="182">
        <f>'Información Gral'!C$8</f>
        <v>0</v>
      </c>
      <c r="D11" s="169">
        <f>'Información Gral'!M$8</f>
        <v>0</v>
      </c>
      <c r="E11" s="169">
        <f>'Consolidado Punto'!A14</f>
        <v>0</v>
      </c>
      <c r="F11" s="169" t="str" cm="1">
        <f t="array" aca="1" ref="F11" ca="1">IFERROR(INDIRECT($E11 &amp; "!$P$91"),"NA")</f>
        <v>NA</v>
      </c>
      <c r="G11" s="169" t="str" cm="1">
        <f t="array" aca="1" ref="G11" ca="1">IFERROR(INDIRECT($E11 &amp; "!$P$85"),"NA")</f>
        <v>NA</v>
      </c>
      <c r="H11" s="169" t="str" cm="1">
        <f t="array" aca="1" ref="H11" ca="1">IFERROR(INDIRECT($E11 &amp; "!$P$92"),"NA")</f>
        <v>NA</v>
      </c>
      <c r="I11" s="169" t="str" cm="1">
        <f t="array" aca="1" ref="I11" ca="1">IFERROR(INDIRECT($E11 &amp; "!$P$86"),"NA")</f>
        <v>NA</v>
      </c>
      <c r="J11" s="169" t="str" cm="1">
        <f t="array" aca="1" ref="J11" ca="1">IFERROR(INDIRECT($E11 &amp; "!$P$87"),"NA")</f>
        <v>NA</v>
      </c>
      <c r="K11" s="169" t="str" cm="1">
        <f t="array" aca="1" ref="K11" ca="1">IFERROR(INDIRECT($E11 &amp; "!$P$88"),"NA")</f>
        <v>NA</v>
      </c>
      <c r="L11" s="169" t="str" cm="1">
        <f t="array" aca="1" ref="L11" ca="1">IFERROR(INDIRECT($E11 &amp; "!$P$89"),"NA")</f>
        <v>NA</v>
      </c>
      <c r="M11" s="169" t="str" cm="1">
        <f t="array" aca="1" ref="M11" ca="1">IFERROR(INDIRECT($E11 &amp; "!$P$90"),"NA")</f>
        <v>NA</v>
      </c>
      <c r="N11" s="169" t="str" cm="1">
        <f t="array" aca="1" ref="N11" ca="1">IFERROR(INDIRECT($E11 &amp; "!$T$91"),"NA")</f>
        <v>NA</v>
      </c>
      <c r="O11" s="169" t="str" cm="1">
        <f t="array" aca="1" ref="O11" ca="1">IFERROR(INDIRECT($E11 &amp; "!$T$85"),"NA")</f>
        <v>NA</v>
      </c>
      <c r="P11" s="169" t="str" cm="1">
        <f t="array" aca="1" ref="P11" ca="1">IFERROR(INDIRECT($E11 &amp; "!$T$92"),"NA")</f>
        <v>NA</v>
      </c>
      <c r="Q11" s="169" t="str" cm="1">
        <f t="array" aca="1" ref="Q11" ca="1">IFERROR(INDIRECT($E11 &amp; "!$T$86"),"NA")</f>
        <v>NA</v>
      </c>
      <c r="R11" s="170" t="str" cm="1">
        <f t="array" aca="1" ref="R11" ca="1">IFERROR(INDIRECT($E11 &amp; "!$T$87"),"NA")</f>
        <v>NA</v>
      </c>
      <c r="S11" s="170" t="str" cm="1">
        <f t="array" aca="1" ref="S11" ca="1">IFERROR(INDIRECT($E11 &amp; "!$T$88"),"NA")</f>
        <v>NA</v>
      </c>
      <c r="T11" s="169" t="str" cm="1">
        <f t="array" aca="1" ref="T11" ca="1">IFERROR(INDIRECT($E11 &amp; "!$T$89"),"NA")</f>
        <v>NA</v>
      </c>
      <c r="U11" s="170" t="str" cm="1">
        <f t="array" aca="1" ref="U11" ca="1">IFERROR(INDIRECT($E11 &amp; "!$T$90"),"NA")</f>
        <v>NA</v>
      </c>
      <c r="V11" s="168" t="str">
        <f t="shared" ca="1" si="0"/>
        <v>NA</v>
      </c>
      <c r="W11" s="168" t="str">
        <f t="shared" ca="1" si="1"/>
        <v>NA</v>
      </c>
      <c r="X11" s="168" t="str">
        <f t="shared" ca="1" si="2"/>
        <v>NA</v>
      </c>
      <c r="Y11" s="168" t="str">
        <f t="shared" ca="1" si="3"/>
        <v>NA</v>
      </c>
      <c r="Z11" s="168" t="str">
        <f t="shared" ca="1" si="4"/>
        <v>NA</v>
      </c>
      <c r="AA11" s="168" t="str">
        <f t="shared" ca="1" si="5"/>
        <v>NA</v>
      </c>
      <c r="AB11" s="168" t="str">
        <f t="shared" ca="1" si="6"/>
        <v>NA</v>
      </c>
      <c r="AC11" s="168" t="str">
        <f t="shared" ca="1" si="7"/>
        <v>NA</v>
      </c>
      <c r="AD11" s="365"/>
      <c r="AE11" s="367"/>
    </row>
    <row r="12" spans="1:31" s="60" customFormat="1" x14ac:dyDescent="0.35">
      <c r="A12" s="370"/>
      <c r="B12" s="370"/>
      <c r="C12" s="182">
        <f>'Información Gral'!C$8</f>
        <v>0</v>
      </c>
      <c r="D12" s="169">
        <f>'Información Gral'!M$8</f>
        <v>0</v>
      </c>
      <c r="E12" s="169">
        <f>'Consolidado Punto'!A17</f>
        <v>0</v>
      </c>
      <c r="F12" s="169" t="str" cm="1">
        <f t="array" aca="1" ref="F12" ca="1">IFERROR(INDIRECT($E12 &amp; "!$P$91"),"NA")</f>
        <v>NA</v>
      </c>
      <c r="G12" s="169" t="str" cm="1">
        <f t="array" aca="1" ref="G12" ca="1">IFERROR(INDIRECT($E12 &amp; "!$P$85"),"NA")</f>
        <v>NA</v>
      </c>
      <c r="H12" s="169" t="str" cm="1">
        <f t="array" aca="1" ref="H12" ca="1">IFERROR(INDIRECT($E12 &amp; "!$P$92"),"NA")</f>
        <v>NA</v>
      </c>
      <c r="I12" s="169" t="str" cm="1">
        <f t="array" aca="1" ref="I12" ca="1">IFERROR(INDIRECT($E12 &amp; "!$P$86"),"NA")</f>
        <v>NA</v>
      </c>
      <c r="J12" s="169" t="str" cm="1">
        <f t="array" aca="1" ref="J12" ca="1">IFERROR(INDIRECT($E12 &amp; "!$P$87"),"NA")</f>
        <v>NA</v>
      </c>
      <c r="K12" s="169" t="str" cm="1">
        <f t="array" aca="1" ref="K12" ca="1">IFERROR(INDIRECT($E12 &amp; "!$P$88"),"NA")</f>
        <v>NA</v>
      </c>
      <c r="L12" s="169" t="str" cm="1">
        <f t="array" aca="1" ref="L12" ca="1">IFERROR(INDIRECT($E12 &amp; "!$P$89"),"NA")</f>
        <v>NA</v>
      </c>
      <c r="M12" s="169" t="str" cm="1">
        <f t="array" aca="1" ref="M12" ca="1">IFERROR(INDIRECT($E12 &amp; "!$P$90"),"NA")</f>
        <v>NA</v>
      </c>
      <c r="N12" s="169" t="str" cm="1">
        <f t="array" aca="1" ref="N12" ca="1">IFERROR(INDIRECT($E12 &amp; "!$T$91"),"NA")</f>
        <v>NA</v>
      </c>
      <c r="O12" s="169" t="str" cm="1">
        <f t="array" aca="1" ref="O12" ca="1">IFERROR(INDIRECT($E12 &amp; "!$T$85"),"NA")</f>
        <v>NA</v>
      </c>
      <c r="P12" s="169" t="str" cm="1">
        <f t="array" aca="1" ref="P12" ca="1">IFERROR(INDIRECT($E12 &amp; "!$T$92"),"NA")</f>
        <v>NA</v>
      </c>
      <c r="Q12" s="169" t="str" cm="1">
        <f t="array" aca="1" ref="Q12" ca="1">IFERROR(INDIRECT($E12 &amp; "!$T$86"),"NA")</f>
        <v>NA</v>
      </c>
      <c r="R12" s="170" t="str" cm="1">
        <f t="array" aca="1" ref="R12" ca="1">IFERROR(INDIRECT($E12 &amp; "!$T$87"),"NA")</f>
        <v>NA</v>
      </c>
      <c r="S12" s="170" t="str" cm="1">
        <f t="array" aca="1" ref="S12" ca="1">IFERROR(INDIRECT($E12 &amp; "!$T$88"),"NA")</f>
        <v>NA</v>
      </c>
      <c r="T12" s="169" t="str" cm="1">
        <f t="array" aca="1" ref="T12" ca="1">IFERROR(INDIRECT($E12 &amp; "!$T$89"),"NA")</f>
        <v>NA</v>
      </c>
      <c r="U12" s="170" t="str" cm="1">
        <f t="array" aca="1" ref="U12" ca="1">IFERROR(INDIRECT($E12 &amp; "!$T$90"),"NA")</f>
        <v>NA</v>
      </c>
      <c r="V12" s="168" t="str">
        <f t="shared" ca="1" si="0"/>
        <v>NA</v>
      </c>
      <c r="W12" s="168" t="str">
        <f t="shared" ca="1" si="1"/>
        <v>NA</v>
      </c>
      <c r="X12" s="168" t="str">
        <f t="shared" ca="1" si="2"/>
        <v>NA</v>
      </c>
      <c r="Y12" s="168" t="str">
        <f t="shared" ca="1" si="3"/>
        <v>NA</v>
      </c>
      <c r="Z12" s="168" t="str">
        <f t="shared" ca="1" si="4"/>
        <v>NA</v>
      </c>
      <c r="AA12" s="168" t="str">
        <f t="shared" ca="1" si="5"/>
        <v>NA</v>
      </c>
      <c r="AB12" s="168" t="str">
        <f t="shared" ca="1" si="6"/>
        <v>NA</v>
      </c>
      <c r="AC12" s="168" t="str">
        <f t="shared" ca="1" si="7"/>
        <v>NA</v>
      </c>
      <c r="AD12" s="365"/>
      <c r="AE12" s="367"/>
    </row>
    <row r="13" spans="1:31" s="60" customFormat="1" x14ac:dyDescent="0.35">
      <c r="A13" s="370"/>
      <c r="B13" s="370"/>
      <c r="C13" s="182">
        <f>'Información Gral'!C$8</f>
        <v>0</v>
      </c>
      <c r="D13" s="169">
        <f>'Información Gral'!M$8</f>
        <v>0</v>
      </c>
      <c r="E13" s="169">
        <f>'Consolidado Punto'!A22</f>
        <v>0</v>
      </c>
      <c r="F13" s="169" t="str" cm="1">
        <f t="array" aca="1" ref="F13" ca="1">IFERROR(INDIRECT($E13 &amp; "!$P$91"),"NA")</f>
        <v>NA</v>
      </c>
      <c r="G13" s="169" t="str" cm="1">
        <f t="array" aca="1" ref="G13" ca="1">IFERROR(INDIRECT($E13 &amp; "!$P$85"),"NA")</f>
        <v>NA</v>
      </c>
      <c r="H13" s="169" t="str" cm="1">
        <f t="array" aca="1" ref="H13" ca="1">IFERROR(INDIRECT($E13 &amp; "!$P$92"),"NA")</f>
        <v>NA</v>
      </c>
      <c r="I13" s="169" t="str" cm="1">
        <f t="array" aca="1" ref="I13" ca="1">IFERROR(INDIRECT($E13 &amp; "!$P$86"),"NA")</f>
        <v>NA</v>
      </c>
      <c r="J13" s="169" t="str" cm="1">
        <f t="array" aca="1" ref="J13" ca="1">IFERROR(INDIRECT($E13 &amp; "!$P$87"),"NA")</f>
        <v>NA</v>
      </c>
      <c r="K13" s="169" t="str" cm="1">
        <f t="array" aca="1" ref="K13" ca="1">IFERROR(INDIRECT($E13 &amp; "!$P$88"),"NA")</f>
        <v>NA</v>
      </c>
      <c r="L13" s="169" t="str" cm="1">
        <f t="array" aca="1" ref="L13" ca="1">IFERROR(INDIRECT($E13 &amp; "!$P$89"),"NA")</f>
        <v>NA</v>
      </c>
      <c r="M13" s="169" t="str" cm="1">
        <f t="array" aca="1" ref="M13" ca="1">IFERROR(INDIRECT($E13 &amp; "!$P$90"),"NA")</f>
        <v>NA</v>
      </c>
      <c r="N13" s="169" t="str" cm="1">
        <f t="array" aca="1" ref="N13" ca="1">IFERROR(INDIRECT($E13 &amp; "!$T$91"),"NA")</f>
        <v>NA</v>
      </c>
      <c r="O13" s="169" t="str" cm="1">
        <f t="array" aca="1" ref="O13" ca="1">IFERROR(INDIRECT($E13 &amp; "!$T$85"),"NA")</f>
        <v>NA</v>
      </c>
      <c r="P13" s="169" t="str" cm="1">
        <f t="array" aca="1" ref="P13" ca="1">IFERROR(INDIRECT($E13 &amp; "!$T$92"),"NA")</f>
        <v>NA</v>
      </c>
      <c r="Q13" s="169" t="str" cm="1">
        <f t="array" aca="1" ref="Q13" ca="1">IFERROR(INDIRECT($E13 &amp; "!$T$86"),"NA")</f>
        <v>NA</v>
      </c>
      <c r="R13" s="170" t="str" cm="1">
        <f t="array" aca="1" ref="R13" ca="1">IFERROR(INDIRECT($E13 &amp; "!$T$87"),"NA")</f>
        <v>NA</v>
      </c>
      <c r="S13" s="170" t="str" cm="1">
        <f t="array" aca="1" ref="S13" ca="1">IFERROR(INDIRECT($E13 &amp; "!$T$88"),"NA")</f>
        <v>NA</v>
      </c>
      <c r="T13" s="169" t="str" cm="1">
        <f t="array" aca="1" ref="T13" ca="1">IFERROR(INDIRECT($E13 &amp; "!$T$89"),"NA")</f>
        <v>NA</v>
      </c>
      <c r="U13" s="170" t="str" cm="1">
        <f t="array" aca="1" ref="U13" ca="1">IFERROR(INDIRECT($E13 &amp; "!$T$90"),"NA")</f>
        <v>NA</v>
      </c>
      <c r="V13" s="168" t="str">
        <f t="shared" ca="1" si="0"/>
        <v>NA</v>
      </c>
      <c r="W13" s="168" t="str">
        <f t="shared" ca="1" si="1"/>
        <v>NA</v>
      </c>
      <c r="X13" s="168" t="str">
        <f t="shared" ca="1" si="2"/>
        <v>NA</v>
      </c>
      <c r="Y13" s="168" t="str">
        <f t="shared" ca="1" si="3"/>
        <v>NA</v>
      </c>
      <c r="Z13" s="168" t="str">
        <f t="shared" ca="1" si="4"/>
        <v>NA</v>
      </c>
      <c r="AA13" s="168" t="str">
        <f t="shared" ca="1" si="5"/>
        <v>NA</v>
      </c>
      <c r="AB13" s="168" t="str">
        <f t="shared" ca="1" si="6"/>
        <v>NA</v>
      </c>
      <c r="AC13" s="168" t="str">
        <f t="shared" ca="1" si="7"/>
        <v>NA</v>
      </c>
      <c r="AD13" s="365"/>
      <c r="AE13" s="367"/>
    </row>
    <row r="14" spans="1:31" s="60" customFormat="1" x14ac:dyDescent="0.35">
      <c r="A14" s="370"/>
      <c r="B14" s="370"/>
      <c r="C14" s="182">
        <f>'Información Gral'!C$8</f>
        <v>0</v>
      </c>
      <c r="D14" s="169">
        <f>'Información Gral'!M$8</f>
        <v>0</v>
      </c>
      <c r="E14" s="169">
        <f>'Consolidado Punto'!A23</f>
        <v>0</v>
      </c>
      <c r="F14" s="169" t="str" cm="1">
        <f t="array" aca="1" ref="F14" ca="1">IFERROR(INDIRECT($E14 &amp; "!$P$91"),"NA")</f>
        <v>NA</v>
      </c>
      <c r="G14" s="169" t="str" cm="1">
        <f t="array" aca="1" ref="G14" ca="1">IFERROR(INDIRECT($E14 &amp; "!$P$85"),"NA")</f>
        <v>NA</v>
      </c>
      <c r="H14" s="169" t="str" cm="1">
        <f t="array" aca="1" ref="H14" ca="1">IFERROR(INDIRECT($E14 &amp; "!$P$92"),"NA")</f>
        <v>NA</v>
      </c>
      <c r="I14" s="169" t="str" cm="1">
        <f t="array" aca="1" ref="I14" ca="1">IFERROR(INDIRECT($E14 &amp; "!$P$86"),"NA")</f>
        <v>NA</v>
      </c>
      <c r="J14" s="169" t="str" cm="1">
        <f t="array" aca="1" ref="J14" ca="1">IFERROR(INDIRECT($E14 &amp; "!$P$87"),"NA")</f>
        <v>NA</v>
      </c>
      <c r="K14" s="169" t="str" cm="1">
        <f t="array" aca="1" ref="K14" ca="1">IFERROR(INDIRECT($E14 &amp; "!$P$88"),"NA")</f>
        <v>NA</v>
      </c>
      <c r="L14" s="169" t="str" cm="1">
        <f t="array" aca="1" ref="L14" ca="1">IFERROR(INDIRECT($E14 &amp; "!$P$89"),"NA")</f>
        <v>NA</v>
      </c>
      <c r="M14" s="169" t="str" cm="1">
        <f t="array" aca="1" ref="M14" ca="1">IFERROR(INDIRECT($E14 &amp; "!$P$90"),"NA")</f>
        <v>NA</v>
      </c>
      <c r="N14" s="169" t="str" cm="1">
        <f t="array" aca="1" ref="N14" ca="1">IFERROR(INDIRECT($E14 &amp; "!$T$91"),"NA")</f>
        <v>NA</v>
      </c>
      <c r="O14" s="169" t="str" cm="1">
        <f t="array" aca="1" ref="O14" ca="1">IFERROR(INDIRECT($E14 &amp; "!$T$85"),"NA")</f>
        <v>NA</v>
      </c>
      <c r="P14" s="169" t="str" cm="1">
        <f t="array" aca="1" ref="P14" ca="1">IFERROR(INDIRECT($E14 &amp; "!$T$92"),"NA")</f>
        <v>NA</v>
      </c>
      <c r="Q14" s="169" t="str" cm="1">
        <f t="array" aca="1" ref="Q14" ca="1">IFERROR(INDIRECT($E14 &amp; "!$T$86"),"NA")</f>
        <v>NA</v>
      </c>
      <c r="R14" s="170" t="str" cm="1">
        <f t="array" aca="1" ref="R14" ca="1">IFERROR(INDIRECT($E14 &amp; "!$T$87"),"NA")</f>
        <v>NA</v>
      </c>
      <c r="S14" s="170" t="str" cm="1">
        <f t="array" aca="1" ref="S14" ca="1">IFERROR(INDIRECT($E14 &amp; "!$T$88"),"NA")</f>
        <v>NA</v>
      </c>
      <c r="T14" s="169" t="str" cm="1">
        <f t="array" aca="1" ref="T14" ca="1">IFERROR(INDIRECT($E14 &amp; "!$T$89"),"NA")</f>
        <v>NA</v>
      </c>
      <c r="U14" s="170" t="str" cm="1">
        <f t="array" aca="1" ref="U14" ca="1">IFERROR(INDIRECT($E14 &amp; "!$T$90"),"NA")</f>
        <v>NA</v>
      </c>
      <c r="V14" s="168" t="str">
        <f t="shared" ca="1" si="0"/>
        <v>NA</v>
      </c>
      <c r="W14" s="168" t="str">
        <f t="shared" ca="1" si="1"/>
        <v>NA</v>
      </c>
      <c r="X14" s="168" t="str">
        <f t="shared" ca="1" si="2"/>
        <v>NA</v>
      </c>
      <c r="Y14" s="168" t="str">
        <f t="shared" ca="1" si="3"/>
        <v>NA</v>
      </c>
      <c r="Z14" s="168" t="str">
        <f t="shared" ca="1" si="4"/>
        <v>NA</v>
      </c>
      <c r="AA14" s="168" t="str">
        <f t="shared" ca="1" si="5"/>
        <v>NA</v>
      </c>
      <c r="AB14" s="168" t="str">
        <f t="shared" ca="1" si="6"/>
        <v>NA</v>
      </c>
      <c r="AC14" s="168" t="str">
        <f t="shared" ca="1" si="7"/>
        <v>NA</v>
      </c>
      <c r="AD14" s="365"/>
      <c r="AE14" s="367"/>
    </row>
    <row r="15" spans="1:31" s="60" customFormat="1" x14ac:dyDescent="0.35">
      <c r="A15" s="370"/>
      <c r="B15" s="370"/>
      <c r="C15" s="182">
        <f>'Información Gral'!C$8</f>
        <v>0</v>
      </c>
      <c r="D15" s="169">
        <f>'Información Gral'!M$8</f>
        <v>0</v>
      </c>
      <c r="E15" s="169">
        <f>'Consolidado Punto'!A24</f>
        <v>0</v>
      </c>
      <c r="F15" s="169" t="str" cm="1">
        <f t="array" aca="1" ref="F15" ca="1">IFERROR(INDIRECT($E15 &amp; "!$P$91"),"NA")</f>
        <v>NA</v>
      </c>
      <c r="G15" s="169" t="str" cm="1">
        <f t="array" aca="1" ref="G15" ca="1">IFERROR(INDIRECT($E15 &amp; "!$P$85"),"NA")</f>
        <v>NA</v>
      </c>
      <c r="H15" s="169" t="str" cm="1">
        <f t="array" aca="1" ref="H15" ca="1">IFERROR(INDIRECT($E15 &amp; "!$P$92"),"NA")</f>
        <v>NA</v>
      </c>
      <c r="I15" s="169" t="str" cm="1">
        <f t="array" aca="1" ref="I15" ca="1">IFERROR(INDIRECT($E15 &amp; "!$P$86"),"NA")</f>
        <v>NA</v>
      </c>
      <c r="J15" s="169" t="str" cm="1">
        <f t="array" aca="1" ref="J15" ca="1">IFERROR(INDIRECT($E15 &amp; "!$P$87"),"NA")</f>
        <v>NA</v>
      </c>
      <c r="K15" s="169" t="str" cm="1">
        <f t="array" aca="1" ref="K15" ca="1">IFERROR(INDIRECT($E15 &amp; "!$P$88"),"NA")</f>
        <v>NA</v>
      </c>
      <c r="L15" s="169" t="str" cm="1">
        <f t="array" aca="1" ref="L15" ca="1">IFERROR(INDIRECT($E15 &amp; "!$P$89"),"NA")</f>
        <v>NA</v>
      </c>
      <c r="M15" s="169" t="str" cm="1">
        <f t="array" aca="1" ref="M15" ca="1">IFERROR(INDIRECT($E15 &amp; "!$P$90"),"NA")</f>
        <v>NA</v>
      </c>
      <c r="N15" s="169" t="str" cm="1">
        <f t="array" aca="1" ref="N15" ca="1">IFERROR(INDIRECT($E15 &amp; "!$T$91"),"NA")</f>
        <v>NA</v>
      </c>
      <c r="O15" s="169" t="str" cm="1">
        <f t="array" aca="1" ref="O15" ca="1">IFERROR(INDIRECT($E15 &amp; "!$T$85"),"NA")</f>
        <v>NA</v>
      </c>
      <c r="P15" s="169" t="str" cm="1">
        <f t="array" aca="1" ref="P15" ca="1">IFERROR(INDIRECT($E15 &amp; "!$T$92"),"NA")</f>
        <v>NA</v>
      </c>
      <c r="Q15" s="169" t="str" cm="1">
        <f t="array" aca="1" ref="Q15" ca="1">IFERROR(INDIRECT($E15 &amp; "!$T$86"),"NA")</f>
        <v>NA</v>
      </c>
      <c r="R15" s="170" t="str" cm="1">
        <f t="array" aca="1" ref="R15" ca="1">IFERROR(INDIRECT($E15 &amp; "!$T$87"),"NA")</f>
        <v>NA</v>
      </c>
      <c r="S15" s="170" t="str" cm="1">
        <f t="array" aca="1" ref="S15" ca="1">IFERROR(INDIRECT($E15 &amp; "!$T$88"),"NA")</f>
        <v>NA</v>
      </c>
      <c r="T15" s="169" t="str" cm="1">
        <f t="array" aca="1" ref="T15" ca="1">IFERROR(INDIRECT($E15 &amp; "!$T$89"),"NA")</f>
        <v>NA</v>
      </c>
      <c r="U15" s="170" t="str" cm="1">
        <f t="array" aca="1" ref="U15" ca="1">IFERROR(INDIRECT($E15 &amp; "!$T$90"),"NA")</f>
        <v>NA</v>
      </c>
      <c r="V15" s="168" t="str">
        <f t="shared" ca="1" si="0"/>
        <v>NA</v>
      </c>
      <c r="W15" s="168" t="str">
        <f t="shared" ca="1" si="1"/>
        <v>NA</v>
      </c>
      <c r="X15" s="168" t="str">
        <f t="shared" ca="1" si="2"/>
        <v>NA</v>
      </c>
      <c r="Y15" s="168" t="str">
        <f t="shared" ca="1" si="3"/>
        <v>NA</v>
      </c>
      <c r="Z15" s="168" t="str">
        <f t="shared" ca="1" si="4"/>
        <v>NA</v>
      </c>
      <c r="AA15" s="168" t="str">
        <f t="shared" ca="1" si="5"/>
        <v>NA</v>
      </c>
      <c r="AB15" s="168" t="str">
        <f t="shared" ca="1" si="6"/>
        <v>NA</v>
      </c>
      <c r="AC15" s="168" t="str">
        <f t="shared" ca="1" si="7"/>
        <v>NA</v>
      </c>
      <c r="AD15" s="365"/>
      <c r="AE15" s="367"/>
    </row>
    <row r="16" spans="1:31" s="60" customFormat="1" x14ac:dyDescent="0.35">
      <c r="A16" s="370"/>
      <c r="B16" s="370"/>
      <c r="C16" s="182">
        <f>'Información Gral'!C$8</f>
        <v>0</v>
      </c>
      <c r="D16" s="169">
        <f>'Información Gral'!M$8</f>
        <v>0</v>
      </c>
      <c r="E16" s="169">
        <f>'Consolidado Punto'!A25</f>
        <v>0</v>
      </c>
      <c r="F16" s="169" t="str" cm="1">
        <f t="array" aca="1" ref="F16" ca="1">IFERROR(INDIRECT($E16 &amp; "!$P$91"),"NA")</f>
        <v>NA</v>
      </c>
      <c r="G16" s="169" t="str" cm="1">
        <f t="array" aca="1" ref="G16" ca="1">IFERROR(INDIRECT($E16 &amp; "!$P$85"),"NA")</f>
        <v>NA</v>
      </c>
      <c r="H16" s="169" t="str" cm="1">
        <f t="array" aca="1" ref="H16" ca="1">IFERROR(INDIRECT($E16 &amp; "!$P$92"),"NA")</f>
        <v>NA</v>
      </c>
      <c r="I16" s="169" t="str" cm="1">
        <f t="array" aca="1" ref="I16" ca="1">IFERROR(INDIRECT($E16 &amp; "!$P$86"),"NA")</f>
        <v>NA</v>
      </c>
      <c r="J16" s="169" t="str" cm="1">
        <f t="array" aca="1" ref="J16" ca="1">IFERROR(INDIRECT($E16 &amp; "!$P$87"),"NA")</f>
        <v>NA</v>
      </c>
      <c r="K16" s="169" t="str" cm="1">
        <f t="array" aca="1" ref="K16" ca="1">IFERROR(INDIRECT($E16 &amp; "!$P$88"),"NA")</f>
        <v>NA</v>
      </c>
      <c r="L16" s="169" t="str" cm="1">
        <f t="array" aca="1" ref="L16" ca="1">IFERROR(INDIRECT($E16 &amp; "!$P$89"),"NA")</f>
        <v>NA</v>
      </c>
      <c r="M16" s="169" t="str" cm="1">
        <f t="array" aca="1" ref="M16" ca="1">IFERROR(INDIRECT($E16 &amp; "!$P$90"),"NA")</f>
        <v>NA</v>
      </c>
      <c r="N16" s="169" t="str" cm="1">
        <f t="array" aca="1" ref="N16" ca="1">IFERROR(INDIRECT($E16 &amp; "!$T$91"),"NA")</f>
        <v>NA</v>
      </c>
      <c r="O16" s="169" t="str" cm="1">
        <f t="array" aca="1" ref="O16" ca="1">IFERROR(INDIRECT($E16 &amp; "!$T$85"),"NA")</f>
        <v>NA</v>
      </c>
      <c r="P16" s="169" t="str" cm="1">
        <f t="array" aca="1" ref="P16" ca="1">IFERROR(INDIRECT($E16 &amp; "!$T$92"),"NA")</f>
        <v>NA</v>
      </c>
      <c r="Q16" s="169" t="str" cm="1">
        <f t="array" aca="1" ref="Q16" ca="1">IFERROR(INDIRECT($E16 &amp; "!$T$86"),"NA")</f>
        <v>NA</v>
      </c>
      <c r="R16" s="170" t="str" cm="1">
        <f t="array" aca="1" ref="R16" ca="1">IFERROR(INDIRECT($E16 &amp; "!$T$87"),"NA")</f>
        <v>NA</v>
      </c>
      <c r="S16" s="170" t="str" cm="1">
        <f t="array" aca="1" ref="S16" ca="1">IFERROR(INDIRECT($E16 &amp; "!$T$88"),"NA")</f>
        <v>NA</v>
      </c>
      <c r="T16" s="169" t="str" cm="1">
        <f t="array" aca="1" ref="T16" ca="1">IFERROR(INDIRECT($E16 &amp; "!$T$89"),"NA")</f>
        <v>NA</v>
      </c>
      <c r="U16" s="170" t="str" cm="1">
        <f t="array" aca="1" ref="U16" ca="1">IFERROR(INDIRECT($E16 &amp; "!$T$90"),"NA")</f>
        <v>NA</v>
      </c>
      <c r="V16" s="168" t="str">
        <f t="shared" ca="1" si="0"/>
        <v>NA</v>
      </c>
      <c r="W16" s="168" t="str">
        <f t="shared" ca="1" si="1"/>
        <v>NA</v>
      </c>
      <c r="X16" s="168" t="str">
        <f t="shared" ca="1" si="2"/>
        <v>NA</v>
      </c>
      <c r="Y16" s="168" t="str">
        <f t="shared" ca="1" si="3"/>
        <v>NA</v>
      </c>
      <c r="Z16" s="168" t="str">
        <f t="shared" ca="1" si="4"/>
        <v>NA</v>
      </c>
      <c r="AA16" s="168" t="str">
        <f t="shared" ca="1" si="5"/>
        <v>NA</v>
      </c>
      <c r="AB16" s="168" t="str">
        <f t="shared" ca="1" si="6"/>
        <v>NA</v>
      </c>
      <c r="AC16" s="168" t="str">
        <f t="shared" ca="1" si="7"/>
        <v>NA</v>
      </c>
      <c r="AD16" s="365"/>
      <c r="AE16" s="367"/>
    </row>
    <row r="17" spans="1:31" s="60" customFormat="1" x14ac:dyDescent="0.35">
      <c r="A17" s="370"/>
      <c r="B17" s="370"/>
      <c r="C17" s="182">
        <f>'Información Gral'!C$8</f>
        <v>0</v>
      </c>
      <c r="D17" s="169">
        <f>'Información Gral'!M$8</f>
        <v>0</v>
      </c>
      <c r="E17" s="169">
        <f>'Consolidado Punto'!A26</f>
        <v>0</v>
      </c>
      <c r="F17" s="169" t="str" cm="1">
        <f t="array" aca="1" ref="F17" ca="1">IFERROR(INDIRECT($E17 &amp; "!$P$91"),"NA")</f>
        <v>NA</v>
      </c>
      <c r="G17" s="169" t="str" cm="1">
        <f t="array" aca="1" ref="G17" ca="1">IFERROR(INDIRECT($E17 &amp; "!$P$85"),"NA")</f>
        <v>NA</v>
      </c>
      <c r="H17" s="169" t="str" cm="1">
        <f t="array" aca="1" ref="H17" ca="1">IFERROR(INDIRECT($E17 &amp; "!$P$92"),"NA")</f>
        <v>NA</v>
      </c>
      <c r="I17" s="169" t="str" cm="1">
        <f t="array" aca="1" ref="I17" ca="1">IFERROR(INDIRECT($E17 &amp; "!$P$86"),"NA")</f>
        <v>NA</v>
      </c>
      <c r="J17" s="169" t="str" cm="1">
        <f t="array" aca="1" ref="J17" ca="1">IFERROR(INDIRECT($E17 &amp; "!$P$87"),"NA")</f>
        <v>NA</v>
      </c>
      <c r="K17" s="169" t="str" cm="1">
        <f t="array" aca="1" ref="K17" ca="1">IFERROR(INDIRECT($E17 &amp; "!$P$88"),"NA")</f>
        <v>NA</v>
      </c>
      <c r="L17" s="169" t="str" cm="1">
        <f t="array" aca="1" ref="L17" ca="1">IFERROR(INDIRECT($E17 &amp; "!$P$89"),"NA")</f>
        <v>NA</v>
      </c>
      <c r="M17" s="169" t="str" cm="1">
        <f t="array" aca="1" ref="M17" ca="1">IFERROR(INDIRECT($E17 &amp; "!$P$90"),"NA")</f>
        <v>NA</v>
      </c>
      <c r="N17" s="169" t="str" cm="1">
        <f t="array" aca="1" ref="N17" ca="1">IFERROR(INDIRECT($E17 &amp; "!$T$91"),"NA")</f>
        <v>NA</v>
      </c>
      <c r="O17" s="169" t="str" cm="1">
        <f t="array" aca="1" ref="O17" ca="1">IFERROR(INDIRECT($E17 &amp; "!$T$85"),"NA")</f>
        <v>NA</v>
      </c>
      <c r="P17" s="169" t="str" cm="1">
        <f t="array" aca="1" ref="P17" ca="1">IFERROR(INDIRECT($E17 &amp; "!$T$92"),"NA")</f>
        <v>NA</v>
      </c>
      <c r="Q17" s="169" t="str" cm="1">
        <f t="array" aca="1" ref="Q17" ca="1">IFERROR(INDIRECT($E17 &amp; "!$T$86"),"NA")</f>
        <v>NA</v>
      </c>
      <c r="R17" s="170" t="str" cm="1">
        <f t="array" aca="1" ref="R17" ca="1">IFERROR(INDIRECT($E17 &amp; "!$T$87"),"NA")</f>
        <v>NA</v>
      </c>
      <c r="S17" s="170" t="str" cm="1">
        <f t="array" aca="1" ref="S17" ca="1">IFERROR(INDIRECT($E17 &amp; "!$T$88"),"NA")</f>
        <v>NA</v>
      </c>
      <c r="T17" s="169" t="str" cm="1">
        <f t="array" aca="1" ref="T17" ca="1">IFERROR(INDIRECT($E17 &amp; "!$T$89"),"NA")</f>
        <v>NA</v>
      </c>
      <c r="U17" s="170" t="str" cm="1">
        <f t="array" aca="1" ref="U17" ca="1">IFERROR(INDIRECT($E17 &amp; "!$T$90"),"NA")</f>
        <v>NA</v>
      </c>
      <c r="V17" s="168" t="str">
        <f t="shared" ca="1" si="0"/>
        <v>NA</v>
      </c>
      <c r="W17" s="168" t="str">
        <f t="shared" ca="1" si="1"/>
        <v>NA</v>
      </c>
      <c r="X17" s="168" t="str">
        <f t="shared" ca="1" si="2"/>
        <v>NA</v>
      </c>
      <c r="Y17" s="168" t="str">
        <f t="shared" ca="1" si="3"/>
        <v>NA</v>
      </c>
      <c r="Z17" s="168" t="str">
        <f t="shared" ca="1" si="4"/>
        <v>NA</v>
      </c>
      <c r="AA17" s="168" t="str">
        <f t="shared" ca="1" si="5"/>
        <v>NA</v>
      </c>
      <c r="AB17" s="168" t="str">
        <f t="shared" ca="1" si="6"/>
        <v>NA</v>
      </c>
      <c r="AC17" s="168" t="str">
        <f t="shared" ca="1" si="7"/>
        <v>NA</v>
      </c>
      <c r="AD17" s="365"/>
      <c r="AE17" s="367"/>
    </row>
    <row r="18" spans="1:31" x14ac:dyDescent="0.35">
      <c r="A18" s="370"/>
      <c r="B18" s="370"/>
      <c r="C18" s="182">
        <f>'Información Gral'!C$8</f>
        <v>0</v>
      </c>
      <c r="D18" s="169">
        <f>'Información Gral'!M$8</f>
        <v>0</v>
      </c>
      <c r="E18" s="169">
        <f>'Consolidado Punto'!A27</f>
        <v>0</v>
      </c>
      <c r="F18" s="169" t="str" cm="1">
        <f t="array" aca="1" ref="F18" ca="1">IFERROR(INDIRECT($E18 &amp; "!$P$91"),"NA")</f>
        <v>NA</v>
      </c>
      <c r="G18" s="169" t="str" cm="1">
        <f t="array" aca="1" ref="G18" ca="1">IFERROR(INDIRECT($E18 &amp; "!$P$85"),"NA")</f>
        <v>NA</v>
      </c>
      <c r="H18" s="169" t="str" cm="1">
        <f t="array" aca="1" ref="H18" ca="1">IFERROR(INDIRECT($E18 &amp; "!$P$92"),"NA")</f>
        <v>NA</v>
      </c>
      <c r="I18" s="169" t="str" cm="1">
        <f t="array" aca="1" ref="I18" ca="1">IFERROR(INDIRECT($E18 &amp; "!$P$86"),"NA")</f>
        <v>NA</v>
      </c>
      <c r="J18" s="169" t="str" cm="1">
        <f t="array" aca="1" ref="J18" ca="1">IFERROR(INDIRECT($E18 &amp; "!$P$87"),"NA")</f>
        <v>NA</v>
      </c>
      <c r="K18" s="169" t="str" cm="1">
        <f t="array" aca="1" ref="K18" ca="1">IFERROR(INDIRECT($E18 &amp; "!$P$88"),"NA")</f>
        <v>NA</v>
      </c>
      <c r="L18" s="169" t="str" cm="1">
        <f t="array" aca="1" ref="L18" ca="1">IFERROR(INDIRECT($E18 &amp; "!$P$89"),"NA")</f>
        <v>NA</v>
      </c>
      <c r="M18" s="169" t="str" cm="1">
        <f t="array" aca="1" ref="M18" ca="1">IFERROR(INDIRECT($E18 &amp; "!$P$90"),"NA")</f>
        <v>NA</v>
      </c>
      <c r="N18" s="169" t="str" cm="1">
        <f t="array" aca="1" ref="N18" ca="1">IFERROR(INDIRECT($E18 &amp; "!$T$91"),"NA")</f>
        <v>NA</v>
      </c>
      <c r="O18" s="169" t="str" cm="1">
        <f t="array" aca="1" ref="O18" ca="1">IFERROR(INDIRECT($E18 &amp; "!$T$85"),"NA")</f>
        <v>NA</v>
      </c>
      <c r="P18" s="169" t="str" cm="1">
        <f t="array" aca="1" ref="P18" ca="1">IFERROR(INDIRECT($E18 &amp; "!$T$92"),"NA")</f>
        <v>NA</v>
      </c>
      <c r="Q18" s="169" t="str" cm="1">
        <f t="array" aca="1" ref="Q18" ca="1">IFERROR(INDIRECT($E18 &amp; "!$T$86"),"NA")</f>
        <v>NA</v>
      </c>
      <c r="R18" s="170" t="str" cm="1">
        <f t="array" aca="1" ref="R18" ca="1">IFERROR(INDIRECT($E18 &amp; "!$T$87"),"NA")</f>
        <v>NA</v>
      </c>
      <c r="S18" s="170" t="str" cm="1">
        <f t="array" aca="1" ref="S18" ca="1">IFERROR(INDIRECT($E18 &amp; "!$T$88"),"NA")</f>
        <v>NA</v>
      </c>
      <c r="T18" s="169" t="str" cm="1">
        <f t="array" aca="1" ref="T18" ca="1">IFERROR(INDIRECT($E18 &amp; "!$T$89"),"NA")</f>
        <v>NA</v>
      </c>
      <c r="U18" s="170" t="str" cm="1">
        <f t="array" aca="1" ref="U18" ca="1">IFERROR(INDIRECT($E18 &amp; "!$T$90"),"NA")</f>
        <v>NA</v>
      </c>
      <c r="V18" s="168" t="str">
        <f t="shared" ref="V18" ca="1" si="8">IF(N18="NA","NA",IF(N18=F18,"CUMPLE","NO CUMPLE"))</f>
        <v>NA</v>
      </c>
      <c r="W18" s="168" t="str">
        <f t="shared" ref="W18" ca="1" si="9">IF(N18="NA","NA",IF(O18=G18,"CUMPLE","NO CUMPLE"))</f>
        <v>NA</v>
      </c>
      <c r="X18" s="168" t="str">
        <f t="shared" ref="X18" ca="1" si="10">IF(N18="NA","NA",IF(P18=H18,"CUMPLE","NO CUMPLE"))</f>
        <v>NA</v>
      </c>
      <c r="Y18" s="168" t="str">
        <f t="shared" ref="Y18" ca="1" si="11">IF(N18="NA","NA",IF(Q18=I18,"CUMPLE","NO CUMPLE"))</f>
        <v>NA</v>
      </c>
      <c r="Z18" s="168" t="str">
        <f t="shared" ref="Z18" ca="1" si="12">IF(N18="NA","NA",IF(R18=J18,"CUMPLE","NO CUMPLE"))</f>
        <v>NA</v>
      </c>
      <c r="AA18" s="168" t="str">
        <f t="shared" ref="AA18" ca="1" si="13">IF(N18="NA","NA",IF(S18=K18,"CUMPLE","NO CUMPLE"))</f>
        <v>NA</v>
      </c>
      <c r="AB18" s="168" t="str">
        <f t="shared" ref="AB18" ca="1" si="14">IF(N18="NA","NA",IF(T18=L18,"CUMPLE","NO CUMPLE"))</f>
        <v>NA</v>
      </c>
      <c r="AC18" s="168" t="str">
        <f t="shared" ref="AC18" ca="1" si="15">IF(N18="NA","NA",IF(U18=M18,"CUMPLE","NO CUMPLE"))</f>
        <v>NA</v>
      </c>
      <c r="AD18" s="365"/>
      <c r="AE18" s="367"/>
    </row>
  </sheetData>
  <sheetProtection algorithmName="SHA-512" hashValue="u4Kc6eXQXTbRnaCHDNJuDHo7MTHdvN+/MV/96XCu3ohZbUsY8agORCKMOzJ/FArZtDOwBP7cglxjTJme4wvlsw==" saltValue="urX6dCMu1qeweU8iN39Prw==" spinCount="100000" sheet="1" objects="1" scenarios="1"/>
  <mergeCells count="14">
    <mergeCell ref="F1:M1"/>
    <mergeCell ref="A3:A18"/>
    <mergeCell ref="B3:B18"/>
    <mergeCell ref="A1:A2"/>
    <mergeCell ref="B1:B2"/>
    <mergeCell ref="C1:C2"/>
    <mergeCell ref="D1:D2"/>
    <mergeCell ref="E1:E2"/>
    <mergeCell ref="AD3:AD18"/>
    <mergeCell ref="AE3:AE18"/>
    <mergeCell ref="N1:U1"/>
    <mergeCell ref="V1:AC1"/>
    <mergeCell ref="AD1:AD2"/>
    <mergeCell ref="AE1:AE2"/>
  </mergeCells>
  <conditionalFormatting sqref="V3:AC18">
    <cfRule type="cellIs" dxfId="0" priority="1" operator="equal">
      <formula>"NO CUMPLE"</formula>
    </cfRule>
  </conditionalFormatting>
  <pageMargins left="0.7" right="0.7" top="0.75" bottom="0.75" header="0.3" footer="0.3"/>
  <pageSetup scale="23"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389A-5104-4B2A-82AD-AFCCBD331145}">
  <dimension ref="A1:BV1119"/>
  <sheetViews>
    <sheetView topLeftCell="A30" workbookViewId="0">
      <selection activeCell="D21" sqref="D21"/>
    </sheetView>
  </sheetViews>
  <sheetFormatPr baseColWidth="10" defaultColWidth="11.453125" defaultRowHeight="14.5" x14ac:dyDescent="0.35"/>
  <cols>
    <col min="1" max="1" width="26.90625" customWidth="1"/>
    <col min="2" max="2" width="36.36328125" customWidth="1"/>
    <col min="3" max="3" width="17.54296875" customWidth="1"/>
    <col min="4" max="4" width="20" customWidth="1"/>
    <col min="5" max="5" width="32.36328125" bestFit="1" customWidth="1"/>
    <col min="6" max="6" width="46.36328125" bestFit="1" customWidth="1"/>
    <col min="7" max="7" width="14.08984375" customWidth="1"/>
    <col min="15" max="15" width="40" bestFit="1" customWidth="1"/>
    <col min="17" max="17" width="40" bestFit="1" customWidth="1"/>
    <col min="18" max="18" width="11.453125" customWidth="1"/>
    <col min="19" max="19" width="13.6328125" customWidth="1"/>
    <col min="20" max="20" width="13.54296875" bestFit="1" customWidth="1"/>
    <col min="21" max="22" width="6.54296875" style="12" customWidth="1"/>
    <col min="23" max="23" width="7.54296875" style="12" customWidth="1"/>
    <col min="24" max="24" width="5.08984375" customWidth="1"/>
    <col min="25" max="25" width="14.08984375" bestFit="1" customWidth="1"/>
    <col min="26" max="26" width="7" customWidth="1"/>
    <col min="27" max="27" width="5.36328125" customWidth="1"/>
    <col min="28" max="28" width="5.90625" customWidth="1"/>
    <col min="29" max="29" width="4.54296875" customWidth="1"/>
    <col min="33" max="33" width="11.90625" bestFit="1" customWidth="1"/>
    <col min="34" max="34" width="14.90625" customWidth="1"/>
    <col min="38" max="38" width="15.90625" customWidth="1"/>
    <col min="40" max="40" width="19.36328125" customWidth="1"/>
    <col min="44" max="44" width="23" customWidth="1"/>
    <col min="47" max="47" width="50.453125" bestFit="1" customWidth="1"/>
    <col min="49" max="49" width="31" customWidth="1"/>
    <col min="50" max="51" width="14.453125" bestFit="1" customWidth="1"/>
    <col min="52" max="52" width="34" customWidth="1"/>
    <col min="53" max="53" width="14.453125" bestFit="1" customWidth="1"/>
    <col min="54" max="54" width="15.90625" customWidth="1"/>
    <col min="61" max="61" width="28.6328125" customWidth="1"/>
    <col min="62" max="62" width="22.6328125" customWidth="1"/>
    <col min="63" max="63" width="16" customWidth="1"/>
    <col min="72" max="72" width="23.6328125" customWidth="1"/>
    <col min="73" max="73" width="29.54296875" customWidth="1"/>
    <col min="74" max="74" width="22" customWidth="1"/>
  </cols>
  <sheetData>
    <row r="1" spans="1:74" ht="19.5" customHeight="1" x14ac:dyDescent="0.35">
      <c r="A1" s="73" t="s">
        <v>29</v>
      </c>
      <c r="B1" s="79" t="s">
        <v>147</v>
      </c>
      <c r="C1" s="80" t="s">
        <v>148</v>
      </c>
      <c r="D1" s="80" t="s">
        <v>149</v>
      </c>
      <c r="E1" s="84" t="s">
        <v>150</v>
      </c>
      <c r="F1" s="84" t="s">
        <v>151</v>
      </c>
      <c r="G1" s="85" t="s">
        <v>152</v>
      </c>
      <c r="I1" s="28" t="s">
        <v>153</v>
      </c>
      <c r="J1" s="28" t="s">
        <v>154</v>
      </c>
      <c r="K1" s="28" t="str">
        <f t="shared" ref="K1:K64" si="0">_xlfn.CONCAT(TRIM(I1),TRIM(J1))</f>
        <v>AbejorralAntioquia</v>
      </c>
      <c r="L1" s="28"/>
      <c r="M1" s="28" t="s">
        <v>155</v>
      </c>
      <c r="N1" s="28"/>
      <c r="O1" s="28"/>
      <c r="P1" s="28"/>
      <c r="Q1" s="28" t="s">
        <v>156</v>
      </c>
      <c r="R1" s="28" t="s">
        <v>157</v>
      </c>
      <c r="S1" s="28" t="s">
        <v>158</v>
      </c>
      <c r="T1" s="28" t="s">
        <v>159</v>
      </c>
      <c r="U1" s="41" t="s">
        <v>160</v>
      </c>
      <c r="V1" s="41" t="s">
        <v>161</v>
      </c>
      <c r="W1" s="41" t="s">
        <v>162</v>
      </c>
      <c r="X1" s="28" t="s">
        <v>163</v>
      </c>
      <c r="Y1" s="28" t="s">
        <v>164</v>
      </c>
      <c r="Z1" s="28" t="s">
        <v>165</v>
      </c>
      <c r="AA1" s="28" t="s">
        <v>166</v>
      </c>
      <c r="AB1" s="28" t="s">
        <v>167</v>
      </c>
      <c r="AC1" s="28" t="s">
        <v>168</v>
      </c>
      <c r="AD1" s="28" t="s">
        <v>169</v>
      </c>
      <c r="AE1" s="28" t="s">
        <v>170</v>
      </c>
      <c r="AH1" s="29" t="s">
        <v>171</v>
      </c>
      <c r="AI1" s="29" t="s">
        <v>87</v>
      </c>
      <c r="AJ1" s="29" t="s">
        <v>172</v>
      </c>
      <c r="AK1" s="29"/>
      <c r="AL1" s="29" t="s">
        <v>173</v>
      </c>
      <c r="AM1" s="29"/>
      <c r="AN1" s="29" t="s">
        <v>174</v>
      </c>
      <c r="AO1" s="29"/>
      <c r="AP1" s="29" t="s">
        <v>175</v>
      </c>
      <c r="AQ1" s="29"/>
      <c r="AR1" s="29" t="s">
        <v>176</v>
      </c>
      <c r="AS1" s="29"/>
      <c r="AT1" s="29" t="s">
        <v>177</v>
      </c>
      <c r="AU1" s="29" t="s">
        <v>178</v>
      </c>
      <c r="AV1" s="29" t="s">
        <v>97</v>
      </c>
      <c r="AW1" s="29" t="s">
        <v>179</v>
      </c>
      <c r="AX1" s="29" t="s">
        <v>180</v>
      </c>
      <c r="AY1" s="29" t="s">
        <v>181</v>
      </c>
      <c r="AZ1" s="40" t="s">
        <v>182</v>
      </c>
      <c r="BA1" s="29" t="s">
        <v>183</v>
      </c>
      <c r="BB1" s="41"/>
      <c r="BC1" s="42"/>
      <c r="BD1" s="42"/>
      <c r="BE1" s="42"/>
      <c r="BF1" s="42"/>
      <c r="BG1" s="42"/>
      <c r="BH1" s="42"/>
      <c r="BI1" s="42"/>
      <c r="BJ1" s="42"/>
      <c r="BK1" s="41"/>
      <c r="BL1" s="41"/>
      <c r="BM1" s="43"/>
      <c r="BN1" s="43"/>
      <c r="BO1" s="43"/>
      <c r="BP1" s="43"/>
      <c r="BQ1" s="43"/>
      <c r="BR1" s="43"/>
      <c r="BS1" s="43"/>
      <c r="BT1" s="43"/>
      <c r="BU1" s="43"/>
      <c r="BV1" s="43"/>
    </row>
    <row r="2" spans="1:74" ht="16" x14ac:dyDescent="0.45">
      <c r="A2" s="74" t="s">
        <v>184</v>
      </c>
      <c r="B2" s="79" t="s">
        <v>185</v>
      </c>
      <c r="C2" s="81">
        <v>14</v>
      </c>
      <c r="D2" s="81">
        <f>473+(6*($C2-14))</f>
        <v>473</v>
      </c>
      <c r="E2" s="86" t="s">
        <v>186</v>
      </c>
      <c r="F2" s="82" t="s">
        <v>187</v>
      </c>
      <c r="G2" s="82" t="s">
        <v>188</v>
      </c>
      <c r="I2" s="28" t="s">
        <v>189</v>
      </c>
      <c r="J2" s="28" t="s">
        <v>190</v>
      </c>
      <c r="K2" s="28" t="str">
        <f t="shared" si="0"/>
        <v>AbregoNorte de Santander</v>
      </c>
      <c r="L2" s="28"/>
      <c r="M2" s="28" t="s">
        <v>154</v>
      </c>
      <c r="N2" s="28"/>
      <c r="O2" s="69"/>
      <c r="P2" s="28"/>
      <c r="Q2" s="28" t="s">
        <v>191</v>
      </c>
      <c r="R2" s="28">
        <v>1.8062500000000001</v>
      </c>
      <c r="S2" s="28">
        <v>-75.893194444444447</v>
      </c>
      <c r="T2" s="28" t="str">
        <f>_xlfn.CONCAT(COORDENADAS[[#This Row],[G]],"° ",COORDENADAS[[#This Row],[M]],"' ",FIXED(COORDENADAS[[#This Row],[S]],2),""" ",COORDENADAS[[#This Row],[Norte]])</f>
        <v>1° 48' 22,50" N</v>
      </c>
      <c r="U2" s="41">
        <v>1</v>
      </c>
      <c r="V2" s="41">
        <v>48</v>
      </c>
      <c r="W2" s="56">
        <v>22.50000000000032</v>
      </c>
      <c r="X2" s="23" t="s">
        <v>192</v>
      </c>
      <c r="Y2" s="28" t="str">
        <f>_xlfn.CONCAT(COORDENADAS[[#This Row],[GG]],"° ",COORDENADAS[[#This Row],[MM]],"' ",FIXED(COORDENADAS[[#This Row],[SS]],2),""" ",COORDENADAS[[#This Row],[Weter]])</f>
        <v>75° 53' 35,50" W</v>
      </c>
      <c r="Z2" s="28">
        <v>75</v>
      </c>
      <c r="AA2" s="28">
        <v>53</v>
      </c>
      <c r="AB2" s="28">
        <v>35.500000000008747</v>
      </c>
      <c r="AC2" s="23" t="s">
        <v>193</v>
      </c>
      <c r="AD2" s="23">
        <v>34.82</v>
      </c>
      <c r="AE2" s="23">
        <v>0</v>
      </c>
      <c r="AH2" s="29" t="s">
        <v>194</v>
      </c>
      <c r="AI2" s="29">
        <v>101</v>
      </c>
      <c r="AJ2" s="29" t="s">
        <v>66</v>
      </c>
      <c r="AK2" s="29"/>
      <c r="AL2" s="29">
        <v>101</v>
      </c>
      <c r="AM2" s="29"/>
      <c r="AN2" s="29" t="s">
        <v>195</v>
      </c>
      <c r="AO2" s="29"/>
      <c r="AP2" s="29">
        <v>101</v>
      </c>
      <c r="AQ2" s="29"/>
      <c r="AR2" s="29" t="s">
        <v>196</v>
      </c>
      <c r="AS2" s="29"/>
      <c r="AT2" s="29">
        <v>101</v>
      </c>
      <c r="AU2" s="29" t="s">
        <v>197</v>
      </c>
      <c r="AV2" s="29" t="s">
        <v>66</v>
      </c>
      <c r="AW2" s="29" t="s">
        <v>66</v>
      </c>
      <c r="AX2" s="29" t="s">
        <v>66</v>
      </c>
      <c r="AY2" s="29" t="s">
        <v>66</v>
      </c>
      <c r="AZ2" s="29" t="s">
        <v>198</v>
      </c>
      <c r="BA2" s="29">
        <v>12291</v>
      </c>
      <c r="BB2" s="41"/>
      <c r="BC2" s="42"/>
      <c r="BD2" s="42"/>
      <c r="BE2" s="42"/>
      <c r="BF2" s="42"/>
      <c r="BG2" s="42"/>
      <c r="BH2" s="42"/>
      <c r="BI2" s="42"/>
      <c r="BJ2" s="42"/>
      <c r="BK2" s="41"/>
      <c r="BL2" s="41"/>
      <c r="BM2" s="43"/>
      <c r="BN2" s="43"/>
      <c r="BO2" s="43"/>
      <c r="BP2" s="43"/>
      <c r="BQ2" s="43"/>
      <c r="BR2" s="43"/>
      <c r="BS2" s="43"/>
      <c r="BT2" s="43"/>
      <c r="BU2" s="43"/>
      <c r="BV2" s="43"/>
    </row>
    <row r="3" spans="1:74" ht="16" x14ac:dyDescent="0.45">
      <c r="A3" s="74" t="s">
        <v>199</v>
      </c>
      <c r="B3" s="79" t="s">
        <v>200</v>
      </c>
      <c r="C3" s="81">
        <v>15</v>
      </c>
      <c r="D3" s="81">
        <f t="shared" ref="D3:D37" si="1">473+(6*($C3-14))</f>
        <v>479</v>
      </c>
      <c r="E3" s="86" t="s">
        <v>201</v>
      </c>
      <c r="F3" s="82" t="s">
        <v>202</v>
      </c>
      <c r="G3" s="82" t="s">
        <v>188</v>
      </c>
      <c r="I3" s="28" t="s">
        <v>203</v>
      </c>
      <c r="J3" s="28" t="s">
        <v>154</v>
      </c>
      <c r="K3" s="28" t="str">
        <f t="shared" si="0"/>
        <v>AbriaquíAntioquia</v>
      </c>
      <c r="L3" s="28"/>
      <c r="M3" s="28" t="s">
        <v>204</v>
      </c>
      <c r="N3" s="28"/>
      <c r="O3" s="69"/>
      <c r="P3" s="28"/>
      <c r="Q3" s="28" t="s">
        <v>205</v>
      </c>
      <c r="R3" s="28">
        <v>10.039294444444444</v>
      </c>
      <c r="S3" s="28">
        <v>-73.230863888888891</v>
      </c>
      <c r="T3" s="28" t="str">
        <f>_xlfn.CONCAT(COORDENADAS[[#This Row],[G]],"° ",COORDENADAS[[#This Row],[M]],"' ",FIXED(COORDENADAS[[#This Row],[S]],2),""" ",COORDENADAS[[#This Row],[Norte]])</f>
        <v>10° 2' 21,46" N</v>
      </c>
      <c r="U3" s="41">
        <v>10</v>
      </c>
      <c r="V3" s="41">
        <v>2</v>
      </c>
      <c r="W3" s="56">
        <v>21.459999999997876</v>
      </c>
      <c r="X3" s="23" t="s">
        <v>192</v>
      </c>
      <c r="Y3" s="28" t="str">
        <f>_xlfn.CONCAT(COORDENADAS[[#This Row],[GG]],"° ",COORDENADAS[[#This Row],[MM]],"' ",FIXED(COORDENADAS[[#This Row],[SS]],2),""" ",COORDENADAS[[#This Row],[Weter]])</f>
        <v>73° 13' 51,11" W</v>
      </c>
      <c r="Z3" s="28">
        <v>73</v>
      </c>
      <c r="AA3" s="28">
        <v>13</v>
      </c>
      <c r="AB3" s="28">
        <v>51.110000000006693</v>
      </c>
      <c r="AC3" s="23" t="s">
        <v>193</v>
      </c>
      <c r="AD3" s="23">
        <v>36.78</v>
      </c>
      <c r="AE3" s="23">
        <v>0</v>
      </c>
      <c r="AH3" s="41"/>
      <c r="AI3" s="41"/>
      <c r="AJ3" s="41"/>
      <c r="AK3" s="41"/>
      <c r="AL3" s="41"/>
      <c r="AM3" s="41"/>
      <c r="AN3" s="41"/>
      <c r="AO3" s="41"/>
      <c r="AP3" s="41"/>
      <c r="AQ3" s="41"/>
      <c r="AR3" s="41"/>
      <c r="AS3" s="41"/>
      <c r="AT3" s="41"/>
      <c r="AU3" s="41"/>
      <c r="AV3" s="41"/>
      <c r="AW3" s="41"/>
      <c r="AX3" s="41"/>
      <c r="AY3" s="41"/>
      <c r="AZ3" s="41"/>
      <c r="BA3" s="41"/>
      <c r="BB3" s="41"/>
      <c r="BC3" s="42"/>
      <c r="BD3" s="42"/>
      <c r="BE3" s="42"/>
      <c r="BF3" s="42"/>
      <c r="BG3" s="42"/>
      <c r="BH3" s="42"/>
      <c r="BI3" s="42"/>
      <c r="BJ3" s="42"/>
      <c r="BK3" s="41"/>
      <c r="BL3" s="41"/>
      <c r="BM3" s="43"/>
      <c r="BN3" s="43"/>
      <c r="BO3" s="43"/>
      <c r="BP3" s="43"/>
      <c r="BQ3" s="43"/>
      <c r="BR3" s="43"/>
      <c r="BS3" s="43"/>
      <c r="BT3" s="43"/>
      <c r="BU3" s="43"/>
      <c r="BV3" s="43"/>
    </row>
    <row r="4" spans="1:74" ht="16" x14ac:dyDescent="0.35">
      <c r="A4" s="74" t="s">
        <v>206</v>
      </c>
      <c r="B4" s="79" t="s">
        <v>66</v>
      </c>
      <c r="C4" s="81">
        <v>16</v>
      </c>
      <c r="D4" s="81">
        <f t="shared" si="1"/>
        <v>485</v>
      </c>
      <c r="E4" t="s">
        <v>207</v>
      </c>
      <c r="F4" t="s">
        <v>208</v>
      </c>
      <c r="G4" t="s">
        <v>188</v>
      </c>
      <c r="I4" s="28" t="s">
        <v>209</v>
      </c>
      <c r="J4" s="28" t="s">
        <v>210</v>
      </c>
      <c r="K4" s="28" t="str">
        <f t="shared" si="0"/>
        <v>AcacíasMeta</v>
      </c>
      <c r="L4" s="28"/>
      <c r="M4" s="28" t="s">
        <v>211</v>
      </c>
      <c r="N4" s="28"/>
      <c r="O4" s="69"/>
      <c r="P4" s="28"/>
      <c r="Q4" s="28" t="s">
        <v>212</v>
      </c>
      <c r="R4" s="28">
        <v>2.524861111111111</v>
      </c>
      <c r="S4" s="28">
        <v>-75.314250000000001</v>
      </c>
      <c r="T4" s="28" t="str">
        <f>_xlfn.CONCAT(COORDENADAS[[#This Row],[G]],"° ",COORDENADAS[[#This Row],[M]],"' ",FIXED(COORDENADAS[[#This Row],[S]],2),""" ",COORDENADAS[[#This Row],[Norte]])</f>
        <v>2° 31' 29,50" N</v>
      </c>
      <c r="U4" s="41">
        <v>2</v>
      </c>
      <c r="V4" s="41">
        <v>31</v>
      </c>
      <c r="W4" s="56">
        <v>29.499999999999417</v>
      </c>
      <c r="X4" s="23" t="s">
        <v>192</v>
      </c>
      <c r="Y4" s="28" t="str">
        <f>_xlfn.CONCAT(COORDENADAS[[#This Row],[GG]],"° ",COORDENADAS[[#This Row],[MM]],"' ",FIXED(COORDENADAS[[#This Row],[SS]],2),""" ",COORDENADAS[[#This Row],[Weter]])</f>
        <v>75° 18' 51,30" W</v>
      </c>
      <c r="Z4" s="28">
        <v>75</v>
      </c>
      <c r="AA4" s="28">
        <v>18</v>
      </c>
      <c r="AB4" s="28">
        <v>51.300000000004545</v>
      </c>
      <c r="AC4" s="23" t="s">
        <v>193</v>
      </c>
      <c r="AD4" s="23">
        <v>34.82</v>
      </c>
      <c r="AE4" s="23">
        <v>0</v>
      </c>
      <c r="AH4" s="88" t="s">
        <v>171</v>
      </c>
      <c r="AI4" s="88" t="s">
        <v>87</v>
      </c>
      <c r="AJ4" s="88" t="s">
        <v>172</v>
      </c>
      <c r="AK4" s="88" t="s">
        <v>213</v>
      </c>
      <c r="AL4" s="88" t="s">
        <v>173</v>
      </c>
      <c r="AM4" s="88" t="s">
        <v>214</v>
      </c>
      <c r="AN4" s="88" t="s">
        <v>174</v>
      </c>
      <c r="AO4" s="88" t="s">
        <v>215</v>
      </c>
      <c r="AP4" s="88" t="s">
        <v>175</v>
      </c>
      <c r="AQ4" s="88" t="s">
        <v>216</v>
      </c>
      <c r="AR4" s="88" t="s">
        <v>176</v>
      </c>
      <c r="AS4" s="88" t="s">
        <v>217</v>
      </c>
      <c r="AT4" s="88" t="s">
        <v>177</v>
      </c>
      <c r="AU4" s="88" t="s">
        <v>178</v>
      </c>
      <c r="AV4" s="88" t="s">
        <v>97</v>
      </c>
      <c r="AW4" s="88" t="s">
        <v>179</v>
      </c>
      <c r="AX4" s="88" t="s">
        <v>180</v>
      </c>
      <c r="AY4" s="88" t="s">
        <v>181</v>
      </c>
      <c r="AZ4" s="88" t="s">
        <v>182</v>
      </c>
      <c r="BA4" s="88" t="s">
        <v>183</v>
      </c>
      <c r="BB4" s="88" t="s">
        <v>218</v>
      </c>
      <c r="BC4" s="89" t="s">
        <v>219</v>
      </c>
      <c r="BD4" s="89" t="s">
        <v>220</v>
      </c>
      <c r="BE4" s="89" t="s">
        <v>221</v>
      </c>
      <c r="BF4" s="89" t="s">
        <v>222</v>
      </c>
      <c r="BG4" s="89" t="s">
        <v>223</v>
      </c>
      <c r="BH4" s="89" t="s">
        <v>224</v>
      </c>
      <c r="BI4" s="89" t="s">
        <v>225</v>
      </c>
      <c r="BJ4" s="89" t="s">
        <v>226</v>
      </c>
      <c r="BK4" s="88" t="s">
        <v>18</v>
      </c>
      <c r="BL4" s="46"/>
      <c r="BM4" s="47"/>
      <c r="BN4" s="45" t="s">
        <v>219</v>
      </c>
      <c r="BO4" s="45" t="s">
        <v>220</v>
      </c>
      <c r="BP4" s="45" t="s">
        <v>221</v>
      </c>
      <c r="BQ4" s="45" t="s">
        <v>222</v>
      </c>
      <c r="BR4" s="45" t="s">
        <v>223</v>
      </c>
      <c r="BS4" s="45" t="s">
        <v>224</v>
      </c>
      <c r="BT4" s="45" t="s">
        <v>225</v>
      </c>
      <c r="BU4" s="45" t="s">
        <v>226</v>
      </c>
      <c r="BV4" s="44" t="s">
        <v>18</v>
      </c>
    </row>
    <row r="5" spans="1:74" ht="16" x14ac:dyDescent="0.45">
      <c r="A5" s="13"/>
      <c r="C5" s="81">
        <v>17</v>
      </c>
      <c r="D5" s="81">
        <f t="shared" si="1"/>
        <v>491</v>
      </c>
      <c r="E5" s="86" t="s">
        <v>227</v>
      </c>
      <c r="F5" s="82" t="s">
        <v>228</v>
      </c>
      <c r="G5" s="82" t="s">
        <v>188</v>
      </c>
      <c r="I5" s="28" t="s">
        <v>229</v>
      </c>
      <c r="J5" s="28" t="s">
        <v>230</v>
      </c>
      <c r="K5" s="28" t="str">
        <f t="shared" si="0"/>
        <v>AcandíChoco</v>
      </c>
      <c r="L5" s="28"/>
      <c r="M5" s="28" t="s">
        <v>231</v>
      </c>
      <c r="N5" s="28"/>
      <c r="O5" s="69"/>
      <c r="P5" s="28"/>
      <c r="Q5" s="28" t="s">
        <v>232</v>
      </c>
      <c r="R5" s="28">
        <v>2.6011638888888888</v>
      </c>
      <c r="S5" s="28">
        <v>-75.281083333333328</v>
      </c>
      <c r="T5" s="28" t="str">
        <f>_xlfn.CONCAT(COORDENADAS[[#This Row],[G]],"° ",COORDENADAS[[#This Row],[M]],"' ",FIXED(COORDENADAS[[#This Row],[S]],2),""" ",COORDENADAS[[#This Row],[Norte]])</f>
        <v>2° 36' 4,19" N</v>
      </c>
      <c r="U5" s="41">
        <v>2</v>
      </c>
      <c r="V5" s="41">
        <v>36</v>
      </c>
      <c r="W5" s="56">
        <v>4.1900003999999047</v>
      </c>
      <c r="X5" s="23" t="s">
        <v>192</v>
      </c>
      <c r="Y5" s="28" t="str">
        <f>_xlfn.CONCAT(COORDENADAS[[#This Row],[GG]],"° ",COORDENADAS[[#This Row],[MM]],"' ",FIXED(COORDENADAS[[#This Row],[SS]],2),""" ",COORDENADAS[[#This Row],[Weter]])</f>
        <v>75° 16' 51,90" W</v>
      </c>
      <c r="Z5" s="28">
        <v>75</v>
      </c>
      <c r="AA5" s="28">
        <v>16</v>
      </c>
      <c r="AB5" s="28">
        <v>51.899988000004683</v>
      </c>
      <c r="AC5" s="23" t="s">
        <v>193</v>
      </c>
      <c r="AD5" s="23">
        <v>40.799999999999997</v>
      </c>
      <c r="AE5" s="23">
        <v>40.700000000000003</v>
      </c>
      <c r="AH5" s="88" t="s">
        <v>194</v>
      </c>
      <c r="AI5" s="90">
        <v>101</v>
      </c>
      <c r="AJ5" s="90" t="s">
        <v>66</v>
      </c>
      <c r="AK5" s="90">
        <v>101</v>
      </c>
      <c r="AL5" s="90" t="s">
        <v>195</v>
      </c>
      <c r="AM5" s="90">
        <v>101</v>
      </c>
      <c r="AN5" s="90" t="s">
        <v>196</v>
      </c>
      <c r="AO5" s="90">
        <v>101</v>
      </c>
      <c r="AP5" s="90" t="s">
        <v>197</v>
      </c>
      <c r="AQ5" s="90" t="s">
        <v>66</v>
      </c>
      <c r="AR5" s="90" t="s">
        <v>66</v>
      </c>
      <c r="AS5" s="90" t="s">
        <v>66</v>
      </c>
      <c r="AT5" s="90" t="s">
        <v>66</v>
      </c>
      <c r="AU5" s="90" t="s">
        <v>198</v>
      </c>
      <c r="AV5" s="90">
        <v>12291</v>
      </c>
      <c r="AW5" s="90">
        <v>30</v>
      </c>
      <c r="AX5" s="90">
        <v>41</v>
      </c>
      <c r="AY5" s="90">
        <v>42</v>
      </c>
      <c r="AZ5" s="90">
        <v>43</v>
      </c>
      <c r="BA5" s="90" t="s">
        <v>66</v>
      </c>
      <c r="BB5" s="90" t="s">
        <v>66</v>
      </c>
      <c r="BC5" s="91" t="s">
        <v>233</v>
      </c>
      <c r="BD5" s="91" t="s">
        <v>66</v>
      </c>
      <c r="BE5" s="91" t="s">
        <v>91</v>
      </c>
      <c r="BF5" s="91" t="s">
        <v>66</v>
      </c>
      <c r="BG5" s="91" t="s">
        <v>234</v>
      </c>
      <c r="BH5" s="91" t="s">
        <v>66</v>
      </c>
      <c r="BI5" s="91" t="s">
        <v>92</v>
      </c>
      <c r="BJ5" s="91" t="s">
        <v>66</v>
      </c>
      <c r="BK5" s="90" t="s">
        <v>235</v>
      </c>
      <c r="BL5" s="41"/>
      <c r="BM5" s="28"/>
      <c r="BN5" s="48" t="s">
        <v>236</v>
      </c>
      <c r="BO5" s="48" t="s">
        <v>237</v>
      </c>
      <c r="BP5" s="48" t="s">
        <v>238</v>
      </c>
      <c r="BQ5" s="48" t="s">
        <v>239</v>
      </c>
      <c r="BR5" s="48" t="s">
        <v>234</v>
      </c>
      <c r="BS5" s="48" t="s">
        <v>234</v>
      </c>
      <c r="BT5" s="48" t="s">
        <v>92</v>
      </c>
      <c r="BU5" s="48" t="s">
        <v>92</v>
      </c>
      <c r="BV5" s="29" t="s">
        <v>240</v>
      </c>
    </row>
    <row r="6" spans="1:74" ht="16" x14ac:dyDescent="0.35">
      <c r="A6" s="73" t="s">
        <v>241</v>
      </c>
      <c r="C6" s="81">
        <v>18</v>
      </c>
      <c r="D6" s="81">
        <f t="shared" si="1"/>
        <v>497</v>
      </c>
      <c r="E6" t="s">
        <v>242</v>
      </c>
      <c r="F6" s="186" t="s">
        <v>243</v>
      </c>
      <c r="G6" s="186" t="s">
        <v>188</v>
      </c>
      <c r="I6" s="28" t="s">
        <v>244</v>
      </c>
      <c r="J6" s="28" t="s">
        <v>245</v>
      </c>
      <c r="K6" s="28" t="str">
        <f t="shared" si="0"/>
        <v>AcevedoHuila</v>
      </c>
      <c r="L6" s="28"/>
      <c r="M6" s="28" t="s">
        <v>246</v>
      </c>
      <c r="N6" s="28"/>
      <c r="O6" s="69"/>
      <c r="P6" s="28"/>
      <c r="Q6" s="28" t="s">
        <v>247</v>
      </c>
      <c r="R6" s="28">
        <v>4.3023055560000003</v>
      </c>
      <c r="S6" s="28">
        <v>-73.741833333000002</v>
      </c>
      <c r="T6" s="28" t="str">
        <f>_xlfn.CONCAT(COORDENADAS[[#This Row],[G]],"° ",COORDENADAS[[#This Row],[M]],"' ",FIXED(COORDENADAS[[#This Row],[S]],2),""" ",COORDENADAS[[#This Row],[Norte]])</f>
        <v>4° 18' 8,30" N</v>
      </c>
      <c r="U6" s="41">
        <v>4</v>
      </c>
      <c r="V6" s="41">
        <v>18</v>
      </c>
      <c r="W6" s="56">
        <v>8.3000016000011492</v>
      </c>
      <c r="X6" s="23" t="s">
        <v>192</v>
      </c>
      <c r="Y6" s="28" t="str">
        <f>_xlfn.CONCAT(COORDENADAS[[#This Row],[GG]],"° ",COORDENADAS[[#This Row],[MM]],"' ",FIXED(COORDENADAS[[#This Row],[SS]],2),""" ",COORDENADAS[[#This Row],[Weter]])</f>
        <v>73° 44' 30,60" W</v>
      </c>
      <c r="Z6" s="28">
        <v>73</v>
      </c>
      <c r="AA6" s="28">
        <v>44</v>
      </c>
      <c r="AB6" s="28">
        <v>30.599998800008919</v>
      </c>
      <c r="AC6" s="23" t="s">
        <v>193</v>
      </c>
      <c r="AD6" s="23">
        <v>40.6</v>
      </c>
      <c r="AE6" s="23">
        <v>40.700000000000003</v>
      </c>
      <c r="AH6" s="88" t="s">
        <v>82</v>
      </c>
      <c r="AI6" s="90">
        <v>0</v>
      </c>
      <c r="AJ6" s="90">
        <v>1</v>
      </c>
      <c r="AK6" s="90">
        <v>0</v>
      </c>
      <c r="AL6" s="90" t="s">
        <v>248</v>
      </c>
      <c r="AM6" s="90">
        <v>0</v>
      </c>
      <c r="AN6" s="90" t="s">
        <v>249</v>
      </c>
      <c r="AO6" s="90">
        <v>0</v>
      </c>
      <c r="AP6" s="90" t="s">
        <v>250</v>
      </c>
      <c r="AQ6" s="90">
        <v>1</v>
      </c>
      <c r="AR6" s="90" t="s">
        <v>251</v>
      </c>
      <c r="AS6" s="90" t="s">
        <v>66</v>
      </c>
      <c r="AT6" s="90" t="s">
        <v>66</v>
      </c>
      <c r="AU6" s="90" t="s">
        <v>252</v>
      </c>
      <c r="AV6" s="90">
        <v>12290</v>
      </c>
      <c r="AW6" s="90">
        <v>20</v>
      </c>
      <c r="AX6" s="90">
        <v>21</v>
      </c>
      <c r="AY6" s="90">
        <v>22</v>
      </c>
      <c r="AZ6" s="90" t="s">
        <v>253</v>
      </c>
      <c r="BA6" s="90" t="s">
        <v>253</v>
      </c>
      <c r="BB6" s="90" t="s">
        <v>66</v>
      </c>
      <c r="BC6" s="91" t="s">
        <v>233</v>
      </c>
      <c r="BD6" s="91" t="s">
        <v>237</v>
      </c>
      <c r="BE6" s="91" t="s">
        <v>238</v>
      </c>
      <c r="BF6" s="91" t="s">
        <v>239</v>
      </c>
      <c r="BG6" s="91" t="s">
        <v>234</v>
      </c>
      <c r="BH6" s="91" t="s">
        <v>234</v>
      </c>
      <c r="BI6" s="91" t="s">
        <v>92</v>
      </c>
      <c r="BJ6" s="91" t="s">
        <v>92</v>
      </c>
      <c r="BK6" s="90" t="s">
        <v>235</v>
      </c>
      <c r="BL6" s="41"/>
      <c r="BM6" s="28"/>
      <c r="BN6" s="48" t="s">
        <v>233</v>
      </c>
      <c r="BO6" s="48" t="s">
        <v>66</v>
      </c>
      <c r="BP6" s="48" t="s">
        <v>91</v>
      </c>
      <c r="BQ6" s="48" t="s">
        <v>66</v>
      </c>
      <c r="BR6" s="48" t="s">
        <v>254</v>
      </c>
      <c r="BS6" s="48" t="s">
        <v>66</v>
      </c>
      <c r="BT6" s="48" t="s">
        <v>255</v>
      </c>
      <c r="BU6" s="48" t="s">
        <v>66</v>
      </c>
      <c r="BV6" s="29" t="s">
        <v>235</v>
      </c>
    </row>
    <row r="7" spans="1:74" ht="16" x14ac:dyDescent="0.45">
      <c r="A7" s="74" t="s">
        <v>256</v>
      </c>
      <c r="C7" s="81">
        <v>19</v>
      </c>
      <c r="D7" s="81">
        <f t="shared" si="1"/>
        <v>503</v>
      </c>
      <c r="E7" s="86" t="s">
        <v>257</v>
      </c>
      <c r="F7" s="82" t="s">
        <v>258</v>
      </c>
      <c r="G7" s="82" t="s">
        <v>188</v>
      </c>
      <c r="I7" s="28" t="s">
        <v>259</v>
      </c>
      <c r="J7" s="28" t="s">
        <v>260</v>
      </c>
      <c r="K7" s="28" t="str">
        <f t="shared" si="0"/>
        <v>AchíBolivar</v>
      </c>
      <c r="L7" s="28"/>
      <c r="M7" s="28" t="s">
        <v>260</v>
      </c>
      <c r="N7" s="28"/>
      <c r="O7" s="69"/>
      <c r="P7" s="28"/>
      <c r="Q7" s="28" t="s">
        <v>261</v>
      </c>
      <c r="R7" s="28">
        <v>5.6805277777777778</v>
      </c>
      <c r="S7" s="28">
        <v>-75.890666666666675</v>
      </c>
      <c r="T7" s="28" t="str">
        <f>_xlfn.CONCAT(COORDENADAS[[#This Row],[G]],"° ",COORDENADAS[[#This Row],[M]],"' ",FIXED(COORDENADAS[[#This Row],[S]],2),""" ",COORDENADAS[[#This Row],[Norte]])</f>
        <v>5° 40' 49,90" N</v>
      </c>
      <c r="U7" s="41">
        <v>5</v>
      </c>
      <c r="V7" s="41">
        <v>40</v>
      </c>
      <c r="W7" s="56">
        <v>49.900000000000368</v>
      </c>
      <c r="X7" s="23" t="s">
        <v>192</v>
      </c>
      <c r="Y7" s="28" t="str">
        <f>_xlfn.CONCAT(COORDENADAS[[#This Row],[GG]],"° ",COORDENADAS[[#This Row],[MM]],"' ",FIXED(COORDENADAS[[#This Row],[SS]],2),""" ",COORDENADAS[[#This Row],[Weter]])</f>
        <v>75° 53' 26,40" W</v>
      </c>
      <c r="Z7" s="28">
        <v>75</v>
      </c>
      <c r="AA7" s="28">
        <v>53</v>
      </c>
      <c r="AB7" s="28">
        <v>26.400000000030666</v>
      </c>
      <c r="AC7" s="23" t="s">
        <v>193</v>
      </c>
      <c r="AD7" s="23">
        <v>34.82</v>
      </c>
      <c r="AE7" s="23">
        <v>0</v>
      </c>
      <c r="AH7" s="88" t="s">
        <v>262</v>
      </c>
      <c r="AI7" s="90">
        <v>0</v>
      </c>
      <c r="AJ7" s="90">
        <v>1</v>
      </c>
      <c r="AK7" s="90">
        <v>0</v>
      </c>
      <c r="AL7" s="90" t="s">
        <v>263</v>
      </c>
      <c r="AM7" s="90">
        <v>0</v>
      </c>
      <c r="AN7" s="90" t="s">
        <v>264</v>
      </c>
      <c r="AO7" s="90">
        <v>1</v>
      </c>
      <c r="AP7" s="90" t="s">
        <v>265</v>
      </c>
      <c r="AQ7" s="90" t="s">
        <v>66</v>
      </c>
      <c r="AR7" s="90" t="s">
        <v>66</v>
      </c>
      <c r="AS7" s="90" t="s">
        <v>66</v>
      </c>
      <c r="AT7" s="90" t="s">
        <v>66</v>
      </c>
      <c r="AU7" s="90" t="s">
        <v>266</v>
      </c>
      <c r="AV7" s="90">
        <v>12289</v>
      </c>
      <c r="AW7" s="90">
        <v>10</v>
      </c>
      <c r="AX7" s="90">
        <v>2</v>
      </c>
      <c r="AY7" s="90">
        <v>3</v>
      </c>
      <c r="AZ7" s="91" t="s">
        <v>267</v>
      </c>
      <c r="BA7" s="90" t="s">
        <v>66</v>
      </c>
      <c r="BB7" s="90" t="s">
        <v>66</v>
      </c>
      <c r="BC7" s="91" t="s">
        <v>233</v>
      </c>
      <c r="BD7" s="91" t="s">
        <v>237</v>
      </c>
      <c r="BE7" s="91" t="s">
        <v>238</v>
      </c>
      <c r="BF7" s="91" t="s">
        <v>268</v>
      </c>
      <c r="BG7" s="91" t="s">
        <v>234</v>
      </c>
      <c r="BH7" s="91" t="s">
        <v>234</v>
      </c>
      <c r="BI7" s="91" t="s">
        <v>92</v>
      </c>
      <c r="BJ7" s="91" t="s">
        <v>92</v>
      </c>
      <c r="BK7" s="90" t="s">
        <v>240</v>
      </c>
      <c r="BL7" s="41"/>
      <c r="BM7" s="28"/>
      <c r="BN7" s="48" t="s">
        <v>237</v>
      </c>
      <c r="BO7" s="48" t="s">
        <v>237</v>
      </c>
      <c r="BP7" s="48" t="s">
        <v>268</v>
      </c>
      <c r="BQ7" s="48" t="s">
        <v>268</v>
      </c>
      <c r="BR7" s="48" t="s">
        <v>66</v>
      </c>
      <c r="BS7" s="29" t="s">
        <v>93</v>
      </c>
      <c r="BT7" s="48" t="s">
        <v>66</v>
      </c>
      <c r="BU7" s="48" t="s">
        <v>93</v>
      </c>
      <c r="BV7" s="29" t="s">
        <v>269</v>
      </c>
    </row>
    <row r="8" spans="1:74" ht="16" x14ac:dyDescent="0.45">
      <c r="A8" s="74" t="s">
        <v>270</v>
      </c>
      <c r="C8" s="81">
        <v>20</v>
      </c>
      <c r="D8" s="81">
        <f t="shared" si="1"/>
        <v>509</v>
      </c>
      <c r="E8" s="86" t="s">
        <v>271</v>
      </c>
      <c r="F8" s="82" t="s">
        <v>272</v>
      </c>
      <c r="G8" s="82" t="s">
        <v>188</v>
      </c>
      <c r="I8" s="28" t="s">
        <v>273</v>
      </c>
      <c r="J8" s="28" t="s">
        <v>245</v>
      </c>
      <c r="K8" s="28" t="str">
        <f t="shared" si="0"/>
        <v>AgradoHuila</v>
      </c>
      <c r="L8" s="28"/>
      <c r="M8" s="28" t="s">
        <v>274</v>
      </c>
      <c r="N8" s="28"/>
      <c r="O8" s="69"/>
      <c r="P8" s="28"/>
      <c r="Q8" s="28" t="s">
        <v>275</v>
      </c>
      <c r="R8" s="28">
        <v>7.081722222222222</v>
      </c>
      <c r="S8" s="28">
        <v>-70.763013888888892</v>
      </c>
      <c r="T8" s="28" t="str">
        <f>_xlfn.CONCAT(COORDENADAS[[#This Row],[G]],"° ",COORDENADAS[[#This Row],[M]],"' ",FIXED(COORDENADAS[[#This Row],[S]],2),""" ",COORDENADAS[[#This Row],[Norte]])</f>
        <v>7° 4' 54,20" N</v>
      </c>
      <c r="U8" s="41">
        <v>7</v>
      </c>
      <c r="V8" s="41">
        <v>4</v>
      </c>
      <c r="W8" s="56">
        <v>54.199999999999307</v>
      </c>
      <c r="X8" s="23" t="s">
        <v>192</v>
      </c>
      <c r="Y8" s="28" t="str">
        <f>_xlfn.CONCAT(COORDENADAS[[#This Row],[GG]],"° ",COORDENADAS[[#This Row],[MM]],"' ",FIXED(COORDENADAS[[#This Row],[SS]],2),""" ",COORDENADAS[[#This Row],[Weter]])</f>
        <v>70° 45' 46,85" W</v>
      </c>
      <c r="Z8" s="28">
        <v>70</v>
      </c>
      <c r="AA8" s="28">
        <v>45</v>
      </c>
      <c r="AB8" s="28">
        <v>46.85000000001196</v>
      </c>
      <c r="AC8" s="23" t="s">
        <v>193</v>
      </c>
      <c r="AD8" s="23">
        <v>49.26</v>
      </c>
      <c r="AE8" s="23">
        <v>0</v>
      </c>
      <c r="AH8" s="88" t="s">
        <v>276</v>
      </c>
      <c r="AI8" s="90">
        <v>1</v>
      </c>
      <c r="AJ8" s="90" t="s">
        <v>66</v>
      </c>
      <c r="AK8" s="90">
        <v>1</v>
      </c>
      <c r="AL8" s="90" t="s">
        <v>277</v>
      </c>
      <c r="AM8" s="90">
        <v>1</v>
      </c>
      <c r="AN8" s="90" t="s">
        <v>278</v>
      </c>
      <c r="AO8" s="90" t="s">
        <v>66</v>
      </c>
      <c r="AP8" s="90" t="s">
        <v>66</v>
      </c>
      <c r="AQ8" s="90" t="s">
        <v>66</v>
      </c>
      <c r="AR8" s="90" t="s">
        <v>66</v>
      </c>
      <c r="AS8" s="90" t="s">
        <v>66</v>
      </c>
      <c r="AT8" s="90" t="s">
        <v>66</v>
      </c>
      <c r="AU8" s="90" t="s">
        <v>279</v>
      </c>
      <c r="AV8" s="90">
        <v>12481</v>
      </c>
      <c r="AW8" s="183">
        <v>10001</v>
      </c>
      <c r="AX8" s="90">
        <v>16001</v>
      </c>
      <c r="AY8" s="90">
        <v>16002</v>
      </c>
      <c r="AZ8" s="90" t="s">
        <v>66</v>
      </c>
      <c r="BA8" s="90" t="s">
        <v>66</v>
      </c>
      <c r="BB8" s="90" t="s">
        <v>66</v>
      </c>
      <c r="BC8" s="91" t="s">
        <v>236</v>
      </c>
      <c r="BD8" s="91" t="s">
        <v>66</v>
      </c>
      <c r="BE8" s="91" t="s">
        <v>268</v>
      </c>
      <c r="BF8" s="91" t="s">
        <v>66</v>
      </c>
      <c r="BG8" s="91" t="s">
        <v>254</v>
      </c>
      <c r="BH8" s="91" t="s">
        <v>66</v>
      </c>
      <c r="BI8" s="91" t="s">
        <v>255</v>
      </c>
      <c r="BJ8" s="91" t="s">
        <v>66</v>
      </c>
      <c r="BK8" s="90" t="s">
        <v>269</v>
      </c>
      <c r="BL8" s="41"/>
      <c r="BM8" s="28"/>
      <c r="BN8" s="48" t="s">
        <v>66</v>
      </c>
      <c r="BO8" s="48" t="s">
        <v>93</v>
      </c>
      <c r="BP8" s="48" t="s">
        <v>239</v>
      </c>
      <c r="BQ8" s="29" t="s">
        <v>93</v>
      </c>
      <c r="BR8" s="29" t="s">
        <v>93</v>
      </c>
      <c r="BS8" s="48"/>
      <c r="BT8" s="29" t="s">
        <v>93</v>
      </c>
      <c r="BU8" s="48"/>
      <c r="BV8" s="29" t="s">
        <v>66</v>
      </c>
    </row>
    <row r="9" spans="1:74" ht="16" x14ac:dyDescent="0.45">
      <c r="A9" s="14"/>
      <c r="C9" s="81">
        <v>21</v>
      </c>
      <c r="D9" s="81">
        <f t="shared" si="1"/>
        <v>515</v>
      </c>
      <c r="E9" s="86" t="s">
        <v>280</v>
      </c>
      <c r="F9" s="82" t="s">
        <v>281</v>
      </c>
      <c r="G9" s="82" t="s">
        <v>188</v>
      </c>
      <c r="I9" s="28" t="s">
        <v>282</v>
      </c>
      <c r="J9" s="28" t="s">
        <v>283</v>
      </c>
      <c r="K9" s="28" t="str">
        <f t="shared" si="0"/>
        <v>Agua de DiosCundinamarca</v>
      </c>
      <c r="L9" s="28"/>
      <c r="M9" s="28" t="s">
        <v>284</v>
      </c>
      <c r="N9" s="28"/>
      <c r="O9" s="69"/>
      <c r="P9" s="28"/>
      <c r="Q9" s="28" t="s">
        <v>285</v>
      </c>
      <c r="R9" s="28">
        <v>7.0827944440000001</v>
      </c>
      <c r="S9" s="28">
        <v>-70.755769443999995</v>
      </c>
      <c r="T9" s="28" t="str">
        <f>_xlfn.CONCAT(COORDENADAS[[#This Row],[G]],"° ",COORDENADAS[[#This Row],[M]],"' ",FIXED(COORDENADAS[[#This Row],[S]],2),""" ",COORDENADAS[[#This Row],[Norte]])</f>
        <v>7° 4' 58,06" N</v>
      </c>
      <c r="U9" s="41">
        <v>7</v>
      </c>
      <c r="V9" s="41">
        <v>4</v>
      </c>
      <c r="W9" s="56">
        <v>58.059998400000481</v>
      </c>
      <c r="X9" s="23" t="s">
        <v>192</v>
      </c>
      <c r="Y9" s="28" t="str">
        <f>_xlfn.CONCAT(COORDENADAS[[#This Row],[GG]],"° ",COORDENADAS[[#This Row],[MM]],"' ",FIXED(COORDENADAS[[#This Row],[SS]],2),""" ",COORDENADAS[[#This Row],[Weter]])</f>
        <v>70° 45' 20,77" W</v>
      </c>
      <c r="Z9" s="28">
        <v>70</v>
      </c>
      <c r="AA9" s="28">
        <v>45</v>
      </c>
      <c r="AB9" s="28">
        <v>20.76999839998166</v>
      </c>
      <c r="AC9" s="23" t="s">
        <v>193</v>
      </c>
      <c r="AD9" s="23">
        <v>41.6</v>
      </c>
      <c r="AE9" s="23">
        <v>41.8</v>
      </c>
      <c r="AH9" s="88" t="s">
        <v>286</v>
      </c>
      <c r="AI9" s="90">
        <v>106</v>
      </c>
      <c r="AJ9" s="90" t="s">
        <v>66</v>
      </c>
      <c r="AK9" s="90">
        <v>106</v>
      </c>
      <c r="AL9" s="90" t="s">
        <v>286</v>
      </c>
      <c r="AM9" s="90">
        <v>106</v>
      </c>
      <c r="AN9" s="90" t="s">
        <v>287</v>
      </c>
      <c r="AO9" s="90" t="s">
        <v>66</v>
      </c>
      <c r="AP9" s="90" t="s">
        <v>66</v>
      </c>
      <c r="AQ9" s="90" t="s">
        <v>66</v>
      </c>
      <c r="AR9" s="90" t="s">
        <v>66</v>
      </c>
      <c r="AS9" s="90" t="s">
        <v>66</v>
      </c>
      <c r="AT9" s="90" t="s">
        <v>66</v>
      </c>
      <c r="AU9" s="90" t="s">
        <v>198</v>
      </c>
      <c r="AV9" s="90">
        <v>12291</v>
      </c>
      <c r="AW9" s="90">
        <v>3011</v>
      </c>
      <c r="AX9" s="90">
        <v>6021</v>
      </c>
      <c r="AY9" s="90" t="s">
        <v>288</v>
      </c>
      <c r="AZ9" s="90" t="s">
        <v>66</v>
      </c>
      <c r="BA9" s="90" t="s">
        <v>66</v>
      </c>
      <c r="BB9" s="90" t="s">
        <v>66</v>
      </c>
      <c r="BC9" s="91" t="s">
        <v>233</v>
      </c>
      <c r="BD9" s="91" t="s">
        <v>66</v>
      </c>
      <c r="BE9" s="91" t="s">
        <v>91</v>
      </c>
      <c r="BF9" s="91" t="s">
        <v>66</v>
      </c>
      <c r="BG9" s="91" t="s">
        <v>234</v>
      </c>
      <c r="BH9" s="91" t="s">
        <v>66</v>
      </c>
      <c r="BI9" s="91" t="s">
        <v>92</v>
      </c>
      <c r="BJ9" s="91" t="s">
        <v>66</v>
      </c>
      <c r="BK9" s="90" t="s">
        <v>235</v>
      </c>
      <c r="BL9" s="41"/>
      <c r="BM9" s="28"/>
      <c r="BN9" s="48" t="s">
        <v>93</v>
      </c>
      <c r="BO9" s="49"/>
      <c r="BP9" s="48" t="s">
        <v>66</v>
      </c>
      <c r="BQ9" s="49"/>
      <c r="BR9" s="49"/>
      <c r="BS9" s="48"/>
      <c r="BT9" s="49"/>
      <c r="BU9" s="48"/>
      <c r="BV9" s="29" t="s">
        <v>93</v>
      </c>
    </row>
    <row r="10" spans="1:74" ht="16" x14ac:dyDescent="0.45">
      <c r="A10" s="73" t="s">
        <v>31</v>
      </c>
      <c r="C10" s="81">
        <v>22</v>
      </c>
      <c r="D10" s="81">
        <f t="shared" si="1"/>
        <v>521</v>
      </c>
      <c r="E10" s="86" t="s">
        <v>289</v>
      </c>
      <c r="F10" s="82" t="s">
        <v>290</v>
      </c>
      <c r="G10" s="82" t="s">
        <v>291</v>
      </c>
      <c r="I10" s="28" t="s">
        <v>292</v>
      </c>
      <c r="J10" s="28" t="s">
        <v>293</v>
      </c>
      <c r="K10" s="28" t="str">
        <f t="shared" si="0"/>
        <v>AguachicaCesar</v>
      </c>
      <c r="L10" s="28"/>
      <c r="M10" s="28" t="s">
        <v>294</v>
      </c>
      <c r="N10" s="28"/>
      <c r="O10" s="69"/>
      <c r="P10" s="28"/>
      <c r="Q10" s="28" t="s">
        <v>295</v>
      </c>
      <c r="R10" s="28">
        <v>7.0209166666666665</v>
      </c>
      <c r="S10" s="28">
        <v>-71.435000000000002</v>
      </c>
      <c r="T10" s="28" t="str">
        <f>_xlfn.CONCAT(COORDENADAS[[#This Row],[G]],"° ",COORDENADAS[[#This Row],[M]],"' ",FIXED(COORDENADAS[[#This Row],[S]],2),""" ",COORDENADAS[[#This Row],[Norte]])</f>
        <v>7° 1' 15,30" N</v>
      </c>
      <c r="U10" s="41">
        <v>7</v>
      </c>
      <c r="V10" s="41">
        <v>1</v>
      </c>
      <c r="W10" s="56">
        <v>15.299999999999301</v>
      </c>
      <c r="X10" s="23" t="s">
        <v>192</v>
      </c>
      <c r="Y10" s="28" t="str">
        <f>_xlfn.CONCAT(COORDENADAS[[#This Row],[GG]],"° ",COORDENADAS[[#This Row],[MM]],"' ",FIXED(COORDENADAS[[#This Row],[SS]],2),""" ",COORDENADAS[[#This Row],[Weter]])</f>
        <v>71° 26' 6,00" W</v>
      </c>
      <c r="Z10" s="28">
        <v>71</v>
      </c>
      <c r="AA10" s="28">
        <v>26</v>
      </c>
      <c r="AB10" s="28">
        <v>6.0000000000081322</v>
      </c>
      <c r="AC10" s="23" t="s">
        <v>193</v>
      </c>
      <c r="AD10" s="23">
        <v>36.24</v>
      </c>
      <c r="AE10" s="23">
        <v>0</v>
      </c>
      <c r="AH10" s="88" t="s">
        <v>296</v>
      </c>
      <c r="AI10" s="90">
        <v>108</v>
      </c>
      <c r="AJ10" s="90" t="s">
        <v>66</v>
      </c>
      <c r="AK10" s="90">
        <v>108</v>
      </c>
      <c r="AL10" s="90" t="s">
        <v>297</v>
      </c>
      <c r="AM10" s="90">
        <v>108</v>
      </c>
      <c r="AN10" s="90" t="s">
        <v>298</v>
      </c>
      <c r="AO10" s="90" t="s">
        <v>66</v>
      </c>
      <c r="AP10" s="90" t="s">
        <v>66</v>
      </c>
      <c r="AQ10" s="90" t="s">
        <v>66</v>
      </c>
      <c r="AR10" s="90" t="s">
        <v>66</v>
      </c>
      <c r="AS10" s="90" t="s">
        <v>66</v>
      </c>
      <c r="AT10" s="90" t="s">
        <v>66</v>
      </c>
      <c r="AU10" s="90" t="s">
        <v>198</v>
      </c>
      <c r="AV10" s="90">
        <v>12291</v>
      </c>
      <c r="AW10" s="90">
        <v>3051</v>
      </c>
      <c r="AX10" s="90">
        <v>6101</v>
      </c>
      <c r="AY10" s="90" t="s">
        <v>299</v>
      </c>
      <c r="AZ10" s="90" t="s">
        <v>66</v>
      </c>
      <c r="BA10" s="90" t="s">
        <v>66</v>
      </c>
      <c r="BB10" s="90" t="s">
        <v>66</v>
      </c>
      <c r="BC10" s="91" t="s">
        <v>233</v>
      </c>
      <c r="BD10" s="91" t="s">
        <v>66</v>
      </c>
      <c r="BE10" s="91" t="s">
        <v>91</v>
      </c>
      <c r="BF10" s="91" t="s">
        <v>66</v>
      </c>
      <c r="BG10" s="91" t="s">
        <v>234</v>
      </c>
      <c r="BH10" s="91" t="s">
        <v>66</v>
      </c>
      <c r="BI10" s="91" t="s">
        <v>92</v>
      </c>
      <c r="BJ10" s="91" t="s">
        <v>66</v>
      </c>
      <c r="BK10" s="90" t="s">
        <v>235</v>
      </c>
      <c r="BL10" s="41"/>
      <c r="BM10" s="28"/>
      <c r="BN10" s="42"/>
      <c r="BO10" s="28"/>
      <c r="BP10" s="29" t="s">
        <v>93</v>
      </c>
      <c r="BQ10" s="42"/>
      <c r="BR10" s="28"/>
      <c r="BS10" s="42"/>
      <c r="BT10" s="28"/>
      <c r="BU10" s="42"/>
      <c r="BV10" s="41"/>
    </row>
    <row r="11" spans="1:74" ht="16" x14ac:dyDescent="0.45">
      <c r="A11" s="74" t="s">
        <v>300</v>
      </c>
      <c r="C11" s="81">
        <v>23</v>
      </c>
      <c r="D11" s="81">
        <f t="shared" si="1"/>
        <v>527</v>
      </c>
      <c r="E11" s="87" t="s">
        <v>301</v>
      </c>
      <c r="F11" s="83" t="s">
        <v>302</v>
      </c>
      <c r="G11" s="83" t="s">
        <v>188</v>
      </c>
      <c r="I11" s="28" t="s">
        <v>303</v>
      </c>
      <c r="J11" s="28" t="s">
        <v>304</v>
      </c>
      <c r="K11" s="28" t="str">
        <f t="shared" si="0"/>
        <v>AguadaSantander</v>
      </c>
      <c r="L11" s="28"/>
      <c r="M11" s="28" t="s">
        <v>305</v>
      </c>
      <c r="N11" s="28"/>
      <c r="O11" s="69"/>
      <c r="P11" s="28"/>
      <c r="Q11" s="28" t="s">
        <v>306</v>
      </c>
      <c r="R11" s="28">
        <v>7.0205888889999999</v>
      </c>
      <c r="S11" s="28">
        <v>-71.435013889000004</v>
      </c>
      <c r="T11" s="28" t="str">
        <f>_xlfn.CONCAT(COORDENADAS[[#This Row],[G]],"° ",COORDENADAS[[#This Row],[M]],"' ",FIXED(COORDENADAS[[#This Row],[S]],2),""" ",COORDENADAS[[#This Row],[Norte]])</f>
        <v>7° 1' 14,39" N</v>
      </c>
      <c r="U11" s="41">
        <v>7</v>
      </c>
      <c r="V11" s="41">
        <v>1</v>
      </c>
      <c r="W11" s="56">
        <v>14.390435999999838</v>
      </c>
      <c r="X11" s="23" t="s">
        <v>192</v>
      </c>
      <c r="Y11" s="28" t="str">
        <f>_xlfn.CONCAT(COORDENADAS[[#This Row],[GG]],"° ",COORDENADAS[[#This Row],[MM]],"' ",FIXED(COORDENADAS[[#This Row],[SS]],2),""" ",COORDENADAS[[#This Row],[Weter]])</f>
        <v>71° 26' 6,29" W</v>
      </c>
      <c r="Z11" s="28">
        <v>71</v>
      </c>
      <c r="AA11" s="28">
        <v>26</v>
      </c>
      <c r="AB11" s="28">
        <v>6.2933171999895343</v>
      </c>
      <c r="AC11" s="23" t="s">
        <v>193</v>
      </c>
      <c r="AD11" s="23">
        <v>41.2</v>
      </c>
      <c r="AE11" s="23">
        <v>41.4</v>
      </c>
      <c r="AH11" s="88" t="s">
        <v>307</v>
      </c>
      <c r="AI11" s="90">
        <v>103</v>
      </c>
      <c r="AJ11" s="90" t="s">
        <v>66</v>
      </c>
      <c r="AK11" s="90">
        <v>103</v>
      </c>
      <c r="AL11" s="90" t="s">
        <v>308</v>
      </c>
      <c r="AM11" s="90">
        <v>103</v>
      </c>
      <c r="AN11" s="90" t="s">
        <v>309</v>
      </c>
      <c r="AO11" s="90" t="s">
        <v>66</v>
      </c>
      <c r="AP11" s="90" t="s">
        <v>66</v>
      </c>
      <c r="AQ11" s="90" t="s">
        <v>66</v>
      </c>
      <c r="AR11" s="90" t="s">
        <v>66</v>
      </c>
      <c r="AS11" s="90" t="s">
        <v>66</v>
      </c>
      <c r="AT11" s="90" t="s">
        <v>66</v>
      </c>
      <c r="AU11" s="90" t="s">
        <v>198</v>
      </c>
      <c r="AV11" s="90">
        <v>12291</v>
      </c>
      <c r="AW11" s="90">
        <v>3001</v>
      </c>
      <c r="AX11" s="90">
        <v>6001</v>
      </c>
      <c r="AY11" s="90" t="s">
        <v>310</v>
      </c>
      <c r="AZ11" s="90" t="s">
        <v>66</v>
      </c>
      <c r="BA11" s="90" t="s">
        <v>66</v>
      </c>
      <c r="BB11" s="90" t="s">
        <v>66</v>
      </c>
      <c r="BC11" s="91" t="s">
        <v>233</v>
      </c>
      <c r="BD11" s="91" t="s">
        <v>66</v>
      </c>
      <c r="BE11" s="91" t="s">
        <v>91</v>
      </c>
      <c r="BF11" s="91" t="s">
        <v>66</v>
      </c>
      <c r="BG11" s="91" t="s">
        <v>234</v>
      </c>
      <c r="BH11" s="91" t="s">
        <v>66</v>
      </c>
      <c r="BI11" s="91" t="s">
        <v>92</v>
      </c>
      <c r="BJ11" s="91" t="s">
        <v>66</v>
      </c>
      <c r="BK11" s="90" t="s">
        <v>235</v>
      </c>
      <c r="BL11" s="41"/>
      <c r="BM11" s="28"/>
      <c r="BN11" s="42"/>
      <c r="BO11" s="28"/>
      <c r="BP11" s="42"/>
      <c r="BQ11" s="42"/>
      <c r="BR11" s="42"/>
      <c r="BS11" s="42"/>
      <c r="BT11" s="42"/>
      <c r="BU11" s="42"/>
      <c r="BV11" s="41"/>
    </row>
    <row r="12" spans="1:74" ht="16" x14ac:dyDescent="0.45">
      <c r="A12" s="74" t="s">
        <v>311</v>
      </c>
      <c r="C12" s="81">
        <v>24</v>
      </c>
      <c r="D12" s="81">
        <f t="shared" si="1"/>
        <v>533</v>
      </c>
      <c r="E12" s="86" t="s">
        <v>312</v>
      </c>
      <c r="F12" s="82" t="s">
        <v>313</v>
      </c>
      <c r="G12" s="82" t="s">
        <v>188</v>
      </c>
      <c r="I12" s="28" t="s">
        <v>314</v>
      </c>
      <c r="J12" s="28" t="s">
        <v>284</v>
      </c>
      <c r="K12" s="28" t="str">
        <f t="shared" si="0"/>
        <v>AguadasCaldas</v>
      </c>
      <c r="L12" s="28"/>
      <c r="M12" s="28" t="s">
        <v>315</v>
      </c>
      <c r="N12" s="28"/>
      <c r="O12" s="69"/>
      <c r="P12" s="28"/>
      <c r="Q12" s="28" t="s">
        <v>316</v>
      </c>
      <c r="R12" s="28">
        <v>8.8507888890000004</v>
      </c>
      <c r="S12" s="28">
        <v>-76.428200000000004</v>
      </c>
      <c r="T12" s="28" t="str">
        <f>_xlfn.CONCAT(COORDENADAS[[#This Row],[G]],"° ",COORDENADAS[[#This Row],[M]],"' ",FIXED(COORDENADAS[[#This Row],[S]],2),""" ",COORDENADAS[[#This Row],[Norte]])</f>
        <v>8° 51' 2,60" N</v>
      </c>
      <c r="U12" s="41">
        <v>8</v>
      </c>
      <c r="V12" s="41">
        <v>51</v>
      </c>
      <c r="W12" s="56">
        <v>2.602609199998307</v>
      </c>
      <c r="X12" s="23" t="s">
        <v>192</v>
      </c>
      <c r="Y12" s="28" t="str">
        <f>_xlfn.CONCAT(COORDENADAS[[#This Row],[GG]],"° ",COORDENADAS[[#This Row],[MM]],"' ",FIXED(COORDENADAS[[#This Row],[SS]],2),""" ",COORDENADAS[[#This Row],[Weter]])</f>
        <v>76° 25' 37,10" W</v>
      </c>
      <c r="Z12" s="28">
        <v>76</v>
      </c>
      <c r="AA12" s="28">
        <v>25</v>
      </c>
      <c r="AB12" s="28">
        <v>37.096334399990319</v>
      </c>
      <c r="AC12" s="23" t="s">
        <v>193</v>
      </c>
      <c r="AD12" s="23">
        <v>40.6</v>
      </c>
      <c r="AE12" s="23">
        <v>40.799999999999997</v>
      </c>
      <c r="AH12" s="88" t="s">
        <v>317</v>
      </c>
      <c r="AI12" s="90">
        <v>104</v>
      </c>
      <c r="AJ12" s="90" t="s">
        <v>66</v>
      </c>
      <c r="AK12" s="90">
        <v>104</v>
      </c>
      <c r="AL12" s="90" t="s">
        <v>317</v>
      </c>
      <c r="AM12" s="90">
        <v>104</v>
      </c>
      <c r="AN12" s="90" t="s">
        <v>318</v>
      </c>
      <c r="AO12" s="90" t="s">
        <v>66</v>
      </c>
      <c r="AP12" s="90" t="s">
        <v>66</v>
      </c>
      <c r="AQ12" s="90" t="s">
        <v>66</v>
      </c>
      <c r="AR12" s="90" t="s">
        <v>66</v>
      </c>
      <c r="AS12" s="90" t="s">
        <v>66</v>
      </c>
      <c r="AT12" s="90" t="s">
        <v>66</v>
      </c>
      <c r="AU12" s="90" t="s">
        <v>198</v>
      </c>
      <c r="AV12" s="90">
        <v>12291</v>
      </c>
      <c r="AW12" s="90">
        <v>3041</v>
      </c>
      <c r="AX12" s="90">
        <v>6081</v>
      </c>
      <c r="AY12" s="90" t="s">
        <v>319</v>
      </c>
      <c r="AZ12" s="90" t="s">
        <v>66</v>
      </c>
      <c r="BA12" s="90" t="s">
        <v>66</v>
      </c>
      <c r="BB12" s="90" t="s">
        <v>66</v>
      </c>
      <c r="BC12" s="91" t="s">
        <v>233</v>
      </c>
      <c r="BD12" s="91" t="s">
        <v>66</v>
      </c>
      <c r="BE12" s="91" t="s">
        <v>91</v>
      </c>
      <c r="BF12" s="91" t="s">
        <v>66</v>
      </c>
      <c r="BG12" s="91" t="s">
        <v>234</v>
      </c>
      <c r="BH12" s="91" t="s">
        <v>66</v>
      </c>
      <c r="BI12" s="91" t="s">
        <v>92</v>
      </c>
      <c r="BJ12" s="91" t="s">
        <v>66</v>
      </c>
      <c r="BK12" s="90" t="s">
        <v>235</v>
      </c>
      <c r="BL12" s="41"/>
      <c r="BM12" s="28"/>
      <c r="BN12" s="42"/>
      <c r="BO12" s="28"/>
      <c r="BP12" s="42"/>
      <c r="BQ12" s="42"/>
      <c r="BR12" s="42"/>
      <c r="BS12" s="42"/>
      <c r="BT12" s="42"/>
      <c r="BU12" s="42"/>
      <c r="BV12" s="41"/>
    </row>
    <row r="13" spans="1:74" ht="15" customHeight="1" x14ac:dyDescent="0.45">
      <c r="A13" s="74" t="s">
        <v>320</v>
      </c>
      <c r="C13" s="81">
        <v>25</v>
      </c>
      <c r="D13" s="81">
        <f t="shared" si="1"/>
        <v>539</v>
      </c>
      <c r="E13" s="86" t="s">
        <v>321</v>
      </c>
      <c r="F13" s="82" t="s">
        <v>322</v>
      </c>
      <c r="G13" s="82" t="s">
        <v>291</v>
      </c>
      <c r="I13" s="28" t="s">
        <v>323</v>
      </c>
      <c r="J13" s="28" t="s">
        <v>305</v>
      </c>
      <c r="K13" s="28" t="str">
        <f t="shared" si="0"/>
        <v>AguazulCasanare</v>
      </c>
      <c r="L13" s="28"/>
      <c r="M13" s="28" t="s">
        <v>293</v>
      </c>
      <c r="N13" s="28"/>
      <c r="O13" s="69"/>
      <c r="P13" s="28"/>
      <c r="Q13" s="28" t="s">
        <v>324</v>
      </c>
      <c r="R13" s="28">
        <v>4.6111944444444442</v>
      </c>
      <c r="S13" s="28">
        <v>-75.630277777777778</v>
      </c>
      <c r="T13" s="28" t="str">
        <f>_xlfn.CONCAT(COORDENADAS[[#This Row],[G]],"° ",COORDENADAS[[#This Row],[M]],"' ",FIXED(COORDENADAS[[#This Row],[S]],2),""" ",COORDENADAS[[#This Row],[Norte]])</f>
        <v>4° 36' 40,30" N</v>
      </c>
      <c r="U13" s="41">
        <v>4</v>
      </c>
      <c r="V13" s="41">
        <v>36</v>
      </c>
      <c r="W13" s="56">
        <v>40.299999999999024</v>
      </c>
      <c r="X13" s="23" t="s">
        <v>192</v>
      </c>
      <c r="Y13" s="28" t="str">
        <f>_xlfn.CONCAT(COORDENADAS[[#This Row],[GG]],"° ",COORDENADAS[[#This Row],[MM]],"' ",FIXED(COORDENADAS[[#This Row],[SS]],2),""" ",COORDENADAS[[#This Row],[Weter]])</f>
        <v>75° 37' 49,00" W</v>
      </c>
      <c r="Z13" s="28">
        <v>75</v>
      </c>
      <c r="AA13" s="28">
        <v>37</v>
      </c>
      <c r="AB13" s="28">
        <v>48.999999999999666</v>
      </c>
      <c r="AC13" s="23" t="s">
        <v>193</v>
      </c>
      <c r="AD13" s="23">
        <v>48.38</v>
      </c>
      <c r="AE13" s="23">
        <v>0</v>
      </c>
      <c r="AH13" s="88" t="s">
        <v>325</v>
      </c>
      <c r="AI13" s="90">
        <v>1</v>
      </c>
      <c r="AJ13" s="90" t="s">
        <v>66</v>
      </c>
      <c r="AK13" s="90">
        <v>1</v>
      </c>
      <c r="AL13" s="90" t="s">
        <v>325</v>
      </c>
      <c r="AM13" s="90">
        <v>0</v>
      </c>
      <c r="AN13" s="90"/>
      <c r="AO13" s="90" t="s">
        <v>66</v>
      </c>
      <c r="AP13" s="90" t="s">
        <v>66</v>
      </c>
      <c r="AQ13" s="90" t="s">
        <v>66</v>
      </c>
      <c r="AR13" s="90" t="s">
        <v>66</v>
      </c>
      <c r="AS13" s="90" t="s">
        <v>66</v>
      </c>
      <c r="AT13" s="90" t="s">
        <v>66</v>
      </c>
      <c r="AU13" s="90" t="s">
        <v>93</v>
      </c>
      <c r="AV13" s="90" t="s">
        <v>93</v>
      </c>
      <c r="AW13" s="90" t="s">
        <v>93</v>
      </c>
      <c r="AX13" s="90" t="s">
        <v>93</v>
      </c>
      <c r="AY13" s="90" t="s">
        <v>93</v>
      </c>
      <c r="AZ13" s="90" t="s">
        <v>66</v>
      </c>
      <c r="BA13" s="90" t="s">
        <v>66</v>
      </c>
      <c r="BB13" s="90" t="s">
        <v>66</v>
      </c>
      <c r="BC13" s="91" t="s">
        <v>236</v>
      </c>
      <c r="BD13" s="91" t="s">
        <v>66</v>
      </c>
      <c r="BE13" s="91" t="s">
        <v>91</v>
      </c>
      <c r="BF13" s="91" t="s">
        <v>66</v>
      </c>
      <c r="BG13" s="91" t="s">
        <v>234</v>
      </c>
      <c r="BH13" s="91" t="s">
        <v>66</v>
      </c>
      <c r="BI13" s="91" t="s">
        <v>92</v>
      </c>
      <c r="BJ13" s="91" t="s">
        <v>66</v>
      </c>
      <c r="BK13" s="90" t="s">
        <v>235</v>
      </c>
      <c r="BL13" s="41"/>
      <c r="BM13" s="28"/>
      <c r="BN13" s="42"/>
      <c r="BO13" s="28"/>
      <c r="BP13" s="42"/>
      <c r="BQ13" s="42"/>
      <c r="BR13" s="42"/>
      <c r="BS13" s="42"/>
      <c r="BT13" s="42"/>
      <c r="BU13" s="42"/>
      <c r="BV13" s="41"/>
    </row>
    <row r="14" spans="1:74" ht="16" x14ac:dyDescent="0.45">
      <c r="A14" s="15"/>
      <c r="C14" s="81">
        <v>26</v>
      </c>
      <c r="D14" s="81">
        <f t="shared" si="1"/>
        <v>545</v>
      </c>
      <c r="E14" s="86" t="s">
        <v>326</v>
      </c>
      <c r="F14" s="82" t="s">
        <v>327</v>
      </c>
      <c r="G14" s="82" t="s">
        <v>188</v>
      </c>
      <c r="I14" s="28" t="s">
        <v>328</v>
      </c>
      <c r="J14" s="28" t="s">
        <v>293</v>
      </c>
      <c r="K14" s="28" t="str">
        <f t="shared" si="0"/>
        <v>Agustín CodazziCesar</v>
      </c>
      <c r="L14" s="28"/>
      <c r="M14" s="28" t="s">
        <v>230</v>
      </c>
      <c r="N14" s="28"/>
      <c r="O14" s="69"/>
      <c r="P14" s="28"/>
      <c r="Q14" s="28" t="s">
        <v>329</v>
      </c>
      <c r="R14" s="28">
        <v>3.5891944444444448</v>
      </c>
      <c r="S14" s="28">
        <v>-75.380083333333332</v>
      </c>
      <c r="T14" s="28" t="str">
        <f>_xlfn.CONCAT(COORDENADAS[[#This Row],[G]],"° ",COORDENADAS[[#This Row],[M]],"' ",FIXED(COORDENADAS[[#This Row],[S]],2),""" ",COORDENADAS[[#This Row],[Norte]])</f>
        <v>3° 35' 21,10" N</v>
      </c>
      <c r="U14" s="41">
        <v>3</v>
      </c>
      <c r="V14" s="41">
        <v>35</v>
      </c>
      <c r="W14" s="56">
        <v>21.100000000001138</v>
      </c>
      <c r="X14" s="23" t="s">
        <v>192</v>
      </c>
      <c r="Y14" s="28" t="str">
        <f>_xlfn.CONCAT(COORDENADAS[[#This Row],[GG]],"° ",COORDENADAS[[#This Row],[MM]],"' ",FIXED(COORDENADAS[[#This Row],[SS]],2),""" ",COORDENADAS[[#This Row],[Weter]])</f>
        <v>75° 22' 48,30" W</v>
      </c>
      <c r="Z14" s="28">
        <v>75</v>
      </c>
      <c r="AA14" s="28">
        <v>22</v>
      </c>
      <c r="AB14" s="28">
        <v>48.29999999999368</v>
      </c>
      <c r="AC14" s="23" t="s">
        <v>193</v>
      </c>
      <c r="AD14" s="23">
        <v>34.82</v>
      </c>
      <c r="AE14" s="23">
        <v>0</v>
      </c>
      <c r="AH14" s="88" t="s">
        <v>330</v>
      </c>
      <c r="AI14" s="90">
        <v>107</v>
      </c>
      <c r="AJ14" s="90" t="s">
        <v>66</v>
      </c>
      <c r="AK14" s="90">
        <v>107</v>
      </c>
      <c r="AL14" s="90" t="s">
        <v>331</v>
      </c>
      <c r="AM14" s="90">
        <v>107</v>
      </c>
      <c r="AN14" s="90" t="s">
        <v>332</v>
      </c>
      <c r="AO14" s="90" t="s">
        <v>66</v>
      </c>
      <c r="AP14" s="90" t="s">
        <v>66</v>
      </c>
      <c r="AQ14" s="90" t="s">
        <v>66</v>
      </c>
      <c r="AR14" s="90" t="s">
        <v>66</v>
      </c>
      <c r="AS14" s="90" t="s">
        <v>66</v>
      </c>
      <c r="AT14" s="90" t="s">
        <v>66</v>
      </c>
      <c r="AU14" s="90" t="s">
        <v>198</v>
      </c>
      <c r="AV14" s="90">
        <v>12291</v>
      </c>
      <c r="AW14" s="90">
        <v>3021</v>
      </c>
      <c r="AX14" s="90">
        <v>6041</v>
      </c>
      <c r="AY14" s="90" t="s">
        <v>333</v>
      </c>
      <c r="AZ14" s="90" t="s">
        <v>66</v>
      </c>
      <c r="BA14" s="90" t="s">
        <v>66</v>
      </c>
      <c r="BB14" s="90" t="s">
        <v>66</v>
      </c>
      <c r="BC14" s="91" t="s">
        <v>233</v>
      </c>
      <c r="BD14" s="91" t="s">
        <v>66</v>
      </c>
      <c r="BE14" s="91" t="s">
        <v>91</v>
      </c>
      <c r="BF14" s="91" t="s">
        <v>66</v>
      </c>
      <c r="BG14" s="91" t="s">
        <v>234</v>
      </c>
      <c r="BH14" s="91" t="s">
        <v>66</v>
      </c>
      <c r="BI14" s="91" t="s">
        <v>92</v>
      </c>
      <c r="BJ14" s="91" t="s">
        <v>66</v>
      </c>
      <c r="BK14" s="90" t="s">
        <v>235</v>
      </c>
      <c r="BL14" s="41"/>
      <c r="BM14" s="28"/>
      <c r="BN14" s="42"/>
      <c r="BO14" s="28"/>
      <c r="BP14" s="42"/>
      <c r="BQ14" s="42"/>
      <c r="BR14" s="42"/>
      <c r="BS14" s="42"/>
      <c r="BT14" s="42"/>
      <c r="BU14" s="42"/>
      <c r="BV14" s="41"/>
    </row>
    <row r="15" spans="1:74" ht="16" x14ac:dyDescent="0.45">
      <c r="A15" s="15"/>
      <c r="C15" s="81">
        <v>27</v>
      </c>
      <c r="D15" s="81">
        <f t="shared" si="1"/>
        <v>551</v>
      </c>
      <c r="E15" s="87" t="s">
        <v>334</v>
      </c>
      <c r="F15" s="83" t="s">
        <v>335</v>
      </c>
      <c r="G15" s="82" t="s">
        <v>188</v>
      </c>
      <c r="I15" s="28" t="s">
        <v>336</v>
      </c>
      <c r="J15" s="28" t="s">
        <v>245</v>
      </c>
      <c r="K15" s="28" t="str">
        <f t="shared" si="0"/>
        <v>AipeHuila</v>
      </c>
      <c r="L15" s="28"/>
      <c r="M15" s="28" t="s">
        <v>337</v>
      </c>
      <c r="N15" s="28"/>
      <c r="O15" s="69" t="s">
        <v>338</v>
      </c>
      <c r="P15" s="28"/>
      <c r="Q15" s="28" t="s">
        <v>339</v>
      </c>
      <c r="R15" s="28">
        <v>7.9938888888888888</v>
      </c>
      <c r="S15" s="28">
        <v>-72.462222222222223</v>
      </c>
      <c r="T15" s="28" t="str">
        <f>_xlfn.CONCAT(COORDENADAS[[#This Row],[G]],"° ",COORDENADAS[[#This Row],[M]],"' ",FIXED(COORDENADAS[[#This Row],[S]],2),""" ",COORDENADAS[[#This Row],[Norte]])</f>
        <v>7° 59' 38,00" N</v>
      </c>
      <c r="U15" s="41">
        <v>7</v>
      </c>
      <c r="V15" s="41">
        <v>59</v>
      </c>
      <c r="W15" s="56">
        <v>38</v>
      </c>
      <c r="X15" s="23" t="s">
        <v>192</v>
      </c>
      <c r="Y15" s="28" t="str">
        <f>_xlfn.CONCAT(COORDENADAS[[#This Row],[GG]],"° ",COORDENADAS[[#This Row],[MM]],"' ",FIXED(COORDENADAS[[#This Row],[SS]],2),""" ",COORDENADAS[[#This Row],[Weter]])</f>
        <v>72° 27' 44,00" W</v>
      </c>
      <c r="Z15" s="28">
        <v>72</v>
      </c>
      <c r="AA15" s="28">
        <v>27</v>
      </c>
      <c r="AB15" s="28">
        <v>44</v>
      </c>
      <c r="AC15" s="23" t="s">
        <v>193</v>
      </c>
      <c r="AD15" s="23">
        <v>43</v>
      </c>
      <c r="AE15" s="23">
        <v>0</v>
      </c>
      <c r="AH15" s="88" t="s">
        <v>340</v>
      </c>
      <c r="AI15" s="90">
        <v>0</v>
      </c>
      <c r="AJ15" s="90" t="s">
        <v>66</v>
      </c>
      <c r="AK15" s="90">
        <v>0</v>
      </c>
      <c r="AL15" s="90" t="s">
        <v>340</v>
      </c>
      <c r="AM15" s="90">
        <v>0</v>
      </c>
      <c r="AN15" s="90" t="s">
        <v>341</v>
      </c>
      <c r="AO15" s="90" t="s">
        <v>66</v>
      </c>
      <c r="AP15" s="90" t="s">
        <v>66</v>
      </c>
      <c r="AQ15" s="90" t="s">
        <v>66</v>
      </c>
      <c r="AR15" s="90" t="s">
        <v>66</v>
      </c>
      <c r="AS15" s="90" t="s">
        <v>66</v>
      </c>
      <c r="AT15" s="90" t="s">
        <v>66</v>
      </c>
      <c r="AU15" s="90" t="s">
        <v>198</v>
      </c>
      <c r="AV15" s="90">
        <v>12291</v>
      </c>
      <c r="AW15" s="90">
        <v>3031</v>
      </c>
      <c r="AX15" s="90">
        <v>6061</v>
      </c>
      <c r="AY15" s="90">
        <v>6080</v>
      </c>
      <c r="AZ15" s="90" t="s">
        <v>66</v>
      </c>
      <c r="BA15" s="90" t="s">
        <v>66</v>
      </c>
      <c r="BB15" s="90" t="s">
        <v>66</v>
      </c>
      <c r="BC15" s="91" t="s">
        <v>233</v>
      </c>
      <c r="BD15" s="91" t="s">
        <v>66</v>
      </c>
      <c r="BE15" s="91" t="s">
        <v>91</v>
      </c>
      <c r="BF15" s="91" t="s">
        <v>66</v>
      </c>
      <c r="BG15" s="91" t="s">
        <v>234</v>
      </c>
      <c r="BH15" s="91" t="s">
        <v>66</v>
      </c>
      <c r="BI15" s="91" t="s">
        <v>92</v>
      </c>
      <c r="BJ15" s="91" t="s">
        <v>66</v>
      </c>
      <c r="BK15" s="90" t="s">
        <v>235</v>
      </c>
      <c r="BL15" s="41"/>
      <c r="BM15" s="28"/>
      <c r="BN15" s="42"/>
      <c r="BO15" s="28"/>
      <c r="BP15" s="42"/>
      <c r="BQ15" s="42"/>
      <c r="BR15" s="42"/>
      <c r="BS15" s="42"/>
      <c r="BT15" s="42"/>
      <c r="BU15" s="42"/>
      <c r="BV15" s="41"/>
    </row>
    <row r="16" spans="1:74" ht="16" x14ac:dyDescent="0.45">
      <c r="A16" s="75" t="s">
        <v>32</v>
      </c>
      <c r="C16" s="81">
        <v>28</v>
      </c>
      <c r="D16" s="81">
        <f t="shared" si="1"/>
        <v>557</v>
      </c>
      <c r="E16" s="87" t="s">
        <v>342</v>
      </c>
      <c r="F16" s="83" t="s">
        <v>343</v>
      </c>
      <c r="G16" s="82" t="s">
        <v>188</v>
      </c>
      <c r="I16" s="28" t="s">
        <v>344</v>
      </c>
      <c r="J16" s="28" t="s">
        <v>283</v>
      </c>
      <c r="K16" s="28" t="str">
        <f t="shared" si="0"/>
        <v>AlbánCundinamarca</v>
      </c>
      <c r="L16" s="28"/>
      <c r="M16" s="28" t="s">
        <v>283</v>
      </c>
      <c r="N16" s="28"/>
      <c r="O16" s="69"/>
      <c r="P16" s="28"/>
      <c r="Q16" s="28" t="s">
        <v>345</v>
      </c>
      <c r="R16" s="28">
        <v>4.9523055555555553</v>
      </c>
      <c r="S16" s="28">
        <v>-77.368805555555554</v>
      </c>
      <c r="T16" s="28" t="str">
        <f>_xlfn.CONCAT(COORDENADAS[[#This Row],[G]],"° ",COORDENADAS[[#This Row],[M]],"' ",FIXED(COORDENADAS[[#This Row],[S]],2),""" ",COORDENADAS[[#This Row],[Norte]])</f>
        <v>4° 57' 8,30" N</v>
      </c>
      <c r="U16" s="41">
        <v>4</v>
      </c>
      <c r="V16" s="41">
        <v>57</v>
      </c>
      <c r="W16" s="56">
        <v>8.2999999999992191</v>
      </c>
      <c r="X16" s="23" t="s">
        <v>192</v>
      </c>
      <c r="Y16" s="28" t="str">
        <f>_xlfn.CONCAT(COORDENADAS[[#This Row],[GG]],"° ",COORDENADAS[[#This Row],[MM]],"' ",FIXED(COORDENADAS[[#This Row],[SS]],2),""" ",COORDENADAS[[#This Row],[Weter]])</f>
        <v>77° 22' 7,70" W</v>
      </c>
      <c r="Z16" s="28">
        <v>77</v>
      </c>
      <c r="AA16" s="28">
        <v>22</v>
      </c>
      <c r="AB16" s="28">
        <v>7.6999999999930901</v>
      </c>
      <c r="AC16" s="23" t="s">
        <v>193</v>
      </c>
      <c r="AD16" s="23">
        <v>34.82</v>
      </c>
      <c r="AE16" s="23">
        <v>0</v>
      </c>
      <c r="AH16" s="88" t="s">
        <v>346</v>
      </c>
      <c r="AI16" s="90">
        <v>102</v>
      </c>
      <c r="AJ16" s="90" t="s">
        <v>66</v>
      </c>
      <c r="AK16" s="90">
        <v>102</v>
      </c>
      <c r="AL16" s="90" t="s">
        <v>346</v>
      </c>
      <c r="AM16" s="90">
        <v>102</v>
      </c>
      <c r="AN16" s="90" t="s">
        <v>347</v>
      </c>
      <c r="AO16" s="90" t="s">
        <v>66</v>
      </c>
      <c r="AP16" s="90" t="s">
        <v>66</v>
      </c>
      <c r="AQ16" s="90" t="s">
        <v>66</v>
      </c>
      <c r="AR16" s="90" t="s">
        <v>66</v>
      </c>
      <c r="AS16" s="90" t="s">
        <v>66</v>
      </c>
      <c r="AT16" s="90" t="s">
        <v>66</v>
      </c>
      <c r="AU16" s="90" t="s">
        <v>198</v>
      </c>
      <c r="AV16" s="90">
        <v>12291</v>
      </c>
      <c r="AW16" s="90">
        <v>3071</v>
      </c>
      <c r="AX16" s="90">
        <v>6141</v>
      </c>
      <c r="AY16" s="90" t="s">
        <v>348</v>
      </c>
      <c r="AZ16" s="90" t="s">
        <v>66</v>
      </c>
      <c r="BA16" s="90" t="s">
        <v>66</v>
      </c>
      <c r="BB16" s="90" t="s">
        <v>66</v>
      </c>
      <c r="BC16" s="91" t="s">
        <v>233</v>
      </c>
      <c r="BD16" s="91" t="s">
        <v>66</v>
      </c>
      <c r="BE16" s="91" t="s">
        <v>91</v>
      </c>
      <c r="BF16" s="91" t="s">
        <v>66</v>
      </c>
      <c r="BG16" s="91" t="s">
        <v>234</v>
      </c>
      <c r="BH16" s="91" t="s">
        <v>66</v>
      </c>
      <c r="BI16" s="91" t="s">
        <v>92</v>
      </c>
      <c r="BJ16" s="91" t="s">
        <v>66</v>
      </c>
      <c r="BK16" s="90" t="s">
        <v>235</v>
      </c>
      <c r="BL16" s="41"/>
      <c r="BM16" s="28"/>
      <c r="BN16" s="42"/>
      <c r="BO16" s="28"/>
      <c r="BP16" s="42"/>
      <c r="BQ16" s="42"/>
      <c r="BR16" s="42"/>
      <c r="BS16" s="42"/>
      <c r="BT16" s="42"/>
      <c r="BU16" s="42"/>
      <c r="BV16" s="41"/>
    </row>
    <row r="17" spans="1:74" ht="16" x14ac:dyDescent="0.45">
      <c r="A17" s="76" t="s">
        <v>349</v>
      </c>
      <c r="C17" s="81">
        <v>29</v>
      </c>
      <c r="D17" s="81">
        <f t="shared" si="1"/>
        <v>563</v>
      </c>
      <c r="E17" s="87" t="s">
        <v>350</v>
      </c>
      <c r="F17" s="83" t="s">
        <v>351</v>
      </c>
      <c r="G17" s="82" t="s">
        <v>188</v>
      </c>
      <c r="I17" s="28" t="s">
        <v>344</v>
      </c>
      <c r="J17" s="28" t="s">
        <v>352</v>
      </c>
      <c r="K17" s="28" t="str">
        <f t="shared" si="0"/>
        <v>AlbánNariño</v>
      </c>
      <c r="L17" s="28"/>
      <c r="M17" s="28" t="s">
        <v>353</v>
      </c>
      <c r="N17" s="28"/>
      <c r="O17" s="69"/>
      <c r="P17" s="28"/>
      <c r="Q17" s="28" t="s">
        <v>354</v>
      </c>
      <c r="R17" s="28">
        <v>2.0453611111111112</v>
      </c>
      <c r="S17" s="28">
        <v>-77.216916666666663</v>
      </c>
      <c r="T17" s="28" t="str">
        <f>_xlfn.CONCAT(COORDENADAS[[#This Row],[G]],"° ",COORDENADAS[[#This Row],[M]],"' ",FIXED(COORDENADAS[[#This Row],[S]],2),""" ",COORDENADAS[[#This Row],[Norte]])</f>
        <v>2° 2' 44,11" N</v>
      </c>
      <c r="U17" s="41">
        <v>2</v>
      </c>
      <c r="V17" s="41">
        <v>2</v>
      </c>
      <c r="W17" s="56">
        <v>44.109999999999978</v>
      </c>
      <c r="X17" s="23" t="s">
        <v>192</v>
      </c>
      <c r="Y17" s="28" t="str">
        <f>_xlfn.CONCAT(COORDENADAS[[#This Row],[GG]],"° ",COORDENADAS[[#This Row],[MM]],"' ",FIXED(COORDENADAS[[#This Row],[SS]],2),""" ",COORDENADAS[[#This Row],[Weter]])</f>
        <v>77° 13' 0,72" W</v>
      </c>
      <c r="Z17" s="28">
        <v>77</v>
      </c>
      <c r="AA17" s="28">
        <v>13</v>
      </c>
      <c r="AB17" s="28">
        <v>0.72000000003069609</v>
      </c>
      <c r="AC17" s="23" t="s">
        <v>193</v>
      </c>
      <c r="AD17" s="23">
        <v>35.56</v>
      </c>
      <c r="AE17" s="23">
        <v>0</v>
      </c>
      <c r="AH17" s="88" t="s">
        <v>355</v>
      </c>
      <c r="AI17" s="90">
        <v>0</v>
      </c>
      <c r="AJ17" s="90" t="s">
        <v>66</v>
      </c>
      <c r="AK17" s="90">
        <v>0</v>
      </c>
      <c r="AL17" s="90" t="s">
        <v>355</v>
      </c>
      <c r="AM17" s="90">
        <v>0</v>
      </c>
      <c r="AN17" s="90" t="s">
        <v>66</v>
      </c>
      <c r="AO17" s="90" t="s">
        <v>66</v>
      </c>
      <c r="AP17" s="90" t="s">
        <v>66</v>
      </c>
      <c r="AQ17" s="90" t="s">
        <v>66</v>
      </c>
      <c r="AR17" s="90" t="s">
        <v>66</v>
      </c>
      <c r="AS17" s="90" t="s">
        <v>66</v>
      </c>
      <c r="AT17" s="90" t="s">
        <v>66</v>
      </c>
      <c r="AU17" s="90" t="s">
        <v>93</v>
      </c>
      <c r="AV17" s="90" t="s">
        <v>93</v>
      </c>
      <c r="AW17" s="90" t="s">
        <v>93</v>
      </c>
      <c r="AX17" s="90" t="s">
        <v>93</v>
      </c>
      <c r="AY17" s="90" t="s">
        <v>93</v>
      </c>
      <c r="AZ17" s="90" t="s">
        <v>66</v>
      </c>
      <c r="BA17" s="90" t="s">
        <v>66</v>
      </c>
      <c r="BB17" s="90" t="s">
        <v>66</v>
      </c>
      <c r="BC17" s="91" t="s">
        <v>236</v>
      </c>
      <c r="BD17" s="91" t="s">
        <v>66</v>
      </c>
      <c r="BE17" s="91" t="s">
        <v>91</v>
      </c>
      <c r="BF17" s="91" t="s">
        <v>66</v>
      </c>
      <c r="BG17" s="91" t="s">
        <v>234</v>
      </c>
      <c r="BH17" s="91" t="s">
        <v>66</v>
      </c>
      <c r="BI17" s="91" t="s">
        <v>92</v>
      </c>
      <c r="BJ17" s="91" t="s">
        <v>66</v>
      </c>
      <c r="BK17" s="90" t="s">
        <v>240</v>
      </c>
      <c r="BL17" s="41"/>
      <c r="BM17" s="28"/>
      <c r="BN17" s="42"/>
      <c r="BO17" s="28"/>
      <c r="BP17" s="42"/>
      <c r="BQ17" s="42"/>
      <c r="BR17" s="42"/>
      <c r="BS17" s="42"/>
      <c r="BT17" s="42"/>
      <c r="BU17" s="42"/>
      <c r="BV17" s="41"/>
    </row>
    <row r="18" spans="1:74" ht="16" x14ac:dyDescent="0.45">
      <c r="A18" s="77" t="s">
        <v>356</v>
      </c>
      <c r="C18" s="81">
        <v>30</v>
      </c>
      <c r="D18" s="81">
        <f t="shared" si="1"/>
        <v>569</v>
      </c>
      <c r="E18" s="87" t="s">
        <v>357</v>
      </c>
      <c r="F18" s="83" t="s">
        <v>358</v>
      </c>
      <c r="G18" s="83" t="s">
        <v>188</v>
      </c>
      <c r="I18" s="28" t="s">
        <v>359</v>
      </c>
      <c r="J18" s="28" t="s">
        <v>294</v>
      </c>
      <c r="K18" s="28" t="str">
        <f t="shared" si="0"/>
        <v>AlbaniaCaqueta</v>
      </c>
      <c r="L18" s="28"/>
      <c r="M18" s="28" t="s">
        <v>360</v>
      </c>
      <c r="N18" s="28"/>
      <c r="O18" s="69"/>
      <c r="P18" s="28"/>
      <c r="Q18" s="28" t="s">
        <v>361</v>
      </c>
      <c r="R18" s="28">
        <v>11.135416666666666</v>
      </c>
      <c r="S18" s="28">
        <v>-72.787999999999997</v>
      </c>
      <c r="T18" s="28" t="str">
        <f>_xlfn.CONCAT(COORDENADAS[[#This Row],[G]],"° ",COORDENADAS[[#This Row],[M]],"' ",FIXED(COORDENADAS[[#This Row],[S]],2),""" ",COORDENADAS[[#This Row],[Norte]])</f>
        <v>11° 8' 7,50" N</v>
      </c>
      <c r="U18" s="41">
        <v>11</v>
      </c>
      <c r="V18" s="41">
        <v>8</v>
      </c>
      <c r="W18" s="56">
        <v>7.4999999999978755</v>
      </c>
      <c r="X18" s="23" t="s">
        <v>192</v>
      </c>
      <c r="Y18" s="28" t="str">
        <f>_xlfn.CONCAT(COORDENADAS[[#This Row],[GG]],"° ",COORDENADAS[[#This Row],[MM]],"' ",FIXED(COORDENADAS[[#This Row],[SS]],2),""" ",COORDENADAS[[#This Row],[Weter]])</f>
        <v>72° 47' 16,80" W</v>
      </c>
      <c r="Z18" s="28">
        <v>72</v>
      </c>
      <c r="AA18" s="28">
        <v>47</v>
      </c>
      <c r="AB18" s="28">
        <v>16.79999999998816</v>
      </c>
      <c r="AC18" s="23" t="s">
        <v>193</v>
      </c>
      <c r="AD18" s="23">
        <v>50.2</v>
      </c>
      <c r="AE18" s="23">
        <v>0</v>
      </c>
      <c r="AH18" s="88" t="s">
        <v>362</v>
      </c>
      <c r="AI18" s="90">
        <v>0</v>
      </c>
      <c r="AJ18" s="90" t="s">
        <v>66</v>
      </c>
      <c r="AK18" s="90">
        <v>0</v>
      </c>
      <c r="AL18" s="90" t="s">
        <v>363</v>
      </c>
      <c r="AM18" s="90">
        <v>0</v>
      </c>
      <c r="AN18" s="90" t="s">
        <v>364</v>
      </c>
      <c r="AO18" s="90" t="s">
        <v>66</v>
      </c>
      <c r="AP18" s="90" t="s">
        <v>66</v>
      </c>
      <c r="AQ18" s="90" t="s">
        <v>66</v>
      </c>
      <c r="AR18" s="90" t="s">
        <v>66</v>
      </c>
      <c r="AS18" s="90" t="s">
        <v>66</v>
      </c>
      <c r="AT18" s="90" t="s">
        <v>66</v>
      </c>
      <c r="AU18" s="90" t="s">
        <v>198</v>
      </c>
      <c r="AV18" s="90">
        <v>12291</v>
      </c>
      <c r="AW18" s="90">
        <v>3061</v>
      </c>
      <c r="AX18" s="90">
        <v>6121</v>
      </c>
      <c r="AY18" s="90" t="s">
        <v>365</v>
      </c>
      <c r="AZ18" s="90" t="s">
        <v>66</v>
      </c>
      <c r="BA18" s="90" t="s">
        <v>66</v>
      </c>
      <c r="BB18" s="90" t="s">
        <v>66</v>
      </c>
      <c r="BC18" s="91" t="s">
        <v>233</v>
      </c>
      <c r="BD18" s="91" t="s">
        <v>66</v>
      </c>
      <c r="BE18" s="91" t="s">
        <v>91</v>
      </c>
      <c r="BF18" s="91" t="s">
        <v>66</v>
      </c>
      <c r="BG18" s="91" t="s">
        <v>234</v>
      </c>
      <c r="BH18" s="91" t="s">
        <v>66</v>
      </c>
      <c r="BI18" s="91" t="s">
        <v>92</v>
      </c>
      <c r="BJ18" s="91" t="s">
        <v>66</v>
      </c>
      <c r="BK18" s="90" t="s">
        <v>235</v>
      </c>
      <c r="BL18" s="41"/>
      <c r="BM18" s="28"/>
      <c r="BN18" s="42"/>
      <c r="BO18" s="28"/>
      <c r="BP18" s="42"/>
      <c r="BQ18" s="42"/>
      <c r="BR18" s="42"/>
      <c r="BS18" s="42"/>
      <c r="BT18" s="42"/>
      <c r="BU18" s="42"/>
      <c r="BV18" s="41"/>
    </row>
    <row r="19" spans="1:74" ht="16" x14ac:dyDescent="0.45">
      <c r="A19" s="77" t="s">
        <v>366</v>
      </c>
      <c r="C19" s="81">
        <v>32</v>
      </c>
      <c r="D19" s="81">
        <f t="shared" si="1"/>
        <v>581</v>
      </c>
      <c r="E19" s="87" t="s">
        <v>367</v>
      </c>
      <c r="F19" s="83" t="s">
        <v>368</v>
      </c>
      <c r="G19" s="83" t="s">
        <v>188</v>
      </c>
      <c r="I19" s="28" t="s">
        <v>359</v>
      </c>
      <c r="J19" s="28" t="s">
        <v>369</v>
      </c>
      <c r="K19" s="28" t="str">
        <f t="shared" si="0"/>
        <v>AlbaniaLa Guajira</v>
      </c>
      <c r="L19" s="28"/>
      <c r="M19" s="28" t="s">
        <v>245</v>
      </c>
      <c r="N19" s="28"/>
      <c r="O19" s="69"/>
      <c r="P19" s="28"/>
      <c r="Q19" s="28" t="s">
        <v>370</v>
      </c>
      <c r="R19" s="28">
        <v>11.135358332999999</v>
      </c>
      <c r="S19" s="28">
        <v>-72.787926737999996</v>
      </c>
      <c r="T19" s="28" t="str">
        <f>_xlfn.CONCAT(COORDENADAS[[#This Row],[G]],"° ",COORDENADAS[[#This Row],[M]],"' ",FIXED(COORDENADAS[[#This Row],[S]],2),""" ",COORDENADAS[[#This Row],[Norte]])</f>
        <v>11° 8' 7,74" N</v>
      </c>
      <c r="U19" s="41">
        <v>11</v>
      </c>
      <c r="V19" s="41">
        <v>8</v>
      </c>
      <c r="W19" s="56">
        <v>7.7360064000015498</v>
      </c>
      <c r="X19" s="23" t="s">
        <v>192</v>
      </c>
      <c r="Y19" s="28" t="str">
        <f>_xlfn.CONCAT(COORDENADAS[[#This Row],[GG]],"° ",COORDENADAS[[#This Row],[MM]],"' ",FIXED(COORDENADAS[[#This Row],[SS]],2),""" ",COORDENADAS[[#This Row],[Weter]])</f>
        <v>72° 47' 18,06" W</v>
      </c>
      <c r="Z19" s="28">
        <v>72</v>
      </c>
      <c r="AA19" s="28">
        <v>47</v>
      </c>
      <c r="AB19" s="28">
        <v>18.063139199982771</v>
      </c>
      <c r="AC19" s="23" t="s">
        <v>193</v>
      </c>
      <c r="AD19" s="23">
        <v>42.2</v>
      </c>
      <c r="AE19" s="23">
        <v>43.5</v>
      </c>
      <c r="AH19" s="44" t="s">
        <v>371</v>
      </c>
      <c r="AI19" s="29"/>
      <c r="AJ19" s="29"/>
      <c r="AK19" s="29"/>
      <c r="AL19" s="29"/>
      <c r="AM19" s="29"/>
      <c r="AN19" s="29"/>
      <c r="AO19" s="29"/>
      <c r="AP19" s="29"/>
      <c r="AQ19" s="29"/>
      <c r="AR19" s="29"/>
      <c r="AS19" s="29"/>
      <c r="AT19" s="29"/>
      <c r="AU19" s="29" t="s">
        <v>93</v>
      </c>
      <c r="AV19" s="29" t="s">
        <v>93</v>
      </c>
      <c r="AW19" s="29" t="s">
        <v>93</v>
      </c>
      <c r="AX19" s="29" t="s">
        <v>93</v>
      </c>
      <c r="AY19" s="29" t="s">
        <v>93</v>
      </c>
      <c r="AZ19" s="29" t="s">
        <v>93</v>
      </c>
      <c r="BA19" s="29" t="s">
        <v>93</v>
      </c>
      <c r="BB19" s="29" t="s">
        <v>93</v>
      </c>
      <c r="BC19" s="29" t="s">
        <v>93</v>
      </c>
      <c r="BD19" s="29" t="s">
        <v>93</v>
      </c>
      <c r="BE19" s="29" t="s">
        <v>93</v>
      </c>
      <c r="BF19" s="29" t="s">
        <v>93</v>
      </c>
      <c r="BG19" s="29" t="s">
        <v>93</v>
      </c>
      <c r="BH19" s="29" t="s">
        <v>93</v>
      </c>
      <c r="BI19" s="29" t="s">
        <v>93</v>
      </c>
      <c r="BJ19" s="29" t="s">
        <v>93</v>
      </c>
      <c r="BK19" s="29" t="s">
        <v>93</v>
      </c>
      <c r="BL19" s="41"/>
      <c r="BM19" s="28"/>
      <c r="BN19" s="28"/>
      <c r="BO19" s="28"/>
      <c r="BP19" s="42"/>
      <c r="BQ19" s="42"/>
      <c r="BR19" s="42"/>
      <c r="BS19" s="42"/>
      <c r="BT19" s="42"/>
      <c r="BU19" s="42"/>
      <c r="BV19" s="41"/>
    </row>
    <row r="20" spans="1:74" ht="16" x14ac:dyDescent="0.45">
      <c r="A20" s="77" t="s">
        <v>372</v>
      </c>
      <c r="C20" s="81">
        <v>33</v>
      </c>
      <c r="D20" s="81">
        <f t="shared" si="1"/>
        <v>587</v>
      </c>
      <c r="E20" s="87" t="s">
        <v>373</v>
      </c>
      <c r="F20" s="83" t="s">
        <v>374</v>
      </c>
      <c r="G20" s="83" t="s">
        <v>291</v>
      </c>
      <c r="I20" s="28" t="s">
        <v>359</v>
      </c>
      <c r="J20" s="28" t="s">
        <v>304</v>
      </c>
      <c r="K20" s="28" t="str">
        <f t="shared" si="0"/>
        <v>AlbaniaSantander</v>
      </c>
      <c r="L20" s="28"/>
      <c r="M20" s="28" t="s">
        <v>369</v>
      </c>
      <c r="N20" s="28"/>
      <c r="O20" s="69"/>
      <c r="P20" s="28"/>
      <c r="Q20" s="28" t="s">
        <v>375</v>
      </c>
      <c r="R20" s="28">
        <v>1.6734999999999998</v>
      </c>
      <c r="S20" s="28">
        <v>-78.134222222222235</v>
      </c>
      <c r="T20" s="28" t="str">
        <f>_xlfn.CONCAT(COORDENADAS[[#This Row],[G]],"° ",COORDENADAS[[#This Row],[M]],"' ",FIXED(COORDENADAS[[#This Row],[S]],2),""" ",COORDENADAS[[#This Row],[Norte]])</f>
        <v>1° 40' 24,60" N</v>
      </c>
      <c r="U20" s="41">
        <v>1</v>
      </c>
      <c r="V20" s="41">
        <v>40</v>
      </c>
      <c r="W20" s="56">
        <v>24.599999999999291</v>
      </c>
      <c r="X20" s="23" t="s">
        <v>192</v>
      </c>
      <c r="Y20" s="28" t="str">
        <f>_xlfn.CONCAT(COORDENADAS[[#This Row],[GG]],"° ",COORDENADAS[[#This Row],[MM]],"' ",FIXED(COORDENADAS[[#This Row],[SS]],2),""" ",COORDENADAS[[#This Row],[Weter]])</f>
        <v>78° 8' 3,20" W</v>
      </c>
      <c r="Z20" s="28">
        <v>78</v>
      </c>
      <c r="AA20" s="28">
        <v>8</v>
      </c>
      <c r="AB20" s="28">
        <v>3.2000000000448448</v>
      </c>
      <c r="AC20" s="23" t="s">
        <v>193</v>
      </c>
      <c r="AD20" s="23">
        <v>34.82</v>
      </c>
      <c r="AE20" s="23">
        <v>0</v>
      </c>
      <c r="AH20" s="50" t="s">
        <v>376</v>
      </c>
      <c r="AI20" s="29"/>
      <c r="AJ20" s="29"/>
      <c r="AK20" s="29"/>
      <c r="AL20" s="29"/>
      <c r="AM20" s="29"/>
      <c r="AN20" s="29"/>
      <c r="AO20" s="29"/>
      <c r="AP20" s="29"/>
      <c r="AQ20" s="29"/>
      <c r="AR20" s="29"/>
      <c r="AS20" s="29"/>
      <c r="AT20" s="29"/>
      <c r="AU20" s="29" t="s">
        <v>93</v>
      </c>
      <c r="AV20" s="29" t="s">
        <v>93</v>
      </c>
      <c r="AW20" s="29" t="s">
        <v>93</v>
      </c>
      <c r="AX20" s="29" t="s">
        <v>93</v>
      </c>
      <c r="AY20" s="29" t="s">
        <v>93</v>
      </c>
      <c r="AZ20" s="29" t="s">
        <v>93</v>
      </c>
      <c r="BA20" s="29" t="s">
        <v>93</v>
      </c>
      <c r="BB20" s="29" t="s">
        <v>93</v>
      </c>
      <c r="BC20" s="29" t="s">
        <v>93</v>
      </c>
      <c r="BD20" s="29" t="s">
        <v>93</v>
      </c>
      <c r="BE20" s="29" t="s">
        <v>93</v>
      </c>
      <c r="BF20" s="29" t="s">
        <v>93</v>
      </c>
      <c r="BG20" s="29" t="s">
        <v>93</v>
      </c>
      <c r="BH20" s="29" t="s">
        <v>93</v>
      </c>
      <c r="BI20" s="29" t="s">
        <v>93</v>
      </c>
      <c r="BJ20" s="29" t="s">
        <v>93</v>
      </c>
      <c r="BK20" s="29" t="s">
        <v>93</v>
      </c>
      <c r="BL20" s="41"/>
      <c r="BM20" s="28"/>
      <c r="BN20" s="28"/>
      <c r="BO20" s="28"/>
      <c r="BP20" s="42"/>
      <c r="BQ20" s="42"/>
      <c r="BR20" s="42"/>
      <c r="BS20" s="42"/>
      <c r="BT20" s="42"/>
      <c r="BU20" s="42"/>
      <c r="BV20" s="41"/>
    </row>
    <row r="21" spans="1:74" ht="16" x14ac:dyDescent="0.45">
      <c r="A21" s="77" t="s">
        <v>377</v>
      </c>
      <c r="C21" s="81">
        <v>34</v>
      </c>
      <c r="D21" s="81">
        <f t="shared" si="1"/>
        <v>593</v>
      </c>
      <c r="E21" s="87" t="s">
        <v>378</v>
      </c>
      <c r="F21" s="83" t="s">
        <v>379</v>
      </c>
      <c r="G21" s="83" t="s">
        <v>291</v>
      </c>
      <c r="I21" s="28" t="s">
        <v>380</v>
      </c>
      <c r="J21" s="28" t="s">
        <v>381</v>
      </c>
      <c r="K21" s="28" t="str">
        <f t="shared" si="0"/>
        <v>AlcaláValle del Cauca</v>
      </c>
      <c r="L21" s="28"/>
      <c r="M21" s="28" t="s">
        <v>382</v>
      </c>
      <c r="N21" s="28"/>
      <c r="O21" s="69"/>
      <c r="P21" s="28"/>
      <c r="Q21" s="28" t="s">
        <v>383</v>
      </c>
      <c r="R21" s="28">
        <v>10.996955555555555</v>
      </c>
      <c r="S21" s="28">
        <v>-74.830063888888887</v>
      </c>
      <c r="T21" s="28" t="str">
        <f>_xlfn.CONCAT(COORDENADAS[[#This Row],[G]],"° ",COORDENADAS[[#This Row],[M]],"' ",FIXED(COORDENADAS[[#This Row],[S]],2),""" ",COORDENADAS[[#This Row],[Norte]])</f>
        <v>10° 59' 49,04" N</v>
      </c>
      <c r="U21" s="41">
        <v>10</v>
      </c>
      <c r="V21" s="41">
        <v>59</v>
      </c>
      <c r="W21" s="56">
        <v>49.039999999998727</v>
      </c>
      <c r="X21" s="23" t="s">
        <v>192</v>
      </c>
      <c r="Y21" s="28" t="str">
        <f>_xlfn.CONCAT(COORDENADAS[[#This Row],[GG]],"° ",COORDENADAS[[#This Row],[MM]],"' ",FIXED(COORDENADAS[[#This Row],[SS]],2),""" ",COORDENADAS[[#This Row],[Weter]])</f>
        <v>74° 49' 48,23" W</v>
      </c>
      <c r="Z21" s="28">
        <v>74</v>
      </c>
      <c r="AA21" s="28">
        <v>49</v>
      </c>
      <c r="AB21" s="28">
        <v>48.229999999993026</v>
      </c>
      <c r="AC21" s="23" t="s">
        <v>193</v>
      </c>
      <c r="AD21" s="23">
        <v>48.38</v>
      </c>
      <c r="AE21" s="23">
        <v>0</v>
      </c>
      <c r="AH21" s="50" t="s">
        <v>384</v>
      </c>
      <c r="AI21" s="29"/>
      <c r="AJ21" s="29"/>
      <c r="AK21" s="29"/>
      <c r="AL21" s="29"/>
      <c r="AM21" s="29"/>
      <c r="AN21" s="29"/>
      <c r="AO21" s="29"/>
      <c r="AP21" s="29"/>
      <c r="AQ21" s="29"/>
      <c r="AR21" s="29"/>
      <c r="AS21" s="29"/>
      <c r="AT21" s="29"/>
      <c r="AU21" s="29" t="s">
        <v>93</v>
      </c>
      <c r="AV21" s="29" t="s">
        <v>93</v>
      </c>
      <c r="AW21" s="29" t="s">
        <v>93</v>
      </c>
      <c r="AX21" s="29" t="s">
        <v>93</v>
      </c>
      <c r="AY21" s="29" t="s">
        <v>93</v>
      </c>
      <c r="AZ21" s="29" t="s">
        <v>93</v>
      </c>
      <c r="BA21" s="29" t="s">
        <v>93</v>
      </c>
      <c r="BB21" s="29" t="s">
        <v>93</v>
      </c>
      <c r="BC21" s="29" t="s">
        <v>93</v>
      </c>
      <c r="BD21" s="29" t="s">
        <v>93</v>
      </c>
      <c r="BE21" s="29" t="s">
        <v>93</v>
      </c>
      <c r="BF21" s="29" t="s">
        <v>93</v>
      </c>
      <c r="BG21" s="29" t="s">
        <v>93</v>
      </c>
      <c r="BH21" s="29" t="s">
        <v>93</v>
      </c>
      <c r="BI21" s="29" t="s">
        <v>93</v>
      </c>
      <c r="BJ21" s="29" t="s">
        <v>93</v>
      </c>
      <c r="BK21" s="29" t="s">
        <v>93</v>
      </c>
      <c r="BL21" s="41"/>
      <c r="BM21" s="28"/>
      <c r="BN21" s="28"/>
      <c r="BO21" s="28"/>
      <c r="BP21" s="42"/>
      <c r="BQ21" s="42"/>
      <c r="BR21" s="42"/>
      <c r="BS21" s="42"/>
      <c r="BT21" s="42"/>
      <c r="BU21" s="42"/>
      <c r="BV21" s="41"/>
    </row>
    <row r="22" spans="1:74" ht="16" x14ac:dyDescent="0.35">
      <c r="A22" s="16"/>
      <c r="C22" s="81">
        <v>35</v>
      </c>
      <c r="D22" s="81">
        <f t="shared" si="1"/>
        <v>599</v>
      </c>
      <c r="I22" s="28" t="s">
        <v>385</v>
      </c>
      <c r="J22" s="28" t="s">
        <v>352</v>
      </c>
      <c r="K22" s="28" t="str">
        <f t="shared" si="0"/>
        <v>AldanaNariño</v>
      </c>
      <c r="L22" s="28"/>
      <c r="M22" s="28" t="s">
        <v>210</v>
      </c>
      <c r="N22" s="28"/>
      <c r="O22" s="69"/>
      <c r="P22" s="28"/>
      <c r="Q22" s="28" t="s">
        <v>386</v>
      </c>
      <c r="R22" s="28">
        <v>5.191527777777778</v>
      </c>
      <c r="S22" s="28">
        <v>-75.85466666666666</v>
      </c>
      <c r="T22" s="28" t="str">
        <f>_xlfn.CONCAT(COORDENADAS[[#This Row],[G]],"° ",COORDENADAS[[#This Row],[M]],"' ",FIXED(COORDENADAS[[#This Row],[S]],2),""" ",COORDENADAS[[#This Row],[Norte]])</f>
        <v>5° 11' 29,50" N</v>
      </c>
      <c r="U22" s="41">
        <v>5</v>
      </c>
      <c r="V22" s="41">
        <v>11</v>
      </c>
      <c r="W22" s="56">
        <v>29.500000000000714</v>
      </c>
      <c r="X22" s="23" t="s">
        <v>192</v>
      </c>
      <c r="Y22" s="28" t="str">
        <f>_xlfn.CONCAT(COORDENADAS[[#This Row],[GG]],"° ",COORDENADAS[[#This Row],[MM]],"' ",FIXED(COORDENADAS[[#This Row],[SS]],2),""" ",COORDENADAS[[#This Row],[Weter]])</f>
        <v>75° 51' 16,80" W</v>
      </c>
      <c r="Z22" s="28">
        <v>75</v>
      </c>
      <c r="AA22" s="28">
        <v>51</v>
      </c>
      <c r="AB22" s="28">
        <v>16.799999999974567</v>
      </c>
      <c r="AC22" s="23" t="s">
        <v>193</v>
      </c>
      <c r="AD22" s="23">
        <v>37.130000000000003</v>
      </c>
      <c r="AE22" s="23">
        <v>0</v>
      </c>
      <c r="AH22" s="50" t="s">
        <v>387</v>
      </c>
      <c r="AI22" s="29"/>
      <c r="AJ22" s="29"/>
      <c r="AK22" s="29"/>
      <c r="AL22" s="29"/>
      <c r="AM22" s="29"/>
      <c r="AN22" s="29"/>
      <c r="AO22" s="29"/>
      <c r="AP22" s="29"/>
      <c r="AQ22" s="29"/>
      <c r="AR22" s="29"/>
      <c r="AS22" s="29"/>
      <c r="AT22" s="29"/>
      <c r="AU22" s="29" t="s">
        <v>93</v>
      </c>
      <c r="AV22" s="29" t="s">
        <v>93</v>
      </c>
      <c r="AW22" s="29" t="s">
        <v>93</v>
      </c>
      <c r="AX22" s="29" t="s">
        <v>93</v>
      </c>
      <c r="AY22" s="29" t="s">
        <v>93</v>
      </c>
      <c r="AZ22" s="29" t="s">
        <v>93</v>
      </c>
      <c r="BA22" s="29" t="s">
        <v>93</v>
      </c>
      <c r="BB22" s="29" t="s">
        <v>93</v>
      </c>
      <c r="BC22" s="29" t="s">
        <v>93</v>
      </c>
      <c r="BD22" s="29" t="s">
        <v>93</v>
      </c>
      <c r="BE22" s="29" t="s">
        <v>93</v>
      </c>
      <c r="BF22" s="29" t="s">
        <v>93</v>
      </c>
      <c r="BG22" s="29" t="s">
        <v>93</v>
      </c>
      <c r="BH22" s="29" t="s">
        <v>93</v>
      </c>
      <c r="BI22" s="29" t="s">
        <v>93</v>
      </c>
      <c r="BJ22" s="29" t="s">
        <v>93</v>
      </c>
      <c r="BK22" s="29" t="s">
        <v>93</v>
      </c>
      <c r="BL22" s="41"/>
      <c r="BM22" s="28"/>
      <c r="BN22" s="28"/>
      <c r="BO22" s="28"/>
      <c r="BP22" s="42"/>
      <c r="BQ22" s="42"/>
      <c r="BR22" s="42"/>
      <c r="BS22" s="42"/>
      <c r="BT22" s="42"/>
      <c r="BU22" s="42"/>
      <c r="BV22" s="41"/>
    </row>
    <row r="23" spans="1:74" ht="16" x14ac:dyDescent="0.35">
      <c r="A23" s="16"/>
      <c r="C23" s="81">
        <v>36</v>
      </c>
      <c r="D23" s="81">
        <f t="shared" si="1"/>
        <v>605</v>
      </c>
      <c r="I23" s="28" t="s">
        <v>388</v>
      </c>
      <c r="J23" s="28" t="s">
        <v>154</v>
      </c>
      <c r="K23" s="28" t="str">
        <f t="shared" si="0"/>
        <v>AlejandríaAntioquia</v>
      </c>
      <c r="L23" s="28"/>
      <c r="M23" s="28" t="s">
        <v>352</v>
      </c>
      <c r="N23" s="28"/>
      <c r="O23" s="69"/>
      <c r="P23" s="28"/>
      <c r="Q23" s="28" t="s">
        <v>389</v>
      </c>
      <c r="R23" s="28">
        <v>5.1913333330000002</v>
      </c>
      <c r="S23" s="28">
        <v>-75.854722222000007</v>
      </c>
      <c r="T23" s="28" t="str">
        <f>_xlfn.CONCAT(COORDENADAS[[#This Row],[G]],"° ",COORDENADAS[[#This Row],[M]],"' ",FIXED(COORDENADAS[[#This Row],[S]],2),""" ",COORDENADAS[[#This Row],[Norte]])</f>
        <v>5° 11' 28,44" N</v>
      </c>
      <c r="U23" s="41">
        <v>5</v>
      </c>
      <c r="V23" s="41">
        <v>11</v>
      </c>
      <c r="W23" s="56">
        <v>28.442338800000233</v>
      </c>
      <c r="X23" s="23" t="s">
        <v>192</v>
      </c>
      <c r="Y23" s="28" t="str">
        <f>_xlfn.CONCAT(COORDENADAS[[#This Row],[GG]],"° ",COORDENADAS[[#This Row],[MM]],"' ",FIXED(COORDENADAS[[#This Row],[SS]],2),""" ",COORDENADAS[[#This Row],[Weter]])</f>
        <v>75° 51' 17,17" W</v>
      </c>
      <c r="Z23" s="28">
        <v>75</v>
      </c>
      <c r="AA23" s="28">
        <v>51</v>
      </c>
      <c r="AB23" s="28">
        <v>17.166207599975756</v>
      </c>
      <c r="AC23" s="23" t="s">
        <v>193</v>
      </c>
      <c r="AD23" s="23">
        <v>42.6</v>
      </c>
      <c r="AE23" s="23">
        <v>43.1</v>
      </c>
      <c r="AH23" s="50" t="s">
        <v>390</v>
      </c>
      <c r="AI23" s="29"/>
      <c r="AJ23" s="29"/>
      <c r="AK23" s="29"/>
      <c r="AL23" s="29"/>
      <c r="AM23" s="29"/>
      <c r="AN23" s="29"/>
      <c r="AO23" s="29"/>
      <c r="AP23" s="29"/>
      <c r="AQ23" s="29"/>
      <c r="AR23" s="29"/>
      <c r="AS23" s="29"/>
      <c r="AT23" s="29"/>
      <c r="AU23" s="29" t="s">
        <v>93</v>
      </c>
      <c r="AV23" s="29" t="s">
        <v>93</v>
      </c>
      <c r="AW23" s="29" t="s">
        <v>93</v>
      </c>
      <c r="AX23" s="29" t="s">
        <v>93</v>
      </c>
      <c r="AY23" s="29" t="s">
        <v>93</v>
      </c>
      <c r="AZ23" s="29" t="s">
        <v>93</v>
      </c>
      <c r="BA23" s="29" t="s">
        <v>93</v>
      </c>
      <c r="BB23" s="29" t="s">
        <v>93</v>
      </c>
      <c r="BC23" s="29" t="s">
        <v>93</v>
      </c>
      <c r="BD23" s="29" t="s">
        <v>93</v>
      </c>
      <c r="BE23" s="29" t="s">
        <v>93</v>
      </c>
      <c r="BF23" s="29" t="s">
        <v>93</v>
      </c>
      <c r="BG23" s="29" t="s">
        <v>93</v>
      </c>
      <c r="BH23" s="29" t="s">
        <v>93</v>
      </c>
      <c r="BI23" s="29" t="s">
        <v>93</v>
      </c>
      <c r="BJ23" s="29" t="s">
        <v>93</v>
      </c>
      <c r="BK23" s="29" t="s">
        <v>93</v>
      </c>
      <c r="BL23" s="41"/>
      <c r="BM23" s="28"/>
      <c r="BN23" s="28"/>
      <c r="BO23" s="28"/>
      <c r="BP23" s="42"/>
      <c r="BQ23" s="42"/>
      <c r="BR23" s="42"/>
      <c r="BS23" s="42"/>
      <c r="BT23" s="42"/>
      <c r="BU23" s="42"/>
      <c r="BV23" s="41"/>
    </row>
    <row r="24" spans="1:74" ht="16" x14ac:dyDescent="0.35">
      <c r="A24" s="78" t="s">
        <v>35</v>
      </c>
      <c r="C24" s="81">
        <v>38</v>
      </c>
      <c r="D24" s="81">
        <f t="shared" si="1"/>
        <v>617</v>
      </c>
      <c r="I24" s="28" t="s">
        <v>391</v>
      </c>
      <c r="J24" s="28" t="s">
        <v>382</v>
      </c>
      <c r="K24" s="28" t="str">
        <f t="shared" si="0"/>
        <v>AlgarroboMagdalena</v>
      </c>
      <c r="L24" s="28"/>
      <c r="M24" s="28" t="s">
        <v>190</v>
      </c>
      <c r="N24" s="28"/>
      <c r="O24" s="69"/>
      <c r="P24" s="28"/>
      <c r="Q24" s="28" t="s">
        <v>392</v>
      </c>
      <c r="R24" s="28">
        <v>6.2824444440000002</v>
      </c>
      <c r="S24" s="28">
        <v>-75.533833333000004</v>
      </c>
      <c r="T24" s="28" t="str">
        <f>_xlfn.CONCAT(COORDENADAS[[#This Row],[G]],"° ",COORDENADAS[[#This Row],[M]],"' ",FIXED(COORDENADAS[[#This Row],[S]],2),""" ",COORDENADAS[[#This Row],[Norte]])</f>
        <v>6° 16' 56,74" N</v>
      </c>
      <c r="U24" s="41">
        <v>6</v>
      </c>
      <c r="V24" s="41">
        <v>16</v>
      </c>
      <c r="W24" s="56">
        <v>56.743132799999231</v>
      </c>
      <c r="X24" s="23" t="s">
        <v>192</v>
      </c>
      <c r="Y24" s="28" t="str">
        <f>_xlfn.CONCAT(COORDENADAS[[#This Row],[GG]],"° ",COORDENADAS[[#This Row],[MM]],"' ",FIXED(COORDENADAS[[#This Row],[SS]],2),""" ",COORDENADAS[[#This Row],[Weter]])</f>
        <v>75° 32' 1,39" W</v>
      </c>
      <c r="Z24" s="28">
        <v>75</v>
      </c>
      <c r="AA24" s="28">
        <v>32</v>
      </c>
      <c r="AB24" s="28">
        <v>1.3896384000179562</v>
      </c>
      <c r="AC24" s="23" t="s">
        <v>193</v>
      </c>
      <c r="AD24" s="23">
        <v>40.6</v>
      </c>
      <c r="AE24" s="23">
        <v>40.799999999999997</v>
      </c>
      <c r="AH24" s="50" t="s">
        <v>393</v>
      </c>
      <c r="AI24" s="29"/>
      <c r="AJ24" s="29"/>
      <c r="AK24" s="29"/>
      <c r="AL24" s="29"/>
      <c r="AM24" s="29"/>
      <c r="AN24" s="29"/>
      <c r="AO24" s="29"/>
      <c r="AP24" s="29"/>
      <c r="AQ24" s="29"/>
      <c r="AR24" s="29"/>
      <c r="AS24" s="29"/>
      <c r="AT24" s="29"/>
      <c r="AU24" s="29" t="s">
        <v>93</v>
      </c>
      <c r="AV24" s="29" t="s">
        <v>93</v>
      </c>
      <c r="AW24" s="29" t="s">
        <v>93</v>
      </c>
      <c r="AX24" s="29" t="s">
        <v>93</v>
      </c>
      <c r="AY24" s="29" t="s">
        <v>93</v>
      </c>
      <c r="AZ24" s="29" t="s">
        <v>93</v>
      </c>
      <c r="BA24" s="29" t="s">
        <v>93</v>
      </c>
      <c r="BB24" s="29" t="s">
        <v>93</v>
      </c>
      <c r="BC24" s="29" t="s">
        <v>93</v>
      </c>
      <c r="BD24" s="29" t="s">
        <v>93</v>
      </c>
      <c r="BE24" s="29" t="s">
        <v>93</v>
      </c>
      <c r="BF24" s="29" t="s">
        <v>93</v>
      </c>
      <c r="BG24" s="29" t="s">
        <v>93</v>
      </c>
      <c r="BH24" s="29" t="s">
        <v>93</v>
      </c>
      <c r="BI24" s="29" t="s">
        <v>93</v>
      </c>
      <c r="BJ24" s="29" t="s">
        <v>93</v>
      </c>
      <c r="BK24" s="29" t="s">
        <v>93</v>
      </c>
      <c r="BL24" s="41"/>
      <c r="BM24" s="28"/>
      <c r="BN24" s="28"/>
      <c r="BO24" s="28"/>
      <c r="BP24" s="42"/>
      <c r="BQ24" s="42"/>
      <c r="BR24" s="42"/>
      <c r="BS24" s="42"/>
      <c r="BT24" s="42"/>
      <c r="BU24" s="42"/>
      <c r="BV24" s="41"/>
    </row>
    <row r="25" spans="1:74" ht="16" x14ac:dyDescent="0.35">
      <c r="A25" s="77" t="s">
        <v>394</v>
      </c>
      <c r="C25" s="81">
        <v>39</v>
      </c>
      <c r="D25" s="81">
        <f t="shared" si="1"/>
        <v>623</v>
      </c>
      <c r="I25" s="28" t="s">
        <v>395</v>
      </c>
      <c r="J25" s="28" t="s">
        <v>245</v>
      </c>
      <c r="K25" s="28" t="str">
        <f t="shared" si="0"/>
        <v>AlgecirasHuila</v>
      </c>
      <c r="L25" s="28"/>
      <c r="M25" s="28" t="s">
        <v>396</v>
      </c>
      <c r="N25" s="28"/>
      <c r="O25" s="69"/>
      <c r="P25" s="28"/>
      <c r="Q25" s="28" t="s">
        <v>397</v>
      </c>
      <c r="R25" s="28">
        <v>4.1991666666666667</v>
      </c>
      <c r="S25" s="28">
        <v>-74.408000000000001</v>
      </c>
      <c r="T25" s="28" t="str">
        <f>_xlfn.CONCAT(COORDENADAS[[#This Row],[G]],"° ",COORDENADAS[[#This Row],[M]],"' ",FIXED(COORDENADAS[[#This Row],[S]],2),""" ",COORDENADAS[[#This Row],[Norte]])</f>
        <v>4° 11' 57,00" N</v>
      </c>
      <c r="U25" s="41">
        <v>4</v>
      </c>
      <c r="V25" s="41">
        <v>11</v>
      </c>
      <c r="W25" s="56">
        <v>57.00000000000022</v>
      </c>
      <c r="X25" s="23" t="s">
        <v>192</v>
      </c>
      <c r="Y25" s="28" t="str">
        <f>_xlfn.CONCAT(COORDENADAS[[#This Row],[GG]],"° ",COORDENADAS[[#This Row],[MM]],"' ",FIXED(COORDENADAS[[#This Row],[SS]],2),""" ",COORDENADAS[[#This Row],[Weter]])</f>
        <v>74° 24' 28,80" W</v>
      </c>
      <c r="Z25" s="28">
        <v>74</v>
      </c>
      <c r="AA25" s="28">
        <v>24</v>
      </c>
      <c r="AB25" s="28">
        <v>28.800000000004424</v>
      </c>
      <c r="AC25" s="23" t="s">
        <v>193</v>
      </c>
      <c r="AD25" s="23">
        <v>51.4</v>
      </c>
      <c r="AE25" s="23">
        <v>0</v>
      </c>
      <c r="AH25" s="50" t="s">
        <v>398</v>
      </c>
      <c r="AI25" s="29"/>
      <c r="AJ25" s="29"/>
      <c r="AK25" s="29"/>
      <c r="AL25" s="29"/>
      <c r="AM25" s="29"/>
      <c r="AN25" s="29"/>
      <c r="AO25" s="29"/>
      <c r="AP25" s="29"/>
      <c r="AQ25" s="29"/>
      <c r="AR25" s="29"/>
      <c r="AS25" s="29"/>
      <c r="AT25" s="29"/>
      <c r="AU25" s="29" t="s">
        <v>93</v>
      </c>
      <c r="AV25" s="29" t="s">
        <v>93</v>
      </c>
      <c r="AW25" s="29" t="s">
        <v>93</v>
      </c>
      <c r="AX25" s="29" t="s">
        <v>93</v>
      </c>
      <c r="AY25" s="29" t="s">
        <v>93</v>
      </c>
      <c r="AZ25" s="29" t="s">
        <v>93</v>
      </c>
      <c r="BA25" s="29" t="s">
        <v>93</v>
      </c>
      <c r="BB25" s="29" t="s">
        <v>93</v>
      </c>
      <c r="BC25" s="29" t="s">
        <v>93</v>
      </c>
      <c r="BD25" s="29" t="s">
        <v>93</v>
      </c>
      <c r="BE25" s="29" t="s">
        <v>93</v>
      </c>
      <c r="BF25" s="29" t="s">
        <v>93</v>
      </c>
      <c r="BG25" s="29" t="s">
        <v>93</v>
      </c>
      <c r="BH25" s="29" t="s">
        <v>93</v>
      </c>
      <c r="BI25" s="29" t="s">
        <v>93</v>
      </c>
      <c r="BJ25" s="29" t="s">
        <v>93</v>
      </c>
      <c r="BK25" s="29" t="s">
        <v>93</v>
      </c>
      <c r="BL25" s="41"/>
      <c r="BM25" s="28"/>
      <c r="BN25" s="28"/>
      <c r="BO25" s="28"/>
      <c r="BP25" s="42"/>
      <c r="BQ25" s="42"/>
      <c r="BR25" s="42"/>
      <c r="BS25" s="42"/>
      <c r="BT25" s="42"/>
      <c r="BU25" s="42"/>
      <c r="BV25" s="41"/>
    </row>
    <row r="26" spans="1:74" ht="16" x14ac:dyDescent="0.35">
      <c r="A26" s="77" t="s">
        <v>399</v>
      </c>
      <c r="C26" s="81">
        <v>40</v>
      </c>
      <c r="D26" s="81">
        <f t="shared" si="1"/>
        <v>629</v>
      </c>
      <c r="I26" s="28" t="s">
        <v>400</v>
      </c>
      <c r="J26" s="28" t="s">
        <v>315</v>
      </c>
      <c r="K26" s="28" t="str">
        <f t="shared" si="0"/>
        <v>AlmaguerCauca</v>
      </c>
      <c r="L26" s="28"/>
      <c r="M26" s="28" t="s">
        <v>401</v>
      </c>
      <c r="N26" s="28"/>
      <c r="O26" s="69"/>
      <c r="P26" s="28"/>
      <c r="Q26" s="28" t="s">
        <v>402</v>
      </c>
      <c r="R26" s="28">
        <v>2.3421944444444445</v>
      </c>
      <c r="S26" s="28">
        <v>-78.32652777777777</v>
      </c>
      <c r="T26" s="28" t="str">
        <f>_xlfn.CONCAT(COORDENADAS[[#This Row],[G]],"° ",COORDENADAS[[#This Row],[M]],"' ",FIXED(COORDENADAS[[#This Row],[S]],2),""" ",COORDENADAS[[#This Row],[Norte]])</f>
        <v>2° 20' 31,90" N</v>
      </c>
      <c r="U26" s="41">
        <v>2</v>
      </c>
      <c r="V26" s="41">
        <v>20</v>
      </c>
      <c r="W26" s="56">
        <v>31.900000000000151</v>
      </c>
      <c r="X26" s="23" t="s">
        <v>192</v>
      </c>
      <c r="Y26" s="28" t="str">
        <f>_xlfn.CONCAT(COORDENADAS[[#This Row],[GG]],"° ",COORDENADAS[[#This Row],[MM]],"' ",FIXED(COORDENADAS[[#This Row],[SS]],2),""" ",COORDENADAS[[#This Row],[Weter]])</f>
        <v>78° 19' 35,50" W</v>
      </c>
      <c r="Z26" s="28">
        <v>78</v>
      </c>
      <c r="AA26" s="28">
        <v>19</v>
      </c>
      <c r="AB26" s="28">
        <v>35.49999999997118</v>
      </c>
      <c r="AC26" s="23" t="s">
        <v>193</v>
      </c>
      <c r="AD26" s="23">
        <v>34.82</v>
      </c>
      <c r="AE26" s="23">
        <v>0</v>
      </c>
      <c r="AH26" s="50" t="s">
        <v>403</v>
      </c>
      <c r="AI26" s="29"/>
      <c r="AJ26" s="29"/>
      <c r="AK26" s="29"/>
      <c r="AL26" s="29"/>
      <c r="AM26" s="29"/>
      <c r="AN26" s="29"/>
      <c r="AO26" s="29"/>
      <c r="AP26" s="29"/>
      <c r="AQ26" s="29"/>
      <c r="AR26" s="29"/>
      <c r="AS26" s="29"/>
      <c r="AT26" s="29"/>
      <c r="AU26" s="29" t="s">
        <v>93</v>
      </c>
      <c r="AV26" s="29" t="s">
        <v>93</v>
      </c>
      <c r="AW26" s="29" t="s">
        <v>93</v>
      </c>
      <c r="AX26" s="29" t="s">
        <v>93</v>
      </c>
      <c r="AY26" s="29" t="s">
        <v>93</v>
      </c>
      <c r="AZ26" s="29" t="s">
        <v>93</v>
      </c>
      <c r="BA26" s="29" t="s">
        <v>93</v>
      </c>
      <c r="BB26" s="29" t="s">
        <v>93</v>
      </c>
      <c r="BC26" s="29" t="s">
        <v>93</v>
      </c>
      <c r="BD26" s="29" t="s">
        <v>93</v>
      </c>
      <c r="BE26" s="29" t="s">
        <v>93</v>
      </c>
      <c r="BF26" s="29" t="s">
        <v>93</v>
      </c>
      <c r="BG26" s="29" t="s">
        <v>93</v>
      </c>
      <c r="BH26" s="29" t="s">
        <v>93</v>
      </c>
      <c r="BI26" s="29" t="s">
        <v>93</v>
      </c>
      <c r="BJ26" s="29" t="s">
        <v>93</v>
      </c>
      <c r="BK26" s="29" t="s">
        <v>93</v>
      </c>
      <c r="BL26" s="41"/>
      <c r="BM26" s="51"/>
      <c r="BN26" s="51"/>
      <c r="BO26" s="51"/>
      <c r="BP26" s="42"/>
      <c r="BQ26" s="42"/>
      <c r="BR26" s="42"/>
      <c r="BS26" s="42"/>
      <c r="BT26" s="42"/>
      <c r="BU26" s="42"/>
      <c r="BV26" s="41"/>
    </row>
    <row r="27" spans="1:74" ht="16" x14ac:dyDescent="0.35">
      <c r="A27" s="77" t="s">
        <v>40</v>
      </c>
      <c r="C27" s="81">
        <v>41</v>
      </c>
      <c r="D27" s="81">
        <f t="shared" si="1"/>
        <v>635</v>
      </c>
      <c r="I27" s="28" t="s">
        <v>404</v>
      </c>
      <c r="J27" s="28" t="s">
        <v>274</v>
      </c>
      <c r="K27" s="28" t="str">
        <f t="shared" si="0"/>
        <v>AlmeidaBoyaca</v>
      </c>
      <c r="L27" s="28"/>
      <c r="M27" s="28" t="s">
        <v>405</v>
      </c>
      <c r="N27" s="28"/>
      <c r="O27" s="69"/>
      <c r="P27" s="28"/>
      <c r="Q27" s="28" t="s">
        <v>406</v>
      </c>
      <c r="R27" s="28">
        <v>1.8602777779999999</v>
      </c>
      <c r="S27" s="28">
        <v>-76.959722221999996</v>
      </c>
      <c r="T27" s="28" t="str">
        <f>_xlfn.CONCAT(COORDENADAS[[#This Row],[G]],"° ",COORDENADAS[[#This Row],[M]],"' ",FIXED(COORDENADAS[[#This Row],[S]],2),""" ",COORDENADAS[[#This Row],[Norte]])</f>
        <v>1° 51' 37,00" N</v>
      </c>
      <c r="U27" s="41">
        <v>1</v>
      </c>
      <c r="V27" s="41">
        <v>51</v>
      </c>
      <c r="W27" s="56">
        <v>37.000000799999853</v>
      </c>
      <c r="X27" s="23" t="s">
        <v>192</v>
      </c>
      <c r="Y27" s="28" t="str">
        <f>_xlfn.CONCAT(COORDENADAS[[#This Row],[GG]],"° ",COORDENADAS[[#This Row],[MM]],"' ",FIXED(COORDENADAS[[#This Row],[SS]],2),""" ",COORDENADAS[[#This Row],[Weter]])</f>
        <v>76° 57' 35,00" W</v>
      </c>
      <c r="Z27" s="28">
        <v>76</v>
      </c>
      <c r="AA27" s="28">
        <v>57</v>
      </c>
      <c r="AB27" s="28">
        <v>34.999999199987016</v>
      </c>
      <c r="AC27" s="23" t="s">
        <v>193</v>
      </c>
      <c r="AD27" s="23">
        <v>40.799999999999997</v>
      </c>
      <c r="AE27" s="23">
        <v>41</v>
      </c>
      <c r="AH27" s="50" t="s">
        <v>407</v>
      </c>
      <c r="AI27" s="29"/>
      <c r="AJ27" s="29"/>
      <c r="AK27" s="29"/>
      <c r="AL27" s="29"/>
      <c r="AM27" s="29"/>
      <c r="AN27" s="29"/>
      <c r="AO27" s="29"/>
      <c r="AP27" s="29"/>
      <c r="AQ27" s="29"/>
      <c r="AR27" s="29"/>
      <c r="AS27" s="29"/>
      <c r="AT27" s="29"/>
      <c r="AU27" s="29" t="s">
        <v>93</v>
      </c>
      <c r="AV27" s="29" t="s">
        <v>93</v>
      </c>
      <c r="AW27" s="29" t="s">
        <v>93</v>
      </c>
      <c r="AX27" s="29" t="s">
        <v>93</v>
      </c>
      <c r="AY27" s="29" t="s">
        <v>93</v>
      </c>
      <c r="AZ27" s="29" t="s">
        <v>93</v>
      </c>
      <c r="BA27" s="29" t="s">
        <v>93</v>
      </c>
      <c r="BB27" s="29" t="s">
        <v>93</v>
      </c>
      <c r="BC27" s="29" t="s">
        <v>93</v>
      </c>
      <c r="BD27" s="29" t="s">
        <v>93</v>
      </c>
      <c r="BE27" s="29" t="s">
        <v>93</v>
      </c>
      <c r="BF27" s="29" t="s">
        <v>93</v>
      </c>
      <c r="BG27" s="29" t="s">
        <v>93</v>
      </c>
      <c r="BH27" s="29" t="s">
        <v>93</v>
      </c>
      <c r="BI27" s="29" t="s">
        <v>93</v>
      </c>
      <c r="BJ27" s="29" t="s">
        <v>93</v>
      </c>
      <c r="BK27" s="29" t="s">
        <v>93</v>
      </c>
      <c r="BL27" s="41"/>
      <c r="BM27" s="28"/>
      <c r="BN27" s="28"/>
      <c r="BO27" s="28"/>
      <c r="BP27" s="42"/>
      <c r="BQ27" s="42"/>
      <c r="BR27" s="42"/>
      <c r="BS27" s="42"/>
      <c r="BT27" s="42"/>
      <c r="BU27" s="42"/>
      <c r="BV27" s="41"/>
    </row>
    <row r="28" spans="1:74" ht="16" x14ac:dyDescent="0.35">
      <c r="A28" s="16"/>
      <c r="C28" s="81">
        <v>42</v>
      </c>
      <c r="D28" s="81">
        <f t="shared" si="1"/>
        <v>641</v>
      </c>
      <c r="I28" s="28" t="s">
        <v>408</v>
      </c>
      <c r="J28" s="28" t="s">
        <v>409</v>
      </c>
      <c r="K28" s="28" t="str">
        <f t="shared" si="0"/>
        <v>AlpujarraTolima</v>
      </c>
      <c r="L28" s="28"/>
      <c r="M28" s="28" t="s">
        <v>304</v>
      </c>
      <c r="N28" s="28"/>
      <c r="O28" s="69"/>
      <c r="P28" s="28"/>
      <c r="Q28" s="28" t="s">
        <v>410</v>
      </c>
      <c r="R28" s="28">
        <v>1.8398611111111112</v>
      </c>
      <c r="S28" s="28">
        <v>-76.96897222222222</v>
      </c>
      <c r="T28" s="28" t="str">
        <f>_xlfn.CONCAT(COORDENADAS[[#This Row],[G]],"° ",COORDENADAS[[#This Row],[M]],"' ",FIXED(COORDENADAS[[#This Row],[S]],2),""" ",COORDENADAS[[#This Row],[Norte]])</f>
        <v>1° 50' 23,50" N</v>
      </c>
      <c r="U28" s="41">
        <v>1</v>
      </c>
      <c r="V28" s="41">
        <v>50</v>
      </c>
      <c r="W28" s="56">
        <v>23.500000000000078</v>
      </c>
      <c r="X28" s="23" t="s">
        <v>192</v>
      </c>
      <c r="Y28" s="28" t="str">
        <f>_xlfn.CONCAT(COORDENADAS[[#This Row],[GG]],"° ",COORDENADAS[[#This Row],[MM]],"' ",FIXED(COORDENADAS[[#This Row],[SS]],2),""" ",COORDENADAS[[#This Row],[Weter]])</f>
        <v>76° 58' 8,30" W</v>
      </c>
      <c r="Z28" s="28">
        <v>76</v>
      </c>
      <c r="AA28" s="28">
        <v>58</v>
      </c>
      <c r="AB28" s="28">
        <v>8.2999999999924245</v>
      </c>
      <c r="AC28" s="23" t="s">
        <v>193</v>
      </c>
      <c r="AD28" s="23">
        <v>49.11</v>
      </c>
      <c r="AE28" s="23">
        <v>0</v>
      </c>
      <c r="AH28" s="50" t="s">
        <v>411</v>
      </c>
      <c r="AI28" s="29"/>
      <c r="AJ28" s="29"/>
      <c r="AK28" s="29"/>
      <c r="AL28" s="29"/>
      <c r="AM28" s="29"/>
      <c r="AN28" s="29"/>
      <c r="AO28" s="29"/>
      <c r="AP28" s="29"/>
      <c r="AQ28" s="29"/>
      <c r="AR28" s="29"/>
      <c r="AS28" s="29"/>
      <c r="AT28" s="29"/>
      <c r="AU28" s="29" t="s">
        <v>93</v>
      </c>
      <c r="AV28" s="29" t="s">
        <v>93</v>
      </c>
      <c r="AW28" s="29" t="s">
        <v>93</v>
      </c>
      <c r="AX28" s="29" t="s">
        <v>93</v>
      </c>
      <c r="AY28" s="29" t="s">
        <v>93</v>
      </c>
      <c r="AZ28" s="29" t="s">
        <v>93</v>
      </c>
      <c r="BA28" s="29" t="s">
        <v>93</v>
      </c>
      <c r="BB28" s="29" t="s">
        <v>93</v>
      </c>
      <c r="BC28" s="29" t="s">
        <v>93</v>
      </c>
      <c r="BD28" s="29" t="s">
        <v>93</v>
      </c>
      <c r="BE28" s="29" t="s">
        <v>93</v>
      </c>
      <c r="BF28" s="29" t="s">
        <v>93</v>
      </c>
      <c r="BG28" s="29" t="s">
        <v>93</v>
      </c>
      <c r="BH28" s="29" t="s">
        <v>93</v>
      </c>
      <c r="BI28" s="29" t="s">
        <v>93</v>
      </c>
      <c r="BJ28" s="29" t="s">
        <v>93</v>
      </c>
      <c r="BK28" s="29" t="s">
        <v>93</v>
      </c>
      <c r="BL28" s="41"/>
      <c r="BM28" s="28"/>
      <c r="BN28" s="28"/>
      <c r="BO28" s="28"/>
      <c r="BP28" s="42"/>
      <c r="BQ28" s="42"/>
      <c r="BR28" s="42"/>
      <c r="BS28" s="42"/>
      <c r="BT28" s="42"/>
      <c r="BU28" s="42"/>
      <c r="BV28" s="41"/>
    </row>
    <row r="29" spans="1:74" ht="16" x14ac:dyDescent="0.35">
      <c r="A29" s="16"/>
      <c r="C29" s="81">
        <v>43</v>
      </c>
      <c r="D29" s="81">
        <f t="shared" si="1"/>
        <v>647</v>
      </c>
      <c r="I29" s="28" t="s">
        <v>412</v>
      </c>
      <c r="J29" s="28" t="s">
        <v>245</v>
      </c>
      <c r="K29" s="28" t="str">
        <f t="shared" si="0"/>
        <v>AltamiraHuila</v>
      </c>
      <c r="L29" s="28"/>
      <c r="M29" s="28" t="s">
        <v>413</v>
      </c>
      <c r="N29" s="28"/>
      <c r="O29" s="69"/>
      <c r="P29" s="28"/>
      <c r="Q29" s="28" t="s">
        <v>414</v>
      </c>
      <c r="R29" s="28">
        <v>4.4771388889999999</v>
      </c>
      <c r="S29" s="28">
        <v>-74.075222221999994</v>
      </c>
      <c r="T29" s="28" t="str">
        <f>_xlfn.CONCAT(COORDENADAS[[#This Row],[G]],"° ",COORDENADAS[[#This Row],[M]],"' ",FIXED(COORDENADAS[[#This Row],[S]],2),""" ",COORDENADAS[[#This Row],[Norte]])</f>
        <v>4° 28' 37,70" N</v>
      </c>
      <c r="U29" s="41">
        <v>4</v>
      </c>
      <c r="V29" s="41">
        <v>28</v>
      </c>
      <c r="W29" s="56">
        <v>37.70000039999961</v>
      </c>
      <c r="X29" s="23" t="s">
        <v>192</v>
      </c>
      <c r="Y29" s="28" t="str">
        <f>_xlfn.CONCAT(COORDENADAS[[#This Row],[GG]],"° ",COORDENADAS[[#This Row],[MM]],"' ",FIXED(COORDENADAS[[#This Row],[SS]],2),""" ",COORDENADAS[[#This Row],[Weter]])</f>
        <v>74° 4' 30,80" W</v>
      </c>
      <c r="Z29" s="28">
        <v>74</v>
      </c>
      <c r="AA29" s="28">
        <v>4</v>
      </c>
      <c r="AB29" s="28">
        <v>30.799999199977041</v>
      </c>
      <c r="AC29" s="23" t="s">
        <v>193</v>
      </c>
      <c r="AD29" s="23">
        <v>40.6</v>
      </c>
      <c r="AE29" s="23">
        <v>40.700000000000003</v>
      </c>
      <c r="AH29" s="50" t="s">
        <v>415</v>
      </c>
      <c r="AI29" s="29"/>
      <c r="AJ29" s="29"/>
      <c r="AK29" s="29"/>
      <c r="AL29" s="29"/>
      <c r="AM29" s="29"/>
      <c r="AN29" s="29"/>
      <c r="AO29" s="29"/>
      <c r="AP29" s="29"/>
      <c r="AQ29" s="29"/>
      <c r="AR29" s="29"/>
      <c r="AS29" s="29"/>
      <c r="AT29" s="29"/>
      <c r="AU29" s="29" t="s">
        <v>93</v>
      </c>
      <c r="AV29" s="29" t="s">
        <v>93</v>
      </c>
      <c r="AW29" s="29" t="s">
        <v>93</v>
      </c>
      <c r="AX29" s="29" t="s">
        <v>93</v>
      </c>
      <c r="AY29" s="29" t="s">
        <v>93</v>
      </c>
      <c r="AZ29" s="29" t="s">
        <v>93</v>
      </c>
      <c r="BA29" s="29" t="s">
        <v>93</v>
      </c>
      <c r="BB29" s="29" t="s">
        <v>93</v>
      </c>
      <c r="BC29" s="29" t="s">
        <v>93</v>
      </c>
      <c r="BD29" s="29" t="s">
        <v>93</v>
      </c>
      <c r="BE29" s="29" t="s">
        <v>93</v>
      </c>
      <c r="BF29" s="29" t="s">
        <v>93</v>
      </c>
      <c r="BG29" s="29" t="s">
        <v>93</v>
      </c>
      <c r="BH29" s="29" t="s">
        <v>93</v>
      </c>
      <c r="BI29" s="29" t="s">
        <v>93</v>
      </c>
      <c r="BJ29" s="29" t="s">
        <v>93</v>
      </c>
      <c r="BK29" s="29" t="s">
        <v>93</v>
      </c>
      <c r="BL29" s="41"/>
      <c r="BM29" s="28"/>
      <c r="BN29" s="28"/>
      <c r="BO29" s="28"/>
      <c r="BP29" s="42"/>
      <c r="BQ29" s="42"/>
      <c r="BR29" s="42"/>
      <c r="BS29" s="42"/>
      <c r="BT29" s="42"/>
      <c r="BU29" s="42"/>
      <c r="BV29" s="41"/>
    </row>
    <row r="30" spans="1:74" ht="16" x14ac:dyDescent="0.35">
      <c r="A30" s="78" t="s">
        <v>36</v>
      </c>
      <c r="C30" s="81">
        <v>44</v>
      </c>
      <c r="D30" s="81">
        <f t="shared" si="1"/>
        <v>653</v>
      </c>
      <c r="I30" s="28" t="s">
        <v>416</v>
      </c>
      <c r="J30" s="28" t="s">
        <v>230</v>
      </c>
      <c r="K30" s="28" t="str">
        <f t="shared" si="0"/>
        <v>Alto BaudoChoco</v>
      </c>
      <c r="L30" s="28"/>
      <c r="M30" s="28" t="s">
        <v>409</v>
      </c>
      <c r="N30" s="28"/>
      <c r="O30" s="69"/>
      <c r="P30" s="28"/>
      <c r="Q30" s="28" t="s">
        <v>417</v>
      </c>
      <c r="R30" s="28">
        <v>9.9687222222222225</v>
      </c>
      <c r="S30" s="28">
        <v>-73.879527777777767</v>
      </c>
      <c r="T30" s="28" t="str">
        <f>_xlfn.CONCAT(COORDENADAS[[#This Row],[G]],"° ",COORDENADAS[[#This Row],[M]],"' ",FIXED(COORDENADAS[[#This Row],[S]],2),""" ",COORDENADAS[[#This Row],[Norte]])</f>
        <v>9° 58' 7,40" N</v>
      </c>
      <c r="U30" s="41">
        <v>9</v>
      </c>
      <c r="V30" s="41">
        <v>58</v>
      </c>
      <c r="W30" s="56">
        <v>7.400000000000917</v>
      </c>
      <c r="X30" s="23" t="s">
        <v>192</v>
      </c>
      <c r="Y30" s="28" t="str">
        <f>_xlfn.CONCAT(COORDENADAS[[#This Row],[GG]],"° ",COORDENADAS[[#This Row],[MM]],"' ",FIXED(COORDENADAS[[#This Row],[SS]],2),""" ",COORDENADAS[[#This Row],[Weter]])</f>
        <v>73° 52' 46,30" W</v>
      </c>
      <c r="Z30" s="28">
        <v>73</v>
      </c>
      <c r="AA30" s="28">
        <v>52</v>
      </c>
      <c r="AB30" s="28">
        <v>46.299999999961194</v>
      </c>
      <c r="AC30" s="23" t="s">
        <v>193</v>
      </c>
      <c r="AD30" s="23">
        <v>37.380000000000003</v>
      </c>
      <c r="AE30" s="23">
        <v>0</v>
      </c>
      <c r="AH30" s="50" t="s">
        <v>418</v>
      </c>
      <c r="AI30" s="29"/>
      <c r="AJ30" s="29"/>
      <c r="AK30" s="29"/>
      <c r="AL30" s="29"/>
      <c r="AM30" s="29"/>
      <c r="AN30" s="29"/>
      <c r="AO30" s="29"/>
      <c r="AP30" s="29"/>
      <c r="AQ30" s="29"/>
      <c r="AR30" s="29"/>
      <c r="AS30" s="29"/>
      <c r="AT30" s="29"/>
      <c r="AU30" s="29" t="s">
        <v>93</v>
      </c>
      <c r="AV30" s="29" t="s">
        <v>93</v>
      </c>
      <c r="AW30" s="29" t="s">
        <v>93</v>
      </c>
      <c r="AX30" s="29" t="s">
        <v>93</v>
      </c>
      <c r="AY30" s="29" t="s">
        <v>93</v>
      </c>
      <c r="AZ30" s="29" t="s">
        <v>93</v>
      </c>
      <c r="BA30" s="29" t="s">
        <v>93</v>
      </c>
      <c r="BB30" s="29" t="s">
        <v>93</v>
      </c>
      <c r="BC30" s="29" t="s">
        <v>93</v>
      </c>
      <c r="BD30" s="29" t="s">
        <v>93</v>
      </c>
      <c r="BE30" s="29" t="s">
        <v>93</v>
      </c>
      <c r="BF30" s="29" t="s">
        <v>93</v>
      </c>
      <c r="BG30" s="29" t="s">
        <v>93</v>
      </c>
      <c r="BH30" s="29" t="s">
        <v>93</v>
      </c>
      <c r="BI30" s="29" t="s">
        <v>93</v>
      </c>
      <c r="BJ30" s="29" t="s">
        <v>93</v>
      </c>
      <c r="BK30" s="29" t="s">
        <v>93</v>
      </c>
      <c r="BL30" s="41"/>
      <c r="BM30" s="28"/>
      <c r="BN30" s="28"/>
      <c r="BO30" s="28"/>
      <c r="BP30" s="42"/>
      <c r="BQ30" s="42"/>
      <c r="BR30" s="42"/>
      <c r="BS30" s="42"/>
      <c r="BT30" s="42"/>
      <c r="BU30" s="42"/>
      <c r="BV30" s="41"/>
    </row>
    <row r="31" spans="1:74" ht="16" x14ac:dyDescent="0.35">
      <c r="A31" s="77" t="s">
        <v>41</v>
      </c>
      <c r="C31" s="81">
        <v>45</v>
      </c>
      <c r="D31" s="81">
        <f t="shared" si="1"/>
        <v>659</v>
      </c>
      <c r="I31" s="28" t="s">
        <v>419</v>
      </c>
      <c r="J31" s="28" t="s">
        <v>260</v>
      </c>
      <c r="K31" s="28" t="str">
        <f t="shared" si="0"/>
        <v>Altos del RosarioBolivar</v>
      </c>
      <c r="L31" s="28"/>
      <c r="M31" s="28" t="s">
        <v>381</v>
      </c>
      <c r="N31" s="28"/>
      <c r="O31" s="69"/>
      <c r="P31" s="28"/>
      <c r="Q31" s="28" t="s">
        <v>420</v>
      </c>
      <c r="R31" s="28">
        <v>3.8812777779999998</v>
      </c>
      <c r="S31" s="28">
        <v>-77.035222222000002</v>
      </c>
      <c r="T31" s="28" t="str">
        <f>_xlfn.CONCAT(COORDENADAS[[#This Row],[G]],"° ",COORDENADAS[[#This Row],[M]],"' ",FIXED(COORDENADAS[[#This Row],[S]],2),""" ",COORDENADAS[[#This Row],[Norte]])</f>
        <v>3° 52' 53,05" N</v>
      </c>
      <c r="U31" s="41">
        <v>3</v>
      </c>
      <c r="V31" s="41">
        <v>52</v>
      </c>
      <c r="W31" s="56">
        <v>53.051239200000033</v>
      </c>
      <c r="X31" s="23" t="s">
        <v>192</v>
      </c>
      <c r="Y31" s="28" t="str">
        <f>_xlfn.CONCAT(COORDENADAS[[#This Row],[GG]],"° ",COORDENADAS[[#This Row],[MM]],"' ",FIXED(COORDENADAS[[#This Row],[SS]],2),""" ",COORDENADAS[[#This Row],[Weter]])</f>
        <v>77° 2' 7,49" W</v>
      </c>
      <c r="Z31" s="28">
        <v>77</v>
      </c>
      <c r="AA31" s="28">
        <v>2</v>
      </c>
      <c r="AB31" s="28">
        <v>7.4871888000006965</v>
      </c>
      <c r="AC31" s="23" t="s">
        <v>193</v>
      </c>
      <c r="AD31" s="23">
        <v>40.6</v>
      </c>
      <c r="AE31" s="23">
        <v>40.700000000000003</v>
      </c>
      <c r="AH31" s="50" t="s">
        <v>421</v>
      </c>
      <c r="AI31" s="29"/>
      <c r="AJ31" s="29"/>
      <c r="AK31" s="29"/>
      <c r="AL31" s="29"/>
      <c r="AM31" s="29"/>
      <c r="AN31" s="29"/>
      <c r="AO31" s="29"/>
      <c r="AP31" s="29"/>
      <c r="AQ31" s="29"/>
      <c r="AR31" s="29"/>
      <c r="AS31" s="29"/>
      <c r="AT31" s="29"/>
      <c r="AU31" s="29" t="s">
        <v>93</v>
      </c>
      <c r="AV31" s="29" t="s">
        <v>93</v>
      </c>
      <c r="AW31" s="29" t="s">
        <v>93</v>
      </c>
      <c r="AX31" s="29" t="s">
        <v>93</v>
      </c>
      <c r="AY31" s="29" t="s">
        <v>93</v>
      </c>
      <c r="AZ31" s="29" t="s">
        <v>93</v>
      </c>
      <c r="BA31" s="29" t="s">
        <v>93</v>
      </c>
      <c r="BB31" s="29" t="s">
        <v>93</v>
      </c>
      <c r="BC31" s="29" t="s">
        <v>93</v>
      </c>
      <c r="BD31" s="29" t="s">
        <v>93</v>
      </c>
      <c r="BE31" s="29" t="s">
        <v>93</v>
      </c>
      <c r="BF31" s="29" t="s">
        <v>93</v>
      </c>
      <c r="BG31" s="29" t="s">
        <v>93</v>
      </c>
      <c r="BH31" s="29" t="s">
        <v>93</v>
      </c>
      <c r="BI31" s="29" t="s">
        <v>93</v>
      </c>
      <c r="BJ31" s="29" t="s">
        <v>93</v>
      </c>
      <c r="BK31" s="29" t="s">
        <v>93</v>
      </c>
      <c r="BL31" s="41"/>
      <c r="BM31" s="28"/>
      <c r="BN31" s="28"/>
      <c r="BO31" s="28"/>
      <c r="BP31" s="42"/>
      <c r="BQ31" s="42"/>
      <c r="BR31" s="42"/>
      <c r="BS31" s="42"/>
      <c r="BT31" s="42"/>
      <c r="BU31" s="42"/>
      <c r="BV31" s="41"/>
    </row>
    <row r="32" spans="1:74" ht="16" x14ac:dyDescent="0.35">
      <c r="A32" s="77" t="s">
        <v>422</v>
      </c>
      <c r="C32" s="81">
        <v>46</v>
      </c>
      <c r="D32" s="81">
        <f t="shared" si="1"/>
        <v>665</v>
      </c>
      <c r="I32" s="28" t="s">
        <v>423</v>
      </c>
      <c r="J32" s="28" t="s">
        <v>409</v>
      </c>
      <c r="K32" s="28" t="str">
        <f t="shared" si="0"/>
        <v>AlvaradoTolima</v>
      </c>
      <c r="L32" s="28"/>
      <c r="M32" s="28" t="s">
        <v>424</v>
      </c>
      <c r="N32" s="28"/>
      <c r="O32" s="69"/>
      <c r="P32" s="28"/>
      <c r="Q32" s="28" t="s">
        <v>425</v>
      </c>
      <c r="R32" s="28">
        <v>4.1549722222222227</v>
      </c>
      <c r="S32" s="28">
        <v>-73.68383333333334</v>
      </c>
      <c r="T32" s="28" t="str">
        <f>_xlfn.CONCAT(COORDENADAS[[#This Row],[G]],"° ",COORDENADAS[[#This Row],[M]],"' ",FIXED(COORDENADAS[[#This Row],[S]],2),""" ",COORDENADAS[[#This Row],[Norte]])</f>
        <v>4° 9' 17,90" N</v>
      </c>
      <c r="U32" s="41">
        <v>4</v>
      </c>
      <c r="V32" s="41">
        <v>9</v>
      </c>
      <c r="W32" s="56">
        <v>17.90000000000186</v>
      </c>
      <c r="X32" s="23" t="s">
        <v>192</v>
      </c>
      <c r="Y32" s="28" t="str">
        <f>_xlfn.CONCAT(COORDENADAS[[#This Row],[GG]],"° ",COORDENADAS[[#This Row],[MM]],"' ",FIXED(COORDENADAS[[#This Row],[SS]],2),""" ",COORDENADAS[[#This Row],[Weter]])</f>
        <v>73° 41' 1,80" W</v>
      </c>
      <c r="Z32" s="28">
        <v>73</v>
      </c>
      <c r="AA32" s="28">
        <v>41</v>
      </c>
      <c r="AB32" s="28">
        <v>1.8000000000221839</v>
      </c>
      <c r="AC32" s="23" t="s">
        <v>193</v>
      </c>
      <c r="AD32" s="23">
        <v>48.38</v>
      </c>
      <c r="AE32" s="23">
        <v>0</v>
      </c>
      <c r="AH32" s="50" t="s">
        <v>426</v>
      </c>
      <c r="AI32" s="29"/>
      <c r="AJ32" s="29"/>
      <c r="AK32" s="29"/>
      <c r="AL32" s="29"/>
      <c r="AM32" s="29"/>
      <c r="AN32" s="29"/>
      <c r="AO32" s="29"/>
      <c r="AP32" s="29"/>
      <c r="AQ32" s="29"/>
      <c r="AR32" s="29"/>
      <c r="AS32" s="29"/>
      <c r="AT32" s="29"/>
      <c r="AU32" s="29" t="s">
        <v>93</v>
      </c>
      <c r="AV32" s="29" t="s">
        <v>93</v>
      </c>
      <c r="AW32" s="29" t="s">
        <v>93</v>
      </c>
      <c r="AX32" s="29" t="s">
        <v>93</v>
      </c>
      <c r="AY32" s="29" t="s">
        <v>93</v>
      </c>
      <c r="AZ32" s="29" t="s">
        <v>93</v>
      </c>
      <c r="BA32" s="29" t="s">
        <v>93</v>
      </c>
      <c r="BB32" s="29" t="s">
        <v>93</v>
      </c>
      <c r="BC32" s="29" t="s">
        <v>93</v>
      </c>
      <c r="BD32" s="29" t="s">
        <v>93</v>
      </c>
      <c r="BE32" s="29" t="s">
        <v>93</v>
      </c>
      <c r="BF32" s="29" t="s">
        <v>93</v>
      </c>
      <c r="BG32" s="29" t="s">
        <v>93</v>
      </c>
      <c r="BH32" s="29" t="s">
        <v>93</v>
      </c>
      <c r="BI32" s="29" t="s">
        <v>93</v>
      </c>
      <c r="BJ32" s="29" t="s">
        <v>93</v>
      </c>
      <c r="BK32" s="29" t="s">
        <v>93</v>
      </c>
      <c r="BL32" s="41"/>
      <c r="BM32" s="28"/>
      <c r="BN32" s="28"/>
      <c r="BO32" s="28"/>
      <c r="BP32" s="42"/>
      <c r="BQ32" s="42"/>
      <c r="BR32" s="42"/>
      <c r="BS32" s="42"/>
      <c r="BT32" s="42"/>
      <c r="BU32" s="42"/>
      <c r="BV32" s="41"/>
    </row>
    <row r="33" spans="1:74" ht="16" x14ac:dyDescent="0.35">
      <c r="C33" s="81">
        <v>47</v>
      </c>
      <c r="D33" s="81">
        <f t="shared" si="1"/>
        <v>671</v>
      </c>
      <c r="I33" s="28" t="s">
        <v>427</v>
      </c>
      <c r="J33" s="28" t="s">
        <v>154</v>
      </c>
      <c r="K33" s="28" t="str">
        <f t="shared" si="0"/>
        <v>AmagáAntioquia</v>
      </c>
      <c r="L33" s="28"/>
      <c r="M33" s="28" t="s">
        <v>428</v>
      </c>
      <c r="N33" s="28"/>
      <c r="O33" s="69"/>
      <c r="P33" s="28"/>
      <c r="Q33" s="28" t="s">
        <v>429</v>
      </c>
      <c r="R33" s="28">
        <v>2.333444444</v>
      </c>
      <c r="S33" s="28">
        <v>-75.727416667</v>
      </c>
      <c r="T33" s="28" t="str">
        <f>_xlfn.CONCAT(COORDENADAS[[#This Row],[G]],"° ",COORDENADAS[[#This Row],[M]],"' ",FIXED(COORDENADAS[[#This Row],[S]],2),""" ",COORDENADAS[[#This Row],[Norte]])</f>
        <v>2° 20' 1,54" N</v>
      </c>
      <c r="U33" s="41">
        <v>2</v>
      </c>
      <c r="V33" s="41">
        <v>20</v>
      </c>
      <c r="W33" s="56">
        <v>1.5354708000004491</v>
      </c>
      <c r="X33" s="23" t="s">
        <v>192</v>
      </c>
      <c r="Y33" s="28" t="str">
        <f>_xlfn.CONCAT(COORDENADAS[[#This Row],[GG]],"° ",COORDENADAS[[#This Row],[MM]],"' ",FIXED(COORDENADAS[[#This Row],[SS]],2),""" ",COORDENADAS[[#This Row],[Weter]])</f>
        <v>75° 43' 39,14" W</v>
      </c>
      <c r="Z33" s="28">
        <v>75</v>
      </c>
      <c r="AA33" s="28">
        <v>43</v>
      </c>
      <c r="AB33" s="28">
        <v>39.138661199997358</v>
      </c>
      <c r="AC33" s="23" t="s">
        <v>193</v>
      </c>
      <c r="AD33" s="23">
        <v>40.799999999999997</v>
      </c>
      <c r="AE33" s="23">
        <v>40.700000000000003</v>
      </c>
      <c r="AH33" s="50" t="s">
        <v>430</v>
      </c>
      <c r="AI33" s="29"/>
      <c r="AJ33" s="29"/>
      <c r="AK33" s="29"/>
      <c r="AL33" s="29"/>
      <c r="AM33" s="29"/>
      <c r="AN33" s="29"/>
      <c r="AO33" s="29"/>
      <c r="AP33" s="29"/>
      <c r="AQ33" s="29"/>
      <c r="AR33" s="29"/>
      <c r="AS33" s="29"/>
      <c r="AT33" s="29"/>
      <c r="AU33" s="29" t="s">
        <v>93</v>
      </c>
      <c r="AV33" s="29" t="s">
        <v>93</v>
      </c>
      <c r="AW33" s="29" t="s">
        <v>93</v>
      </c>
      <c r="AX33" s="29" t="s">
        <v>93</v>
      </c>
      <c r="AY33" s="29" t="s">
        <v>93</v>
      </c>
      <c r="AZ33" s="29" t="s">
        <v>93</v>
      </c>
      <c r="BA33" s="29" t="s">
        <v>93</v>
      </c>
      <c r="BB33" s="29" t="s">
        <v>93</v>
      </c>
      <c r="BC33" s="29" t="s">
        <v>93</v>
      </c>
      <c r="BD33" s="29" t="s">
        <v>93</v>
      </c>
      <c r="BE33" s="29" t="s">
        <v>93</v>
      </c>
      <c r="BF33" s="29" t="s">
        <v>93</v>
      </c>
      <c r="BG33" s="29" t="s">
        <v>93</v>
      </c>
      <c r="BH33" s="29" t="s">
        <v>93</v>
      </c>
      <c r="BI33" s="29" t="s">
        <v>93</v>
      </c>
      <c r="BJ33" s="29" t="s">
        <v>93</v>
      </c>
      <c r="BK33" s="29" t="s">
        <v>93</v>
      </c>
      <c r="BL33" s="41"/>
      <c r="BM33" s="28"/>
      <c r="BN33" s="28"/>
      <c r="BO33" s="28"/>
      <c r="BP33" s="42"/>
      <c r="BQ33" s="42"/>
      <c r="BR33" s="42"/>
      <c r="BS33" s="42"/>
      <c r="BT33" s="42"/>
      <c r="BU33" s="42"/>
      <c r="BV33" s="41"/>
    </row>
    <row r="34" spans="1:74" ht="16" x14ac:dyDescent="0.35">
      <c r="A34" s="78" t="s">
        <v>37</v>
      </c>
      <c r="C34" s="81">
        <v>48</v>
      </c>
      <c r="D34" s="81">
        <f t="shared" si="1"/>
        <v>677</v>
      </c>
      <c r="I34" s="28" t="s">
        <v>431</v>
      </c>
      <c r="J34" s="28" t="s">
        <v>154</v>
      </c>
      <c r="K34" s="28" t="str">
        <f t="shared" si="0"/>
        <v>AmalfiAntioquia</v>
      </c>
      <c r="L34" s="28"/>
      <c r="M34" s="28"/>
      <c r="N34" s="28"/>
      <c r="O34" s="69"/>
      <c r="P34" s="28"/>
      <c r="Q34" s="28" t="s">
        <v>432</v>
      </c>
      <c r="R34" s="28">
        <v>13.361800000000001</v>
      </c>
      <c r="S34" s="28">
        <v>-81.384100000000004</v>
      </c>
      <c r="T34" s="28" t="str">
        <f>_xlfn.CONCAT(COORDENADAS[[#This Row],[G]],"° ",COORDENADAS[[#This Row],[M]],"' ",FIXED(COORDENADAS[[#This Row],[S]],2),""" ",COORDENADAS[[#This Row],[Norte]])</f>
        <v>13° 21' 42,70" N</v>
      </c>
      <c r="U34" s="41">
        <v>13</v>
      </c>
      <c r="V34" s="41">
        <v>21</v>
      </c>
      <c r="W34" s="56">
        <v>42.699999999998759</v>
      </c>
      <c r="X34" s="23" t="s">
        <v>192</v>
      </c>
      <c r="Y34" s="28" t="str">
        <f>_xlfn.CONCAT(COORDENADAS[[#This Row],[GG]],"° ",COORDENADAS[[#This Row],[MM]],"' ",FIXED(COORDENADAS[[#This Row],[SS]],2),""" ",COORDENADAS[[#This Row],[Weter]])</f>
        <v>81° 23' 2,97" W</v>
      </c>
      <c r="Z34" s="28">
        <v>81</v>
      </c>
      <c r="AA34" s="28">
        <v>23</v>
      </c>
      <c r="AB34" s="28">
        <v>2.9700000000456361</v>
      </c>
      <c r="AC34" s="23" t="s">
        <v>193</v>
      </c>
      <c r="AD34" s="23">
        <v>41.2</v>
      </c>
      <c r="AE34" s="23">
        <v>41.3</v>
      </c>
      <c r="AH34" s="50" t="s">
        <v>433</v>
      </c>
      <c r="AI34" s="29"/>
      <c r="AJ34" s="29"/>
      <c r="AK34" s="29"/>
      <c r="AL34" s="29"/>
      <c r="AM34" s="29"/>
      <c r="AN34" s="29"/>
      <c r="AO34" s="29"/>
      <c r="AP34" s="29"/>
      <c r="AQ34" s="29"/>
      <c r="AR34" s="29"/>
      <c r="AS34" s="29"/>
      <c r="AT34" s="29"/>
      <c r="AU34" s="29" t="s">
        <v>93</v>
      </c>
      <c r="AV34" s="29" t="s">
        <v>93</v>
      </c>
      <c r="AW34" s="29" t="s">
        <v>93</v>
      </c>
      <c r="AX34" s="29" t="s">
        <v>93</v>
      </c>
      <c r="AY34" s="29" t="s">
        <v>93</v>
      </c>
      <c r="AZ34" s="29" t="s">
        <v>93</v>
      </c>
      <c r="BA34" s="29" t="s">
        <v>93</v>
      </c>
      <c r="BB34" s="29" t="s">
        <v>93</v>
      </c>
      <c r="BC34" s="29" t="s">
        <v>93</v>
      </c>
      <c r="BD34" s="29" t="s">
        <v>93</v>
      </c>
      <c r="BE34" s="29" t="s">
        <v>93</v>
      </c>
      <c r="BF34" s="29" t="s">
        <v>93</v>
      </c>
      <c r="BG34" s="29" t="s">
        <v>93</v>
      </c>
      <c r="BH34" s="29" t="s">
        <v>93</v>
      </c>
      <c r="BI34" s="29" t="s">
        <v>93</v>
      </c>
      <c r="BJ34" s="29" t="s">
        <v>93</v>
      </c>
      <c r="BK34" s="29" t="s">
        <v>93</v>
      </c>
      <c r="BL34" s="41"/>
      <c r="BM34" s="28"/>
      <c r="BN34" s="28"/>
      <c r="BO34" s="28"/>
      <c r="BP34" s="42"/>
      <c r="BQ34" s="42"/>
      <c r="BR34" s="42"/>
      <c r="BS34" s="42"/>
      <c r="BT34" s="42"/>
      <c r="BU34" s="42"/>
      <c r="BV34" s="41"/>
    </row>
    <row r="35" spans="1:74" ht="16" x14ac:dyDescent="0.35">
      <c r="A35" s="79" t="s">
        <v>42</v>
      </c>
      <c r="C35" s="81">
        <v>49</v>
      </c>
      <c r="D35" s="81">
        <f t="shared" si="1"/>
        <v>683</v>
      </c>
      <c r="I35" s="28" t="s">
        <v>434</v>
      </c>
      <c r="J35" s="28" t="s">
        <v>409</v>
      </c>
      <c r="K35" s="28" t="str">
        <f t="shared" si="0"/>
        <v>AmbalemaTolima</v>
      </c>
      <c r="L35" s="28"/>
      <c r="M35" s="28"/>
      <c r="N35" s="28"/>
      <c r="O35" s="69"/>
      <c r="P35" s="28"/>
      <c r="Q35" s="28" t="s">
        <v>435</v>
      </c>
      <c r="R35" s="28">
        <v>1.4019444444444444</v>
      </c>
      <c r="S35" s="28">
        <v>-77.150500000000008</v>
      </c>
      <c r="T35" s="28" t="str">
        <f>_xlfn.CONCAT(COORDENADAS[[#This Row],[G]],"° ",COORDENADAS[[#This Row],[M]],"' ",FIXED(COORDENADAS[[#This Row],[S]],2),""" ",COORDENADAS[[#This Row],[Norte]])</f>
        <v>1° 24' 7,00" N</v>
      </c>
      <c r="U35" s="41">
        <v>1</v>
      </c>
      <c r="V35" s="41">
        <v>24</v>
      </c>
      <c r="W35" s="56">
        <v>6.9999999999998952</v>
      </c>
      <c r="X35" s="23" t="s">
        <v>192</v>
      </c>
      <c r="Y35" s="28" t="str">
        <f>_xlfn.CONCAT(COORDENADAS[[#This Row],[GG]],"° ",COORDENADAS[[#This Row],[MM]],"' ",FIXED(COORDENADAS[[#This Row],[SS]],2),""" ",COORDENADAS[[#This Row],[Weter]])</f>
        <v>77° 9' 1,80" W</v>
      </c>
      <c r="Z35" s="28">
        <v>77</v>
      </c>
      <c r="AA35" s="28">
        <v>9</v>
      </c>
      <c r="AB35" s="28">
        <v>1.8000000000290783</v>
      </c>
      <c r="AC35" s="23" t="s">
        <v>193</v>
      </c>
      <c r="AD35" s="23">
        <v>34.82</v>
      </c>
      <c r="AE35" s="23">
        <v>0</v>
      </c>
      <c r="AH35" s="50" t="s">
        <v>436</v>
      </c>
      <c r="AI35" s="29"/>
      <c r="AJ35" s="29"/>
      <c r="AK35" s="29"/>
      <c r="AL35" s="29"/>
      <c r="AM35" s="29"/>
      <c r="AN35" s="29"/>
      <c r="AO35" s="29"/>
      <c r="AP35" s="29"/>
      <c r="AQ35" s="29"/>
      <c r="AR35" s="29"/>
      <c r="AS35" s="29"/>
      <c r="AT35" s="29"/>
      <c r="AU35" s="29" t="s">
        <v>93</v>
      </c>
      <c r="AV35" s="29" t="s">
        <v>93</v>
      </c>
      <c r="AW35" s="29" t="s">
        <v>93</v>
      </c>
      <c r="AX35" s="29" t="s">
        <v>93</v>
      </c>
      <c r="AY35" s="29" t="s">
        <v>93</v>
      </c>
      <c r="AZ35" s="29" t="s">
        <v>93</v>
      </c>
      <c r="BA35" s="29" t="s">
        <v>93</v>
      </c>
      <c r="BB35" s="29" t="s">
        <v>93</v>
      </c>
      <c r="BC35" s="29" t="s">
        <v>93</v>
      </c>
      <c r="BD35" s="29" t="s">
        <v>93</v>
      </c>
      <c r="BE35" s="29" t="s">
        <v>93</v>
      </c>
      <c r="BF35" s="29" t="s">
        <v>93</v>
      </c>
      <c r="BG35" s="29" t="s">
        <v>93</v>
      </c>
      <c r="BH35" s="29" t="s">
        <v>93</v>
      </c>
      <c r="BI35" s="29" t="s">
        <v>93</v>
      </c>
      <c r="BJ35" s="29" t="s">
        <v>93</v>
      </c>
      <c r="BK35" s="29" t="s">
        <v>93</v>
      </c>
      <c r="BL35" s="41"/>
      <c r="BM35" s="28"/>
      <c r="BN35" s="28"/>
      <c r="BO35" s="28"/>
      <c r="BP35" s="42"/>
      <c r="BQ35" s="42"/>
      <c r="BR35" s="42"/>
      <c r="BS35" s="42"/>
      <c r="BT35" s="42"/>
      <c r="BU35" s="42"/>
      <c r="BV35" s="41"/>
    </row>
    <row r="36" spans="1:74" ht="16" x14ac:dyDescent="0.35">
      <c r="A36" s="79" t="s">
        <v>437</v>
      </c>
      <c r="C36" s="81">
        <v>50</v>
      </c>
      <c r="D36" s="81">
        <f t="shared" si="1"/>
        <v>689</v>
      </c>
      <c r="I36" s="28" t="s">
        <v>438</v>
      </c>
      <c r="J36" s="28" t="s">
        <v>283</v>
      </c>
      <c r="K36" s="28" t="str">
        <f t="shared" si="0"/>
        <v>AnapoimaCundinamarca</v>
      </c>
      <c r="L36" s="28"/>
      <c r="M36" s="28"/>
      <c r="N36" s="28"/>
      <c r="O36" s="69"/>
      <c r="P36" s="28"/>
      <c r="Q36" s="28" t="s">
        <v>439</v>
      </c>
      <c r="R36" s="28">
        <v>4.4488888888888889</v>
      </c>
      <c r="S36" s="28">
        <v>-75.42</v>
      </c>
      <c r="T36" s="28" t="str">
        <f>_xlfn.CONCAT(COORDENADAS[[#This Row],[G]],"° ",COORDENADAS[[#This Row],[M]],"' ",FIXED(COORDENADAS[[#This Row],[S]],2),""" ",COORDENADAS[[#This Row],[Norte]])</f>
        <v>4° 26' 56,00" N</v>
      </c>
      <c r="U36" s="41">
        <v>4</v>
      </c>
      <c r="V36" s="41">
        <v>26</v>
      </c>
      <c r="W36" s="56">
        <v>55.999999999999957</v>
      </c>
      <c r="X36" s="23" t="s">
        <v>192</v>
      </c>
      <c r="Y36" s="28" t="str">
        <f>_xlfn.CONCAT(COORDENADAS[[#This Row],[GG]],"° ",COORDENADAS[[#This Row],[MM]],"' ",FIXED(COORDENADAS[[#This Row],[SS]],2),""" ",COORDENADAS[[#This Row],[Weter]])</f>
        <v>75° 25' 12,00" W</v>
      </c>
      <c r="Z36" s="28">
        <v>75</v>
      </c>
      <c r="AA36" s="28">
        <v>25</v>
      </c>
      <c r="AB36" s="28">
        <v>12.000000000006072</v>
      </c>
      <c r="AC36" s="23" t="s">
        <v>193</v>
      </c>
      <c r="AD36" s="23">
        <v>34.82</v>
      </c>
      <c r="AE36" s="23">
        <v>0</v>
      </c>
      <c r="AH36" s="50" t="s">
        <v>440</v>
      </c>
      <c r="AI36" s="29"/>
      <c r="AJ36" s="29"/>
      <c r="AK36" s="29"/>
      <c r="AL36" s="29"/>
      <c r="AM36" s="29"/>
      <c r="AN36" s="29"/>
      <c r="AO36" s="29"/>
      <c r="AP36" s="29"/>
      <c r="AQ36" s="29"/>
      <c r="AR36" s="29"/>
      <c r="AS36" s="29"/>
      <c r="AT36" s="29"/>
      <c r="AU36" s="29" t="s">
        <v>93</v>
      </c>
      <c r="AV36" s="29" t="s">
        <v>93</v>
      </c>
      <c r="AW36" s="29" t="s">
        <v>93</v>
      </c>
      <c r="AX36" s="29" t="s">
        <v>93</v>
      </c>
      <c r="AY36" s="29" t="s">
        <v>93</v>
      </c>
      <c r="AZ36" s="29" t="s">
        <v>93</v>
      </c>
      <c r="BA36" s="29" t="s">
        <v>93</v>
      </c>
      <c r="BB36" s="29" t="s">
        <v>93</v>
      </c>
      <c r="BC36" s="29" t="s">
        <v>93</v>
      </c>
      <c r="BD36" s="29" t="s">
        <v>93</v>
      </c>
      <c r="BE36" s="29" t="s">
        <v>93</v>
      </c>
      <c r="BF36" s="29" t="s">
        <v>93</v>
      </c>
      <c r="BG36" s="29" t="s">
        <v>93</v>
      </c>
      <c r="BH36" s="29" t="s">
        <v>93</v>
      </c>
      <c r="BI36" s="29" t="s">
        <v>93</v>
      </c>
      <c r="BJ36" s="29" t="s">
        <v>93</v>
      </c>
      <c r="BK36" s="29" t="s">
        <v>93</v>
      </c>
      <c r="BL36" s="41"/>
      <c r="BM36" s="28"/>
      <c r="BN36" s="28"/>
      <c r="BO36" s="28"/>
      <c r="BP36" s="42"/>
      <c r="BQ36" s="42"/>
      <c r="BR36" s="42"/>
      <c r="BS36" s="42"/>
      <c r="BT36" s="42"/>
      <c r="BU36" s="42"/>
      <c r="BV36" s="41"/>
    </row>
    <row r="37" spans="1:74" ht="16" x14ac:dyDescent="0.35">
      <c r="A37" s="79" t="s">
        <v>441</v>
      </c>
      <c r="C37" s="81">
        <v>51</v>
      </c>
      <c r="D37" s="81">
        <f t="shared" si="1"/>
        <v>695</v>
      </c>
      <c r="I37" s="28" t="s">
        <v>442</v>
      </c>
      <c r="J37" s="28" t="s">
        <v>352</v>
      </c>
      <c r="K37" s="28" t="str">
        <f t="shared" si="0"/>
        <v>AncuyáNariño</v>
      </c>
      <c r="L37" s="28"/>
      <c r="M37" s="28"/>
      <c r="N37" s="28"/>
      <c r="O37" s="69"/>
      <c r="P37" s="28"/>
      <c r="Q37" s="28" t="s">
        <v>443</v>
      </c>
      <c r="R37" s="28">
        <v>4.7270555559999998</v>
      </c>
      <c r="S37" s="28">
        <v>-74.080611110999996</v>
      </c>
      <c r="T37" s="28" t="str">
        <f>_xlfn.CONCAT(COORDENADAS[[#This Row],[G]],"° ",COORDENADAS[[#This Row],[M]],"' ",FIXED(COORDENADAS[[#This Row],[S]],2),""" ",COORDENADAS[[#This Row],[Norte]])</f>
        <v>4° 43' 37,40" N</v>
      </c>
      <c r="U37" s="41">
        <v>4</v>
      </c>
      <c r="V37" s="41">
        <v>43</v>
      </c>
      <c r="W37" s="56">
        <v>37.400001599999342</v>
      </c>
      <c r="X37" s="23" t="s">
        <v>192</v>
      </c>
      <c r="Y37" s="28" t="str">
        <f>_xlfn.CONCAT(COORDENADAS[[#This Row],[GG]],"° ",COORDENADAS[[#This Row],[MM]],"' ",FIXED(COORDENADAS[[#This Row],[SS]],2),""" ",COORDENADAS[[#This Row],[Weter]])</f>
        <v>74° 4' 50,20" W</v>
      </c>
      <c r="Z37" s="28">
        <v>74</v>
      </c>
      <c r="AA37" s="28">
        <v>4</v>
      </c>
      <c r="AB37" s="28">
        <v>50.199999599985858</v>
      </c>
      <c r="AC37" s="23" t="s">
        <v>193</v>
      </c>
      <c r="AD37" s="23">
        <v>40.6</v>
      </c>
      <c r="AE37" s="23">
        <v>40.700000000000003</v>
      </c>
      <c r="AH37" s="44" t="s">
        <v>66</v>
      </c>
      <c r="AI37" s="29" t="s">
        <v>66</v>
      </c>
      <c r="AJ37" s="29" t="s">
        <v>66</v>
      </c>
      <c r="AK37" s="29" t="s">
        <v>66</v>
      </c>
      <c r="AL37" s="29" t="s">
        <v>66</v>
      </c>
      <c r="AM37" s="29" t="s">
        <v>66</v>
      </c>
      <c r="AN37" s="29" t="s">
        <v>66</v>
      </c>
      <c r="AO37" s="29" t="s">
        <v>66</v>
      </c>
      <c r="AP37" s="29" t="s">
        <v>66</v>
      </c>
      <c r="AQ37" s="29" t="s">
        <v>66</v>
      </c>
      <c r="AR37" s="29" t="s">
        <v>66</v>
      </c>
      <c r="AS37" s="29" t="s">
        <v>66</v>
      </c>
      <c r="AT37" s="29" t="s">
        <v>66</v>
      </c>
      <c r="AU37" s="29" t="s">
        <v>66</v>
      </c>
      <c r="AV37" s="29" t="s">
        <v>66</v>
      </c>
      <c r="AW37" s="29" t="s">
        <v>66</v>
      </c>
      <c r="AX37" s="29" t="s">
        <v>66</v>
      </c>
      <c r="AY37" s="29" t="s">
        <v>66</v>
      </c>
      <c r="AZ37" s="52" t="s">
        <v>66</v>
      </c>
      <c r="BA37" s="52" t="s">
        <v>66</v>
      </c>
      <c r="BB37" s="52" t="s">
        <v>66</v>
      </c>
      <c r="BC37" s="48" t="s">
        <v>66</v>
      </c>
      <c r="BD37" s="48" t="s">
        <v>66</v>
      </c>
      <c r="BE37" s="48" t="s">
        <v>66</v>
      </c>
      <c r="BF37" s="48" t="s">
        <v>66</v>
      </c>
      <c r="BG37" s="48" t="s">
        <v>66</v>
      </c>
      <c r="BH37" s="48" t="s">
        <v>66</v>
      </c>
      <c r="BI37" s="48" t="s">
        <v>66</v>
      </c>
      <c r="BJ37" s="48" t="s">
        <v>66</v>
      </c>
      <c r="BK37" s="29" t="s">
        <v>66</v>
      </c>
      <c r="BL37" s="41"/>
      <c r="BM37" s="28"/>
      <c r="BN37" s="28"/>
      <c r="BO37" s="28"/>
      <c r="BP37" s="42"/>
      <c r="BQ37" s="42"/>
      <c r="BR37" s="28"/>
      <c r="BS37" s="28"/>
      <c r="BT37" s="28"/>
      <c r="BU37" s="28"/>
      <c r="BV37" s="41"/>
    </row>
    <row r="38" spans="1:74" ht="16" x14ac:dyDescent="0.35">
      <c r="A38" s="79" t="s">
        <v>444</v>
      </c>
      <c r="I38" s="28" t="s">
        <v>445</v>
      </c>
      <c r="J38" s="28" t="s">
        <v>381</v>
      </c>
      <c r="K38" s="28" t="str">
        <f t="shared" si="0"/>
        <v>AndalucíaValle del Cauca</v>
      </c>
      <c r="L38" s="28"/>
      <c r="M38" s="28"/>
      <c r="N38" s="28"/>
      <c r="O38" s="69"/>
      <c r="P38" s="28"/>
      <c r="Q38" s="28" t="s">
        <v>446</v>
      </c>
      <c r="R38" s="28">
        <v>4.4539722222222222</v>
      </c>
      <c r="S38" s="28">
        <v>-75.576694444444442</v>
      </c>
      <c r="T38" s="28" t="str">
        <f>_xlfn.CONCAT(COORDENADAS[[#This Row],[G]],"° ",COORDENADAS[[#This Row],[M]],"' ",FIXED(COORDENADAS[[#This Row],[S]],2),""" ",COORDENADAS[[#This Row],[Norte]])</f>
        <v>4° 27' 14,30" N</v>
      </c>
      <c r="U38" s="41">
        <v>4</v>
      </c>
      <c r="V38" s="41">
        <v>27</v>
      </c>
      <c r="W38" s="56">
        <v>14.299999999999958</v>
      </c>
      <c r="X38" s="23" t="s">
        <v>192</v>
      </c>
      <c r="Y38" s="28" t="str">
        <f>_xlfn.CONCAT(COORDENADAS[[#This Row],[GG]],"° ",COORDENADAS[[#This Row],[MM]],"' ",FIXED(COORDENADAS[[#This Row],[SS]],2),""" ",COORDENADAS[[#This Row],[Weter]])</f>
        <v>75° 34' 36,10" W</v>
      </c>
      <c r="Z38" s="28">
        <v>75</v>
      </c>
      <c r="AA38" s="28">
        <v>34</v>
      </c>
      <c r="AB38" s="28">
        <v>36.099999999991098</v>
      </c>
      <c r="AC38" s="23" t="s">
        <v>193</v>
      </c>
      <c r="AD38" s="23">
        <v>48.38</v>
      </c>
      <c r="AE38" s="23">
        <v>0</v>
      </c>
      <c r="AH38" s="44" t="s">
        <v>93</v>
      </c>
      <c r="AI38" s="29" t="s">
        <v>93</v>
      </c>
      <c r="AJ38" s="29" t="s">
        <v>93</v>
      </c>
      <c r="AK38" s="29" t="s">
        <v>93</v>
      </c>
      <c r="AL38" s="29" t="s">
        <v>93</v>
      </c>
      <c r="AM38" s="29" t="s">
        <v>93</v>
      </c>
      <c r="AN38" s="29" t="s">
        <v>93</v>
      </c>
      <c r="AO38" s="29" t="s">
        <v>93</v>
      </c>
      <c r="AP38" s="29" t="s">
        <v>93</v>
      </c>
      <c r="AQ38" s="29" t="s">
        <v>93</v>
      </c>
      <c r="AR38" s="29" t="s">
        <v>93</v>
      </c>
      <c r="AS38" s="29" t="s">
        <v>93</v>
      </c>
      <c r="AT38" s="29" t="s">
        <v>93</v>
      </c>
      <c r="AU38" s="29" t="s">
        <v>93</v>
      </c>
      <c r="AV38" s="29" t="s">
        <v>93</v>
      </c>
      <c r="AW38" s="29" t="s">
        <v>93</v>
      </c>
      <c r="AX38" s="29" t="s">
        <v>93</v>
      </c>
      <c r="AY38" s="29" t="s">
        <v>93</v>
      </c>
      <c r="AZ38" s="29" t="s">
        <v>93</v>
      </c>
      <c r="BA38" s="29" t="s">
        <v>93</v>
      </c>
      <c r="BB38" s="29" t="s">
        <v>93</v>
      </c>
      <c r="BC38" s="29" t="s">
        <v>93</v>
      </c>
      <c r="BD38" s="29" t="s">
        <v>93</v>
      </c>
      <c r="BE38" s="29" t="s">
        <v>93</v>
      </c>
      <c r="BF38" s="29" t="s">
        <v>93</v>
      </c>
      <c r="BG38" s="29" t="s">
        <v>93</v>
      </c>
      <c r="BH38" s="29" t="s">
        <v>93</v>
      </c>
      <c r="BI38" s="29" t="s">
        <v>93</v>
      </c>
      <c r="BJ38" s="29" t="s">
        <v>93</v>
      </c>
      <c r="BK38" s="29" t="s">
        <v>93</v>
      </c>
      <c r="BL38" s="41"/>
      <c r="BM38" s="28"/>
      <c r="BN38" s="28"/>
      <c r="BO38" s="28"/>
      <c r="BP38" s="41"/>
      <c r="BQ38" s="28"/>
      <c r="BR38" s="28"/>
      <c r="BS38" s="28"/>
      <c r="BT38" s="28"/>
      <c r="BU38" s="41"/>
      <c r="BV38" s="41"/>
    </row>
    <row r="39" spans="1:74" x14ac:dyDescent="0.35">
      <c r="I39" s="28" t="s">
        <v>447</v>
      </c>
      <c r="J39" s="28" t="s">
        <v>154</v>
      </c>
      <c r="K39" s="28" t="str">
        <f t="shared" si="0"/>
        <v>AndesAntioquia</v>
      </c>
      <c r="L39" s="28"/>
      <c r="M39" s="28"/>
      <c r="N39" s="28"/>
      <c r="O39" s="69"/>
      <c r="P39" s="28"/>
      <c r="Q39" s="28" t="s">
        <v>448</v>
      </c>
      <c r="R39" s="28">
        <v>6.7465000000000002</v>
      </c>
      <c r="S39" s="28">
        <v>-76.023944444444439</v>
      </c>
      <c r="T39" s="28" t="str">
        <f>_xlfn.CONCAT(COORDENADAS[[#This Row],[G]],"° ",COORDENADAS[[#This Row],[M]],"' ",FIXED(COORDENADAS[[#This Row],[S]],2),""" ",COORDENADAS[[#This Row],[Norte]])</f>
        <v>6° 44' 47,40" N</v>
      </c>
      <c r="U39" s="41">
        <v>6</v>
      </c>
      <c r="V39" s="41">
        <v>44</v>
      </c>
      <c r="W39" s="56">
        <v>47.400000000000773</v>
      </c>
      <c r="X39" s="23" t="s">
        <v>192</v>
      </c>
      <c r="Y39" s="28" t="str">
        <f>_xlfn.CONCAT(COORDENADAS[[#This Row],[GG]],"° ",COORDENADAS[[#This Row],[MM]],"' ",FIXED(COORDENADAS[[#This Row],[SS]],2),""" ",COORDENADAS[[#This Row],[Weter]])</f>
        <v>76° 1' 26,20" W</v>
      </c>
      <c r="Z39" s="28">
        <v>76</v>
      </c>
      <c r="AA39" s="28">
        <v>1</v>
      </c>
      <c r="AB39" s="28">
        <v>26.199999999979582</v>
      </c>
      <c r="AC39" s="23" t="s">
        <v>193</v>
      </c>
      <c r="AD39" s="23">
        <v>34.82</v>
      </c>
      <c r="AE39" s="23">
        <v>0</v>
      </c>
    </row>
    <row r="40" spans="1:74" x14ac:dyDescent="0.35">
      <c r="A40" s="17" t="s">
        <v>449</v>
      </c>
      <c r="B40" t="s">
        <v>450</v>
      </c>
      <c r="I40" s="28" t="s">
        <v>451</v>
      </c>
      <c r="J40" s="28" t="s">
        <v>154</v>
      </c>
      <c r="K40" s="28" t="str">
        <f t="shared" si="0"/>
        <v>AngelópolisAntioquia</v>
      </c>
      <c r="L40" s="28"/>
      <c r="M40" s="28"/>
      <c r="N40" s="28"/>
      <c r="O40" s="69"/>
      <c r="P40" s="28"/>
      <c r="Q40" s="28" t="s">
        <v>452</v>
      </c>
      <c r="R40" s="28">
        <v>7.7302499999999998</v>
      </c>
      <c r="S40" s="28">
        <v>-76.657750000000007</v>
      </c>
      <c r="T40" s="28" t="str">
        <f>_xlfn.CONCAT(COORDENADAS[[#This Row],[G]],"° ",COORDENADAS[[#This Row],[M]],"' ",FIXED(COORDENADAS[[#This Row],[S]],2),""" ",COORDENADAS[[#This Row],[Norte]])</f>
        <v>7° 43' 48,90" N</v>
      </c>
      <c r="U40" s="41">
        <v>7</v>
      </c>
      <c r="V40" s="41">
        <v>43</v>
      </c>
      <c r="W40" s="56">
        <v>48.899999999999409</v>
      </c>
      <c r="X40" s="23" t="s">
        <v>192</v>
      </c>
      <c r="Y40" s="28" t="str">
        <f>_xlfn.CONCAT(COORDENADAS[[#This Row],[GG]],"° ",COORDENADAS[[#This Row],[MM]],"' ",FIXED(COORDENADAS[[#This Row],[SS]],2),""" ",COORDENADAS[[#This Row],[Weter]])</f>
        <v>76° 39' 27,90" W</v>
      </c>
      <c r="Z40" s="28">
        <v>76</v>
      </c>
      <c r="AA40" s="28">
        <v>39</v>
      </c>
      <c r="AB40" s="28">
        <v>27.900000000025706</v>
      </c>
      <c r="AC40" s="23" t="s">
        <v>193</v>
      </c>
      <c r="AD40" s="23">
        <v>49.21</v>
      </c>
      <c r="AE40" s="23">
        <v>0</v>
      </c>
    </row>
    <row r="41" spans="1:74" ht="15" thickBot="1" x14ac:dyDescent="0.4">
      <c r="A41" s="18">
        <v>104011</v>
      </c>
      <c r="B41" s="20">
        <v>45507</v>
      </c>
      <c r="I41" s="28" t="s">
        <v>453</v>
      </c>
      <c r="J41" s="28" t="s">
        <v>154</v>
      </c>
      <c r="K41" s="28" t="str">
        <f t="shared" si="0"/>
        <v>AngosturaAntioquia</v>
      </c>
      <c r="L41" s="28"/>
      <c r="M41" s="28"/>
      <c r="N41" s="28"/>
      <c r="O41" s="69"/>
      <c r="P41" s="28"/>
      <c r="Q41" s="28" t="s">
        <v>454</v>
      </c>
      <c r="R41" s="28">
        <v>13.328194444444444</v>
      </c>
      <c r="S41" s="28">
        <v>-81.38366666666667</v>
      </c>
      <c r="T41" s="28" t="str">
        <f>_xlfn.CONCAT(COORDENADAS[[#This Row],[G]],"° ",COORDENADAS[[#This Row],[M]],"' ",FIXED(COORDENADAS[[#This Row],[S]],2),""" ",COORDENADAS[[#This Row],[Norte]])</f>
        <v>13° 19' 41,50" N</v>
      </c>
      <c r="U41" s="41">
        <v>13</v>
      </c>
      <c r="V41" s="41">
        <v>19</v>
      </c>
      <c r="W41" s="56">
        <v>41.499984000002769</v>
      </c>
      <c r="X41" s="23" t="s">
        <v>192</v>
      </c>
      <c r="Y41" s="28" t="str">
        <f>_xlfn.CONCAT(COORDENADAS[[#This Row],[GG]],"° ",COORDENADAS[[#This Row],[MM]],"' ",FIXED(COORDENADAS[[#This Row],[SS]],2),""" ",COORDENADAS[[#This Row],[Weter]])</f>
        <v>81° 23' 1,20" W</v>
      </c>
      <c r="Z41" s="28">
        <v>81</v>
      </c>
      <c r="AA41" s="28">
        <v>23</v>
      </c>
      <c r="AB41" s="28">
        <v>1.2000119999878711</v>
      </c>
      <c r="AC41" s="23" t="s">
        <v>193</v>
      </c>
      <c r="AD41" s="23">
        <v>41.2</v>
      </c>
      <c r="AE41" s="23">
        <v>41.3</v>
      </c>
    </row>
    <row r="42" spans="1:74" ht="15" thickBot="1" x14ac:dyDescent="0.4">
      <c r="A42" s="18">
        <v>103982</v>
      </c>
      <c r="B42" s="20">
        <v>45631</v>
      </c>
      <c r="I42" s="28" t="s">
        <v>455</v>
      </c>
      <c r="J42" s="28" t="s">
        <v>283</v>
      </c>
      <c r="K42" s="28" t="str">
        <f t="shared" si="0"/>
        <v>AnolaimaCundinamarca</v>
      </c>
      <c r="L42" s="28"/>
      <c r="M42" s="28"/>
      <c r="N42" s="28"/>
      <c r="O42" s="69"/>
      <c r="P42" s="28"/>
      <c r="Q42" s="28" t="s">
        <v>48</v>
      </c>
      <c r="R42" s="28">
        <v>5.2854444444444439</v>
      </c>
      <c r="S42" s="28">
        <v>-75.848888888888879</v>
      </c>
      <c r="T42" s="28" t="str">
        <f>_xlfn.CONCAT(COORDENADAS[[#This Row],[G]],"° ",COORDENADAS[[#This Row],[M]],"' ",FIXED(COORDENADAS[[#This Row],[S]],2),""" ",COORDENADAS[[#This Row],[Norte]])</f>
        <v>5° 17' 6,72" N</v>
      </c>
      <c r="U42" s="41">
        <v>5</v>
      </c>
      <c r="V42" s="41">
        <v>17</v>
      </c>
      <c r="W42" s="56">
        <v>6.7153667999992006</v>
      </c>
      <c r="X42" s="23" t="s">
        <v>192</v>
      </c>
      <c r="Y42" s="28" t="str">
        <f>_xlfn.CONCAT(COORDENADAS[[#This Row],[GG]],"° ",COORDENADAS[[#This Row],[MM]],"' ",FIXED(COORDENADAS[[#This Row],[SS]],2),""" ",COORDENADAS[[#This Row],[Weter]])</f>
        <v>75° 50' 56,83" W</v>
      </c>
      <c r="Z42" s="28">
        <v>75</v>
      </c>
      <c r="AA42" s="28">
        <v>50</v>
      </c>
      <c r="AB42" s="28">
        <v>56.832410400005394</v>
      </c>
      <c r="AC42" s="23" t="s">
        <v>193</v>
      </c>
      <c r="AD42" s="23">
        <v>42.6</v>
      </c>
      <c r="AE42" s="23">
        <v>43.1</v>
      </c>
    </row>
    <row r="43" spans="1:74" ht="15" thickBot="1" x14ac:dyDescent="0.4">
      <c r="A43" s="18">
        <v>105406</v>
      </c>
      <c r="B43" s="19">
        <v>45947</v>
      </c>
      <c r="I43" s="28" t="s">
        <v>456</v>
      </c>
      <c r="J43" s="28" t="s">
        <v>154</v>
      </c>
      <c r="K43" s="28" t="str">
        <f t="shared" si="0"/>
        <v>AnoríAntioquia</v>
      </c>
      <c r="L43" s="28"/>
      <c r="M43" s="28"/>
      <c r="N43" s="28"/>
      <c r="O43" s="69"/>
      <c r="P43" s="28"/>
      <c r="Q43" s="28" t="s">
        <v>457</v>
      </c>
      <c r="R43" s="28">
        <v>10.508583333333334</v>
      </c>
      <c r="S43" s="28">
        <v>-73.258527777777772</v>
      </c>
      <c r="T43" s="28" t="str">
        <f>_xlfn.CONCAT(COORDENADAS[[#This Row],[G]],"° ",COORDENADAS[[#This Row],[M]],"' ",FIXED(COORDENADAS[[#This Row],[S]],2),""" ",COORDENADAS[[#This Row],[Norte]])</f>
        <v>10° 30' 30,90" N</v>
      </c>
      <c r="U43" s="41">
        <v>10</v>
      </c>
      <c r="V43" s="41">
        <v>30</v>
      </c>
      <c r="W43" s="56">
        <v>30.900000000002592</v>
      </c>
      <c r="X43" s="23" t="s">
        <v>192</v>
      </c>
      <c r="Y43" s="28" t="str">
        <f>_xlfn.CONCAT(COORDENADAS[[#This Row],[GG]],"° ",COORDENADAS[[#This Row],[MM]],"' ",FIXED(COORDENADAS[[#This Row],[SS]],2),""" ",COORDENADAS[[#This Row],[Weter]])</f>
        <v>73° 15' 30,70" W</v>
      </c>
      <c r="Z43" s="28">
        <v>73</v>
      </c>
      <c r="AA43" s="28">
        <v>15</v>
      </c>
      <c r="AB43" s="28">
        <v>30.6999999999789</v>
      </c>
      <c r="AC43" s="23" t="s">
        <v>193</v>
      </c>
      <c r="AD43" s="23">
        <v>50.2</v>
      </c>
      <c r="AE43" s="23">
        <v>0</v>
      </c>
    </row>
    <row r="44" spans="1:74" ht="15" thickBot="1" x14ac:dyDescent="0.4">
      <c r="A44" s="18">
        <v>105407</v>
      </c>
      <c r="B44" s="19">
        <v>45946</v>
      </c>
      <c r="I44" s="28" t="s">
        <v>458</v>
      </c>
      <c r="J44" s="28" t="s">
        <v>284</v>
      </c>
      <c r="K44" s="28" t="str">
        <f t="shared" si="0"/>
        <v>AnsermaCaldas</v>
      </c>
      <c r="L44" s="28"/>
      <c r="M44" s="28"/>
      <c r="N44" s="28"/>
      <c r="O44" s="69"/>
      <c r="P44" s="28"/>
      <c r="Q44" s="28" t="s">
        <v>459</v>
      </c>
      <c r="R44" s="28">
        <v>6.9771666666666672</v>
      </c>
      <c r="S44" s="28">
        <v>-75.40825000000001</v>
      </c>
      <c r="T44" s="28" t="str">
        <f>_xlfn.CONCAT(COORDENADAS[[#This Row],[G]],"° ",COORDENADAS[[#This Row],[M]],"' ",FIXED(COORDENADAS[[#This Row],[S]],2),""" ",COORDENADAS[[#This Row],[Norte]])</f>
        <v>6° 58' 37,80" N</v>
      </c>
      <c r="U44" s="41">
        <v>6</v>
      </c>
      <c r="V44" s="41">
        <v>58</v>
      </c>
      <c r="W44" s="56">
        <v>37.80000000000183</v>
      </c>
      <c r="X44" s="23" t="s">
        <v>192</v>
      </c>
      <c r="Y44" s="28" t="str">
        <f>_xlfn.CONCAT(COORDENADAS[[#This Row],[GG]],"° ",COORDENADAS[[#This Row],[MM]],"' ",FIXED(COORDENADAS[[#This Row],[SS]],2),""" ",COORDENADAS[[#This Row],[Weter]])</f>
        <v>75° 24' 29,70" W</v>
      </c>
      <c r="Z44" s="28">
        <v>75</v>
      </c>
      <c r="AA44" s="28">
        <v>24</v>
      </c>
      <c r="AB44" s="28">
        <v>29.700000000034301</v>
      </c>
      <c r="AC44" s="23" t="s">
        <v>193</v>
      </c>
      <c r="AD44" s="23">
        <v>51.08</v>
      </c>
      <c r="AE44" s="23">
        <v>0</v>
      </c>
    </row>
    <row r="45" spans="1:74" x14ac:dyDescent="0.35">
      <c r="I45" s="28" t="s">
        <v>460</v>
      </c>
      <c r="J45" s="28" t="s">
        <v>381</v>
      </c>
      <c r="K45" s="28" t="str">
        <f t="shared" si="0"/>
        <v>AnsermanuevoValle del Cauca</v>
      </c>
      <c r="L45" s="28"/>
      <c r="M45" s="28"/>
      <c r="N45" s="28"/>
      <c r="O45" s="69"/>
      <c r="P45" s="28"/>
      <c r="Q45" s="28" t="s">
        <v>461</v>
      </c>
      <c r="R45" s="28">
        <v>6.9771666669999997</v>
      </c>
      <c r="S45" s="28">
        <v>-75.408249999999995</v>
      </c>
      <c r="T45" s="28" t="str">
        <f>_xlfn.CONCAT(COORDENADAS[[#This Row],[G]],"° ",COORDENADAS[[#This Row],[M]],"' ",FIXED(COORDENADAS[[#This Row],[S]],2),""" ",COORDENADAS[[#This Row],[Norte]])</f>
        <v>6° 58' 36,29" N</v>
      </c>
      <c r="U45" s="41">
        <v>6</v>
      </c>
      <c r="V45" s="41">
        <v>58</v>
      </c>
      <c r="W45" s="56">
        <v>36.290118000000902</v>
      </c>
      <c r="X45" s="23" t="s">
        <v>192</v>
      </c>
      <c r="Y45" s="28" t="str">
        <f>_xlfn.CONCAT(COORDENADAS[[#This Row],[GG]],"° ",COORDENADAS[[#This Row],[MM]],"' ",FIXED(COORDENADAS[[#This Row],[SS]],2),""" ",COORDENADAS[[#This Row],[Weter]])</f>
        <v>75° 24' 30,03" W</v>
      </c>
      <c r="Z45" s="28">
        <v>75</v>
      </c>
      <c r="AA45" s="28">
        <v>24</v>
      </c>
      <c r="AB45" s="28">
        <v>30.029803200003393</v>
      </c>
      <c r="AC45" s="23" t="s">
        <v>193</v>
      </c>
      <c r="AD45" s="23">
        <v>40.6</v>
      </c>
      <c r="AE45" s="23">
        <v>40.799999999999997</v>
      </c>
    </row>
    <row r="46" spans="1:74" x14ac:dyDescent="0.35">
      <c r="I46" s="28" t="s">
        <v>462</v>
      </c>
      <c r="J46" s="28" t="s">
        <v>154</v>
      </c>
      <c r="K46" s="28" t="str">
        <f t="shared" si="0"/>
        <v>AnzaAntioquia</v>
      </c>
      <c r="L46" s="28"/>
      <c r="M46" s="28"/>
      <c r="N46" s="28"/>
      <c r="O46" s="69"/>
      <c r="P46" s="28"/>
      <c r="Q46" s="28" t="s">
        <v>463</v>
      </c>
      <c r="R46" s="28">
        <v>7.7269166670000002</v>
      </c>
      <c r="S46" s="28">
        <v>-76.654611110999994</v>
      </c>
      <c r="T46" s="28" t="str">
        <f>_xlfn.CONCAT(COORDENADAS[[#This Row],[G]],"° ",COORDENADAS[[#This Row],[M]],"' ",FIXED(COORDENADAS[[#This Row],[S]],2),""" ",COORDENADAS[[#This Row],[Norte]])</f>
        <v>7° 43' 35,74" N</v>
      </c>
      <c r="U46" s="41">
        <v>7</v>
      </c>
      <c r="V46" s="41">
        <v>43</v>
      </c>
      <c r="W46" s="56">
        <v>35.739487199998663</v>
      </c>
      <c r="X46" s="23" t="s">
        <v>192</v>
      </c>
      <c r="Y46" s="28" t="str">
        <f>_xlfn.CONCAT(COORDENADAS[[#This Row],[GG]],"° ",COORDENADAS[[#This Row],[MM]],"' ",FIXED(COORDENADAS[[#This Row],[SS]],2),""" ",COORDENADAS[[#This Row],[Weter]])</f>
        <v>76° 39' 16,26" W</v>
      </c>
      <c r="Z46" s="28">
        <v>76</v>
      </c>
      <c r="AA46" s="28">
        <v>39</v>
      </c>
      <c r="AB46" s="28">
        <v>16.260483599999056</v>
      </c>
      <c r="AC46" s="23" t="s">
        <v>193</v>
      </c>
      <c r="AD46" s="23">
        <v>41.8</v>
      </c>
      <c r="AE46" s="23">
        <v>41.7</v>
      </c>
    </row>
    <row r="47" spans="1:74" x14ac:dyDescent="0.35">
      <c r="I47" s="28" t="s">
        <v>464</v>
      </c>
      <c r="J47" s="28" t="s">
        <v>409</v>
      </c>
      <c r="K47" s="28" t="str">
        <f t="shared" si="0"/>
        <v>AnzoáteguiTolima</v>
      </c>
      <c r="L47" s="28"/>
      <c r="M47" s="28"/>
      <c r="N47" s="28"/>
      <c r="O47" s="69"/>
      <c r="P47" s="28"/>
      <c r="Q47" s="28" t="s">
        <v>465</v>
      </c>
      <c r="R47" s="28">
        <v>4.7287222222222223</v>
      </c>
      <c r="S47" s="28">
        <v>-73.539999999999992</v>
      </c>
      <c r="T47" s="28" t="str">
        <f>_xlfn.CONCAT(COORDENADAS[[#This Row],[G]],"° ",COORDENADAS[[#This Row],[M]],"' ",FIXED(COORDENADAS[[#This Row],[S]],2),""" ",COORDENADAS[[#This Row],[Norte]])</f>
        <v>4° 43' 42,91" N</v>
      </c>
      <c r="U47" s="41">
        <v>4</v>
      </c>
      <c r="V47" s="41">
        <v>43</v>
      </c>
      <c r="W47" s="56">
        <v>42.914409600001278</v>
      </c>
      <c r="X47" s="23" t="s">
        <v>192</v>
      </c>
      <c r="Y47" s="28" t="str">
        <f>_xlfn.CONCAT(COORDENADAS[[#This Row],[GG]],"° ",COORDENADAS[[#This Row],[MM]],"' ",FIXED(COORDENADAS[[#This Row],[SS]],2),""" ",COORDENADAS[[#This Row],[Weter]])</f>
        <v>73° 32' 24,12" W</v>
      </c>
      <c r="Z47" s="28">
        <v>73</v>
      </c>
      <c r="AA47" s="28">
        <v>32</v>
      </c>
      <c r="AB47" s="28">
        <v>24.118764000000994</v>
      </c>
      <c r="AC47" s="23" t="s">
        <v>193</v>
      </c>
      <c r="AD47" s="23">
        <v>40.6</v>
      </c>
      <c r="AE47" s="23">
        <v>40.700000000000003</v>
      </c>
    </row>
    <row r="48" spans="1:74" x14ac:dyDescent="0.35">
      <c r="A48" t="s">
        <v>66</v>
      </c>
      <c r="I48" s="28" t="s">
        <v>466</v>
      </c>
      <c r="J48" s="28" t="s">
        <v>154</v>
      </c>
      <c r="K48" s="28" t="str">
        <f t="shared" si="0"/>
        <v>ApartadóAntioquia</v>
      </c>
      <c r="L48" s="28"/>
      <c r="M48" s="28"/>
      <c r="N48" s="28"/>
      <c r="O48" s="69"/>
      <c r="P48" s="28"/>
      <c r="Q48" s="28" t="s">
        <v>467</v>
      </c>
      <c r="R48" s="28">
        <v>5.0563611111111113</v>
      </c>
      <c r="S48" s="28">
        <v>-75.463499999999996</v>
      </c>
      <c r="T48" s="28" t="str">
        <f>_xlfn.CONCAT(COORDENADAS[[#This Row],[G]],"° ",COORDENADAS[[#This Row],[M]],"' ",FIXED(COORDENADAS[[#This Row],[S]],2),""" ",COORDENADAS[[#This Row],[Norte]])</f>
        <v>5° 3' 22,90" N</v>
      </c>
      <c r="U48" s="41">
        <v>5</v>
      </c>
      <c r="V48" s="41">
        <v>3</v>
      </c>
      <c r="W48" s="56">
        <v>22.900000000000691</v>
      </c>
      <c r="X48" s="23" t="s">
        <v>192</v>
      </c>
      <c r="Y48" s="28" t="str">
        <f>_xlfn.CONCAT(COORDENADAS[[#This Row],[GG]],"° ",COORDENADAS[[#This Row],[MM]],"' ",FIXED(COORDENADAS[[#This Row],[SS]],2),""" ",COORDENADAS[[#This Row],[Weter]])</f>
        <v>75° 27' 48,60" W</v>
      </c>
      <c r="Z48" s="28">
        <v>75</v>
      </c>
      <c r="AA48" s="28">
        <v>27</v>
      </c>
      <c r="AB48" s="28">
        <v>48.599999999986451</v>
      </c>
      <c r="AC48" s="23" t="s">
        <v>193</v>
      </c>
      <c r="AD48" s="23">
        <v>50.92</v>
      </c>
      <c r="AE48" s="23">
        <v>0</v>
      </c>
    </row>
    <row r="49" spans="1:31" x14ac:dyDescent="0.35">
      <c r="I49" s="28" t="s">
        <v>468</v>
      </c>
      <c r="J49" s="28" t="s">
        <v>405</v>
      </c>
      <c r="K49" s="28" t="str">
        <f t="shared" si="0"/>
        <v>ApíaRisaralda</v>
      </c>
      <c r="L49" s="28"/>
      <c r="M49" s="28"/>
      <c r="N49" s="28"/>
      <c r="O49" s="69"/>
      <c r="P49" s="28"/>
      <c r="Q49" s="28" t="s">
        <v>469</v>
      </c>
      <c r="R49" s="28">
        <v>11.112888889000001</v>
      </c>
      <c r="S49" s="28">
        <v>-74.036388888999994</v>
      </c>
      <c r="T49" s="28" t="str">
        <f>_xlfn.CONCAT(COORDENADAS[[#This Row],[G]],"° ",COORDENADAS[[#This Row],[M]],"' ",FIXED(COORDENADAS[[#This Row],[S]],2),""" ",COORDENADAS[[#This Row],[Norte]])</f>
        <v>11° 6' 45,48" N</v>
      </c>
      <c r="U49" s="41">
        <v>11</v>
      </c>
      <c r="V49" s="41">
        <v>6</v>
      </c>
      <c r="W49" s="56">
        <v>45.476834399999554</v>
      </c>
      <c r="X49" s="23" t="s">
        <v>192</v>
      </c>
      <c r="Y49" s="28" t="str">
        <f>_xlfn.CONCAT(COORDENADAS[[#This Row],[GG]],"° ",COORDENADAS[[#This Row],[MM]],"' ",FIXED(COORDENADAS[[#This Row],[SS]],2),""" ",COORDENADAS[[#This Row],[Weter]])</f>
        <v>74° 2' 9,98" W</v>
      </c>
      <c r="Z49" s="28">
        <v>74</v>
      </c>
      <c r="AA49" s="28">
        <v>2</v>
      </c>
      <c r="AB49" s="28">
        <v>9.9808187999872207</v>
      </c>
      <c r="AC49" s="23" t="s">
        <v>193</v>
      </c>
      <c r="AD49" s="23">
        <v>40.6</v>
      </c>
      <c r="AE49" s="23">
        <v>40.700000000000003</v>
      </c>
    </row>
    <row r="50" spans="1:31" x14ac:dyDescent="0.35">
      <c r="I50" s="28" t="s">
        <v>470</v>
      </c>
      <c r="J50" s="28" t="s">
        <v>283</v>
      </c>
      <c r="K50" s="28" t="str">
        <f t="shared" si="0"/>
        <v>ApuloCundinamarca</v>
      </c>
      <c r="L50" s="28"/>
      <c r="M50" s="28"/>
      <c r="N50" s="28"/>
      <c r="O50" s="69"/>
      <c r="P50" s="28"/>
      <c r="Q50" s="28" t="s">
        <v>471</v>
      </c>
      <c r="R50" s="28">
        <v>2.8109444444444445</v>
      </c>
      <c r="S50" s="28">
        <v>-75.163277777777779</v>
      </c>
      <c r="T50" s="28" t="str">
        <f>_xlfn.CONCAT(COORDENADAS[[#This Row],[G]],"° ",COORDENADAS[[#This Row],[M]],"' ",FIXED(COORDENADAS[[#This Row],[S]],2),""" ",COORDENADAS[[#This Row],[Norte]])</f>
        <v>2° 48' 39,40" N</v>
      </c>
      <c r="U50" s="41">
        <v>2</v>
      </c>
      <c r="V50" s="41">
        <v>48</v>
      </c>
      <c r="W50" s="56">
        <v>39.39999999999992</v>
      </c>
      <c r="X50" s="23" t="s">
        <v>192</v>
      </c>
      <c r="Y50" s="28" t="str">
        <f>_xlfn.CONCAT(COORDENADAS[[#This Row],[GG]],"° ",COORDENADAS[[#This Row],[MM]],"' ",FIXED(COORDENADAS[[#This Row],[SS]],2),""" ",COORDENADAS[[#This Row],[Weter]])</f>
        <v>75° 9' 47,80" W</v>
      </c>
      <c r="Z50" s="28">
        <v>75</v>
      </c>
      <c r="AA50" s="28">
        <v>9</v>
      </c>
      <c r="AB50" s="28">
        <v>47.800000000004296</v>
      </c>
      <c r="AC50" s="23" t="s">
        <v>193</v>
      </c>
      <c r="AD50" s="23">
        <v>49.11</v>
      </c>
      <c r="AE50" s="23">
        <v>0</v>
      </c>
    </row>
    <row r="51" spans="1:31" x14ac:dyDescent="0.35">
      <c r="I51" s="28" t="s">
        <v>472</v>
      </c>
      <c r="J51" s="28" t="s">
        <v>274</v>
      </c>
      <c r="K51" s="28" t="str">
        <f t="shared" si="0"/>
        <v>AquitaniaBoyaca</v>
      </c>
      <c r="L51" s="28"/>
      <c r="M51" s="28"/>
      <c r="N51" s="28"/>
      <c r="O51" s="69"/>
      <c r="P51" s="28"/>
      <c r="Q51" s="28" t="s">
        <v>473</v>
      </c>
      <c r="R51" s="28">
        <v>2.8101388890000001</v>
      </c>
      <c r="S51" s="28">
        <v>-75.161944444</v>
      </c>
      <c r="T51" s="28" t="str">
        <f>_xlfn.CONCAT(COORDENADAS[[#This Row],[G]],"° ",COORDENADAS[[#This Row],[M]],"' ",FIXED(COORDENADAS[[#This Row],[S]],2),""" ",COORDENADAS[[#This Row],[Norte]])</f>
        <v>2° 48' 36,50" N</v>
      </c>
      <c r="U51" s="41">
        <v>2</v>
      </c>
      <c r="V51" s="41">
        <v>48</v>
      </c>
      <c r="W51" s="56">
        <v>36.500000400000147</v>
      </c>
      <c r="X51" s="23" t="s">
        <v>192</v>
      </c>
      <c r="Y51" s="28" t="str">
        <f>_xlfn.CONCAT(COORDENADAS[[#This Row],[GG]],"° ",COORDENADAS[[#This Row],[MM]],"' ",FIXED(COORDENADAS[[#This Row],[SS]],2),""" ",COORDENADAS[[#This Row],[Weter]])</f>
        <v>75° 9' 43,00" W</v>
      </c>
      <c r="Z51" s="28">
        <v>75</v>
      </c>
      <c r="AA51" s="28">
        <v>9</v>
      </c>
      <c r="AB51" s="28">
        <v>42.999998399998297</v>
      </c>
      <c r="AC51" s="23" t="s">
        <v>193</v>
      </c>
      <c r="AD51" s="23">
        <v>40.6</v>
      </c>
      <c r="AE51" s="23">
        <v>40.700000000000003</v>
      </c>
    </row>
    <row r="52" spans="1:31" x14ac:dyDescent="0.35">
      <c r="I52" s="28" t="s">
        <v>474</v>
      </c>
      <c r="J52" s="28" t="s">
        <v>382</v>
      </c>
      <c r="K52" s="28" t="str">
        <f t="shared" si="0"/>
        <v>AracatacaMagdalena</v>
      </c>
      <c r="L52" s="28"/>
      <c r="M52" s="28"/>
      <c r="N52" s="28"/>
      <c r="O52" s="69"/>
      <c r="P52" s="28"/>
      <c r="Q52" s="28" t="s">
        <v>475</v>
      </c>
      <c r="R52" s="28">
        <v>7.3347222219999999</v>
      </c>
      <c r="S52" s="28">
        <v>-72.700833333000006</v>
      </c>
      <c r="T52" s="28" t="str">
        <f>_xlfn.CONCAT(COORDENADAS[[#This Row],[G]],"° ",COORDENADAS[[#This Row],[M]],"' ",FIXED(COORDENADAS[[#This Row],[S]],2),""" ",COORDENADAS[[#This Row],[Norte]])</f>
        <v>7° 20' 5,00" N</v>
      </c>
      <c r="U52" s="41">
        <v>7</v>
      </c>
      <c r="V52" s="41">
        <v>20</v>
      </c>
      <c r="W52" s="56">
        <v>4.9999991999997162</v>
      </c>
      <c r="X52" s="23" t="s">
        <v>192</v>
      </c>
      <c r="Y52" s="28" t="str">
        <f>_xlfn.CONCAT(COORDENADAS[[#This Row],[GG]],"° ",COORDENADAS[[#This Row],[MM]],"' ",FIXED(COORDENADAS[[#This Row],[SS]],2),""" ",COORDENADAS[[#This Row],[Weter]])</f>
        <v>72° 42' 3,00" W</v>
      </c>
      <c r="Z52" s="28">
        <v>72</v>
      </c>
      <c r="AA52" s="28">
        <v>42</v>
      </c>
      <c r="AB52" s="28">
        <v>2.9999988000203537</v>
      </c>
      <c r="AC52" s="23" t="s">
        <v>193</v>
      </c>
      <c r="AD52" s="23">
        <v>42.5</v>
      </c>
      <c r="AE52" s="23">
        <v>43</v>
      </c>
    </row>
    <row r="53" spans="1:31" x14ac:dyDescent="0.35">
      <c r="I53" s="28" t="s">
        <v>476</v>
      </c>
      <c r="J53" s="28" t="s">
        <v>284</v>
      </c>
      <c r="K53" s="28" t="str">
        <f t="shared" si="0"/>
        <v>AranzazuCaldas</v>
      </c>
      <c r="L53" s="28"/>
      <c r="M53" s="28"/>
      <c r="N53" s="28"/>
      <c r="O53" s="69"/>
      <c r="P53" s="28"/>
      <c r="Q53" s="28" t="s">
        <v>477</v>
      </c>
      <c r="R53" s="28">
        <v>5.5453888888888887</v>
      </c>
      <c r="S53" s="28">
        <v>-73.098444444444439</v>
      </c>
      <c r="T53" s="28" t="str">
        <f>_xlfn.CONCAT(COORDENADAS[[#This Row],[G]],"° ",COORDENADAS[[#This Row],[M]],"' ",FIXED(COORDENADAS[[#This Row],[S]],2),""" ",COORDENADAS[[#This Row],[Norte]])</f>
        <v>5° 32' 43,40" N</v>
      </c>
      <c r="U53" s="41">
        <v>5</v>
      </c>
      <c r="V53" s="41">
        <v>32</v>
      </c>
      <c r="W53" s="56">
        <v>43.399999999999352</v>
      </c>
      <c r="X53" s="23" t="s">
        <v>192</v>
      </c>
      <c r="Y53" s="28" t="str">
        <f>_xlfn.CONCAT(COORDENADAS[[#This Row],[GG]],"° ",COORDENADAS[[#This Row],[MM]],"' ",FIXED(COORDENADAS[[#This Row],[SS]],2),""" ",COORDENADAS[[#This Row],[Weter]])</f>
        <v>73° 5' 54,40" W</v>
      </c>
      <c r="Z53" s="28">
        <v>73</v>
      </c>
      <c r="AA53" s="28">
        <v>5</v>
      </c>
      <c r="AB53" s="28">
        <v>54.399999999981233</v>
      </c>
      <c r="AC53" s="23" t="s">
        <v>193</v>
      </c>
      <c r="AD53" s="23">
        <v>48.38</v>
      </c>
      <c r="AE53" s="23">
        <v>0</v>
      </c>
    </row>
    <row r="54" spans="1:31" x14ac:dyDescent="0.35">
      <c r="I54" s="28" t="s">
        <v>478</v>
      </c>
      <c r="J54" s="28" t="s">
        <v>304</v>
      </c>
      <c r="K54" s="28" t="str">
        <f t="shared" si="0"/>
        <v>AratocaSantander</v>
      </c>
      <c r="L54" s="28"/>
      <c r="M54" s="28"/>
      <c r="N54" s="28"/>
      <c r="O54" s="69"/>
      <c r="P54" s="28"/>
      <c r="Q54" s="28" t="s">
        <v>49</v>
      </c>
      <c r="R54" s="28">
        <v>4.7275777777777783</v>
      </c>
      <c r="S54" s="28">
        <v>-74.080458333333326</v>
      </c>
      <c r="T54" s="28" t="str">
        <f>_xlfn.CONCAT(COORDENADAS[[#This Row],[G]],"° ",COORDENADAS[[#This Row],[M]],"' ",FIXED(COORDENADAS[[#This Row],[S]],2),""" ",COORDENADAS[[#This Row],[Norte]])</f>
        <v>4° 43' 39,28" N</v>
      </c>
      <c r="U54" s="41">
        <v>4</v>
      </c>
      <c r="V54" s="41">
        <v>43</v>
      </c>
      <c r="W54" s="56">
        <v>39.28</v>
      </c>
      <c r="X54" s="23" t="s">
        <v>192</v>
      </c>
      <c r="Y54" s="28" t="str">
        <f>_xlfn.CONCAT(COORDENADAS[[#This Row],[GG]],"° ",COORDENADAS[[#This Row],[MM]],"' ",FIXED(COORDENADAS[[#This Row],[SS]],2),""" ",COORDENADAS[[#This Row],[Weter]])</f>
        <v>74° 4' 49,65" W</v>
      </c>
      <c r="Z54" s="28">
        <v>74</v>
      </c>
      <c r="AA54" s="28">
        <v>4</v>
      </c>
      <c r="AB54" s="28">
        <v>49.65</v>
      </c>
      <c r="AC54" s="23" t="s">
        <v>193</v>
      </c>
      <c r="AD54" s="23">
        <v>40.04</v>
      </c>
      <c r="AE54" s="23">
        <v>0</v>
      </c>
    </row>
    <row r="55" spans="1:31" x14ac:dyDescent="0.35">
      <c r="A55" s="65" t="s">
        <v>171</v>
      </c>
      <c r="B55" s="29" t="s">
        <v>87</v>
      </c>
      <c r="C55" s="29" t="s">
        <v>172</v>
      </c>
      <c r="D55" s="29" t="s">
        <v>173</v>
      </c>
      <c r="E55" s="29" t="s">
        <v>174</v>
      </c>
      <c r="F55" s="29" t="s">
        <v>175</v>
      </c>
      <c r="G55" s="29" t="s">
        <v>176</v>
      </c>
      <c r="H55" s="29" t="s">
        <v>177</v>
      </c>
      <c r="I55" s="28" t="s">
        <v>204</v>
      </c>
      <c r="J55" s="28" t="s">
        <v>204</v>
      </c>
      <c r="K55" s="28" t="str">
        <f t="shared" si="0"/>
        <v>AraucaArauca</v>
      </c>
      <c r="L55" s="28"/>
      <c r="M55" s="28"/>
      <c r="N55" s="28"/>
      <c r="O55" s="69"/>
      <c r="P55" s="28"/>
      <c r="Q55" s="28" t="s">
        <v>479</v>
      </c>
      <c r="R55" s="28">
        <v>5.1970555559999996</v>
      </c>
      <c r="S55" s="28">
        <v>-72.862805555999998</v>
      </c>
      <c r="T55" s="28" t="str">
        <f>_xlfn.CONCAT(COORDENADAS[[#This Row],[G]],"° ",COORDENADAS[[#This Row],[M]],"' ",FIXED(COORDENADAS[[#This Row],[S]],2),""" ",COORDENADAS[[#This Row],[Norte]])</f>
        <v>5° 11' 48,42" N</v>
      </c>
      <c r="U55" s="41">
        <v>5</v>
      </c>
      <c r="V55" s="41">
        <v>11</v>
      </c>
      <c r="W55" s="56">
        <v>48.424286399999708</v>
      </c>
      <c r="X55" s="23" t="s">
        <v>192</v>
      </c>
      <c r="Y55" s="28" t="str">
        <f>_xlfn.CONCAT(COORDENADAS[[#This Row],[GG]],"° ",COORDENADAS[[#This Row],[MM]],"' ",FIXED(COORDENADAS[[#This Row],[SS]],2),""" ",COORDENADAS[[#This Row],[Weter]])</f>
        <v>72° 51' 47,81" W</v>
      </c>
      <c r="Z55" s="28">
        <v>72</v>
      </c>
      <c r="AA55" s="28">
        <v>51</v>
      </c>
      <c r="AB55" s="28">
        <v>47.809256399974707</v>
      </c>
      <c r="AC55" s="23" t="s">
        <v>193</v>
      </c>
      <c r="AD55" s="23">
        <v>40.6</v>
      </c>
      <c r="AE55" s="23">
        <v>40.700000000000003</v>
      </c>
    </row>
    <row r="56" spans="1:31" x14ac:dyDescent="0.35">
      <c r="A56" s="66" t="s">
        <v>480</v>
      </c>
      <c r="B56" s="29"/>
      <c r="C56" s="29"/>
      <c r="D56" s="29"/>
      <c r="E56" s="29"/>
      <c r="F56" s="29"/>
      <c r="G56" s="29"/>
      <c r="H56" s="29"/>
      <c r="I56" s="28" t="s">
        <v>481</v>
      </c>
      <c r="J56" s="28" t="s">
        <v>204</v>
      </c>
      <c r="K56" s="28" t="str">
        <f t="shared" si="0"/>
        <v>ArauquitaArauca</v>
      </c>
      <c r="L56" s="28"/>
      <c r="M56" s="28"/>
      <c r="N56" s="28"/>
      <c r="O56" s="69"/>
      <c r="P56" s="28"/>
      <c r="Q56" s="28" t="s">
        <v>482</v>
      </c>
      <c r="R56" s="28">
        <v>5.1648888890000002</v>
      </c>
      <c r="S56" s="28">
        <v>-72.938472222000001</v>
      </c>
      <c r="T56" s="28" t="str">
        <f>_xlfn.CONCAT(COORDENADAS[[#This Row],[G]],"° ",COORDENADAS[[#This Row],[M]],"' ",FIXED(COORDENADAS[[#This Row],[S]],2),""" ",COORDENADAS[[#This Row],[Norte]])</f>
        <v>5° 9' 53,60" N</v>
      </c>
      <c r="U56" s="41">
        <v>5</v>
      </c>
      <c r="V56" s="41">
        <v>9</v>
      </c>
      <c r="W56" s="56">
        <v>53.600000400000759</v>
      </c>
      <c r="X56" s="23" t="s">
        <v>192</v>
      </c>
      <c r="Y56" s="28" t="str">
        <f>_xlfn.CONCAT(COORDENADAS[[#This Row],[GG]],"° ",COORDENADAS[[#This Row],[MM]],"' ",FIXED(COORDENADAS[[#This Row],[SS]],2),""" ",COORDENADAS[[#This Row],[Weter]])</f>
        <v>72° 56' 18,50" W</v>
      </c>
      <c r="Z56" s="28">
        <v>72</v>
      </c>
      <c r="AA56" s="28">
        <v>56</v>
      </c>
      <c r="AB56" s="28">
        <v>18.499999200005224</v>
      </c>
      <c r="AC56" s="23" t="s">
        <v>193</v>
      </c>
      <c r="AD56" s="23">
        <v>40.6</v>
      </c>
      <c r="AE56" s="23">
        <v>40.700000000000003</v>
      </c>
    </row>
    <row r="57" spans="1:31" x14ac:dyDescent="0.35">
      <c r="A57" s="66" t="s">
        <v>346</v>
      </c>
      <c r="B57" s="29">
        <v>102</v>
      </c>
      <c r="C57" s="29"/>
      <c r="D57" s="29" t="s">
        <v>346</v>
      </c>
      <c r="E57" s="29" t="s">
        <v>347</v>
      </c>
      <c r="F57" s="29"/>
      <c r="G57" s="29"/>
      <c r="H57" s="29"/>
      <c r="I57" s="28" t="s">
        <v>483</v>
      </c>
      <c r="J57" s="28" t="s">
        <v>283</v>
      </c>
      <c r="K57" s="28" t="str">
        <f t="shared" si="0"/>
        <v>ArbeláezCundinamarca</v>
      </c>
      <c r="L57" s="28"/>
      <c r="M57" s="28"/>
      <c r="N57" s="28"/>
      <c r="O57" s="69"/>
      <c r="P57" s="28"/>
      <c r="Q57" s="28" t="s">
        <v>484</v>
      </c>
      <c r="R57" s="28">
        <v>6.3073333333333332</v>
      </c>
      <c r="S57" s="28">
        <v>-73.165861111111113</v>
      </c>
      <c r="T57" s="28" t="str">
        <f>_xlfn.CONCAT(COORDENADAS[[#This Row],[G]],"° ",COORDENADAS[[#This Row],[M]],"' ",FIXED(COORDENADAS[[#This Row],[S]],2),""" ",COORDENADAS[[#This Row],[Norte]])</f>
        <v>6° 18' 26,40" N</v>
      </c>
      <c r="U57" s="41">
        <v>6</v>
      </c>
      <c r="V57" s="41">
        <v>18</v>
      </c>
      <c r="W57" s="56">
        <v>26.39999879999959</v>
      </c>
      <c r="X57" s="23" t="s">
        <v>192</v>
      </c>
      <c r="Y57" s="28" t="str">
        <f>_xlfn.CONCAT(COORDENADAS[[#This Row],[GG]],"° ",COORDENADAS[[#This Row],[MM]],"' ",FIXED(COORDENADAS[[#This Row],[SS]],2),""" ",COORDENADAS[[#This Row],[Weter]])</f>
        <v>73° 9' 57,10" W</v>
      </c>
      <c r="Z57" s="28">
        <v>73</v>
      </c>
      <c r="AA57" s="28">
        <v>9</v>
      </c>
      <c r="AB57" s="28">
        <v>57.099995999980159</v>
      </c>
      <c r="AC57" s="23" t="s">
        <v>193</v>
      </c>
      <c r="AD57" s="23">
        <v>40.6</v>
      </c>
      <c r="AE57" s="23">
        <v>40.700000000000003</v>
      </c>
    </row>
    <row r="58" spans="1:31" x14ac:dyDescent="0.35">
      <c r="A58" s="66" t="s">
        <v>296</v>
      </c>
      <c r="B58" s="29">
        <v>108</v>
      </c>
      <c r="C58" s="29"/>
      <c r="D58" s="29" t="s">
        <v>297</v>
      </c>
      <c r="E58" s="29" t="s">
        <v>298</v>
      </c>
      <c r="F58" s="29"/>
      <c r="G58" s="29"/>
      <c r="H58" s="29"/>
      <c r="I58" s="28" t="s">
        <v>485</v>
      </c>
      <c r="J58" s="28" t="s">
        <v>352</v>
      </c>
      <c r="K58" s="28" t="str">
        <f t="shared" si="0"/>
        <v>ArboledaNariño</v>
      </c>
      <c r="L58" s="28"/>
      <c r="M58" s="28"/>
      <c r="N58" s="28"/>
      <c r="O58" s="69"/>
      <c r="P58" s="28"/>
      <c r="Q58" s="28" t="s">
        <v>486</v>
      </c>
      <c r="R58" s="28">
        <v>4.968694444444445</v>
      </c>
      <c r="S58" s="28">
        <v>-75.600611111111107</v>
      </c>
      <c r="T58" s="28" t="str">
        <f>_xlfn.CONCAT(COORDENADAS[[#This Row],[G]],"° ",COORDENADAS[[#This Row],[M]],"' ",FIXED(COORDENADAS[[#This Row],[S]],2),""" ",COORDENADAS[[#This Row],[Norte]])</f>
        <v>4° 58' 7,30" N</v>
      </c>
      <c r="U58" s="41">
        <v>4</v>
      </c>
      <c r="V58" s="41">
        <v>58</v>
      </c>
      <c r="W58" s="56">
        <v>7.2999983999985307</v>
      </c>
      <c r="X58" s="23" t="s">
        <v>192</v>
      </c>
      <c r="Y58" s="28" t="str">
        <f>_xlfn.CONCAT(COORDENADAS[[#This Row],[GG]],"° ",COORDENADAS[[#This Row],[MM]],"' ",FIXED(COORDENADAS[[#This Row],[SS]],2),""" ",COORDENADAS[[#This Row],[Weter]])</f>
        <v>75° 36' 2,20" W</v>
      </c>
      <c r="Z58" s="28">
        <v>75</v>
      </c>
      <c r="AA58" s="28">
        <v>36</v>
      </c>
      <c r="AB58" s="28">
        <v>2.1999960000096852</v>
      </c>
      <c r="AC58" s="23" t="s">
        <v>193</v>
      </c>
      <c r="AD58" s="23">
        <v>42.6</v>
      </c>
      <c r="AE58" s="23">
        <v>43.1</v>
      </c>
    </row>
    <row r="59" spans="1:31" x14ac:dyDescent="0.35">
      <c r="A59" s="66" t="s">
        <v>82</v>
      </c>
      <c r="B59" s="29">
        <v>0</v>
      </c>
      <c r="C59" s="29">
        <v>1</v>
      </c>
      <c r="D59" s="29" t="s">
        <v>248</v>
      </c>
      <c r="E59" s="29" t="s">
        <v>249</v>
      </c>
      <c r="F59" s="29" t="s">
        <v>250</v>
      </c>
      <c r="G59" s="29" t="s">
        <v>251</v>
      </c>
      <c r="H59" s="29"/>
      <c r="I59" s="28" t="s">
        <v>487</v>
      </c>
      <c r="J59" s="28" t="s">
        <v>190</v>
      </c>
      <c r="K59" s="28" t="str">
        <f t="shared" si="0"/>
        <v>ArboledasNorte de Santander</v>
      </c>
      <c r="L59" s="28"/>
      <c r="M59" s="28"/>
      <c r="N59" s="28"/>
      <c r="O59" s="69"/>
      <c r="P59" s="28"/>
      <c r="Q59" s="28" t="s">
        <v>488</v>
      </c>
      <c r="R59" s="28">
        <v>4.5452777777777778</v>
      </c>
      <c r="S59" s="28">
        <v>-73.938972222222219</v>
      </c>
      <c r="T59" s="28" t="str">
        <f>_xlfn.CONCAT(COORDENADAS[[#This Row],[G]],"° ",COORDENADAS[[#This Row],[M]],"' ",FIXED(COORDENADAS[[#This Row],[S]],2),""" ",COORDENADAS[[#This Row],[Norte]])</f>
        <v>4° 32' 43,00" N</v>
      </c>
      <c r="U59" s="41">
        <v>4</v>
      </c>
      <c r="V59" s="41">
        <v>32</v>
      </c>
      <c r="W59" s="56">
        <v>43.000000799999995</v>
      </c>
      <c r="X59" s="23" t="s">
        <v>192</v>
      </c>
      <c r="Y59" s="28" t="str">
        <f>_xlfn.CONCAT(COORDENADAS[[#This Row],[GG]],"° ",COORDENADAS[[#This Row],[MM]],"' ",FIXED(COORDENADAS[[#This Row],[SS]],2),""" ",COORDENADAS[[#This Row],[Weter]])</f>
        <v>73° 56' 20,30" W</v>
      </c>
      <c r="Z59" s="28">
        <v>73</v>
      </c>
      <c r="AA59" s="28">
        <v>56</v>
      </c>
      <c r="AB59" s="28">
        <v>20.299991999987643</v>
      </c>
      <c r="AC59" s="23" t="s">
        <v>193</v>
      </c>
      <c r="AD59" s="23">
        <v>40.6</v>
      </c>
      <c r="AE59" s="23">
        <v>40.700000000000003</v>
      </c>
    </row>
    <row r="60" spans="1:31" x14ac:dyDescent="0.35">
      <c r="A60" s="66" t="s">
        <v>276</v>
      </c>
      <c r="B60" s="29">
        <v>1</v>
      </c>
      <c r="C60" s="29"/>
      <c r="D60" s="29" t="s">
        <v>277</v>
      </c>
      <c r="E60" s="29" t="s">
        <v>278</v>
      </c>
      <c r="F60" s="29"/>
      <c r="G60" s="29"/>
      <c r="H60" s="29"/>
      <c r="I60" s="28" t="s">
        <v>489</v>
      </c>
      <c r="J60" s="28" t="s">
        <v>154</v>
      </c>
      <c r="K60" s="28" t="str">
        <f t="shared" si="0"/>
        <v>ArboletesAntioquia</v>
      </c>
      <c r="L60" s="28"/>
      <c r="M60" s="28"/>
      <c r="N60" s="28"/>
      <c r="O60" s="69"/>
      <c r="P60" s="28"/>
      <c r="Q60" s="28" t="s">
        <v>490</v>
      </c>
      <c r="R60" s="28">
        <v>5.1961388888888891</v>
      </c>
      <c r="S60" s="28">
        <v>-73.68727777777778</v>
      </c>
      <c r="T60" s="28" t="str">
        <f>_xlfn.CONCAT(COORDENADAS[[#This Row],[G]],"° ",COORDENADAS[[#This Row],[M]],"' ",FIXED(COORDENADAS[[#This Row],[S]],2),""" ",COORDENADAS[[#This Row],[Norte]])</f>
        <v>5° 11' 46,10" N</v>
      </c>
      <c r="U60" s="41">
        <v>5</v>
      </c>
      <c r="V60" s="41">
        <v>11</v>
      </c>
      <c r="W60" s="56">
        <v>46.100000400000788</v>
      </c>
      <c r="X60" s="23" t="s">
        <v>192</v>
      </c>
      <c r="Y60" s="28" t="str">
        <f>_xlfn.CONCAT(COORDENADAS[[#This Row],[GG]],"° ",COORDENADAS[[#This Row],[MM]],"' ",FIXED(COORDENADAS[[#This Row],[SS]],2),""" ",COORDENADAS[[#This Row],[Weter]])</f>
        <v>73° 41' 14,20" W</v>
      </c>
      <c r="Z60" s="28">
        <v>73</v>
      </c>
      <c r="AA60" s="28">
        <v>41</v>
      </c>
      <c r="AB60" s="28">
        <v>14.200008000008157</v>
      </c>
      <c r="AC60" s="23" t="s">
        <v>193</v>
      </c>
      <c r="AD60" s="23">
        <v>40.6</v>
      </c>
      <c r="AE60" s="23">
        <v>40.700000000000003</v>
      </c>
    </row>
    <row r="61" spans="1:31" x14ac:dyDescent="0.35">
      <c r="A61" s="66" t="s">
        <v>262</v>
      </c>
      <c r="B61" s="29">
        <v>0</v>
      </c>
      <c r="C61" s="29">
        <v>1</v>
      </c>
      <c r="D61" s="29" t="s">
        <v>263</v>
      </c>
      <c r="E61" s="29" t="s">
        <v>264</v>
      </c>
      <c r="F61" s="29" t="s">
        <v>265</v>
      </c>
      <c r="G61" s="29"/>
      <c r="H61" s="29"/>
      <c r="I61" s="28" t="s">
        <v>491</v>
      </c>
      <c r="J61" s="28" t="s">
        <v>274</v>
      </c>
      <c r="K61" s="28" t="str">
        <f t="shared" si="0"/>
        <v>ArcabucoBoyaca</v>
      </c>
      <c r="L61" s="28"/>
      <c r="M61" s="28"/>
      <c r="N61" s="28"/>
      <c r="O61" s="69"/>
      <c r="P61" s="28"/>
      <c r="Q61" s="28" t="s">
        <v>492</v>
      </c>
      <c r="R61" s="28">
        <v>6.8680277777777778</v>
      </c>
      <c r="S61" s="28">
        <v>-73.412583333333345</v>
      </c>
      <c r="T61" s="28" t="str">
        <f>_xlfn.CONCAT(COORDENADAS[[#This Row],[G]],"° ",COORDENADAS[[#This Row],[M]],"' ",FIXED(COORDENADAS[[#This Row],[S]],2),""" ",COORDENADAS[[#This Row],[Norte]])</f>
        <v>6° 52' 4,90" N</v>
      </c>
      <c r="U61" s="41">
        <v>6</v>
      </c>
      <c r="V61" s="41">
        <v>52</v>
      </c>
      <c r="W61" s="56">
        <v>4.9000000000001265</v>
      </c>
      <c r="X61" s="23" t="s">
        <v>192</v>
      </c>
      <c r="Y61" s="28" t="str">
        <f>_xlfn.CONCAT(COORDENADAS[[#This Row],[GG]],"° ",COORDENADAS[[#This Row],[MM]],"' ",FIXED(COORDENADAS[[#This Row],[SS]],2),""" ",COORDENADAS[[#This Row],[Weter]])</f>
        <v>73° 24' 45,30" W</v>
      </c>
      <c r="Z61" s="28">
        <v>73</v>
      </c>
      <c r="AA61" s="28">
        <v>24</v>
      </c>
      <c r="AB61" s="28">
        <v>45.300000000040576</v>
      </c>
      <c r="AC61" s="23" t="s">
        <v>193</v>
      </c>
      <c r="AD61" s="23">
        <v>34.82</v>
      </c>
      <c r="AE61" s="23">
        <v>0</v>
      </c>
    </row>
    <row r="62" spans="1:31" x14ac:dyDescent="0.35">
      <c r="A62" s="66" t="s">
        <v>194</v>
      </c>
      <c r="B62" s="29">
        <v>101</v>
      </c>
      <c r="C62" s="29"/>
      <c r="D62" s="29" t="s">
        <v>195</v>
      </c>
      <c r="E62" s="29" t="s">
        <v>196</v>
      </c>
      <c r="F62" s="29" t="s">
        <v>197</v>
      </c>
      <c r="G62" s="29"/>
      <c r="H62" s="29"/>
      <c r="I62" s="28" t="s">
        <v>493</v>
      </c>
      <c r="J62" s="28" t="s">
        <v>260</v>
      </c>
      <c r="K62" s="28" t="str">
        <f t="shared" si="0"/>
        <v>ArenalBolivar</v>
      </c>
      <c r="L62" s="28"/>
      <c r="M62" s="28"/>
      <c r="N62" s="28"/>
      <c r="O62" s="69"/>
      <c r="P62" s="28"/>
      <c r="Q62" s="28" t="s">
        <v>494</v>
      </c>
      <c r="R62" s="28">
        <v>5.837361111111111</v>
      </c>
      <c r="S62" s="28">
        <v>-76.024888888888881</v>
      </c>
      <c r="T62" s="28" t="str">
        <f>_xlfn.CONCAT(COORDENADAS[[#This Row],[G]],"° ",COORDENADAS[[#This Row],[M]],"' ",FIXED(COORDENADAS[[#This Row],[S]],2),""" ",COORDENADAS[[#This Row],[Norte]])</f>
        <v>5° 50' 14,50" N</v>
      </c>
      <c r="U62" s="41">
        <v>5</v>
      </c>
      <c r="V62" s="41">
        <v>50</v>
      </c>
      <c r="W62" s="56">
        <v>14.499999999999469</v>
      </c>
      <c r="X62" s="23" t="s">
        <v>192</v>
      </c>
      <c r="Y62" s="28" t="str">
        <f>_xlfn.CONCAT(COORDENADAS[[#This Row],[GG]],"° ",COORDENADAS[[#This Row],[MM]],"' ",FIXED(COORDENADAS[[#This Row],[SS]],2),""" ",COORDENADAS[[#This Row],[Weter]])</f>
        <v>76° 1' 29,60" W</v>
      </c>
      <c r="Z62" s="28">
        <v>76</v>
      </c>
      <c r="AA62" s="28">
        <v>1</v>
      </c>
      <c r="AB62" s="28">
        <v>29.599999999973079</v>
      </c>
      <c r="AC62" s="23" t="s">
        <v>193</v>
      </c>
      <c r="AD62" s="23">
        <v>34.82</v>
      </c>
      <c r="AE62" s="23">
        <v>0</v>
      </c>
    </row>
    <row r="63" spans="1:31" x14ac:dyDescent="0.35">
      <c r="A63" s="66" t="s">
        <v>317</v>
      </c>
      <c r="B63" s="29">
        <v>104</v>
      </c>
      <c r="C63" s="29"/>
      <c r="D63" s="29" t="s">
        <v>317</v>
      </c>
      <c r="E63" s="29" t="s">
        <v>318</v>
      </c>
      <c r="F63" s="29"/>
      <c r="G63" s="29"/>
      <c r="H63" s="29"/>
      <c r="I63" s="28" t="s">
        <v>495</v>
      </c>
      <c r="J63" s="28" t="s">
        <v>154</v>
      </c>
      <c r="K63" s="28" t="str">
        <f t="shared" si="0"/>
        <v>ArgeliaAntioquia</v>
      </c>
      <c r="L63" s="28"/>
      <c r="M63" s="28"/>
      <c r="N63" s="28"/>
      <c r="O63" s="69"/>
      <c r="P63" s="28"/>
      <c r="Q63" s="28" t="s">
        <v>496</v>
      </c>
      <c r="R63" s="28">
        <v>6.0451666666666668</v>
      </c>
      <c r="S63" s="28">
        <v>-75.903194444444452</v>
      </c>
      <c r="T63" s="28" t="str">
        <f>_xlfn.CONCAT(COORDENADAS[[#This Row],[G]],"° ",COORDENADAS[[#This Row],[M]],"' ",FIXED(COORDENADAS[[#This Row],[S]],2),""" ",COORDENADAS[[#This Row],[Norte]])</f>
        <v>6° 2' 42,60" N</v>
      </c>
      <c r="U63" s="41">
        <v>6</v>
      </c>
      <c r="V63" s="41">
        <v>2</v>
      </c>
      <c r="W63" s="56">
        <v>42.600000000000477</v>
      </c>
      <c r="X63" s="23" t="s">
        <v>192</v>
      </c>
      <c r="Y63" s="28" t="str">
        <f>_xlfn.CONCAT(COORDENADAS[[#This Row],[GG]],"° ",COORDENADAS[[#This Row],[MM]],"' ",FIXED(COORDENADAS[[#This Row],[SS]],2),""" ",COORDENADAS[[#This Row],[Weter]])</f>
        <v>75° 54' 11,50" W</v>
      </c>
      <c r="Z63" s="28">
        <v>75</v>
      </c>
      <c r="AA63" s="28">
        <v>54</v>
      </c>
      <c r="AB63" s="28">
        <v>11.500000000026978</v>
      </c>
      <c r="AC63" s="23" t="s">
        <v>193</v>
      </c>
      <c r="AD63" s="23">
        <v>34.82</v>
      </c>
      <c r="AE63" s="23">
        <v>0</v>
      </c>
    </row>
    <row r="64" spans="1:31" x14ac:dyDescent="0.35">
      <c r="A64" s="66" t="s">
        <v>330</v>
      </c>
      <c r="B64" s="29">
        <v>107</v>
      </c>
      <c r="C64" s="29"/>
      <c r="D64" s="29" t="s">
        <v>331</v>
      </c>
      <c r="E64" s="29" t="s">
        <v>332</v>
      </c>
      <c r="F64" s="29"/>
      <c r="G64" s="29"/>
      <c r="H64" s="29"/>
      <c r="I64" s="28" t="s">
        <v>495</v>
      </c>
      <c r="J64" s="28" t="s">
        <v>315</v>
      </c>
      <c r="K64" s="28" t="str">
        <f t="shared" si="0"/>
        <v>ArgeliaCauca</v>
      </c>
      <c r="L64" s="28"/>
      <c r="M64" s="28"/>
      <c r="N64" s="28"/>
      <c r="O64" s="69"/>
      <c r="P64" s="28"/>
      <c r="Q64" s="28" t="s">
        <v>497</v>
      </c>
      <c r="R64" s="28">
        <v>8.4564166666666658</v>
      </c>
      <c r="S64" s="28">
        <v>-73.340194444444435</v>
      </c>
      <c r="T64" s="28" t="str">
        <f>_xlfn.CONCAT(COORDENADAS[[#This Row],[G]],"° ",COORDENADAS[[#This Row],[M]],"' ",FIXED(COORDENADAS[[#This Row],[S]],2),""" ",COORDENADAS[[#This Row],[Norte]])</f>
        <v>8° 27' 23,10" N</v>
      </c>
      <c r="U64" s="41">
        <v>8</v>
      </c>
      <c r="V64" s="41">
        <v>27</v>
      </c>
      <c r="W64" s="56">
        <v>23.099999999996857</v>
      </c>
      <c r="X64" s="23" t="s">
        <v>192</v>
      </c>
      <c r="Y64" s="28" t="str">
        <f>_xlfn.CONCAT(COORDENADAS[[#This Row],[GG]],"° ",COORDENADAS[[#This Row],[MM]],"' ",FIXED(COORDENADAS[[#This Row],[SS]],2),""" ",COORDENADAS[[#This Row],[Weter]])</f>
        <v>73° 20' 24,70" W</v>
      </c>
      <c r="Z64" s="28">
        <v>73</v>
      </c>
      <c r="AA64" s="28">
        <v>20</v>
      </c>
      <c r="AB64" s="28">
        <v>24.699999999967371</v>
      </c>
      <c r="AC64" s="23" t="s">
        <v>193</v>
      </c>
      <c r="AD64" s="23">
        <v>36.049999999999997</v>
      </c>
      <c r="AE64" s="23">
        <v>0</v>
      </c>
    </row>
    <row r="65" spans="1:31" x14ac:dyDescent="0.35">
      <c r="A65" s="66" t="s">
        <v>286</v>
      </c>
      <c r="B65" s="29">
        <v>106</v>
      </c>
      <c r="C65" s="29"/>
      <c r="D65" s="29" t="s">
        <v>286</v>
      </c>
      <c r="E65" s="29" t="s">
        <v>287</v>
      </c>
      <c r="F65" s="29"/>
      <c r="G65" s="29"/>
      <c r="H65" s="29"/>
      <c r="I65" s="28" t="s">
        <v>495</v>
      </c>
      <c r="J65" s="28" t="s">
        <v>381</v>
      </c>
      <c r="K65" s="28" t="str">
        <f t="shared" ref="K65:K128" si="2">_xlfn.CONCAT(TRIM(I65),TRIM(J65))</f>
        <v>ArgeliaValle del Cauca</v>
      </c>
      <c r="L65" s="28"/>
      <c r="M65" s="28"/>
      <c r="N65" s="28"/>
      <c r="O65" s="69"/>
      <c r="P65" s="28"/>
      <c r="Q65" s="28" t="s">
        <v>498</v>
      </c>
      <c r="R65" s="28">
        <v>3.4328333333333334</v>
      </c>
      <c r="S65" s="28">
        <v>-76.565888888888892</v>
      </c>
      <c r="T65" s="28" t="str">
        <f>_xlfn.CONCAT(COORDENADAS[[#This Row],[G]],"° ",COORDENADAS[[#This Row],[M]],"' ",FIXED(COORDENADAS[[#This Row],[S]],2),""" ",COORDENADAS[[#This Row],[Norte]])</f>
        <v>3° 25' 58,20" N</v>
      </c>
      <c r="U65" s="41">
        <v>3</v>
      </c>
      <c r="V65" s="41">
        <v>25</v>
      </c>
      <c r="W65" s="56">
        <v>58.200000000000188</v>
      </c>
      <c r="X65" s="23" t="s">
        <v>192</v>
      </c>
      <c r="Y65" s="28" t="str">
        <f>_xlfn.CONCAT(COORDENADAS[[#This Row],[GG]],"° ",COORDENADAS[[#This Row],[MM]],"' ",FIXED(COORDENADAS[[#This Row],[SS]],2),""" ",COORDENADAS[[#This Row],[Weter]])</f>
        <v>76° 33' 57,20" W</v>
      </c>
      <c r="Z65" s="28">
        <v>76</v>
      </c>
      <c r="AA65" s="28">
        <v>33</v>
      </c>
      <c r="AB65" s="28">
        <v>57.200000000012622</v>
      </c>
      <c r="AC65" s="23" t="s">
        <v>193</v>
      </c>
      <c r="AD65" s="23">
        <v>48.38</v>
      </c>
      <c r="AE65" s="23">
        <v>0</v>
      </c>
    </row>
    <row r="66" spans="1:31" x14ac:dyDescent="0.35">
      <c r="A66" s="66" t="s">
        <v>340</v>
      </c>
      <c r="B66" s="29">
        <v>109</v>
      </c>
      <c r="C66" s="29"/>
      <c r="D66" s="29" t="s">
        <v>340</v>
      </c>
      <c r="E66" s="29" t="s">
        <v>341</v>
      </c>
      <c r="F66" s="29"/>
      <c r="G66" s="29"/>
      <c r="H66" s="29"/>
      <c r="I66" s="28" t="s">
        <v>499</v>
      </c>
      <c r="J66" s="28" t="s">
        <v>382</v>
      </c>
      <c r="K66" s="28" t="str">
        <f t="shared" si="2"/>
        <v>AriguaníMagdalena</v>
      </c>
      <c r="L66" s="28"/>
      <c r="M66" s="28"/>
      <c r="N66" s="28"/>
      <c r="O66" s="69"/>
      <c r="P66" s="28"/>
      <c r="Q66" s="28" t="s">
        <v>500</v>
      </c>
      <c r="R66" s="28">
        <v>4.5211111109999997</v>
      </c>
      <c r="S66" s="28">
        <v>-74.074222222000003</v>
      </c>
      <c r="T66" s="28" t="str">
        <f>_xlfn.CONCAT(COORDENADAS[[#This Row],[G]],"° ",COORDENADAS[[#This Row],[M]],"' ",FIXED(COORDENADAS[[#This Row],[S]],2),""" ",COORDENADAS[[#This Row],[Norte]])</f>
        <v>4° 31' 14,96" N</v>
      </c>
      <c r="U66" s="41">
        <v>4</v>
      </c>
      <c r="V66" s="41">
        <v>31</v>
      </c>
      <c r="W66" s="56">
        <v>14.961381600000889</v>
      </c>
      <c r="X66" s="23" t="s">
        <v>192</v>
      </c>
      <c r="Y66" s="28" t="str">
        <f>_xlfn.CONCAT(COORDENADAS[[#This Row],[GG]],"° ",COORDENADAS[[#This Row],[MM]],"' ",FIXED(COORDENADAS[[#This Row],[SS]],2),""" ",COORDENADAS[[#This Row],[Weter]])</f>
        <v>74° 4' 24,55" W</v>
      </c>
      <c r="Z66" s="28">
        <v>74</v>
      </c>
      <c r="AA66" s="28">
        <v>4</v>
      </c>
      <c r="AB66" s="28">
        <v>24.552717599985957</v>
      </c>
      <c r="AC66" s="23" t="s">
        <v>193</v>
      </c>
      <c r="AD66" s="23">
        <v>40.6</v>
      </c>
      <c r="AE66" s="23">
        <v>40.700000000000003</v>
      </c>
    </row>
    <row r="67" spans="1:31" x14ac:dyDescent="0.35">
      <c r="A67" s="66" t="s">
        <v>362</v>
      </c>
      <c r="B67" s="29">
        <v>0</v>
      </c>
      <c r="C67" s="29"/>
      <c r="D67" s="29" t="s">
        <v>363</v>
      </c>
      <c r="E67" s="29" t="s">
        <v>364</v>
      </c>
      <c r="F67" s="29"/>
      <c r="G67" s="29"/>
      <c r="H67" s="29"/>
      <c r="I67" s="28" t="s">
        <v>501</v>
      </c>
      <c r="J67" s="28" t="s">
        <v>260</v>
      </c>
      <c r="K67" s="28" t="str">
        <f t="shared" si="2"/>
        <v>ArjonaBolivar</v>
      </c>
      <c r="L67" s="28"/>
      <c r="M67" s="28"/>
      <c r="N67" s="28"/>
      <c r="O67" s="69"/>
      <c r="P67" s="28"/>
      <c r="Q67" s="28" t="s">
        <v>502</v>
      </c>
      <c r="R67" s="28">
        <v>5.2134166669999997</v>
      </c>
      <c r="S67" s="28">
        <v>-73.775416667000002</v>
      </c>
      <c r="T67" s="28" t="str">
        <f>_xlfn.CONCAT(COORDENADAS[[#This Row],[G]],"° ",COORDENADAS[[#This Row],[M]],"' ",FIXED(COORDENADAS[[#This Row],[S]],2),""" ",COORDENADAS[[#This Row],[Norte]])</f>
        <v>5° 12' 48,30" N</v>
      </c>
      <c r="U67" s="41">
        <v>5</v>
      </c>
      <c r="V67" s="41">
        <v>12</v>
      </c>
      <c r="W67" s="56">
        <v>48.300001199998974</v>
      </c>
      <c r="X67" s="23" t="s">
        <v>192</v>
      </c>
      <c r="Y67" s="28" t="str">
        <f>_xlfn.CONCAT(COORDENADAS[[#This Row],[GG]],"° ",COORDENADAS[[#This Row],[MM]],"' ",FIXED(COORDENADAS[[#This Row],[SS]],2),""" ",COORDENADAS[[#This Row],[Weter]])</f>
        <v>73° 46' 31,50" W</v>
      </c>
      <c r="Z67" s="28">
        <v>73</v>
      </c>
      <c r="AA67" s="28">
        <v>46</v>
      </c>
      <c r="AB67" s="28">
        <v>31.500001200006224</v>
      </c>
      <c r="AC67" s="23" t="s">
        <v>193</v>
      </c>
      <c r="AD67" s="23">
        <v>40.6</v>
      </c>
      <c r="AE67" s="23">
        <v>40.700000000000003</v>
      </c>
    </row>
    <row r="68" spans="1:31" x14ac:dyDescent="0.35">
      <c r="A68" s="66" t="s">
        <v>355</v>
      </c>
      <c r="B68" s="29">
        <v>0</v>
      </c>
      <c r="C68" s="29"/>
      <c r="D68" s="29" t="s">
        <v>355</v>
      </c>
      <c r="E68" s="29"/>
      <c r="F68" s="29"/>
      <c r="G68" s="29"/>
      <c r="H68" s="29"/>
      <c r="I68" s="28" t="s">
        <v>503</v>
      </c>
      <c r="J68" s="28" t="s">
        <v>154</v>
      </c>
      <c r="K68" s="28" t="str">
        <f t="shared" si="2"/>
        <v>ArmeniaAntioquia</v>
      </c>
      <c r="L68" s="28"/>
      <c r="M68" s="28"/>
      <c r="N68" s="28"/>
      <c r="O68" s="69"/>
      <c r="P68" s="28"/>
      <c r="Q68" s="28" t="s">
        <v>504</v>
      </c>
      <c r="R68" s="28">
        <v>9.1943472222222233</v>
      </c>
      <c r="S68" s="28">
        <v>-73.545027777777776</v>
      </c>
      <c r="T68" s="28" t="str">
        <f>_xlfn.CONCAT(COORDENADAS[[#This Row],[G]],"° ",COORDENADAS[[#This Row],[M]],"' ",FIXED(COORDENADAS[[#This Row],[S]],2),""" ",COORDENADAS[[#This Row],[Norte]])</f>
        <v>9° 11' 39,65" N</v>
      </c>
      <c r="U68" s="41">
        <v>9</v>
      </c>
      <c r="V68" s="41">
        <v>11</v>
      </c>
      <c r="W68" s="56">
        <v>39.650000000004063</v>
      </c>
      <c r="X68" s="23" t="s">
        <v>192</v>
      </c>
      <c r="Y68" s="28" t="str">
        <f>_xlfn.CONCAT(COORDENADAS[[#This Row],[GG]],"° ",COORDENADAS[[#This Row],[MM]],"' ",FIXED(COORDENADAS[[#This Row],[SS]],2),""" ",COORDENADAS[[#This Row],[Weter]])</f>
        <v>73° 32' 42,10" W</v>
      </c>
      <c r="Z68" s="28">
        <v>73</v>
      </c>
      <c r="AA68" s="28">
        <v>32</v>
      </c>
      <c r="AB68" s="28">
        <v>42.099999999992434</v>
      </c>
      <c r="AC68" s="23" t="s">
        <v>193</v>
      </c>
      <c r="AD68" s="23">
        <v>49.11</v>
      </c>
      <c r="AE68" s="23">
        <v>0</v>
      </c>
    </row>
    <row r="69" spans="1:31" x14ac:dyDescent="0.35">
      <c r="A69" s="66" t="s">
        <v>505</v>
      </c>
      <c r="B69" s="29">
        <v>0</v>
      </c>
      <c r="C69" s="29"/>
      <c r="D69" s="29" t="s">
        <v>325</v>
      </c>
      <c r="E69" s="29"/>
      <c r="F69" s="29"/>
      <c r="G69" s="29"/>
      <c r="H69" s="29"/>
      <c r="I69" s="28" t="s">
        <v>503</v>
      </c>
      <c r="J69" s="28" t="s">
        <v>401</v>
      </c>
      <c r="K69" s="28" t="str">
        <f t="shared" si="2"/>
        <v>ArmeniaQuindio</v>
      </c>
      <c r="L69" s="28"/>
      <c r="M69" s="28"/>
      <c r="N69" s="28"/>
      <c r="O69" s="69"/>
      <c r="P69" s="28"/>
      <c r="Q69" s="28" t="s">
        <v>506</v>
      </c>
      <c r="R69" s="28">
        <v>7.0038333333333336</v>
      </c>
      <c r="S69" s="28">
        <v>-76.271222222222221</v>
      </c>
      <c r="T69" s="28" t="str">
        <f>_xlfn.CONCAT(COORDENADAS[[#This Row],[G]],"° ",COORDENADAS[[#This Row],[M]],"' ",FIXED(COORDENADAS[[#This Row],[S]],2),""" ",COORDENADAS[[#This Row],[Norte]])</f>
        <v>7° 0' 13,80" N</v>
      </c>
      <c r="U69" s="41">
        <v>7</v>
      </c>
      <c r="V69" s="41">
        <v>0</v>
      </c>
      <c r="W69" s="56">
        <v>13.800000000000878</v>
      </c>
      <c r="X69" s="23" t="s">
        <v>192</v>
      </c>
      <c r="Y69" s="28" t="str">
        <f>_xlfn.CONCAT(COORDENADAS[[#This Row],[GG]],"° ",COORDENADAS[[#This Row],[MM]],"' ",FIXED(COORDENADAS[[#This Row],[SS]],2),""" ",COORDENADAS[[#This Row],[Weter]])</f>
        <v>76° 16' 16,40" W</v>
      </c>
      <c r="Z69" s="28">
        <v>76</v>
      </c>
      <c r="AA69" s="28">
        <v>16</v>
      </c>
      <c r="AB69" s="28">
        <v>16.39999999999533</v>
      </c>
      <c r="AC69" s="23" t="s">
        <v>193</v>
      </c>
      <c r="AD69" s="23">
        <v>34.82</v>
      </c>
      <c r="AE69" s="23">
        <v>0</v>
      </c>
    </row>
    <row r="70" spans="1:31" x14ac:dyDescent="0.35">
      <c r="A70" s="67" t="s">
        <v>325</v>
      </c>
      <c r="B70" s="12">
        <v>103</v>
      </c>
      <c r="C70" s="12"/>
      <c r="D70" s="12" t="s">
        <v>308</v>
      </c>
      <c r="E70" s="12" t="s">
        <v>309</v>
      </c>
      <c r="F70" s="12"/>
      <c r="G70" s="12"/>
      <c r="H70" s="12"/>
      <c r="I70" s="28" t="s">
        <v>507</v>
      </c>
      <c r="J70" s="28" t="s">
        <v>409</v>
      </c>
      <c r="K70" s="28" t="str">
        <f t="shared" si="2"/>
        <v>ArmeroTolima</v>
      </c>
      <c r="L70" s="28"/>
      <c r="M70" s="28"/>
      <c r="N70" s="28"/>
      <c r="O70" s="69"/>
      <c r="P70" s="28"/>
      <c r="Q70" s="28" t="s">
        <v>508</v>
      </c>
      <c r="R70" s="28">
        <v>3.6613333333333333</v>
      </c>
      <c r="S70" s="28">
        <v>-76.699472222222226</v>
      </c>
      <c r="T70" s="28" t="str">
        <f>_xlfn.CONCAT(COORDENADAS[[#This Row],[G]],"° ",COORDENADAS[[#This Row],[M]],"' ",FIXED(COORDENADAS[[#This Row],[S]],2),""" ",COORDENADAS[[#This Row],[Norte]])</f>
        <v>3° 39' 40,80" N</v>
      </c>
      <c r="U70" s="41">
        <v>3</v>
      </c>
      <c r="V70" s="41">
        <v>39</v>
      </c>
      <c r="W70" s="56">
        <v>40.799999999999905</v>
      </c>
      <c r="X70" s="23" t="s">
        <v>192</v>
      </c>
      <c r="Y70" s="28" t="str">
        <f>_xlfn.CONCAT(COORDENADAS[[#This Row],[GG]],"° ",COORDENADAS[[#This Row],[MM]],"' ",FIXED(COORDENADAS[[#This Row],[SS]],2),""" ",COORDENADAS[[#This Row],[Weter]])</f>
        <v>76° 41' 58,10" W</v>
      </c>
      <c r="Z70" s="28">
        <v>76</v>
      </c>
      <c r="AA70" s="28">
        <v>41</v>
      </c>
      <c r="AB70" s="28">
        <v>58.100000000015314</v>
      </c>
      <c r="AC70" s="23" t="s">
        <v>193</v>
      </c>
      <c r="AD70" s="23">
        <v>34.82</v>
      </c>
      <c r="AE70" s="23">
        <v>0</v>
      </c>
    </row>
    <row r="71" spans="1:31" x14ac:dyDescent="0.35">
      <c r="A71" s="67" t="s">
        <v>307</v>
      </c>
      <c r="B71" s="12"/>
      <c r="C71" s="12"/>
      <c r="D71" s="12"/>
      <c r="E71" s="12"/>
      <c r="F71" s="12"/>
      <c r="G71" s="12"/>
      <c r="H71" s="12"/>
      <c r="I71" s="28" t="s">
        <v>509</v>
      </c>
      <c r="J71" s="28" t="s">
        <v>260</v>
      </c>
      <c r="K71" s="28" t="str">
        <f t="shared" si="2"/>
        <v>ArroyohondoBolivar</v>
      </c>
      <c r="L71" s="28"/>
      <c r="M71" s="28"/>
      <c r="N71" s="28"/>
      <c r="O71" s="69"/>
      <c r="P71" s="28"/>
      <c r="Q71" s="28" t="s">
        <v>510</v>
      </c>
      <c r="R71" s="28">
        <v>3.6758888888888888</v>
      </c>
      <c r="S71" s="28">
        <v>-76.655666666666676</v>
      </c>
      <c r="T71" s="28" t="str">
        <f>_xlfn.CONCAT(COORDENADAS[[#This Row],[G]],"° ",COORDENADAS[[#This Row],[M]],"' ",FIXED(COORDENADAS[[#This Row],[S]],2),""" ",COORDENADAS[[#This Row],[Norte]])</f>
        <v>3° 40' 23,09" N</v>
      </c>
      <c r="U71" s="41">
        <v>3</v>
      </c>
      <c r="V71" s="41">
        <v>40</v>
      </c>
      <c r="W71" s="56">
        <v>23.092532399999889</v>
      </c>
      <c r="X71" s="23" t="s">
        <v>192</v>
      </c>
      <c r="Y71" s="28" t="str">
        <f>_xlfn.CONCAT(COORDENADAS[[#This Row],[GG]],"° ",COORDENADAS[[#This Row],[MM]],"' ",FIXED(COORDENADAS[[#This Row],[SS]],2),""" ",COORDENADAS[[#This Row],[Weter]])</f>
        <v>76° 39' 8,64" W</v>
      </c>
      <c r="Z71" s="28">
        <v>76</v>
      </c>
      <c r="AA71" s="28">
        <v>39</v>
      </c>
      <c r="AB71" s="28">
        <v>8.6420016000123834</v>
      </c>
      <c r="AC71" s="23" t="s">
        <v>193</v>
      </c>
      <c r="AD71" s="23">
        <v>40.6</v>
      </c>
      <c r="AE71" s="23">
        <v>40.700000000000003</v>
      </c>
    </row>
    <row r="72" spans="1:31" x14ac:dyDescent="0.35">
      <c r="A72" s="68" t="s">
        <v>511</v>
      </c>
      <c r="B72" s="12"/>
      <c r="C72" s="12"/>
      <c r="D72" s="12"/>
      <c r="E72" s="12"/>
      <c r="F72" s="12"/>
      <c r="G72" s="12"/>
      <c r="H72" s="12"/>
      <c r="I72" s="28" t="s">
        <v>512</v>
      </c>
      <c r="J72" s="28" t="s">
        <v>293</v>
      </c>
      <c r="K72" s="28" t="str">
        <f t="shared" si="2"/>
        <v>AstreaCesar</v>
      </c>
      <c r="L72" s="28"/>
      <c r="M72" s="28"/>
      <c r="N72" s="28"/>
      <c r="O72" s="69"/>
      <c r="P72" s="28"/>
      <c r="Q72" s="28" t="s">
        <v>513</v>
      </c>
      <c r="R72" s="28">
        <v>10.5075</v>
      </c>
      <c r="S72" s="28">
        <v>-73.556944443999996</v>
      </c>
      <c r="T72" s="28" t="str">
        <f>_xlfn.CONCAT(COORDENADAS[[#This Row],[G]],"° ",COORDENADAS[[#This Row],[M]],"' ",FIXED(COORDENADAS[[#This Row],[S]],2),""" ",COORDENADAS[[#This Row],[Norte]])</f>
        <v>10° 30' 27,00" N</v>
      </c>
      <c r="U72" s="41">
        <v>10</v>
      </c>
      <c r="V72" s="41">
        <v>30</v>
      </c>
      <c r="W72" s="56">
        <v>27.000000000001023</v>
      </c>
      <c r="X72" s="23" t="s">
        <v>192</v>
      </c>
      <c r="Y72" s="28" t="str">
        <f>_xlfn.CONCAT(COORDENADAS[[#This Row],[GG]],"° ",COORDENADAS[[#This Row],[MM]],"' ",FIXED(COORDENADAS[[#This Row],[SS]],2),""" ",COORDENADAS[[#This Row],[Weter]])</f>
        <v>73° 33' 25,00" W</v>
      </c>
      <c r="Z72" s="28">
        <v>73</v>
      </c>
      <c r="AA72" s="28">
        <v>33</v>
      </c>
      <c r="AB72" s="28">
        <v>24.999998399983792</v>
      </c>
      <c r="AC72" s="23" t="s">
        <v>193</v>
      </c>
      <c r="AD72" s="23">
        <v>41.8</v>
      </c>
      <c r="AE72" s="23">
        <v>41.8</v>
      </c>
    </row>
    <row r="73" spans="1:31" x14ac:dyDescent="0.35">
      <c r="A73" s="68" t="s">
        <v>387</v>
      </c>
      <c r="B73" s="12"/>
      <c r="C73" s="12"/>
      <c r="D73" s="12"/>
      <c r="E73" s="12"/>
      <c r="F73" s="12"/>
      <c r="G73" s="12"/>
      <c r="H73" s="12"/>
      <c r="I73" s="28" t="s">
        <v>514</v>
      </c>
      <c r="J73" s="28" t="s">
        <v>409</v>
      </c>
      <c r="K73" s="28" t="str">
        <f t="shared" si="2"/>
        <v>AtacoTolima</v>
      </c>
      <c r="L73" s="28"/>
      <c r="M73" s="28"/>
      <c r="N73" s="28"/>
      <c r="O73" s="69"/>
      <c r="P73" s="28"/>
      <c r="Q73" s="28" t="s">
        <v>515</v>
      </c>
      <c r="R73" s="28">
        <v>4.6314166669999999</v>
      </c>
      <c r="S73" s="28">
        <v>-74.051138889000001</v>
      </c>
      <c r="T73" s="28" t="str">
        <f>_xlfn.CONCAT(COORDENADAS[[#This Row],[G]],"° ",COORDENADAS[[#This Row],[M]],"' ",FIXED(COORDENADAS[[#This Row],[S]],2),""" ",COORDENADAS[[#This Row],[Norte]])</f>
        <v>4° 37' 53,18" N</v>
      </c>
      <c r="U73" s="41">
        <v>4</v>
      </c>
      <c r="V73" s="41">
        <v>37</v>
      </c>
      <c r="W73" s="56">
        <v>53.184349199998415</v>
      </c>
      <c r="X73" s="23" t="s">
        <v>192</v>
      </c>
      <c r="Y73" s="28" t="str">
        <f>_xlfn.CONCAT(COORDENADAS[[#This Row],[GG]],"° ",COORDENADAS[[#This Row],[MM]],"' ",FIXED(COORDENADAS[[#This Row],[SS]],2),""" ",COORDENADAS[[#This Row],[Weter]])</f>
        <v>74° 3' 3,36" W</v>
      </c>
      <c r="Z73" s="28">
        <v>74</v>
      </c>
      <c r="AA73" s="28">
        <v>3</v>
      </c>
      <c r="AB73" s="28">
        <v>3.3624971999881739</v>
      </c>
      <c r="AC73" s="23" t="s">
        <v>193</v>
      </c>
      <c r="AD73" s="23">
        <v>40.6</v>
      </c>
      <c r="AE73" s="23">
        <v>40.700000000000003</v>
      </c>
    </row>
    <row r="74" spans="1:31" x14ac:dyDescent="0.35">
      <c r="A74" s="16"/>
      <c r="B74" s="12"/>
      <c r="C74" s="12"/>
      <c r="D74" s="12"/>
      <c r="E74" s="12"/>
      <c r="F74" s="12"/>
      <c r="G74" s="12"/>
      <c r="H74" s="12"/>
      <c r="I74" s="28" t="s">
        <v>516</v>
      </c>
      <c r="J74" s="28" t="s">
        <v>230</v>
      </c>
      <c r="K74" s="28" t="str">
        <f t="shared" si="2"/>
        <v>AtratoChoco</v>
      </c>
      <c r="L74" s="28"/>
      <c r="M74" s="28"/>
      <c r="N74" s="28"/>
      <c r="O74" s="69"/>
      <c r="P74" s="28"/>
      <c r="Q74" s="28" t="s">
        <v>517</v>
      </c>
      <c r="R74" s="28">
        <v>8.501444444444445</v>
      </c>
      <c r="S74" s="28">
        <v>-73.446638888888899</v>
      </c>
      <c r="T74" s="28" t="str">
        <f>_xlfn.CONCAT(COORDENADAS[[#This Row],[G]],"° ",COORDENADAS[[#This Row],[M]],"' ",FIXED(COORDENADAS[[#This Row],[S]],2),""" ",COORDENADAS[[#This Row],[Norte]])</f>
        <v>8° 30' 5,20" N</v>
      </c>
      <c r="U74" s="41">
        <v>8</v>
      </c>
      <c r="V74" s="41">
        <v>30</v>
      </c>
      <c r="W74" s="56">
        <v>5.2000000000020918</v>
      </c>
      <c r="X74" s="23" t="s">
        <v>192</v>
      </c>
      <c r="Y74" s="28" t="str">
        <f>_xlfn.CONCAT(COORDENADAS[[#This Row],[GG]],"° ",COORDENADAS[[#This Row],[MM]],"' ",FIXED(COORDENADAS[[#This Row],[SS]],2),""" ",COORDENADAS[[#This Row],[Weter]])</f>
        <v>73° 26' 47,90" W</v>
      </c>
      <c r="Z74" s="28">
        <v>73</v>
      </c>
      <c r="AA74" s="28">
        <v>26</v>
      </c>
      <c r="AB74" s="28">
        <v>47.900000000034822</v>
      </c>
      <c r="AC74" s="23" t="s">
        <v>193</v>
      </c>
      <c r="AD74" s="23">
        <v>37.380000000000003</v>
      </c>
      <c r="AE74" s="23">
        <v>0</v>
      </c>
    </row>
    <row r="75" spans="1:31" x14ac:dyDescent="0.35">
      <c r="A75" s="16"/>
      <c r="B75" s="12"/>
      <c r="C75" s="12"/>
      <c r="D75" s="12"/>
      <c r="E75" s="12"/>
      <c r="F75" s="12"/>
      <c r="G75" s="12"/>
      <c r="H75" s="12"/>
      <c r="I75" s="28" t="s">
        <v>518</v>
      </c>
      <c r="J75" s="28" t="s">
        <v>337</v>
      </c>
      <c r="K75" s="28" t="str">
        <f t="shared" si="2"/>
        <v>AyapelCordoba</v>
      </c>
      <c r="L75" s="28"/>
      <c r="M75" s="28"/>
      <c r="N75" s="28"/>
      <c r="O75" s="69"/>
      <c r="P75" s="28"/>
      <c r="Q75" s="28" t="s">
        <v>519</v>
      </c>
      <c r="R75" s="28">
        <v>10.149777777777777</v>
      </c>
      <c r="S75" s="28">
        <v>-73.960055555555556</v>
      </c>
      <c r="T75" s="28" t="str">
        <f>_xlfn.CONCAT(COORDENADAS[[#This Row],[G]],"° ",COORDENADAS[[#This Row],[M]],"' ",FIXED(COORDENADAS[[#This Row],[S]],2),""" ",COORDENADAS[[#This Row],[Norte]])</f>
        <v>10° 8' 59,20" N</v>
      </c>
      <c r="U75" s="41">
        <v>10</v>
      </c>
      <c r="V75" s="41">
        <v>8</v>
      </c>
      <c r="W75" s="56">
        <v>59.199999999996045</v>
      </c>
      <c r="X75" s="23" t="s">
        <v>192</v>
      </c>
      <c r="Y75" s="28" t="str">
        <f>_xlfn.CONCAT(COORDENADAS[[#This Row],[GG]],"° ",COORDENADAS[[#This Row],[MM]],"' ",FIXED(COORDENADAS[[#This Row],[SS]],2),""" ",COORDENADAS[[#This Row],[Weter]])</f>
        <v>73° 57' 36,20" W</v>
      </c>
      <c r="Z75" s="28">
        <v>73</v>
      </c>
      <c r="AA75" s="28">
        <v>57</v>
      </c>
      <c r="AB75" s="28">
        <v>36.200000000001339</v>
      </c>
      <c r="AC75" s="23" t="s">
        <v>193</v>
      </c>
      <c r="AD75" s="23">
        <v>37.380000000000003</v>
      </c>
      <c r="AE75" s="23">
        <v>0</v>
      </c>
    </row>
    <row r="76" spans="1:31" x14ac:dyDescent="0.35">
      <c r="A76" s="16"/>
      <c r="B76" s="12"/>
      <c r="C76" s="12"/>
      <c r="D76" s="12"/>
      <c r="E76" s="12"/>
      <c r="F76" s="12"/>
      <c r="G76" s="12"/>
      <c r="H76" s="12"/>
      <c r="I76" s="28" t="s">
        <v>520</v>
      </c>
      <c r="J76" s="28" t="s">
        <v>230</v>
      </c>
      <c r="K76" s="28" t="str">
        <f t="shared" si="2"/>
        <v>BagadóChoco</v>
      </c>
      <c r="L76" s="28"/>
      <c r="M76" s="28"/>
      <c r="N76" s="28"/>
      <c r="O76" s="69"/>
      <c r="P76" s="28"/>
      <c r="Q76" s="28" t="s">
        <v>521</v>
      </c>
      <c r="R76" s="28">
        <v>3.8408333333333333</v>
      </c>
      <c r="S76" s="28">
        <v>-77.001361111111109</v>
      </c>
      <c r="T76" s="28" t="str">
        <f>_xlfn.CONCAT(COORDENADAS[[#This Row],[G]],"° ",COORDENADAS[[#This Row],[M]],"' ",FIXED(COORDENADAS[[#This Row],[S]],2),""" ",COORDENADAS[[#This Row],[Norte]])</f>
        <v>3° 50' 26,58" N</v>
      </c>
      <c r="U76" s="41">
        <v>3</v>
      </c>
      <c r="V76" s="41">
        <v>50</v>
      </c>
      <c r="W76" s="56">
        <v>26.580000000000268</v>
      </c>
      <c r="X76" s="23" t="s">
        <v>192</v>
      </c>
      <c r="Y76" s="28" t="str">
        <f>_xlfn.CONCAT(COORDENADAS[[#This Row],[GG]],"° ",COORDENADAS[[#This Row],[MM]],"' ",FIXED(COORDENADAS[[#This Row],[SS]],2),""" ",COORDENADAS[[#This Row],[Weter]])</f>
        <v>77° 0' 4,82" W</v>
      </c>
      <c r="Z76" s="28">
        <v>77</v>
      </c>
      <c r="AA76" s="28">
        <v>0</v>
      </c>
      <c r="AB76" s="28">
        <v>4.8200000000235832</v>
      </c>
      <c r="AC76" s="23" t="s">
        <v>193</v>
      </c>
      <c r="AD76" s="23">
        <v>48.38</v>
      </c>
      <c r="AE76" s="23">
        <v>0</v>
      </c>
    </row>
    <row r="77" spans="1:31" x14ac:dyDescent="0.35">
      <c r="A77" s="29" t="s">
        <v>171</v>
      </c>
      <c r="B77" s="29" t="s">
        <v>173</v>
      </c>
      <c r="C77" s="29" t="s">
        <v>174</v>
      </c>
      <c r="D77" s="29" t="s">
        <v>175</v>
      </c>
      <c r="E77" s="29" t="s">
        <v>176</v>
      </c>
      <c r="F77" s="29" t="s">
        <v>178</v>
      </c>
      <c r="G77" s="12"/>
      <c r="H77" s="12"/>
      <c r="I77" s="28" t="s">
        <v>522</v>
      </c>
      <c r="J77" s="28" t="s">
        <v>230</v>
      </c>
      <c r="K77" s="28" t="str">
        <f t="shared" si="2"/>
        <v>Bahía SolanoChoco</v>
      </c>
      <c r="L77" s="28"/>
      <c r="M77" s="28"/>
      <c r="N77" s="28"/>
      <c r="O77" s="69"/>
      <c r="P77" s="28"/>
      <c r="Q77" s="28" t="s">
        <v>523</v>
      </c>
      <c r="R77" s="28">
        <v>1.6665833333333333</v>
      </c>
      <c r="S77" s="28">
        <v>-75.300161111111109</v>
      </c>
      <c r="T77" s="28" t="str">
        <f>_xlfn.CONCAT(COORDENADAS[[#This Row],[G]],"° ",COORDENADAS[[#This Row],[M]],"' ",FIXED(COORDENADAS[[#This Row],[S]],2),""" ",COORDENADAS[[#This Row],[Norte]])</f>
        <v>1° 39' 59,70" N</v>
      </c>
      <c r="U77" s="41">
        <v>1</v>
      </c>
      <c r="V77" s="41">
        <v>39</v>
      </c>
      <c r="W77" s="56">
        <v>59.7</v>
      </c>
      <c r="X77" s="23" t="s">
        <v>192</v>
      </c>
      <c r="Y77" s="28" t="str">
        <f>_xlfn.CONCAT(COORDENADAS[[#This Row],[GG]],"° ",COORDENADAS[[#This Row],[MM]],"' ",FIXED(COORDENADAS[[#This Row],[SS]],2),""" ",COORDENADAS[[#This Row],[Weter]])</f>
        <v>75° 18' 0,58" W</v>
      </c>
      <c r="Z77" s="28">
        <v>75</v>
      </c>
      <c r="AA77" s="28">
        <v>18</v>
      </c>
      <c r="AB77" s="28">
        <v>0.57999999999200913</v>
      </c>
      <c r="AC77" s="23" t="s">
        <v>193</v>
      </c>
      <c r="AD77" s="23">
        <v>48.38</v>
      </c>
      <c r="AE77" s="23">
        <v>0</v>
      </c>
    </row>
    <row r="78" spans="1:31" x14ac:dyDescent="0.35">
      <c r="A78" s="53" t="s">
        <v>194</v>
      </c>
      <c r="B78" s="29" t="s">
        <v>195</v>
      </c>
      <c r="C78" s="29" t="s">
        <v>196</v>
      </c>
      <c r="D78" s="29" t="s">
        <v>197</v>
      </c>
      <c r="E78" s="29"/>
      <c r="F78" s="29"/>
      <c r="G78" s="12"/>
      <c r="H78" s="12"/>
      <c r="I78" s="28" t="s">
        <v>524</v>
      </c>
      <c r="J78" s="28" t="s">
        <v>230</v>
      </c>
      <c r="K78" s="28" t="str">
        <f t="shared" si="2"/>
        <v>Bajo BaudóChoco</v>
      </c>
      <c r="L78" s="28"/>
      <c r="M78" s="28"/>
      <c r="N78" s="28"/>
      <c r="O78" s="69"/>
      <c r="P78" s="28"/>
      <c r="Q78" s="28" t="s">
        <v>525</v>
      </c>
      <c r="R78" s="28">
        <v>4.8306944444444442</v>
      </c>
      <c r="S78" s="28">
        <v>-75.719833333333341</v>
      </c>
      <c r="T78" s="28" t="str">
        <f>_xlfn.CONCAT(COORDENADAS[[#This Row],[G]],"° ",COORDENADAS[[#This Row],[M]],"' ",FIXED(COORDENADAS[[#This Row],[S]],2),""" ",COORDENADAS[[#This Row],[Norte]])</f>
        <v>4° 49' 50,50" N</v>
      </c>
      <c r="U78" s="41">
        <v>4</v>
      </c>
      <c r="V78" s="41">
        <v>49</v>
      </c>
      <c r="W78" s="56">
        <v>50.499999999999105</v>
      </c>
      <c r="X78" s="23" t="s">
        <v>192</v>
      </c>
      <c r="Y78" s="28" t="str">
        <f>_xlfn.CONCAT(COORDENADAS[[#This Row],[GG]],"° ",COORDENADAS[[#This Row],[MM]],"' ",FIXED(COORDENADAS[[#This Row],[SS]],2),""" ",COORDENADAS[[#This Row],[Weter]])</f>
        <v>75° 43' 11,40" W</v>
      </c>
      <c r="Z78" s="28">
        <v>75</v>
      </c>
      <c r="AA78" s="28">
        <v>43</v>
      </c>
      <c r="AB78" s="28">
        <v>11.400000000027122</v>
      </c>
      <c r="AC78" s="23" t="s">
        <v>193</v>
      </c>
      <c r="AD78" s="23">
        <v>48.38</v>
      </c>
      <c r="AE78" s="23">
        <v>0</v>
      </c>
    </row>
    <row r="79" spans="1:31" x14ac:dyDescent="0.35">
      <c r="A79" s="53" t="s">
        <v>82</v>
      </c>
      <c r="B79" s="29" t="s">
        <v>248</v>
      </c>
      <c r="C79" s="29" t="s">
        <v>249</v>
      </c>
      <c r="D79" s="29" t="s">
        <v>250</v>
      </c>
      <c r="E79" s="29" t="s">
        <v>251</v>
      </c>
      <c r="F79" s="29"/>
      <c r="G79" s="12"/>
      <c r="H79" s="12"/>
      <c r="I79" s="28" t="s">
        <v>526</v>
      </c>
      <c r="J79" s="28" t="s">
        <v>315</v>
      </c>
      <c r="K79" s="28" t="str">
        <f t="shared" si="2"/>
        <v>BalboaCauca</v>
      </c>
      <c r="L79" s="28"/>
      <c r="M79" s="28"/>
      <c r="N79" s="28"/>
      <c r="O79" s="69"/>
      <c r="P79" s="28"/>
      <c r="Q79" s="28" t="s">
        <v>527</v>
      </c>
      <c r="R79" s="28">
        <v>4.8473610000000003</v>
      </c>
      <c r="S79" s="28">
        <v>-75.714667000000006</v>
      </c>
      <c r="T79" s="28" t="str">
        <f>_xlfn.CONCAT(COORDENADAS[[#This Row],[G]],"° ",COORDENADAS[[#This Row],[M]],"' ",FIXED(COORDENADAS[[#This Row],[S]],2),""" ",COORDENADAS[[#This Row],[Norte]])</f>
        <v>4° 50' 50,50" N</v>
      </c>
      <c r="U79" s="41">
        <v>4</v>
      </c>
      <c r="V79" s="41">
        <v>50</v>
      </c>
      <c r="W79" s="56">
        <v>50.499600000000775</v>
      </c>
      <c r="X79" s="23" t="s">
        <v>192</v>
      </c>
      <c r="Y79" s="28" t="str">
        <f>_xlfn.CONCAT(COORDENADAS[[#This Row],[GG]],"° ",COORDENADAS[[#This Row],[MM]],"' ",FIXED(COORDENADAS[[#This Row],[SS]],2),""" ",COORDENADAS[[#This Row],[Weter]])</f>
        <v>75° 42' 52,80" W</v>
      </c>
      <c r="Z79" s="28">
        <v>75</v>
      </c>
      <c r="AA79" s="28">
        <v>42</v>
      </c>
      <c r="AB79" s="28">
        <v>52.801200000020728</v>
      </c>
      <c r="AC79" s="23" t="s">
        <v>193</v>
      </c>
      <c r="AD79" s="23">
        <v>42.6</v>
      </c>
      <c r="AE79" s="23">
        <v>43.1</v>
      </c>
    </row>
    <row r="80" spans="1:31" x14ac:dyDescent="0.35">
      <c r="A80" s="53" t="s">
        <v>262</v>
      </c>
      <c r="B80" s="29" t="s">
        <v>263</v>
      </c>
      <c r="C80" s="29" t="s">
        <v>264</v>
      </c>
      <c r="D80" s="29" t="s">
        <v>265</v>
      </c>
      <c r="E80" s="29"/>
      <c r="F80" s="29"/>
      <c r="G80" s="12"/>
      <c r="H80" s="12"/>
      <c r="I80" s="28" t="s">
        <v>526</v>
      </c>
      <c r="J80" s="28" t="s">
        <v>405</v>
      </c>
      <c r="K80" s="28" t="str">
        <f t="shared" si="2"/>
        <v>BalboaRisaralda</v>
      </c>
      <c r="L80" s="28"/>
      <c r="M80" s="28"/>
      <c r="N80" s="28"/>
      <c r="O80" s="69"/>
      <c r="P80" s="28"/>
      <c r="Q80" s="28" t="s">
        <v>528</v>
      </c>
      <c r="R80" s="28">
        <v>11.104041666666665</v>
      </c>
      <c r="S80" s="28">
        <v>-74.059486111111113</v>
      </c>
      <c r="T80" s="28" t="str">
        <f>_xlfn.CONCAT(COORDENADAS[[#This Row],[G]],"° ",COORDENADAS[[#This Row],[M]],"' ",FIXED(COORDENADAS[[#This Row],[S]],2),""" ",COORDENADAS[[#This Row],[Norte]])</f>
        <v>11° 6' 14,55" N</v>
      </c>
      <c r="U80" s="41">
        <v>11</v>
      </c>
      <c r="V80" s="41">
        <v>6</v>
      </c>
      <c r="W80" s="56">
        <v>14.5499999999957</v>
      </c>
      <c r="X80" s="23" t="s">
        <v>192</v>
      </c>
      <c r="Y80" s="28" t="str">
        <f>_xlfn.CONCAT(COORDENADAS[[#This Row],[GG]],"° ",COORDENADAS[[#This Row],[MM]],"' ",FIXED(COORDENADAS[[#This Row],[SS]],2),""" ",COORDENADAS[[#This Row],[Weter]])</f>
        <v>74° 3' 34,15" W</v>
      </c>
      <c r="Z80" s="28">
        <v>74</v>
      </c>
      <c r="AA80" s="28">
        <v>3</v>
      </c>
      <c r="AB80" s="28">
        <v>34.15000000000645</v>
      </c>
      <c r="AC80" s="23" t="s">
        <v>193</v>
      </c>
      <c r="AD80" s="23">
        <v>50.2</v>
      </c>
      <c r="AE80" s="23">
        <v>0</v>
      </c>
    </row>
    <row r="81" spans="1:31" x14ac:dyDescent="0.35">
      <c r="A81" s="53" t="s">
        <v>276</v>
      </c>
      <c r="B81" s="29" t="s">
        <v>277</v>
      </c>
      <c r="C81" s="29" t="s">
        <v>278</v>
      </c>
      <c r="D81" s="29"/>
      <c r="E81" s="29"/>
      <c r="F81" s="29"/>
      <c r="G81" s="12"/>
      <c r="H81" s="12"/>
      <c r="I81" s="28" t="s">
        <v>529</v>
      </c>
      <c r="J81" s="28" t="s">
        <v>231</v>
      </c>
      <c r="K81" s="28" t="str">
        <f t="shared" si="2"/>
        <v>BaranoaAtlantico</v>
      </c>
      <c r="L81" s="28"/>
      <c r="M81" s="28"/>
      <c r="N81" s="28"/>
      <c r="O81" s="69"/>
      <c r="P81" s="28"/>
      <c r="Q81" s="28" t="s">
        <v>530</v>
      </c>
      <c r="R81" s="28">
        <v>4.9605833333333331</v>
      </c>
      <c r="S81" s="28">
        <v>-75.352777777777774</v>
      </c>
      <c r="T81" s="28" t="str">
        <f>_xlfn.CONCAT(COORDENADAS[[#This Row],[G]],"° ",COORDENADAS[[#This Row],[M]],"' ",FIXED(COORDENADAS[[#This Row],[S]],2),""" ",COORDENADAS[[#This Row],[Norte]])</f>
        <v>4° 57' 38,10" N</v>
      </c>
      <c r="U81" s="41">
        <v>4</v>
      </c>
      <c r="V81" s="41">
        <v>57</v>
      </c>
      <c r="W81" s="56">
        <v>38.099999999999397</v>
      </c>
      <c r="X81" s="23" t="s">
        <v>192</v>
      </c>
      <c r="Y81" s="28" t="str">
        <f>_xlfn.CONCAT(COORDENADAS[[#This Row],[GG]],"° ",COORDENADAS[[#This Row],[MM]],"' ",FIXED(COORDENADAS[[#This Row],[SS]],2),""" ",COORDENADAS[[#This Row],[Weter]])</f>
        <v>75° 21' 10,00" W</v>
      </c>
      <c r="Z81" s="28">
        <v>75</v>
      </c>
      <c r="AA81" s="28">
        <v>21</v>
      </c>
      <c r="AB81" s="28">
        <v>9.9999999999875744</v>
      </c>
      <c r="AC81" s="23" t="s">
        <v>193</v>
      </c>
      <c r="AD81" s="23">
        <v>50.92</v>
      </c>
      <c r="AE81" s="23">
        <v>0</v>
      </c>
    </row>
    <row r="82" spans="1:31" x14ac:dyDescent="0.35">
      <c r="A82" s="53" t="s">
        <v>286</v>
      </c>
      <c r="B82" s="29" t="s">
        <v>286</v>
      </c>
      <c r="C82" s="29" t="s">
        <v>287</v>
      </c>
      <c r="D82" s="29"/>
      <c r="E82" s="29"/>
      <c r="F82" s="29"/>
      <c r="G82" s="12"/>
      <c r="H82" s="12"/>
      <c r="I82" s="28" t="s">
        <v>531</v>
      </c>
      <c r="J82" s="28" t="s">
        <v>245</v>
      </c>
      <c r="K82" s="28" t="str">
        <f t="shared" si="2"/>
        <v>BarayaHuila</v>
      </c>
      <c r="L82" s="28"/>
      <c r="M82" s="28"/>
      <c r="N82" s="28"/>
      <c r="O82" s="69"/>
      <c r="P82" s="28"/>
      <c r="Q82" s="28" t="s">
        <v>532</v>
      </c>
      <c r="R82" s="28">
        <v>1.7377222222222224</v>
      </c>
      <c r="S82" s="28">
        <v>-77.335666666666668</v>
      </c>
      <c r="T82" s="28" t="str">
        <f>_xlfn.CONCAT(COORDENADAS[[#This Row],[G]],"° ",COORDENADAS[[#This Row],[M]],"' ",FIXED(COORDENADAS[[#This Row],[S]],2),""" ",COORDENADAS[[#This Row],[Norte]])</f>
        <v>1° 44' 16,19" N</v>
      </c>
      <c r="U82" s="41">
        <v>1</v>
      </c>
      <c r="V82" s="41">
        <v>44</v>
      </c>
      <c r="W82" s="56">
        <v>16.186275600000542</v>
      </c>
      <c r="X82" s="23" t="s">
        <v>192</v>
      </c>
      <c r="Y82" s="28" t="str">
        <f>_xlfn.CONCAT(COORDENADAS[[#This Row],[GG]],"° ",COORDENADAS[[#This Row],[MM]],"' ",FIXED(COORDENADAS[[#This Row],[SS]],2),""" ",COORDENADAS[[#This Row],[Weter]])</f>
        <v>77° 20' 8,68" W</v>
      </c>
      <c r="Z82" s="28">
        <v>77</v>
      </c>
      <c r="AA82" s="28">
        <v>20</v>
      </c>
      <c r="AB82" s="28">
        <v>8.6827344000199211</v>
      </c>
      <c r="AC82" s="23" t="s">
        <v>193</v>
      </c>
      <c r="AD82" s="23">
        <v>40.799999999999997</v>
      </c>
      <c r="AE82" s="23">
        <v>41</v>
      </c>
    </row>
    <row r="83" spans="1:31" x14ac:dyDescent="0.35">
      <c r="A83" s="53" t="s">
        <v>297</v>
      </c>
      <c r="B83" s="29" t="s">
        <v>297</v>
      </c>
      <c r="C83" s="29" t="s">
        <v>298</v>
      </c>
      <c r="D83" s="29"/>
      <c r="E83" s="29"/>
      <c r="F83" s="29"/>
      <c r="G83" s="12"/>
      <c r="H83" s="12"/>
      <c r="I83" s="28" t="s">
        <v>533</v>
      </c>
      <c r="J83" s="28" t="s">
        <v>352</v>
      </c>
      <c r="K83" s="28" t="str">
        <f t="shared" si="2"/>
        <v>BarbacoasNariño</v>
      </c>
      <c r="L83" s="28"/>
      <c r="M83" s="28"/>
      <c r="N83" s="28"/>
      <c r="O83" s="69"/>
      <c r="P83" s="28"/>
      <c r="Q83" s="28" t="s">
        <v>534</v>
      </c>
      <c r="R83" s="28">
        <v>4.9512777779999997</v>
      </c>
      <c r="S83" s="28">
        <v>-75.351500000000001</v>
      </c>
      <c r="T83" s="28" t="str">
        <f>_xlfn.CONCAT(COORDENADAS[[#This Row],[G]],"° ",COORDENADAS[[#This Row],[M]],"' ",FIXED(COORDENADAS[[#This Row],[S]],2),""" ",COORDENADAS[[#This Row],[Norte]])</f>
        <v>4° 57' 4,60" N</v>
      </c>
      <c r="U83" s="41">
        <v>4</v>
      </c>
      <c r="V83" s="41">
        <v>57</v>
      </c>
      <c r="W83" s="56">
        <v>4.6000007999990267</v>
      </c>
      <c r="X83" s="23" t="s">
        <v>192</v>
      </c>
      <c r="Y83" s="28" t="str">
        <f>_xlfn.CONCAT(COORDENADAS[[#This Row],[GG]],"° ",COORDENADAS[[#This Row],[MM]],"' ",FIXED(COORDENADAS[[#This Row],[SS]],2),""" ",COORDENADAS[[#This Row],[Weter]])</f>
        <v>75° 21' 5,40" W</v>
      </c>
      <c r="Z83" s="28">
        <v>75</v>
      </c>
      <c r="AA83" s="28">
        <v>21</v>
      </c>
      <c r="AB83" s="28">
        <v>5.4000000000054005</v>
      </c>
      <c r="AC83" s="23" t="s">
        <v>193</v>
      </c>
      <c r="AD83" s="23">
        <v>42.6</v>
      </c>
      <c r="AE83" s="23">
        <v>43.1</v>
      </c>
    </row>
    <row r="84" spans="1:31" x14ac:dyDescent="0.35">
      <c r="A84" s="53" t="s">
        <v>307</v>
      </c>
      <c r="B84" s="29" t="s">
        <v>308</v>
      </c>
      <c r="C84" s="29" t="s">
        <v>309</v>
      </c>
      <c r="D84" s="29"/>
      <c r="E84" s="29"/>
      <c r="F84" s="29"/>
      <c r="G84" s="12"/>
      <c r="H84" s="12"/>
      <c r="I84" s="28" t="s">
        <v>535</v>
      </c>
      <c r="J84" s="28" t="s">
        <v>154</v>
      </c>
      <c r="K84" s="28" t="str">
        <f t="shared" si="2"/>
        <v>BarbosaAntioquia</v>
      </c>
      <c r="L84" s="28"/>
      <c r="M84" s="28"/>
      <c r="N84" s="28"/>
      <c r="O84" s="69"/>
      <c r="P84" s="28"/>
      <c r="Q84" s="28" t="s">
        <v>536</v>
      </c>
      <c r="R84" s="28">
        <v>1.4242222222222223</v>
      </c>
      <c r="S84" s="28">
        <v>-77.391694444444454</v>
      </c>
      <c r="T84" s="28" t="str">
        <f>_xlfn.CONCAT(COORDENADAS[[#This Row],[G]],"° ",COORDENADAS[[#This Row],[M]],"' ",FIXED(COORDENADAS[[#This Row],[S]],2),""" ",COORDENADAS[[#This Row],[Norte]])</f>
        <v>1° 25' 27,20" N</v>
      </c>
      <c r="U84" s="41">
        <v>1</v>
      </c>
      <c r="V84" s="41">
        <v>25</v>
      </c>
      <c r="W84" s="56">
        <v>27.200000000000134</v>
      </c>
      <c r="X84" s="23" t="s">
        <v>192</v>
      </c>
      <c r="Y84" s="28" t="str">
        <f>_xlfn.CONCAT(COORDENADAS[[#This Row],[GG]],"° ",COORDENADAS[[#This Row],[MM]],"' ",FIXED(COORDENADAS[[#This Row],[SS]],2),""" ",COORDENADAS[[#This Row],[Weter]])</f>
        <v>77° 23' 30,10" W</v>
      </c>
      <c r="Z84" s="28">
        <v>77</v>
      </c>
      <c r="AA84" s="28">
        <v>23</v>
      </c>
      <c r="AB84" s="28">
        <v>30.100000000033923</v>
      </c>
      <c r="AC84" s="23" t="s">
        <v>193</v>
      </c>
      <c r="AD84" s="23">
        <v>34.82</v>
      </c>
      <c r="AE84" s="23">
        <v>0</v>
      </c>
    </row>
    <row r="85" spans="1:31" x14ac:dyDescent="0.35">
      <c r="A85" s="53" t="s">
        <v>317</v>
      </c>
      <c r="B85" s="29" t="s">
        <v>317</v>
      </c>
      <c r="C85" s="29" t="s">
        <v>318</v>
      </c>
      <c r="D85" s="29"/>
      <c r="E85" s="29"/>
      <c r="F85" s="29"/>
      <c r="G85" s="12"/>
      <c r="H85" s="12"/>
      <c r="I85" s="28" t="s">
        <v>535</v>
      </c>
      <c r="J85" s="28" t="s">
        <v>304</v>
      </c>
      <c r="K85" s="28" t="str">
        <f t="shared" si="2"/>
        <v>BarbosaSantander</v>
      </c>
      <c r="L85" s="28"/>
      <c r="M85" s="28"/>
      <c r="N85" s="28"/>
      <c r="O85" s="69"/>
      <c r="P85" s="28"/>
      <c r="Q85" s="28" t="s">
        <v>537</v>
      </c>
      <c r="R85" s="28">
        <v>6.2767777777777773</v>
      </c>
      <c r="S85" s="28">
        <v>-75.333361111111103</v>
      </c>
      <c r="T85" s="28" t="str">
        <f>_xlfn.CONCAT(COORDENADAS[[#This Row],[G]],"° ",COORDENADAS[[#This Row],[M]],"' ",FIXED(COORDENADAS[[#This Row],[S]],2),""" ",COORDENADAS[[#This Row],[Norte]])</f>
        <v>6° 16' 36,40" N</v>
      </c>
      <c r="U85" s="41">
        <v>6</v>
      </c>
      <c r="V85" s="41">
        <v>16</v>
      </c>
      <c r="W85" s="56">
        <v>36.399999999998457</v>
      </c>
      <c r="X85" s="23" t="s">
        <v>192</v>
      </c>
      <c r="Y85" s="28" t="str">
        <f>_xlfn.CONCAT(COORDENADAS[[#This Row],[GG]],"° ",COORDENADAS[[#This Row],[MM]],"' ",FIXED(COORDENADAS[[#This Row],[SS]],2),""" ",COORDENADAS[[#This Row],[Weter]])</f>
        <v>75° 20' 0,10" W</v>
      </c>
      <c r="Z85" s="28">
        <v>75</v>
      </c>
      <c r="AA85" s="28">
        <v>20</v>
      </c>
      <c r="AB85" s="28">
        <v>9.9999999969280218E-2</v>
      </c>
      <c r="AC85" s="23" t="s">
        <v>193</v>
      </c>
      <c r="AD85" s="23">
        <v>34.82</v>
      </c>
      <c r="AE85" s="23">
        <v>0</v>
      </c>
    </row>
    <row r="86" spans="1:31" x14ac:dyDescent="0.35">
      <c r="A86" s="53" t="s">
        <v>325</v>
      </c>
      <c r="B86" s="29" t="s">
        <v>325</v>
      </c>
      <c r="C86" s="29"/>
      <c r="D86" s="29"/>
      <c r="E86" s="29"/>
      <c r="F86" s="29"/>
      <c r="G86" s="12"/>
      <c r="H86" s="12"/>
      <c r="I86" s="28" t="s">
        <v>538</v>
      </c>
      <c r="J86" s="28" t="s">
        <v>304</v>
      </c>
      <c r="K86" s="28" t="str">
        <f t="shared" si="2"/>
        <v>BaricharaSantander</v>
      </c>
      <c r="L86" s="28"/>
      <c r="M86" s="28"/>
      <c r="N86" s="28"/>
      <c r="O86" s="69"/>
      <c r="P86" s="28"/>
      <c r="Q86" s="28" t="s">
        <v>539</v>
      </c>
      <c r="R86" s="28">
        <v>1.6154305555555557</v>
      </c>
      <c r="S86" s="28">
        <v>-75.588611111111106</v>
      </c>
      <c r="T86" s="28" t="str">
        <f>_xlfn.CONCAT(COORDENADAS[[#This Row],[G]],"° ",COORDENADAS[[#This Row],[M]],"' ",FIXED(COORDENADAS[[#This Row],[S]],2),""" ",COORDENADAS[[#This Row],[Norte]])</f>
        <v>1° 36' 55,55" N</v>
      </c>
      <c r="U86" s="41">
        <v>1</v>
      </c>
      <c r="V86" s="41">
        <v>36</v>
      </c>
      <c r="W86" s="56">
        <v>55.550000000000608</v>
      </c>
      <c r="X86" s="23" t="s">
        <v>192</v>
      </c>
      <c r="Y86" s="28" t="str">
        <f>_xlfn.CONCAT(COORDENADAS[[#This Row],[GG]],"° ",COORDENADAS[[#This Row],[MM]],"' ",FIXED(COORDENADAS[[#This Row],[SS]],2),""" ",COORDENADAS[[#This Row],[Weter]])</f>
        <v>75° 35' 19,00" W</v>
      </c>
      <c r="Z86" s="28">
        <v>75</v>
      </c>
      <c r="AA86" s="28">
        <v>35</v>
      </c>
      <c r="AB86" s="28">
        <v>18.999999999982585</v>
      </c>
      <c r="AC86" s="23" t="s">
        <v>193</v>
      </c>
      <c r="AD86" s="23">
        <v>48.38</v>
      </c>
      <c r="AE86" s="23">
        <v>0</v>
      </c>
    </row>
    <row r="87" spans="1:31" x14ac:dyDescent="0.35">
      <c r="A87" s="53" t="s">
        <v>330</v>
      </c>
      <c r="B87" s="29" t="s">
        <v>331</v>
      </c>
      <c r="C87" s="29" t="s">
        <v>332</v>
      </c>
      <c r="D87" s="29"/>
      <c r="E87" s="29"/>
      <c r="F87" s="29"/>
      <c r="G87" s="12"/>
      <c r="H87" s="12"/>
      <c r="I87" s="28" t="s">
        <v>540</v>
      </c>
      <c r="J87" s="28" t="s">
        <v>210</v>
      </c>
      <c r="K87" s="28" t="str">
        <f t="shared" si="2"/>
        <v>Barranca de UpíaMeta</v>
      </c>
      <c r="L87" s="28"/>
      <c r="M87" s="28"/>
      <c r="N87" s="28"/>
      <c r="O87" s="69"/>
      <c r="P87" s="28"/>
      <c r="Q87" s="28" t="s">
        <v>541</v>
      </c>
      <c r="R87" s="28">
        <v>5.9487500000000004</v>
      </c>
      <c r="S87" s="28">
        <v>-75.655416666666667</v>
      </c>
      <c r="T87" s="28" t="str">
        <f>_xlfn.CONCAT(COORDENADAS[[#This Row],[G]],"° ",COORDENADAS[[#This Row],[M]],"' ",FIXED(COORDENADAS[[#This Row],[S]],2),""" ",COORDENADAS[[#This Row],[Norte]])</f>
        <v>5° 56' 55,50" N</v>
      </c>
      <c r="U87" s="41">
        <v>5</v>
      </c>
      <c r="V87" s="41">
        <v>56</v>
      </c>
      <c r="W87" s="56">
        <v>55.500000000001478</v>
      </c>
      <c r="X87" s="23" t="s">
        <v>192</v>
      </c>
      <c r="Y87" s="28" t="str">
        <f>_xlfn.CONCAT(COORDENADAS[[#This Row],[GG]],"° ",COORDENADAS[[#This Row],[MM]],"' ",FIXED(COORDENADAS[[#This Row],[SS]],2),""" ",COORDENADAS[[#This Row],[Weter]])</f>
        <v>75° 39' 19,50" W</v>
      </c>
      <c r="Z87" s="28">
        <v>75</v>
      </c>
      <c r="AA87" s="28">
        <v>39</v>
      </c>
      <c r="AB87" s="28">
        <v>19.50000000000265</v>
      </c>
      <c r="AC87" s="23" t="s">
        <v>193</v>
      </c>
      <c r="AD87" s="23">
        <v>34.82</v>
      </c>
      <c r="AE87" s="23">
        <v>0</v>
      </c>
    </row>
    <row r="88" spans="1:31" x14ac:dyDescent="0.35">
      <c r="A88" s="53" t="s">
        <v>542</v>
      </c>
      <c r="B88" s="29" t="s">
        <v>340</v>
      </c>
      <c r="C88" s="29" t="s">
        <v>341</v>
      </c>
      <c r="D88" s="29"/>
      <c r="E88" s="29"/>
      <c r="F88" s="29"/>
      <c r="G88" s="12"/>
      <c r="H88" s="12"/>
      <c r="I88" s="28" t="s">
        <v>543</v>
      </c>
      <c r="J88" s="28" t="s">
        <v>304</v>
      </c>
      <c r="K88" s="28" t="str">
        <f t="shared" si="2"/>
        <v>BarrancabermejaSantander</v>
      </c>
      <c r="L88" s="28"/>
      <c r="M88" s="28"/>
      <c r="N88" s="28"/>
      <c r="O88" s="69"/>
      <c r="P88" s="28"/>
      <c r="Q88" s="28" t="s">
        <v>544</v>
      </c>
      <c r="R88" s="28">
        <v>6.7834722222222217</v>
      </c>
      <c r="S88" s="28">
        <v>-76.114444444444445</v>
      </c>
      <c r="T88" s="28" t="str">
        <f>_xlfn.CONCAT(COORDENADAS[[#This Row],[G]],"° ",COORDENADAS[[#This Row],[M]],"' ",FIXED(COORDENADAS[[#This Row],[S]],2),""" ",COORDENADAS[[#This Row],[Norte]])</f>
        <v>6° 47' 0,50" N</v>
      </c>
      <c r="U88" s="41">
        <v>6</v>
      </c>
      <c r="V88" s="41">
        <v>47</v>
      </c>
      <c r="W88" s="56">
        <v>0.49999999999807976</v>
      </c>
      <c r="X88" s="23" t="s">
        <v>192</v>
      </c>
      <c r="Y88" s="28" t="str">
        <f>_xlfn.CONCAT(COORDENADAS[[#This Row],[GG]],"° ",COORDENADAS[[#This Row],[MM]],"' ",FIXED(COORDENADAS[[#This Row],[SS]],2),""" ",COORDENADAS[[#This Row],[Weter]])</f>
        <v>76° 6' 52,00" W</v>
      </c>
      <c r="Z88" s="28">
        <v>76</v>
      </c>
      <c r="AA88" s="28">
        <v>6</v>
      </c>
      <c r="AB88" s="28">
        <v>52.000000000000433</v>
      </c>
      <c r="AC88" s="23" t="s">
        <v>193</v>
      </c>
      <c r="AD88" s="23">
        <v>34.82</v>
      </c>
      <c r="AE88" s="23">
        <v>0</v>
      </c>
    </row>
    <row r="89" spans="1:31" x14ac:dyDescent="0.35">
      <c r="A89" s="53" t="s">
        <v>346</v>
      </c>
      <c r="B89" s="29" t="s">
        <v>346</v>
      </c>
      <c r="C89" s="29" t="s">
        <v>347</v>
      </c>
      <c r="D89" s="29"/>
      <c r="E89" s="29"/>
      <c r="F89" s="29"/>
      <c r="G89" s="12"/>
      <c r="H89" s="12"/>
      <c r="I89" s="28" t="s">
        <v>545</v>
      </c>
      <c r="J89" s="28" t="s">
        <v>369</v>
      </c>
      <c r="K89" s="28" t="str">
        <f t="shared" si="2"/>
        <v>BarrancasLa Guajira</v>
      </c>
      <c r="L89" s="28"/>
      <c r="M89" s="28"/>
      <c r="N89" s="28"/>
      <c r="O89" s="69"/>
      <c r="P89" s="28"/>
      <c r="Q89" s="28" t="s">
        <v>546</v>
      </c>
      <c r="R89" s="28">
        <v>6.7846666666666664</v>
      </c>
      <c r="S89" s="28">
        <v>-76.175205555555564</v>
      </c>
      <c r="T89" s="28" t="str">
        <f>_xlfn.CONCAT(COORDENADAS[[#This Row],[G]],"° ",COORDENADAS[[#This Row],[M]],"' ",FIXED(COORDENADAS[[#This Row],[S]],2),""" ",COORDENADAS[[#This Row],[Norte]])</f>
        <v>6° 47' 4,80" N</v>
      </c>
      <c r="U89" s="41">
        <v>6</v>
      </c>
      <c r="V89" s="41">
        <v>47</v>
      </c>
      <c r="W89" s="56">
        <v>4.800001199999171</v>
      </c>
      <c r="X89" s="23" t="s">
        <v>192</v>
      </c>
      <c r="Y89" s="28" t="str">
        <f>_xlfn.CONCAT(COORDENADAS[[#This Row],[GG]],"° ",COORDENADAS[[#This Row],[MM]],"' ",FIXED(COORDENADAS[[#This Row],[SS]],2),""" ",COORDENADAS[[#This Row],[Weter]])</f>
        <v>76° 10' 30,74" W</v>
      </c>
      <c r="Z89" s="28">
        <v>76</v>
      </c>
      <c r="AA89" s="28">
        <v>10</v>
      </c>
      <c r="AB89" s="28">
        <v>30.740015999981583</v>
      </c>
      <c r="AC89" s="23" t="s">
        <v>193</v>
      </c>
      <c r="AD89" s="23">
        <v>40.6</v>
      </c>
      <c r="AE89" s="23">
        <v>40.799999999999997</v>
      </c>
    </row>
    <row r="90" spans="1:31" x14ac:dyDescent="0.35">
      <c r="A90" s="53" t="s">
        <v>387</v>
      </c>
      <c r="B90" s="29"/>
      <c r="C90" s="29"/>
      <c r="D90" s="29"/>
      <c r="E90" s="29"/>
      <c r="F90" s="29"/>
      <c r="G90" s="12"/>
      <c r="H90" s="12"/>
      <c r="I90" s="28" t="s">
        <v>547</v>
      </c>
      <c r="J90" s="28" t="s">
        <v>260</v>
      </c>
      <c r="K90" s="28" t="str">
        <f t="shared" si="2"/>
        <v>Barranco de LobaBolivar</v>
      </c>
      <c r="L90" s="28"/>
      <c r="M90" s="28"/>
      <c r="N90" s="28"/>
      <c r="O90" s="69"/>
      <c r="P90" s="28"/>
      <c r="Q90" s="28" t="s">
        <v>548</v>
      </c>
      <c r="R90" s="28">
        <v>1.884888889</v>
      </c>
      <c r="S90" s="28">
        <v>-75.674083332999999</v>
      </c>
      <c r="T90" s="28" t="str">
        <f>_xlfn.CONCAT(COORDENADAS[[#This Row],[G]],"° ",COORDENADAS[[#This Row],[M]],"' ",FIXED(COORDENADAS[[#This Row],[S]],2),""" ",COORDENADAS[[#This Row],[Norte]])</f>
        <v>1° 53' 4,96" N</v>
      </c>
      <c r="U90" s="41">
        <v>1</v>
      </c>
      <c r="V90" s="41">
        <v>53</v>
      </c>
      <c r="W90" s="56">
        <v>4.9624620000003894</v>
      </c>
      <c r="X90" s="23" t="s">
        <v>192</v>
      </c>
      <c r="Y90" s="28" t="str">
        <f>_xlfn.CONCAT(COORDENADAS[[#This Row],[GG]],"° ",COORDENADAS[[#This Row],[MM]],"' ",FIXED(COORDENADAS[[#This Row],[SS]],2),""" ",COORDENADAS[[#This Row],[Weter]])</f>
        <v>75° 40' 26,03" W</v>
      </c>
      <c r="Z90" s="28">
        <v>75</v>
      </c>
      <c r="AA90" s="28">
        <v>40</v>
      </c>
      <c r="AB90" s="28">
        <v>26.029041599974924</v>
      </c>
      <c r="AC90" s="23" t="s">
        <v>193</v>
      </c>
      <c r="AD90" s="23">
        <v>40.799999999999997</v>
      </c>
      <c r="AE90" s="23">
        <v>40.700000000000003</v>
      </c>
    </row>
    <row r="91" spans="1:31" x14ac:dyDescent="0.35">
      <c r="A91" s="53" t="s">
        <v>549</v>
      </c>
      <c r="B91" s="29" t="s">
        <v>363</v>
      </c>
      <c r="C91" s="29" t="s">
        <v>364</v>
      </c>
      <c r="D91" s="29"/>
      <c r="E91" s="29"/>
      <c r="F91" s="29"/>
      <c r="G91" s="12"/>
      <c r="H91" s="12"/>
      <c r="I91" s="28" t="s">
        <v>550</v>
      </c>
      <c r="J91" s="28" t="s">
        <v>353</v>
      </c>
      <c r="K91" s="28" t="str">
        <f t="shared" si="2"/>
        <v>Barranco MinasGuainia</v>
      </c>
      <c r="L91" s="28"/>
      <c r="M91" s="28"/>
      <c r="N91" s="28"/>
      <c r="O91" s="69"/>
      <c r="P91" s="28"/>
      <c r="Q91" s="28" t="s">
        <v>551</v>
      </c>
      <c r="R91" s="28">
        <v>1.2106388888888888</v>
      </c>
      <c r="S91" s="28">
        <v>-77.357166666666657</v>
      </c>
      <c r="T91" s="28" t="str">
        <f>_xlfn.CONCAT(COORDENADAS[[#This Row],[G]],"° ",COORDENADAS[[#This Row],[M]],"' ",FIXED(COORDENADAS[[#This Row],[S]],2),""" ",COORDENADAS[[#This Row],[Norte]])</f>
        <v>1° 12' 38,30" N</v>
      </c>
      <c r="U91" s="41">
        <v>1</v>
      </c>
      <c r="V91" s="41">
        <v>12</v>
      </c>
      <c r="W91" s="56">
        <v>38.299999999999713</v>
      </c>
      <c r="X91" s="23" t="s">
        <v>192</v>
      </c>
      <c r="Y91" s="28" t="str">
        <f>_xlfn.CONCAT(COORDENADAS[[#This Row],[GG]],"° ",COORDENADAS[[#This Row],[MM]],"' ",FIXED(COORDENADAS[[#This Row],[SS]],2),""" ",COORDENADAS[[#This Row],[Weter]])</f>
        <v>77° 21' 25,80" W</v>
      </c>
      <c r="Z91" s="28">
        <v>77</v>
      </c>
      <c r="AA91" s="28">
        <v>21</v>
      </c>
      <c r="AB91" s="28">
        <v>25.799999999966381</v>
      </c>
      <c r="AC91" s="23" t="s">
        <v>193</v>
      </c>
      <c r="AD91" s="23">
        <v>48.29</v>
      </c>
      <c r="AE91" s="23">
        <v>0</v>
      </c>
    </row>
    <row r="92" spans="1:31" x14ac:dyDescent="0.35">
      <c r="A92" s="64"/>
      <c r="I92" s="28" t="s">
        <v>552</v>
      </c>
      <c r="J92" s="28" t="s">
        <v>231</v>
      </c>
      <c r="K92" s="28" t="str">
        <f t="shared" si="2"/>
        <v>BarranquillaAtlantico</v>
      </c>
      <c r="L92" s="28"/>
      <c r="M92" s="28"/>
      <c r="N92" s="28"/>
      <c r="O92" s="69"/>
      <c r="P92" s="28"/>
      <c r="Q92" s="28" t="s">
        <v>553</v>
      </c>
      <c r="R92" s="28">
        <v>1.2097222219999999</v>
      </c>
      <c r="S92" s="28">
        <v>-77.357249999999993</v>
      </c>
      <c r="T92" s="28" t="str">
        <f>_xlfn.CONCAT(COORDENADAS[[#This Row],[G]],"° ",COORDENADAS[[#This Row],[M]],"' ",FIXED(COORDENADAS[[#This Row],[S]],2),""" ",COORDENADAS[[#This Row],[Norte]])</f>
        <v>1° 12' 35,00" N</v>
      </c>
      <c r="U92" s="41">
        <v>1</v>
      </c>
      <c r="V92" s="41">
        <v>12</v>
      </c>
      <c r="W92" s="56">
        <v>34.999999199999607</v>
      </c>
      <c r="X92" s="23" t="s">
        <v>192</v>
      </c>
      <c r="Y92" s="28" t="str">
        <f>_xlfn.CONCAT(COORDENADAS[[#This Row],[GG]],"° ",COORDENADAS[[#This Row],[MM]],"' ",FIXED(COORDENADAS[[#This Row],[SS]],2),""" ",COORDENADAS[[#This Row],[Weter]])</f>
        <v>77° 21' 26,10" W</v>
      </c>
      <c r="Z92" s="28">
        <v>77</v>
      </c>
      <c r="AA92" s="28">
        <v>21</v>
      </c>
      <c r="AB92" s="28">
        <v>26.09999999997634</v>
      </c>
      <c r="AC92" s="23" t="s">
        <v>193</v>
      </c>
      <c r="AD92" s="23">
        <v>40.799999999999997</v>
      </c>
      <c r="AE92" s="23">
        <v>41</v>
      </c>
    </row>
    <row r="93" spans="1:31" x14ac:dyDescent="0.35">
      <c r="I93" s="28" t="s">
        <v>554</v>
      </c>
      <c r="J93" s="28" t="s">
        <v>293</v>
      </c>
      <c r="K93" s="28" t="str">
        <f t="shared" si="2"/>
        <v>BecerrilCesar</v>
      </c>
      <c r="L93" s="28"/>
      <c r="M93" s="28"/>
      <c r="N93" s="28"/>
      <c r="O93" s="69"/>
      <c r="P93" s="28"/>
      <c r="Q93" s="28" t="s">
        <v>555</v>
      </c>
      <c r="R93" s="28">
        <v>2.1968611111111107</v>
      </c>
      <c r="S93" s="28">
        <v>-75.631472222222214</v>
      </c>
      <c r="T93" s="28" t="str">
        <f>_xlfn.CONCAT(COORDENADAS[[#This Row],[G]],"° ",COORDENADAS[[#This Row],[M]],"' ",FIXED(COORDENADAS[[#This Row],[S]],2),""" ",COORDENADAS[[#This Row],[Norte]])</f>
        <v>2° 11' 48,70" N</v>
      </c>
      <c r="U93" s="41">
        <v>2</v>
      </c>
      <c r="V93" s="41">
        <v>11</v>
      </c>
      <c r="W93" s="56">
        <v>48.699999999998603</v>
      </c>
      <c r="X93" s="23" t="s">
        <v>192</v>
      </c>
      <c r="Y93" s="28" t="str">
        <f>_xlfn.CONCAT(COORDENADAS[[#This Row],[GG]],"° ",COORDENADAS[[#This Row],[MM]],"' ",FIXED(COORDENADAS[[#This Row],[SS]],2),""" ",COORDENADAS[[#This Row],[Weter]])</f>
        <v>75° 37' 53,30" W</v>
      </c>
      <c r="Z93" s="28">
        <v>75</v>
      </c>
      <c r="AA93" s="28">
        <v>37</v>
      </c>
      <c r="AB93" s="28">
        <v>53.299999999971881</v>
      </c>
      <c r="AC93" s="23" t="s">
        <v>193</v>
      </c>
      <c r="AD93" s="23">
        <v>48.38</v>
      </c>
      <c r="AE93" s="23">
        <v>0</v>
      </c>
    </row>
    <row r="94" spans="1:31" x14ac:dyDescent="0.35">
      <c r="I94" s="28" t="s">
        <v>556</v>
      </c>
      <c r="J94" s="28" t="s">
        <v>284</v>
      </c>
      <c r="K94" s="28" t="str">
        <f t="shared" si="2"/>
        <v>BelalcázarCaldas</v>
      </c>
      <c r="L94" s="28"/>
      <c r="M94" s="28"/>
      <c r="N94" s="28"/>
      <c r="O94" s="69"/>
      <c r="P94" s="28"/>
      <c r="Q94" s="28" t="s">
        <v>557</v>
      </c>
      <c r="R94" s="28">
        <v>2.3963055555555557</v>
      </c>
      <c r="S94" s="28">
        <v>-75.548694444444436</v>
      </c>
      <c r="T94" s="28" t="str">
        <f>_xlfn.CONCAT(COORDENADAS[[#This Row],[G]],"° ",COORDENADAS[[#This Row],[M]],"' ",FIXED(COORDENADAS[[#This Row],[S]],2),""" ",COORDENADAS[[#This Row],[Norte]])</f>
        <v>2° 23' 46,70" N</v>
      </c>
      <c r="U94" s="41">
        <v>2</v>
      </c>
      <c r="V94" s="41">
        <v>23</v>
      </c>
      <c r="W94" s="56">
        <v>46.700000000000387</v>
      </c>
      <c r="X94" s="23" t="s">
        <v>192</v>
      </c>
      <c r="Y94" s="28" t="str">
        <f>_xlfn.CONCAT(COORDENADAS[[#This Row],[GG]],"° ",COORDENADAS[[#This Row],[MM]],"' ",FIXED(COORDENADAS[[#This Row],[SS]],2),""" ",COORDENADAS[[#This Row],[Weter]])</f>
        <v>75° 32' 55,30" W</v>
      </c>
      <c r="Z94" s="28">
        <v>75</v>
      </c>
      <c r="AA94" s="28">
        <v>32</v>
      </c>
      <c r="AB94" s="28">
        <v>55.299999999970197</v>
      </c>
      <c r="AC94" s="23" t="s">
        <v>193</v>
      </c>
      <c r="AD94" s="23">
        <v>34.82</v>
      </c>
      <c r="AE94" s="23">
        <v>0</v>
      </c>
    </row>
    <row r="95" spans="1:31" x14ac:dyDescent="0.35">
      <c r="I95" s="28" t="s">
        <v>558</v>
      </c>
      <c r="J95" s="28" t="s">
        <v>274</v>
      </c>
      <c r="K95" s="28" t="str">
        <f t="shared" si="2"/>
        <v>BelénBoyaca</v>
      </c>
      <c r="L95" s="28"/>
      <c r="M95" s="28"/>
      <c r="N95" s="28"/>
      <c r="O95" s="69"/>
      <c r="P95" s="28"/>
      <c r="Q95" s="28" t="s">
        <v>559</v>
      </c>
      <c r="R95" s="28">
        <v>5.0762777777777774</v>
      </c>
      <c r="S95" s="28">
        <v>-74.593999999999994</v>
      </c>
      <c r="T95" s="28" t="str">
        <f>_xlfn.CONCAT(COORDENADAS[[#This Row],[G]],"° ",COORDENADAS[[#This Row],[M]],"' ",FIXED(COORDENADAS[[#This Row],[S]],2),""" ",COORDENADAS[[#This Row],[Norte]])</f>
        <v>5° 4' 34,60" N</v>
      </c>
      <c r="U95" s="41">
        <v>5</v>
      </c>
      <c r="V95" s="41">
        <v>4</v>
      </c>
      <c r="W95" s="56">
        <v>34.599999999998801</v>
      </c>
      <c r="X95" s="23" t="s">
        <v>192</v>
      </c>
      <c r="Y95" s="28" t="str">
        <f>_xlfn.CONCAT(COORDENADAS[[#This Row],[GG]],"° ",COORDENADAS[[#This Row],[MM]],"' ",FIXED(COORDENADAS[[#This Row],[SS]],2),""" ",COORDENADAS[[#This Row],[Weter]])</f>
        <v>74° 35' 38,40" W</v>
      </c>
      <c r="Z95" s="28">
        <v>74</v>
      </c>
      <c r="AA95" s="28">
        <v>35</v>
      </c>
      <c r="AB95" s="28">
        <v>38.399999999978583</v>
      </c>
      <c r="AC95" s="23" t="s">
        <v>193</v>
      </c>
      <c r="AD95" s="23">
        <v>34.82</v>
      </c>
      <c r="AE95" s="23">
        <v>0</v>
      </c>
    </row>
    <row r="96" spans="1:31" x14ac:dyDescent="0.35">
      <c r="I96" s="28" t="s">
        <v>558</v>
      </c>
      <c r="J96" s="28" t="s">
        <v>352</v>
      </c>
      <c r="K96" s="28" t="str">
        <f t="shared" si="2"/>
        <v>BelénNariño</v>
      </c>
      <c r="L96" s="28"/>
      <c r="M96" s="28"/>
      <c r="N96" s="28"/>
      <c r="O96" s="69"/>
      <c r="P96" s="28"/>
      <c r="Q96" s="28" t="s">
        <v>560</v>
      </c>
      <c r="R96" s="28">
        <v>5.0767499999999997</v>
      </c>
      <c r="S96" s="28">
        <v>-74.592861111000005</v>
      </c>
      <c r="T96" s="28" t="str">
        <f>_xlfn.CONCAT(COORDENADAS[[#This Row],[G]],"° ",COORDENADAS[[#This Row],[M]],"' ",FIXED(COORDENADAS[[#This Row],[S]],2),""" ",COORDENADAS[[#This Row],[Norte]])</f>
        <v>5° 4' 36,56" N</v>
      </c>
      <c r="U96" s="41">
        <v>5</v>
      </c>
      <c r="V96" s="41">
        <v>4</v>
      </c>
      <c r="W96" s="56">
        <v>36.555761999999916</v>
      </c>
      <c r="X96" s="23" t="s">
        <v>192</v>
      </c>
      <c r="Y96" s="28" t="str">
        <f>_xlfn.CONCAT(COORDENADAS[[#This Row],[GG]],"° ",COORDENADAS[[#This Row],[MM]],"' ",FIXED(COORDENADAS[[#This Row],[SS]],2),""" ",COORDENADAS[[#This Row],[Weter]])</f>
        <v>74° 35' 34,36" W</v>
      </c>
      <c r="Z96" s="28">
        <v>74</v>
      </c>
      <c r="AA96" s="28">
        <v>35</v>
      </c>
      <c r="AB96" s="28">
        <v>34.356656400023986</v>
      </c>
      <c r="AC96" s="23" t="s">
        <v>193</v>
      </c>
      <c r="AD96" s="23">
        <v>40.6</v>
      </c>
      <c r="AE96" s="23">
        <v>40.700000000000003</v>
      </c>
    </row>
    <row r="97" spans="1:31" x14ac:dyDescent="0.35">
      <c r="I97" s="28" t="s">
        <v>561</v>
      </c>
      <c r="J97" s="28" t="s">
        <v>294</v>
      </c>
      <c r="K97" s="28" t="str">
        <f t="shared" si="2"/>
        <v>Belén de Los AndaquiesCaqueta</v>
      </c>
      <c r="L97" s="28"/>
      <c r="M97" s="28"/>
      <c r="N97" s="28"/>
      <c r="O97" s="69"/>
      <c r="P97" s="28"/>
      <c r="Q97" s="28" t="s">
        <v>562</v>
      </c>
      <c r="R97" s="28">
        <v>8.4644166666666667</v>
      </c>
      <c r="S97" s="28">
        <v>-74.541666666666671</v>
      </c>
      <c r="T97" s="28" t="str">
        <f>_xlfn.CONCAT(COORDENADAS[[#This Row],[G]],"° ",COORDENADAS[[#This Row],[M]],"' ",FIXED(COORDENADAS[[#This Row],[S]],2),""" ",COORDENADAS[[#This Row],[Norte]])</f>
        <v>8° 28' 6,58" N</v>
      </c>
      <c r="U97" s="41">
        <v>8</v>
      </c>
      <c r="V97" s="41">
        <v>28</v>
      </c>
      <c r="W97" s="56">
        <v>6.5815715999992808</v>
      </c>
      <c r="X97" s="23" t="s">
        <v>192</v>
      </c>
      <c r="Y97" s="28" t="str">
        <f>_xlfn.CONCAT(COORDENADAS[[#This Row],[GG]],"° ",COORDENADAS[[#This Row],[MM]],"' ",FIXED(COORDENADAS[[#This Row],[SS]],2),""" ",COORDENADAS[[#This Row],[Weter]])</f>
        <v>74° 31' 48,18" W</v>
      </c>
      <c r="Z97" s="28">
        <v>74</v>
      </c>
      <c r="AA97" s="28">
        <v>31</v>
      </c>
      <c r="AB97" s="28">
        <v>48.183564000023395</v>
      </c>
      <c r="AC97" s="23" t="s">
        <v>193</v>
      </c>
      <c r="AD97" s="23">
        <v>40.6</v>
      </c>
      <c r="AE97" s="23">
        <v>40.700000000000003</v>
      </c>
    </row>
    <row r="98" spans="1:31" x14ac:dyDescent="0.35">
      <c r="I98" s="28" t="s">
        <v>563</v>
      </c>
      <c r="J98" s="28" t="s">
        <v>405</v>
      </c>
      <c r="K98" s="28" t="str">
        <f t="shared" si="2"/>
        <v>Belén de UmbríaRisaralda</v>
      </c>
      <c r="L98" s="28"/>
      <c r="M98" s="28"/>
      <c r="N98" s="28"/>
      <c r="O98" s="69"/>
      <c r="P98" s="28"/>
      <c r="Q98" s="28" t="s">
        <v>564</v>
      </c>
      <c r="R98" s="28">
        <v>6.2837777777777779</v>
      </c>
      <c r="S98" s="28">
        <v>-75.423666666666676</v>
      </c>
      <c r="T98" s="28" t="str">
        <f>_xlfn.CONCAT(COORDENADAS[[#This Row],[G]],"° ",COORDENADAS[[#This Row],[M]],"' ",FIXED(COORDENADAS[[#This Row],[S]],2),""" ",COORDENADAS[[#This Row],[Norte]])</f>
        <v>6° 17' 1,60" N</v>
      </c>
      <c r="U98" s="41">
        <v>6</v>
      </c>
      <c r="V98" s="41">
        <v>17</v>
      </c>
      <c r="W98" s="56">
        <v>1.6000000000004899</v>
      </c>
      <c r="X98" s="23" t="s">
        <v>192</v>
      </c>
      <c r="Y98" s="28" t="str">
        <f>_xlfn.CONCAT(COORDENADAS[[#This Row],[GG]],"° ",COORDENADAS[[#This Row],[MM]],"' ",FIXED(COORDENADAS[[#This Row],[SS]],2),""" ",COORDENADAS[[#This Row],[Weter]])</f>
        <v>75° 25' 25,20" W</v>
      </c>
      <c r="Z98" s="28">
        <v>75</v>
      </c>
      <c r="AA98" s="28">
        <v>25</v>
      </c>
      <c r="AB98" s="28">
        <v>25.200000000034994</v>
      </c>
      <c r="AC98" s="23" t="s">
        <v>193</v>
      </c>
      <c r="AD98" s="23">
        <v>48.38</v>
      </c>
      <c r="AE98" s="23">
        <v>0</v>
      </c>
    </row>
    <row r="99" spans="1:31" x14ac:dyDescent="0.35">
      <c r="I99" s="28" t="s">
        <v>565</v>
      </c>
      <c r="J99" s="28" t="s">
        <v>154</v>
      </c>
      <c r="K99" s="28" t="str">
        <f t="shared" si="2"/>
        <v>BelloAntioquia</v>
      </c>
      <c r="L99" s="28"/>
      <c r="M99" s="28"/>
      <c r="N99" s="28"/>
      <c r="O99" s="69"/>
      <c r="P99" s="28"/>
      <c r="Q99" s="28" t="s">
        <v>566</v>
      </c>
      <c r="R99" s="28">
        <v>5.198555555555556</v>
      </c>
      <c r="S99" s="28">
        <v>-74.741472222222228</v>
      </c>
      <c r="T99" s="28" t="str">
        <f>_xlfn.CONCAT(COORDENADAS[[#This Row],[G]],"° ",COORDENADAS[[#This Row],[M]],"' ",FIXED(COORDENADAS[[#This Row],[S]],2),""" ",COORDENADAS[[#This Row],[Norte]])</f>
        <v>5° 11' 54,80" N</v>
      </c>
      <c r="U99" s="41">
        <v>5</v>
      </c>
      <c r="V99" s="41">
        <v>11</v>
      </c>
      <c r="W99" s="56">
        <v>54.800000000001795</v>
      </c>
      <c r="X99" s="23" t="s">
        <v>192</v>
      </c>
      <c r="Y99" s="28" t="str">
        <f>_xlfn.CONCAT(COORDENADAS[[#This Row],[GG]],"° ",COORDENADAS[[#This Row],[MM]],"' ",FIXED(COORDENADAS[[#This Row],[SS]],2),""" ",COORDENADAS[[#This Row],[Weter]])</f>
        <v>74° 44' 29,30" W</v>
      </c>
      <c r="Z99" s="28">
        <v>74</v>
      </c>
      <c r="AA99" s="28">
        <v>44</v>
      </c>
      <c r="AB99" s="28">
        <v>29.300000000021285</v>
      </c>
      <c r="AC99" s="23" t="s">
        <v>193</v>
      </c>
      <c r="AD99" s="23">
        <v>35.56</v>
      </c>
      <c r="AE99" s="23">
        <v>0</v>
      </c>
    </row>
    <row r="100" spans="1:31" x14ac:dyDescent="0.35">
      <c r="A100" s="25" t="s">
        <v>567</v>
      </c>
      <c r="B100" s="25" t="s">
        <v>568</v>
      </c>
      <c r="C100" s="26" t="s">
        <v>569</v>
      </c>
      <c r="D100" s="27" t="s">
        <v>570</v>
      </c>
      <c r="E100" s="26" t="s">
        <v>571</v>
      </c>
      <c r="F100" s="28" t="s">
        <v>572</v>
      </c>
      <c r="G100" s="28" t="s">
        <v>573</v>
      </c>
      <c r="I100" s="28" t="s">
        <v>574</v>
      </c>
      <c r="J100" s="28" t="s">
        <v>154</v>
      </c>
      <c r="K100" s="28" t="str">
        <f t="shared" si="2"/>
        <v>BelmiraAntioquia</v>
      </c>
      <c r="L100" s="28"/>
      <c r="M100" s="28"/>
      <c r="N100" s="28"/>
      <c r="O100" s="69"/>
      <c r="P100" s="28"/>
      <c r="Q100" s="28" t="s">
        <v>575</v>
      </c>
      <c r="R100" s="28">
        <v>5.1588055555555563</v>
      </c>
      <c r="S100" s="28">
        <v>-76.686027777777781</v>
      </c>
      <c r="T100" s="28" t="str">
        <f>_xlfn.CONCAT(COORDENADAS[[#This Row],[G]],"° ",COORDENADAS[[#This Row],[M]],"' ",FIXED(COORDENADAS[[#This Row],[S]],2),""" ",COORDENADAS[[#This Row],[Norte]])</f>
        <v>5° 9' 31,70" N</v>
      </c>
      <c r="U100" s="41">
        <v>5</v>
      </c>
      <c r="V100" s="41">
        <v>9</v>
      </c>
      <c r="W100" s="56">
        <v>31.700000000002738</v>
      </c>
      <c r="X100" s="23" t="s">
        <v>192</v>
      </c>
      <c r="Y100" s="28" t="str">
        <f>_xlfn.CONCAT(COORDENADAS[[#This Row],[GG]],"° ",COORDENADAS[[#This Row],[MM]],"' ",FIXED(COORDENADAS[[#This Row],[SS]],2),""" ",COORDENADAS[[#This Row],[Weter]])</f>
        <v>76° 41' 9,70" W</v>
      </c>
      <c r="Z100" s="28">
        <v>76</v>
      </c>
      <c r="AA100" s="28">
        <v>41</v>
      </c>
      <c r="AB100" s="28">
        <v>9.7000000000115882</v>
      </c>
      <c r="AC100" s="23" t="s">
        <v>193</v>
      </c>
      <c r="AD100" s="23">
        <v>48.38</v>
      </c>
      <c r="AE100" s="23">
        <v>0</v>
      </c>
    </row>
    <row r="101" spans="1:31" x14ac:dyDescent="0.35">
      <c r="A101" s="29" t="s">
        <v>191</v>
      </c>
      <c r="B101" s="29" t="s">
        <v>576</v>
      </c>
      <c r="C101" s="21">
        <v>14</v>
      </c>
      <c r="D101" s="21">
        <v>1903</v>
      </c>
      <c r="E101" s="30">
        <v>43460</v>
      </c>
      <c r="F101" s="28" t="s">
        <v>577</v>
      </c>
      <c r="G101" s="28">
        <f>INDEX($C$2:$D$37,MATCH(RESOLUCIONES[[#This Row],[No. Canal]],$C$2:$C$37,0),2)</f>
        <v>473</v>
      </c>
      <c r="I101" s="28" t="s">
        <v>578</v>
      </c>
      <c r="J101" s="28" t="s">
        <v>283</v>
      </c>
      <c r="K101" s="28" t="str">
        <f t="shared" si="2"/>
        <v>BeltránCundinamarca</v>
      </c>
      <c r="L101" s="28"/>
      <c r="M101" s="28"/>
      <c r="N101" s="28"/>
      <c r="O101" s="69"/>
      <c r="P101" s="28"/>
      <c r="Q101" s="28" t="s">
        <v>579</v>
      </c>
      <c r="R101" s="28">
        <v>5.1620833333333334</v>
      </c>
      <c r="S101" s="28">
        <v>-76.690027777777786</v>
      </c>
      <c r="T101" s="28" t="str">
        <f>_xlfn.CONCAT(COORDENADAS[[#This Row],[G]],"° ",COORDENADAS[[#This Row],[M]],"' ",FIXED(COORDENADAS[[#This Row],[S]],2),""" ",COORDENADAS[[#This Row],[Norte]])</f>
        <v>5° 9' 26,82" N</v>
      </c>
      <c r="U101" s="41">
        <v>5</v>
      </c>
      <c r="V101" s="41">
        <v>9</v>
      </c>
      <c r="W101" s="56">
        <v>26.819632800001138</v>
      </c>
      <c r="X101" s="23" t="s">
        <v>192</v>
      </c>
      <c r="Y101" s="28" t="str">
        <f>_xlfn.CONCAT(COORDENADAS[[#This Row],[GG]],"° ",COORDENADAS[[#This Row],[MM]],"' ",FIXED(COORDENADAS[[#This Row],[SS]],2),""" ",COORDENADAS[[#This Row],[Weter]])</f>
        <v>76° 41' 29,52" W</v>
      </c>
      <c r="Z101" s="28">
        <v>76</v>
      </c>
      <c r="AA101" s="28">
        <v>41</v>
      </c>
      <c r="AB101" s="28">
        <v>29.517007200004119</v>
      </c>
      <c r="AC101" s="23" t="s">
        <v>193</v>
      </c>
      <c r="AD101" s="23">
        <v>41.1</v>
      </c>
      <c r="AE101" s="23">
        <v>40.700000000000003</v>
      </c>
    </row>
    <row r="102" spans="1:31" x14ac:dyDescent="0.35">
      <c r="A102" s="29" t="s">
        <v>205</v>
      </c>
      <c r="B102" s="29" t="s">
        <v>580</v>
      </c>
      <c r="C102" s="21">
        <v>34</v>
      </c>
      <c r="D102" s="21">
        <v>1903</v>
      </c>
      <c r="E102" s="30">
        <v>43460</v>
      </c>
      <c r="F102" s="28" t="s">
        <v>577</v>
      </c>
      <c r="G102" s="28">
        <f>INDEX($C$2:$D$37,MATCH(RESOLUCIONES[[#This Row],[No. Canal]],$C$2:$C$37,0),2)</f>
        <v>593</v>
      </c>
      <c r="I102" s="28" t="s">
        <v>581</v>
      </c>
      <c r="J102" s="28" t="s">
        <v>274</v>
      </c>
      <c r="K102" s="28" t="str">
        <f t="shared" si="2"/>
        <v>BerbeoBoyaca</v>
      </c>
      <c r="L102" s="28"/>
      <c r="M102" s="28"/>
      <c r="N102" s="28"/>
      <c r="O102" s="69"/>
      <c r="P102" s="28"/>
      <c r="Q102" s="28" t="s">
        <v>582</v>
      </c>
      <c r="R102" s="28">
        <v>6.1433888889999997</v>
      </c>
      <c r="S102" s="28">
        <v>-75.601500000000001</v>
      </c>
      <c r="T102" s="28" t="str">
        <f>_xlfn.CONCAT(COORDENADAS[[#This Row],[G]],"° ",COORDENADAS[[#This Row],[M]],"' ",FIXED(COORDENADAS[[#This Row],[S]],2),""" ",COORDENADAS[[#This Row],[Norte]])</f>
        <v>6° 8' 36,42" N</v>
      </c>
      <c r="U102" s="41">
        <v>6</v>
      </c>
      <c r="V102" s="41">
        <v>8</v>
      </c>
      <c r="W102" s="56">
        <v>36.421177200000166</v>
      </c>
      <c r="X102" s="23" t="s">
        <v>192</v>
      </c>
      <c r="Y102" s="28" t="str">
        <f>_xlfn.CONCAT(COORDENADAS[[#This Row],[GG]],"° ",COORDENADAS[[#This Row],[MM]],"' ",FIXED(COORDENADAS[[#This Row],[SS]],2),""" ",COORDENADAS[[#This Row],[Weter]])</f>
        <v>75° 36' 5,56" W</v>
      </c>
      <c r="Z102" s="28">
        <v>75</v>
      </c>
      <c r="AA102" s="28">
        <v>36</v>
      </c>
      <c r="AB102" s="28">
        <v>5.5611395999984214</v>
      </c>
      <c r="AC102" s="23" t="s">
        <v>193</v>
      </c>
      <c r="AD102" s="23">
        <v>40.6</v>
      </c>
      <c r="AE102" s="23">
        <v>40.799999999999997</v>
      </c>
    </row>
    <row r="103" spans="1:31" x14ac:dyDescent="0.35">
      <c r="A103" s="29" t="s">
        <v>212</v>
      </c>
      <c r="B103" s="29" t="s">
        <v>583</v>
      </c>
      <c r="C103" s="21">
        <v>14</v>
      </c>
      <c r="D103" s="21">
        <v>1903</v>
      </c>
      <c r="E103" s="30">
        <v>43460</v>
      </c>
      <c r="F103" s="28" t="s">
        <v>577</v>
      </c>
      <c r="G103" s="28">
        <f>INDEX($C$2:$D$37,MATCH(RESOLUCIONES[[#This Row],[No. Canal]],$C$2:$C$37,0),2)</f>
        <v>473</v>
      </c>
      <c r="I103" s="28" t="s">
        <v>584</v>
      </c>
      <c r="J103" s="28" t="s">
        <v>154</v>
      </c>
      <c r="K103" s="28" t="str">
        <f t="shared" si="2"/>
        <v>BetaniaAntioquia</v>
      </c>
      <c r="L103" s="28"/>
      <c r="M103" s="28"/>
      <c r="N103" s="28"/>
      <c r="O103" s="69"/>
      <c r="P103" s="28"/>
      <c r="Q103" s="28" t="s">
        <v>585</v>
      </c>
      <c r="R103" s="28">
        <v>7.1658250000000008</v>
      </c>
      <c r="S103" s="28">
        <v>-75.765661111111115</v>
      </c>
      <c r="T103" s="28" t="str">
        <f>_xlfn.CONCAT(COORDENADAS[[#This Row],[G]],"° ",COORDENADAS[[#This Row],[M]],"' ",FIXED(COORDENADAS[[#This Row],[S]],2),""" ",COORDENADAS[[#This Row],[Norte]])</f>
        <v>7° 9' 56,97" N</v>
      </c>
      <c r="U103" s="41">
        <v>7</v>
      </c>
      <c r="V103" s="41">
        <v>9</v>
      </c>
      <c r="W103" s="56">
        <v>56.97000000000282</v>
      </c>
      <c r="X103" s="23" t="s">
        <v>192</v>
      </c>
      <c r="Y103" s="28" t="str">
        <f>_xlfn.CONCAT(COORDENADAS[[#This Row],[GG]],"° ",COORDENADAS[[#This Row],[MM]],"' ",FIXED(COORDENADAS[[#This Row],[SS]],2),""" ",COORDENADAS[[#This Row],[Weter]])</f>
        <v>75° 45' 56,38" W</v>
      </c>
      <c r="Z103" s="28">
        <v>75</v>
      </c>
      <c r="AA103" s="28">
        <v>45</v>
      </c>
      <c r="AB103" s="28">
        <v>56.380000000012842</v>
      </c>
      <c r="AC103" s="23" t="s">
        <v>193</v>
      </c>
      <c r="AD103" s="23">
        <v>34.82</v>
      </c>
      <c r="AE103" s="23">
        <v>0</v>
      </c>
    </row>
    <row r="104" spans="1:31" x14ac:dyDescent="0.35">
      <c r="A104" s="29" t="s">
        <v>261</v>
      </c>
      <c r="B104" s="29" t="s">
        <v>586</v>
      </c>
      <c r="C104" s="21">
        <v>14</v>
      </c>
      <c r="D104" s="21">
        <v>1903</v>
      </c>
      <c r="E104" s="30">
        <v>43460</v>
      </c>
      <c r="F104" s="28" t="s">
        <v>577</v>
      </c>
      <c r="G104" s="28">
        <f>INDEX($C$2:$D$37,MATCH(RESOLUCIONES[[#This Row],[No. Canal]],$C$2:$C$37,0),2)</f>
        <v>473</v>
      </c>
      <c r="I104" s="28" t="s">
        <v>587</v>
      </c>
      <c r="J104" s="28" t="s">
        <v>274</v>
      </c>
      <c r="K104" s="28" t="str">
        <f t="shared" si="2"/>
        <v>BetéitivaBoyaca</v>
      </c>
      <c r="L104" s="28"/>
      <c r="M104" s="28"/>
      <c r="N104" s="28"/>
      <c r="O104" s="69"/>
      <c r="P104" s="28"/>
      <c r="Q104" s="28" t="s">
        <v>588</v>
      </c>
      <c r="R104" s="28">
        <v>7.1568138888888893</v>
      </c>
      <c r="S104" s="28">
        <v>-75.789588888888886</v>
      </c>
      <c r="T104" s="28" t="str">
        <f>_xlfn.CONCAT(COORDENADAS[[#This Row],[G]],"° ",COORDENADAS[[#This Row],[M]],"' ",FIXED(COORDENADAS[[#This Row],[S]],2),""" ",COORDENADAS[[#This Row],[Norte]])</f>
        <v>7° 9' 23,17" N</v>
      </c>
      <c r="U104" s="41">
        <v>7</v>
      </c>
      <c r="V104" s="41">
        <v>9</v>
      </c>
      <c r="W104" s="56">
        <v>23.172004799998426</v>
      </c>
      <c r="X104" s="23" t="s">
        <v>192</v>
      </c>
      <c r="Y104" s="28" t="str">
        <f>_xlfn.CONCAT(COORDENADAS[[#This Row],[GG]],"° ",COORDENADAS[[#This Row],[MM]],"' ",FIXED(COORDENADAS[[#This Row],[SS]],2),""" ",COORDENADAS[[#This Row],[Weter]])</f>
        <v>75° 47' 22,07" W</v>
      </c>
      <c r="Z104" s="28">
        <v>75</v>
      </c>
      <c r="AA104" s="28">
        <v>47</v>
      </c>
      <c r="AB104" s="28">
        <v>22.069291199993614</v>
      </c>
      <c r="AC104" s="23" t="s">
        <v>193</v>
      </c>
      <c r="AD104" s="23">
        <v>40.6</v>
      </c>
      <c r="AE104" s="23">
        <v>40.799999999999997</v>
      </c>
    </row>
    <row r="105" spans="1:31" x14ac:dyDescent="0.35">
      <c r="A105" s="29" t="s">
        <v>275</v>
      </c>
      <c r="B105" s="29" t="s">
        <v>589</v>
      </c>
      <c r="C105" s="21">
        <v>22</v>
      </c>
      <c r="D105" s="21">
        <v>2171</v>
      </c>
      <c r="E105" s="31">
        <v>43091</v>
      </c>
      <c r="F105" s="28" t="s">
        <v>590</v>
      </c>
      <c r="G105" s="28">
        <f>INDEX($C$2:$D$37,MATCH(RESOLUCIONES[[#This Row],[No. Canal]],$C$2:$C$37,0),2)</f>
        <v>521</v>
      </c>
      <c r="I105" s="28" t="s">
        <v>591</v>
      </c>
      <c r="J105" s="28" t="s">
        <v>154</v>
      </c>
      <c r="K105" s="28" t="str">
        <f t="shared" si="2"/>
        <v>BetuliaAntioquia</v>
      </c>
      <c r="L105" s="28"/>
      <c r="M105" s="28"/>
      <c r="N105" s="28"/>
      <c r="O105" s="69"/>
      <c r="P105" s="28"/>
      <c r="Q105" s="28" t="s">
        <v>592</v>
      </c>
      <c r="R105" s="28">
        <v>5.5925555555555553</v>
      </c>
      <c r="S105" s="28">
        <v>-75.830444444444439</v>
      </c>
      <c r="T105" s="28" t="str">
        <f>_xlfn.CONCAT(COORDENADAS[[#This Row],[G]],"° ",COORDENADAS[[#This Row],[M]],"' ",FIXED(COORDENADAS[[#This Row],[S]],2),""" ",COORDENADAS[[#This Row],[Norte]])</f>
        <v>5° 35' 33,20" N</v>
      </c>
      <c r="U105" s="41">
        <v>5</v>
      </c>
      <c r="V105" s="41">
        <v>35</v>
      </c>
      <c r="W105" s="56">
        <v>33.199999999998873</v>
      </c>
      <c r="X105" s="23" t="s">
        <v>192</v>
      </c>
      <c r="Y105" s="28" t="str">
        <f>_xlfn.CONCAT(COORDENADAS[[#This Row],[GG]],"° ",COORDENADAS[[#This Row],[MM]],"' ",FIXED(COORDENADAS[[#This Row],[SS]],2),""" ",COORDENADAS[[#This Row],[Weter]])</f>
        <v>75° 49' 49,60" W</v>
      </c>
      <c r="Z105" s="28">
        <v>75</v>
      </c>
      <c r="AA105" s="28">
        <v>49</v>
      </c>
      <c r="AB105" s="28">
        <v>49.59999999997882</v>
      </c>
      <c r="AC105" s="23" t="s">
        <v>193</v>
      </c>
      <c r="AD105" s="23">
        <v>40.6</v>
      </c>
      <c r="AE105" s="23">
        <v>40.799999999999997</v>
      </c>
    </row>
    <row r="106" spans="1:31" x14ac:dyDescent="0.35">
      <c r="A106" s="29" t="s">
        <v>295</v>
      </c>
      <c r="B106" s="29" t="s">
        <v>593</v>
      </c>
      <c r="C106" s="21">
        <v>28</v>
      </c>
      <c r="D106" s="21">
        <v>1903</v>
      </c>
      <c r="E106" s="30">
        <v>43460</v>
      </c>
      <c r="F106" s="28" t="s">
        <v>577</v>
      </c>
      <c r="G106" s="28">
        <f>INDEX($C$2:$D$37,MATCH(RESOLUCIONES[[#This Row],[No. Canal]],$C$2:$C$37,0),2)</f>
        <v>557</v>
      </c>
      <c r="I106" s="28" t="s">
        <v>591</v>
      </c>
      <c r="J106" s="28" t="s">
        <v>304</v>
      </c>
      <c r="K106" s="28" t="str">
        <f t="shared" si="2"/>
        <v>BetuliaSantander</v>
      </c>
      <c r="L106" s="28"/>
      <c r="M106" s="28"/>
      <c r="N106" s="28"/>
      <c r="O106" s="69"/>
      <c r="P106" s="28"/>
      <c r="Q106" s="28" t="s">
        <v>594</v>
      </c>
      <c r="R106" s="28">
        <v>7.8460833333333326</v>
      </c>
      <c r="S106" s="28">
        <v>-73.226666666666674</v>
      </c>
      <c r="T106" s="28" t="str">
        <f>_xlfn.CONCAT(COORDENADAS[[#This Row],[G]],"° ",COORDENADAS[[#This Row],[M]],"' ",FIXED(COORDENADAS[[#This Row],[S]],2),""" ",COORDENADAS[[#This Row],[Norte]])</f>
        <v>7° 50' 45,90" N</v>
      </c>
      <c r="U106" s="41">
        <v>7</v>
      </c>
      <c r="V106" s="41">
        <v>50</v>
      </c>
      <c r="W106" s="56">
        <v>45.899999999997341</v>
      </c>
      <c r="X106" s="23" t="s">
        <v>192</v>
      </c>
      <c r="Y106" s="28" t="str">
        <f>_xlfn.CONCAT(COORDENADAS[[#This Row],[GG]],"° ",COORDENADAS[[#This Row],[MM]],"' ",FIXED(COORDENADAS[[#This Row],[SS]],2),""" ",COORDENADAS[[#This Row],[Weter]])</f>
        <v>73° 13' 36,00" W</v>
      </c>
      <c r="Z106" s="28">
        <v>73</v>
      </c>
      <c r="AA106" s="28">
        <v>13</v>
      </c>
      <c r="AB106" s="28">
        <v>36.00000000002521</v>
      </c>
      <c r="AC106" s="23" t="s">
        <v>193</v>
      </c>
      <c r="AD106" s="23">
        <v>51.36</v>
      </c>
      <c r="AE106" s="23">
        <v>0</v>
      </c>
    </row>
    <row r="107" spans="1:31" x14ac:dyDescent="0.35">
      <c r="A107" s="29" t="s">
        <v>324</v>
      </c>
      <c r="B107" s="29" t="s">
        <v>595</v>
      </c>
      <c r="C107" s="21">
        <v>14</v>
      </c>
      <c r="D107" s="32" t="s">
        <v>596</v>
      </c>
      <c r="E107" s="31">
        <v>40904</v>
      </c>
      <c r="F107" s="28" t="s">
        <v>597</v>
      </c>
      <c r="G107" s="28">
        <f>INDEX($C$2:$D$37,MATCH(RESOLUCIONES[[#This Row],[No. Canal]],$C$2:$C$37,0),2)</f>
        <v>473</v>
      </c>
      <c r="I107" s="28" t="s">
        <v>598</v>
      </c>
      <c r="J107" s="28" t="s">
        <v>283</v>
      </c>
      <c r="K107" s="28" t="str">
        <f t="shared" si="2"/>
        <v>BituimaCundinamarca</v>
      </c>
      <c r="L107" s="28"/>
      <c r="M107" s="28"/>
      <c r="N107" s="28"/>
      <c r="O107" s="69"/>
      <c r="P107" s="28"/>
      <c r="Q107" s="28" t="s">
        <v>599</v>
      </c>
      <c r="R107" s="28">
        <v>7.8479166666666664</v>
      </c>
      <c r="S107" s="28">
        <v>-73.22397222222223</v>
      </c>
      <c r="T107" s="28" t="str">
        <f>_xlfn.CONCAT(COORDENADAS[[#This Row],[G]],"° ",COORDENADAS[[#This Row],[M]],"' ",FIXED(COORDENADAS[[#This Row],[S]],2),""" ",COORDENADAS[[#This Row],[Norte]])</f>
        <v>7° 50' 52,50" N</v>
      </c>
      <c r="U107" s="41">
        <v>7</v>
      </c>
      <c r="V107" s="41">
        <v>50</v>
      </c>
      <c r="W107" s="56">
        <v>52.499999999999012</v>
      </c>
      <c r="X107" s="23" t="s">
        <v>192</v>
      </c>
      <c r="Y107" s="28" t="str">
        <f>_xlfn.CONCAT(COORDENADAS[[#This Row],[GG]],"° ",COORDENADAS[[#This Row],[MM]],"' ",FIXED(COORDENADAS[[#This Row],[SS]],2),""" ",COORDENADAS[[#This Row],[Weter]])</f>
        <v>73° 13' 26,30" W</v>
      </c>
      <c r="Z107" s="28">
        <v>73</v>
      </c>
      <c r="AA107" s="28">
        <v>13</v>
      </c>
      <c r="AB107" s="28">
        <v>26.300000000027211</v>
      </c>
      <c r="AC107" s="23" t="s">
        <v>193</v>
      </c>
      <c r="AD107" s="23">
        <v>41.7</v>
      </c>
      <c r="AE107" s="23">
        <v>41.8</v>
      </c>
    </row>
    <row r="108" spans="1:31" x14ac:dyDescent="0.35">
      <c r="A108" s="29" t="s">
        <v>329</v>
      </c>
      <c r="B108" s="29" t="s">
        <v>600</v>
      </c>
      <c r="C108" s="21">
        <v>14</v>
      </c>
      <c r="D108" s="21">
        <v>1903</v>
      </c>
      <c r="E108" s="30">
        <v>43460</v>
      </c>
      <c r="F108" s="28" t="s">
        <v>577</v>
      </c>
      <c r="G108" s="28">
        <f>INDEX($C$2:$D$37,MATCH(RESOLUCIONES[[#This Row],[No. Canal]],$C$2:$C$37,0),2)</f>
        <v>473</v>
      </c>
      <c r="I108" s="28" t="s">
        <v>601</v>
      </c>
      <c r="J108" s="28" t="s">
        <v>274</v>
      </c>
      <c r="K108" s="28" t="str">
        <f t="shared" si="2"/>
        <v>BoavitaBoyaca</v>
      </c>
      <c r="L108" s="28"/>
      <c r="M108" s="28"/>
      <c r="N108" s="28"/>
      <c r="O108" s="69"/>
      <c r="P108" s="28"/>
      <c r="Q108" s="28" t="s">
        <v>602</v>
      </c>
      <c r="R108" s="28">
        <v>2.2033333333333336</v>
      </c>
      <c r="S108" s="28">
        <v>-76.044972222222214</v>
      </c>
      <c r="T108" s="28" t="str">
        <f>_xlfn.CONCAT(COORDENADAS[[#This Row],[G]],"° ",COORDENADAS[[#This Row],[M]],"' ",FIXED(COORDENADAS[[#This Row],[S]],2),""" ",COORDENADAS[[#This Row],[Norte]])</f>
        <v>2° 12' 12,00" N</v>
      </c>
      <c r="U108" s="41">
        <v>2</v>
      </c>
      <c r="V108" s="41">
        <v>12</v>
      </c>
      <c r="W108" s="56">
        <v>11.99999879999918</v>
      </c>
      <c r="X108" s="23" t="s">
        <v>192</v>
      </c>
      <c r="Y108" s="28" t="str">
        <f>_xlfn.CONCAT(COORDENADAS[[#This Row],[GG]],"° ",COORDENADAS[[#This Row],[MM]],"' ",FIXED(COORDENADAS[[#This Row],[SS]],2),""" ",COORDENADAS[[#This Row],[Weter]])</f>
        <v>76° 2' 41,90" W</v>
      </c>
      <c r="Z108" s="28">
        <v>76</v>
      </c>
      <c r="AA108" s="28">
        <v>2</v>
      </c>
      <c r="AB108" s="28">
        <v>41.899992000019211</v>
      </c>
      <c r="AC108" s="23" t="s">
        <v>193</v>
      </c>
      <c r="AD108" s="23">
        <v>40.799999999999997</v>
      </c>
      <c r="AE108" s="23">
        <v>40.700000000000003</v>
      </c>
    </row>
    <row r="109" spans="1:31" x14ac:dyDescent="0.35">
      <c r="A109" s="29" t="s">
        <v>345</v>
      </c>
      <c r="B109" s="29" t="s">
        <v>603</v>
      </c>
      <c r="C109" s="21">
        <v>14</v>
      </c>
      <c r="D109" s="21">
        <v>1903</v>
      </c>
      <c r="E109" s="30">
        <v>43460</v>
      </c>
      <c r="F109" s="28" t="s">
        <v>577</v>
      </c>
      <c r="G109" s="28">
        <f>INDEX($C$2:$D$37,MATCH(RESOLUCIONES[[#This Row],[No. Canal]],$C$2:$C$37,0),2)</f>
        <v>473</v>
      </c>
      <c r="I109" s="28" t="s">
        <v>604</v>
      </c>
      <c r="J109" s="28" t="s">
        <v>190</v>
      </c>
      <c r="K109" s="28" t="str">
        <f t="shared" si="2"/>
        <v>BochalemaNorte de Santander</v>
      </c>
      <c r="L109" s="28"/>
      <c r="M109" s="28"/>
      <c r="N109" s="28"/>
      <c r="O109" s="69"/>
      <c r="P109" s="28"/>
      <c r="Q109" s="28" t="s">
        <v>605</v>
      </c>
      <c r="R109" s="28">
        <v>3.8678333330000001</v>
      </c>
      <c r="S109" s="28">
        <v>-76.244361111000003</v>
      </c>
      <c r="T109" s="28" t="str">
        <f>_xlfn.CONCAT(COORDENADAS[[#This Row],[G]],"° ",COORDENADAS[[#This Row],[M]],"' ",FIXED(COORDENADAS[[#This Row],[S]],2),""" ",COORDENADAS[[#This Row],[Norte]])</f>
        <v>3° 51' 54,06" N</v>
      </c>
      <c r="U109" s="41">
        <v>3</v>
      </c>
      <c r="V109" s="41">
        <v>51</v>
      </c>
      <c r="W109" s="56">
        <v>54.061750800000617</v>
      </c>
      <c r="X109" s="23" t="s">
        <v>192</v>
      </c>
      <c r="Y109" s="28" t="str">
        <f>_xlfn.CONCAT(COORDENADAS[[#This Row],[GG]],"° ",COORDENADAS[[#This Row],[MM]],"' ",FIXED(COORDENADAS[[#This Row],[SS]],2),""" ",COORDENADAS[[#This Row],[Weter]])</f>
        <v>76° 14' 28,37" W</v>
      </c>
      <c r="Z109" s="28">
        <v>76</v>
      </c>
      <c r="AA109" s="28">
        <v>14</v>
      </c>
      <c r="AB109" s="28">
        <v>28.369975199988161</v>
      </c>
      <c r="AC109" s="23" t="s">
        <v>193</v>
      </c>
      <c r="AD109" s="23">
        <v>40.6</v>
      </c>
      <c r="AE109" s="23">
        <v>40.700000000000003</v>
      </c>
    </row>
    <row r="110" spans="1:31" x14ac:dyDescent="0.35">
      <c r="A110" s="29" t="s">
        <v>354</v>
      </c>
      <c r="B110" s="29" t="s">
        <v>606</v>
      </c>
      <c r="C110" s="21">
        <v>21</v>
      </c>
      <c r="D110" s="21">
        <v>1903</v>
      </c>
      <c r="E110" s="30">
        <v>43460</v>
      </c>
      <c r="F110" s="28" t="s">
        <v>577</v>
      </c>
      <c r="G110" s="28">
        <f>INDEX($C$2:$D$37,MATCH(RESOLUCIONES[[#This Row],[No. Canal]],$C$2:$C$37,0),2)</f>
        <v>515</v>
      </c>
      <c r="I110" s="28" t="s">
        <v>607</v>
      </c>
      <c r="J110" s="28" t="s">
        <v>608</v>
      </c>
      <c r="K110" s="28" t="str">
        <f t="shared" si="2"/>
        <v>Bogotá, D.C.Bogota D.C.</v>
      </c>
      <c r="L110" s="28"/>
      <c r="M110" s="28"/>
      <c r="N110" s="28"/>
      <c r="O110" s="69"/>
      <c r="P110" s="28"/>
      <c r="Q110" s="28" t="s">
        <v>609</v>
      </c>
      <c r="R110" s="28">
        <v>8.7222500000000007</v>
      </c>
      <c r="S110" s="28">
        <v>-75.590166666666661</v>
      </c>
      <c r="T110" s="28" t="str">
        <f>_xlfn.CONCAT(COORDENADAS[[#This Row],[G]],"° ",COORDENADAS[[#This Row],[M]],"' ",FIXED(COORDENADAS[[#This Row],[S]],2),""" ",COORDENADAS[[#This Row],[Norte]])</f>
        <v>8° 43' 20,10" N</v>
      </c>
      <c r="U110" s="41">
        <v>8</v>
      </c>
      <c r="V110" s="41">
        <v>43</v>
      </c>
      <c r="W110" s="56">
        <v>20.100000000002581</v>
      </c>
      <c r="X110" s="23" t="s">
        <v>192</v>
      </c>
      <c r="Y110" s="28" t="str">
        <f>_xlfn.CONCAT(COORDENADAS[[#This Row],[GG]],"° ",COORDENADAS[[#This Row],[MM]],"' ",FIXED(COORDENADAS[[#This Row],[SS]],2),""" ",COORDENADAS[[#This Row],[Weter]])</f>
        <v>75° 35' 24,60" W</v>
      </c>
      <c r="Z110" s="28">
        <v>75</v>
      </c>
      <c r="AA110" s="28">
        <v>35</v>
      </c>
      <c r="AB110" s="28">
        <v>24.599999999980902</v>
      </c>
      <c r="AC110" s="23" t="s">
        <v>193</v>
      </c>
      <c r="AD110" s="23">
        <v>48.38</v>
      </c>
      <c r="AE110" s="23">
        <v>0</v>
      </c>
    </row>
    <row r="111" spans="1:31" x14ac:dyDescent="0.35">
      <c r="A111" s="29" t="s">
        <v>361</v>
      </c>
      <c r="B111" s="29" t="s">
        <v>610</v>
      </c>
      <c r="C111" s="21">
        <v>34</v>
      </c>
      <c r="D111" s="21">
        <v>2311</v>
      </c>
      <c r="E111" s="31">
        <v>41911</v>
      </c>
      <c r="F111" s="28" t="s">
        <v>611</v>
      </c>
      <c r="G111" s="28">
        <f>INDEX($C$2:$D$37,MATCH(RESOLUCIONES[[#This Row],[No. Canal]],$C$2:$C$37,0),2)</f>
        <v>593</v>
      </c>
      <c r="I111" s="28" t="s">
        <v>612</v>
      </c>
      <c r="J111" s="28" t="s">
        <v>283</v>
      </c>
      <c r="K111" s="28" t="str">
        <f t="shared" si="2"/>
        <v>BojacáCundinamarca</v>
      </c>
      <c r="L111" s="28"/>
      <c r="M111" s="28"/>
      <c r="N111" s="28"/>
      <c r="O111" s="69"/>
      <c r="P111" s="28"/>
      <c r="Q111" s="28" t="s">
        <v>613</v>
      </c>
      <c r="R111" s="28">
        <v>4.7155888888888891</v>
      </c>
      <c r="S111" s="28">
        <v>-73.96297777777778</v>
      </c>
      <c r="T111" s="28" t="str">
        <f>_xlfn.CONCAT(COORDENADAS[[#This Row],[G]],"° ",COORDENADAS[[#This Row],[M]],"' ",FIXED(COORDENADAS[[#This Row],[S]],2),""" ",COORDENADAS[[#This Row],[Norte]])</f>
        <v>4° 42' 56,12" N</v>
      </c>
      <c r="U111" s="41">
        <v>4</v>
      </c>
      <c r="V111" s="41">
        <v>42</v>
      </c>
      <c r="W111" s="56">
        <v>56.120000000000744</v>
      </c>
      <c r="X111" s="23" t="s">
        <v>192</v>
      </c>
      <c r="Y111" s="28" t="str">
        <f>_xlfn.CONCAT(COORDENADAS[[#This Row],[GG]],"° ",COORDENADAS[[#This Row],[MM]],"' ",FIXED(COORDENADAS[[#This Row],[SS]],2),""" ",COORDENADAS[[#This Row],[Weter]])</f>
        <v>73° 57' 46,72" W</v>
      </c>
      <c r="Z111" s="28">
        <v>73</v>
      </c>
      <c r="AA111" s="28">
        <v>57</v>
      </c>
      <c r="AB111" s="28">
        <v>46.720000000009506</v>
      </c>
      <c r="AC111" s="23" t="s">
        <v>193</v>
      </c>
      <c r="AD111" s="23">
        <v>34.82</v>
      </c>
      <c r="AE111" s="23">
        <v>0</v>
      </c>
    </row>
    <row r="112" spans="1:31" x14ac:dyDescent="0.35">
      <c r="A112" s="29" t="s">
        <v>375</v>
      </c>
      <c r="B112" s="29" t="s">
        <v>614</v>
      </c>
      <c r="C112" s="21">
        <v>14</v>
      </c>
      <c r="D112" s="21">
        <v>1903</v>
      </c>
      <c r="E112" s="30">
        <v>43460</v>
      </c>
      <c r="F112" s="28" t="s">
        <v>577</v>
      </c>
      <c r="G112" s="28">
        <f>INDEX($C$2:$D$37,MATCH(RESOLUCIONES[[#This Row],[No. Canal]],$C$2:$C$37,0),2)</f>
        <v>473</v>
      </c>
      <c r="I112" s="28" t="s">
        <v>615</v>
      </c>
      <c r="J112" s="28" t="s">
        <v>230</v>
      </c>
      <c r="K112" s="28" t="str">
        <f t="shared" si="2"/>
        <v>BojayaChoco</v>
      </c>
      <c r="L112" s="28"/>
      <c r="M112" s="28"/>
      <c r="N112" s="28"/>
      <c r="O112" s="69"/>
      <c r="P112" s="28"/>
      <c r="Q112" s="28" t="s">
        <v>616</v>
      </c>
      <c r="R112" s="28">
        <v>5.1961388888888891</v>
      </c>
      <c r="S112" s="28">
        <v>-73.68727777777778</v>
      </c>
      <c r="T112" s="28" t="str">
        <f>_xlfn.CONCAT(COORDENADAS[[#This Row],[G]],"° ",COORDENADAS[[#This Row],[M]],"' ",FIXED(COORDENADAS[[#This Row],[S]],2),""" ",COORDENADAS[[#This Row],[Norte]])</f>
        <v>4° 42' 55,95" N</v>
      </c>
      <c r="U112" s="41">
        <v>4</v>
      </c>
      <c r="V112" s="41">
        <v>42</v>
      </c>
      <c r="W112" s="56">
        <v>55.950170400001738</v>
      </c>
      <c r="X112" s="23" t="s">
        <v>192</v>
      </c>
      <c r="Y112" s="28" t="str">
        <f>_xlfn.CONCAT(COORDENADAS[[#This Row],[GG]],"° ",COORDENADAS[[#This Row],[MM]],"' ",FIXED(COORDENADAS[[#This Row],[SS]],2),""" ",COORDENADAS[[#This Row],[Weter]])</f>
        <v>73° 57' 47,12" W</v>
      </c>
      <c r="Z112" s="28">
        <v>73</v>
      </c>
      <c r="AA112" s="28">
        <v>57</v>
      </c>
      <c r="AB112" s="28">
        <v>47.124079200010712</v>
      </c>
      <c r="AC112" s="23" t="s">
        <v>193</v>
      </c>
      <c r="AD112" s="23">
        <v>40.6</v>
      </c>
      <c r="AE112" s="23">
        <v>40.700000000000003</v>
      </c>
    </row>
    <row r="113" spans="1:31" x14ac:dyDescent="0.35">
      <c r="A113" s="29" t="s">
        <v>383</v>
      </c>
      <c r="B113" s="29" t="s">
        <v>617</v>
      </c>
      <c r="C113" s="21">
        <v>14</v>
      </c>
      <c r="D113" s="32" t="s">
        <v>596</v>
      </c>
      <c r="E113" s="31">
        <v>40904</v>
      </c>
      <c r="F113" s="28" t="s">
        <v>597</v>
      </c>
      <c r="G113" s="28">
        <f>INDEX($C$2:$D$37,MATCH(RESOLUCIONES[[#This Row],[No. Canal]],$C$2:$C$37,0),2)</f>
        <v>473</v>
      </c>
      <c r="I113" s="28" t="s">
        <v>618</v>
      </c>
      <c r="J113" s="28" t="s">
        <v>315</v>
      </c>
      <c r="K113" s="28" t="str">
        <f t="shared" si="2"/>
        <v>BolívarCauca</v>
      </c>
      <c r="L113" s="28"/>
      <c r="M113" s="28"/>
      <c r="N113" s="28"/>
      <c r="O113" s="69"/>
      <c r="P113" s="28"/>
      <c r="Q113" s="28" t="s">
        <v>619</v>
      </c>
      <c r="R113" s="28">
        <v>5.1061666666666667</v>
      </c>
      <c r="S113" s="28">
        <v>-73.494888888888894</v>
      </c>
      <c r="T113" s="28" t="str">
        <f>_xlfn.CONCAT(COORDENADAS[[#This Row],[G]],"° ",COORDENADAS[[#This Row],[M]],"' ",FIXED(COORDENADAS[[#This Row],[S]],2),""" ",COORDENADAS[[#This Row],[Norte]])</f>
        <v>5° 6' 22,20" N</v>
      </c>
      <c r="U113" s="41">
        <v>5</v>
      </c>
      <c r="V113" s="41">
        <v>6</v>
      </c>
      <c r="W113" s="56">
        <v>22.200001200000351</v>
      </c>
      <c r="X113" s="23" t="s">
        <v>192</v>
      </c>
      <c r="Y113" s="28" t="str">
        <f>_xlfn.CONCAT(COORDENADAS[[#This Row],[GG]],"° ",COORDENADAS[[#This Row],[MM]],"' ",FIXED(COORDENADAS[[#This Row],[SS]],2),""" ",COORDENADAS[[#This Row],[Weter]])</f>
        <v>73° 29' 41,60" W</v>
      </c>
      <c r="Z113" s="28">
        <v>73</v>
      </c>
      <c r="AA113" s="28">
        <v>29</v>
      </c>
      <c r="AB113" s="28">
        <v>41.600003999994883</v>
      </c>
      <c r="AC113" s="23" t="s">
        <v>193</v>
      </c>
      <c r="AD113" s="23">
        <v>40.6</v>
      </c>
      <c r="AE113" s="23">
        <v>40.700000000000003</v>
      </c>
    </row>
    <row r="114" spans="1:31" x14ac:dyDescent="0.35">
      <c r="A114" s="29" t="s">
        <v>386</v>
      </c>
      <c r="B114" s="29" t="s">
        <v>620</v>
      </c>
      <c r="C114" s="21">
        <v>14</v>
      </c>
      <c r="D114" s="21">
        <v>1903</v>
      </c>
      <c r="E114" s="30">
        <v>43460</v>
      </c>
      <c r="F114" s="28" t="s">
        <v>577</v>
      </c>
      <c r="G114" s="28">
        <f>INDEX($C$2:$D$37,MATCH(RESOLUCIONES[[#This Row],[No. Canal]],$C$2:$C$37,0),2)</f>
        <v>473</v>
      </c>
      <c r="I114" s="28" t="s">
        <v>618</v>
      </c>
      <c r="J114" s="28" t="s">
        <v>304</v>
      </c>
      <c r="K114" s="28" t="str">
        <f t="shared" si="2"/>
        <v>BolívarSantander</v>
      </c>
      <c r="L114" s="28"/>
      <c r="M114" s="28"/>
      <c r="N114" s="28"/>
      <c r="O114" s="69"/>
      <c r="P114" s="28"/>
      <c r="Q114" s="28" t="s">
        <v>621</v>
      </c>
      <c r="R114" s="28">
        <v>5.0629472222222223</v>
      </c>
      <c r="S114" s="28">
        <v>-75.525186111111111</v>
      </c>
      <c r="T114" s="28" t="str">
        <f>_xlfn.CONCAT(COORDENADAS[[#This Row],[G]],"° ",COORDENADAS[[#This Row],[M]],"' ",FIXED(COORDENADAS[[#This Row],[S]],2),""" ",COORDENADAS[[#This Row],[Norte]])</f>
        <v>5° 3' 46,61" N</v>
      </c>
      <c r="U114" s="41">
        <v>5</v>
      </c>
      <c r="V114" s="41">
        <v>3</v>
      </c>
      <c r="W114" s="56">
        <v>46.610000000000149</v>
      </c>
      <c r="X114" s="23" t="s">
        <v>192</v>
      </c>
      <c r="Y114" s="28" t="str">
        <f>_xlfn.CONCAT(COORDENADAS[[#This Row],[GG]],"° ",COORDENADAS[[#This Row],[MM]],"' ",FIXED(COORDENADAS[[#This Row],[SS]],2),""" ",COORDENADAS[[#This Row],[Weter]])</f>
        <v>75° 31' 30,67" W</v>
      </c>
      <c r="Z114" s="28">
        <v>75</v>
      </c>
      <c r="AA114" s="28">
        <v>31</v>
      </c>
      <c r="AB114" s="28">
        <v>30.669999999999888</v>
      </c>
      <c r="AC114" s="23" t="s">
        <v>193</v>
      </c>
      <c r="AD114" s="23">
        <v>50.92</v>
      </c>
      <c r="AE114" s="23">
        <v>0</v>
      </c>
    </row>
    <row r="115" spans="1:31" x14ac:dyDescent="0.35">
      <c r="A115" s="29" t="s">
        <v>402</v>
      </c>
      <c r="B115" s="29" t="s">
        <v>622</v>
      </c>
      <c r="C115" s="21">
        <v>14</v>
      </c>
      <c r="D115" s="21">
        <v>1903</v>
      </c>
      <c r="E115" s="30">
        <v>43460</v>
      </c>
      <c r="F115" s="28" t="s">
        <v>577</v>
      </c>
      <c r="G115" s="28">
        <f>INDEX($C$2:$D$37,MATCH(RESOLUCIONES[[#This Row],[No. Canal]],$C$2:$C$37,0),2)</f>
        <v>473</v>
      </c>
      <c r="I115" s="28" t="s">
        <v>618</v>
      </c>
      <c r="J115" s="28" t="s">
        <v>381</v>
      </c>
      <c r="K115" s="28" t="str">
        <f t="shared" si="2"/>
        <v>BolívarValle del Cauca</v>
      </c>
      <c r="L115" s="28"/>
      <c r="M115" s="28"/>
      <c r="N115" s="28"/>
      <c r="O115" s="69"/>
      <c r="P115" s="28"/>
      <c r="Q115" s="28" t="s">
        <v>623</v>
      </c>
      <c r="R115" s="28">
        <v>6.0091666669999997</v>
      </c>
      <c r="S115" s="28">
        <v>-75.377472221999994</v>
      </c>
      <c r="T115" s="28" t="str">
        <f>_xlfn.CONCAT(COORDENADAS[[#This Row],[G]],"° ",COORDENADAS[[#This Row],[M]],"' ",FIXED(COORDENADAS[[#This Row],[S]],2),""" ",COORDENADAS[[#This Row],[Norte]])</f>
        <v>6° 0' 33,00" N</v>
      </c>
      <c r="U115" s="41">
        <v>6</v>
      </c>
      <c r="V115" s="41">
        <v>0</v>
      </c>
      <c r="W115" s="56">
        <v>33.000001199998863</v>
      </c>
      <c r="X115" s="23" t="s">
        <v>192</v>
      </c>
      <c r="Y115" s="28" t="str">
        <f>_xlfn.CONCAT(COORDENADAS[[#This Row],[GG]],"° ",COORDENADAS[[#This Row],[MM]],"' ",FIXED(COORDENADAS[[#This Row],[SS]],2),""" ",COORDENADAS[[#This Row],[Weter]])</f>
        <v>75° 22' 38,90" W</v>
      </c>
      <c r="Z115" s="28">
        <v>75</v>
      </c>
      <c r="AA115" s="28">
        <v>22</v>
      </c>
      <c r="AB115" s="28">
        <v>38.899999199979995</v>
      </c>
      <c r="AC115" s="23" t="s">
        <v>193</v>
      </c>
      <c r="AD115" s="23">
        <v>40.6</v>
      </c>
      <c r="AE115" s="23">
        <v>40.799999999999997</v>
      </c>
    </row>
    <row r="116" spans="1:31" x14ac:dyDescent="0.35">
      <c r="A116" s="29" t="s">
        <v>410</v>
      </c>
      <c r="B116" s="29" t="s">
        <v>624</v>
      </c>
      <c r="C116" s="21">
        <v>21</v>
      </c>
      <c r="D116" s="21">
        <v>2171</v>
      </c>
      <c r="E116" s="31">
        <v>43091</v>
      </c>
      <c r="F116" s="28" t="s">
        <v>590</v>
      </c>
      <c r="G116" s="28">
        <f>INDEX($C$2:$D$37,MATCH(RESOLUCIONES[[#This Row],[No. Canal]],$C$2:$C$37,0),2)</f>
        <v>515</v>
      </c>
      <c r="I116" s="28" t="s">
        <v>625</v>
      </c>
      <c r="J116" s="28" t="s">
        <v>293</v>
      </c>
      <c r="K116" s="28" t="str">
        <f t="shared" si="2"/>
        <v>BosconiaCesar</v>
      </c>
      <c r="L116" s="28"/>
      <c r="M116" s="28"/>
      <c r="N116" s="28"/>
      <c r="O116" s="69"/>
      <c r="P116" s="28"/>
      <c r="Q116" s="28" t="s">
        <v>626</v>
      </c>
      <c r="R116" s="28">
        <v>3.8638119999999998</v>
      </c>
      <c r="S116" s="28">
        <v>-76.248670000000004</v>
      </c>
      <c r="T116" s="28" t="str">
        <f>_xlfn.CONCAT(COORDENADAS[[#This Row],[G]],"° ",COORDENADAS[[#This Row],[M]],"' ",FIXED(COORDENADAS[[#This Row],[S]],2),""" ",COORDENADAS[[#This Row],[Norte]])</f>
        <v>3° 51' 49,90" N</v>
      </c>
      <c r="U116" s="41">
        <v>3</v>
      </c>
      <c r="V116" s="41">
        <v>51</v>
      </c>
      <c r="W116" s="56">
        <v>49.900000000001164</v>
      </c>
      <c r="X116" s="23" t="s">
        <v>192</v>
      </c>
      <c r="Y116" s="28" t="str">
        <f>_xlfn.CONCAT(COORDENADAS[[#This Row],[GG]],"° ",COORDENADAS[[#This Row],[MM]],"' ",FIXED(COORDENADAS[[#This Row],[SS]],2),""" ",COORDENADAS[[#This Row],[Weter]])</f>
        <v>76° 14' 55,30" W</v>
      </c>
      <c r="Z116" s="28">
        <v>76</v>
      </c>
      <c r="AA116" s="28">
        <v>14</v>
      </c>
      <c r="AB116" s="28">
        <v>55.299999999980386</v>
      </c>
      <c r="AC116" s="23" t="s">
        <v>193</v>
      </c>
      <c r="AD116" s="23">
        <v>48.38</v>
      </c>
      <c r="AE116" s="23">
        <v>0</v>
      </c>
    </row>
    <row r="117" spans="1:31" x14ac:dyDescent="0.35">
      <c r="A117" s="29" t="s">
        <v>417</v>
      </c>
      <c r="B117" s="29" t="s">
        <v>627</v>
      </c>
      <c r="C117" s="21">
        <v>41</v>
      </c>
      <c r="D117" s="21">
        <v>1903</v>
      </c>
      <c r="E117" s="30">
        <v>43460</v>
      </c>
      <c r="F117" s="28" t="s">
        <v>577</v>
      </c>
      <c r="G117" s="28">
        <f>INDEX($C$2:$D$37,MATCH(RESOLUCIONES[[#This Row],[No. Canal]],$C$2:$C$37,0),2)</f>
        <v>635</v>
      </c>
      <c r="I117" s="28" t="s">
        <v>628</v>
      </c>
      <c r="J117" s="28" t="s">
        <v>274</v>
      </c>
      <c r="K117" s="28" t="str">
        <f t="shared" si="2"/>
        <v>BoyacáBoyaca</v>
      </c>
      <c r="L117" s="28"/>
      <c r="M117" s="28"/>
      <c r="N117" s="28"/>
      <c r="O117" s="69"/>
      <c r="P117" s="28"/>
      <c r="Q117" s="28" t="s">
        <v>629</v>
      </c>
      <c r="R117" s="28">
        <v>0.41936111111111113</v>
      </c>
      <c r="S117" s="28">
        <v>-76.909611111111118</v>
      </c>
      <c r="T117" s="28" t="str">
        <f>_xlfn.CONCAT(COORDENADAS[[#This Row],[G]],"° ",COORDENADAS[[#This Row],[M]],"' ",FIXED(COORDENADAS[[#This Row],[S]],2),""" ",COORDENADAS[[#This Row],[Norte]])</f>
        <v>0° 25' 9,70" N</v>
      </c>
      <c r="U117" s="41">
        <v>0</v>
      </c>
      <c r="V117" s="41">
        <v>25</v>
      </c>
      <c r="W117" s="56">
        <v>9.6999999999999975</v>
      </c>
      <c r="X117" s="23" t="s">
        <v>192</v>
      </c>
      <c r="Y117" s="28" t="str">
        <f>_xlfn.CONCAT(COORDENADAS[[#This Row],[GG]],"° ",COORDENADAS[[#This Row],[MM]],"' ",FIXED(COORDENADAS[[#This Row],[SS]],2),""" ",COORDENADAS[[#This Row],[Weter]])</f>
        <v>76° 54' 34,60" W</v>
      </c>
      <c r="Z117" s="28">
        <v>76</v>
      </c>
      <c r="AA117" s="28">
        <v>54</v>
      </c>
      <c r="AB117" s="28">
        <v>34.600000000026434</v>
      </c>
      <c r="AC117" s="23" t="s">
        <v>193</v>
      </c>
      <c r="AD117" s="23">
        <v>48.43</v>
      </c>
      <c r="AE117" s="23">
        <v>0</v>
      </c>
    </row>
    <row r="118" spans="1:31" x14ac:dyDescent="0.35">
      <c r="A118" s="29" t="s">
        <v>425</v>
      </c>
      <c r="B118" s="29" t="s">
        <v>630</v>
      </c>
      <c r="C118" s="21">
        <v>14</v>
      </c>
      <c r="D118" s="21">
        <v>2311</v>
      </c>
      <c r="E118" s="31">
        <v>41911</v>
      </c>
      <c r="F118" s="28" t="s">
        <v>611</v>
      </c>
      <c r="G118" s="28">
        <f>INDEX($C$2:$D$37,MATCH(RESOLUCIONES[[#This Row],[No. Canal]],$C$2:$C$37,0),2)</f>
        <v>473</v>
      </c>
      <c r="I118" s="28" t="s">
        <v>631</v>
      </c>
      <c r="J118" s="28" t="s">
        <v>154</v>
      </c>
      <c r="K118" s="28" t="str">
        <f t="shared" si="2"/>
        <v>BriceñoAntioquia</v>
      </c>
      <c r="L118" s="28"/>
      <c r="M118" s="28"/>
      <c r="N118" s="28"/>
      <c r="O118" s="69"/>
      <c r="P118" s="28"/>
      <c r="Q118" s="28" t="s">
        <v>632</v>
      </c>
      <c r="R118" s="28">
        <v>9.5494722222222226</v>
      </c>
      <c r="S118" s="28">
        <v>-73.230861111111111</v>
      </c>
      <c r="T118" s="28" t="str">
        <f>_xlfn.CONCAT(COORDENADAS[[#This Row],[G]],"° ",COORDENADAS[[#This Row],[M]],"' ",FIXED(COORDENADAS[[#This Row],[S]],2),""" ",COORDENADAS[[#This Row],[Norte]])</f>
        <v>9° 32' 58,10" N</v>
      </c>
      <c r="U118" s="41">
        <v>9</v>
      </c>
      <c r="V118" s="41">
        <v>32</v>
      </c>
      <c r="W118" s="56">
        <v>58.10000000000133</v>
      </c>
      <c r="X118" s="23" t="s">
        <v>192</v>
      </c>
      <c r="Y118" s="28" t="str">
        <f>_xlfn.CONCAT(COORDENADAS[[#This Row],[GG]],"° ",COORDENADAS[[#This Row],[MM]],"' ",FIXED(COORDENADAS[[#This Row],[SS]],2),""" ",COORDENADAS[[#This Row],[Weter]])</f>
        <v>73° 13' 51,10" W</v>
      </c>
      <c r="Z118" s="28">
        <v>73</v>
      </c>
      <c r="AA118" s="28">
        <v>13</v>
      </c>
      <c r="AB118" s="28">
        <v>51.099999999997834</v>
      </c>
      <c r="AC118" s="23" t="s">
        <v>193</v>
      </c>
      <c r="AD118" s="23">
        <v>36.78</v>
      </c>
      <c r="AE118" s="23">
        <v>0</v>
      </c>
    </row>
    <row r="119" spans="1:31" x14ac:dyDescent="0.35">
      <c r="A119" s="29" t="s">
        <v>435</v>
      </c>
      <c r="B119" s="29" t="s">
        <v>633</v>
      </c>
      <c r="C119" s="21">
        <v>14</v>
      </c>
      <c r="D119" s="21">
        <v>1903</v>
      </c>
      <c r="E119" s="30">
        <v>43460</v>
      </c>
      <c r="F119" s="28" t="s">
        <v>577</v>
      </c>
      <c r="G119" s="28">
        <f>INDEX($C$2:$D$37,MATCH(RESOLUCIONES[[#This Row],[No. Canal]],$C$2:$C$37,0),2)</f>
        <v>473</v>
      </c>
      <c r="I119" s="28" t="s">
        <v>631</v>
      </c>
      <c r="J119" s="28" t="s">
        <v>274</v>
      </c>
      <c r="K119" s="28" t="str">
        <f t="shared" si="2"/>
        <v>BriceñoBoyaca</v>
      </c>
      <c r="L119" s="28"/>
      <c r="M119" s="28"/>
      <c r="N119" s="28"/>
      <c r="O119" s="69"/>
      <c r="P119" s="28"/>
      <c r="Q119" s="28" t="s">
        <v>634</v>
      </c>
      <c r="R119" s="28">
        <v>12.565722222222224</v>
      </c>
      <c r="S119" s="28">
        <v>-81.717361111111117</v>
      </c>
      <c r="T119" s="28" t="str">
        <f>_xlfn.CONCAT(COORDENADAS[[#This Row],[G]],"° ",COORDENADAS[[#This Row],[M]],"' ",FIXED(COORDENADAS[[#This Row],[S]],2),""" ",COORDENADAS[[#This Row],[Norte]])</f>
        <v>12° 33' 56,60" N</v>
      </c>
      <c r="U119" s="41">
        <v>12</v>
      </c>
      <c r="V119" s="41">
        <v>33</v>
      </c>
      <c r="W119" s="56">
        <v>56.600000000005494</v>
      </c>
      <c r="X119" s="23" t="s">
        <v>192</v>
      </c>
      <c r="Y119" s="28" t="str">
        <f>_xlfn.CONCAT(COORDENADAS[[#This Row],[GG]],"° ",COORDENADAS[[#This Row],[MM]],"' ",FIXED(COORDENADAS[[#This Row],[SS]],2),""" ",COORDENADAS[[#This Row],[Weter]])</f>
        <v>81° 43' 2,50" W</v>
      </c>
      <c r="Z119" s="28">
        <v>81</v>
      </c>
      <c r="AA119" s="28">
        <v>43</v>
      </c>
      <c r="AB119" s="28">
        <v>2.5000000000215739</v>
      </c>
      <c r="AC119" s="23" t="s">
        <v>193</v>
      </c>
      <c r="AD119" s="23">
        <v>49.5</v>
      </c>
      <c r="AE119" s="23">
        <v>0</v>
      </c>
    </row>
    <row r="120" spans="1:31" x14ac:dyDescent="0.35">
      <c r="A120" s="29" t="s">
        <v>439</v>
      </c>
      <c r="B120" s="29" t="s">
        <v>635</v>
      </c>
      <c r="C120" s="21">
        <v>14</v>
      </c>
      <c r="D120" s="21">
        <v>1903</v>
      </c>
      <c r="E120" s="30">
        <v>43460</v>
      </c>
      <c r="F120" s="28" t="s">
        <v>577</v>
      </c>
      <c r="G120" s="28">
        <f>INDEX($C$2:$D$37,MATCH(RESOLUCIONES[[#This Row],[No. Canal]],$C$2:$C$37,0),2)</f>
        <v>473</v>
      </c>
      <c r="I120" s="28" t="s">
        <v>636</v>
      </c>
      <c r="J120" s="28" t="s">
        <v>304</v>
      </c>
      <c r="K120" s="28" t="str">
        <f t="shared" si="2"/>
        <v>BucaramangaSantander</v>
      </c>
      <c r="L120" s="28"/>
      <c r="M120" s="28"/>
      <c r="N120" s="28"/>
      <c r="O120" s="69"/>
      <c r="P120" s="28"/>
      <c r="Q120" s="28" t="s">
        <v>637</v>
      </c>
      <c r="R120" s="28">
        <v>1.4772500000000002</v>
      </c>
      <c r="S120" s="28">
        <v>-75.43683333333334</v>
      </c>
      <c r="T120" s="28" t="str">
        <f>_xlfn.CONCAT(COORDENADAS[[#This Row],[G]],"° ",COORDENADAS[[#This Row],[M]],"' ",FIXED(COORDENADAS[[#This Row],[S]],2),""" ",COORDENADAS[[#This Row],[Norte]])</f>
        <v>1° 28' 38,10" N</v>
      </c>
      <c r="U120" s="41">
        <v>1</v>
      </c>
      <c r="V120" s="41">
        <v>28</v>
      </c>
      <c r="W120" s="56">
        <v>38.100000000000598</v>
      </c>
      <c r="X120" s="23" t="s">
        <v>192</v>
      </c>
      <c r="Y120" s="28" t="str">
        <f>_xlfn.CONCAT(COORDENADAS[[#This Row],[GG]],"° ",COORDENADAS[[#This Row],[MM]],"' ",FIXED(COORDENADAS[[#This Row],[SS]],2),""" ",COORDENADAS[[#This Row],[Weter]])</f>
        <v>75° 26' 12,60" W</v>
      </c>
      <c r="Z120" s="28">
        <v>75</v>
      </c>
      <c r="AA120" s="28">
        <v>26</v>
      </c>
      <c r="AB120" s="28">
        <v>12.600000000022593</v>
      </c>
      <c r="AC120" s="23" t="s">
        <v>193</v>
      </c>
      <c r="AD120" s="23">
        <v>34.82</v>
      </c>
      <c r="AE120" s="23">
        <v>0</v>
      </c>
    </row>
    <row r="121" spans="1:31" x14ac:dyDescent="0.35">
      <c r="A121" s="29" t="s">
        <v>446</v>
      </c>
      <c r="B121" s="29" t="s">
        <v>638</v>
      </c>
      <c r="C121" s="21">
        <v>14</v>
      </c>
      <c r="D121" s="21">
        <v>861</v>
      </c>
      <c r="E121" s="31">
        <v>42286</v>
      </c>
      <c r="F121" s="28" t="s">
        <v>639</v>
      </c>
      <c r="G121" s="28">
        <f>INDEX($C$2:$D$37,MATCH(RESOLUCIONES[[#This Row],[No. Canal]],$C$2:$C$37,0),2)</f>
        <v>473</v>
      </c>
      <c r="I121" s="28" t="s">
        <v>640</v>
      </c>
      <c r="J121" s="28" t="s">
        <v>190</v>
      </c>
      <c r="K121" s="28" t="str">
        <f t="shared" si="2"/>
        <v>BucarasicaNorte de Santander</v>
      </c>
      <c r="L121" s="28"/>
      <c r="M121" s="28"/>
      <c r="N121" s="28"/>
      <c r="O121" s="69"/>
      <c r="P121" s="28"/>
      <c r="Q121" s="28" t="s">
        <v>641</v>
      </c>
      <c r="R121" s="28">
        <v>6.3227500000000001</v>
      </c>
      <c r="S121" s="28">
        <v>-75.588583333333332</v>
      </c>
      <c r="T121" s="28" t="str">
        <f>_xlfn.CONCAT(COORDENADAS[[#This Row],[G]],"° ",COORDENADAS[[#This Row],[M]],"' ",FIXED(COORDENADAS[[#This Row],[S]],2),""" ",COORDENADAS[[#This Row],[Norte]])</f>
        <v>6° 19' 21,90" N</v>
      </c>
      <c r="U121" s="41">
        <v>6</v>
      </c>
      <c r="V121" s="41">
        <v>19</v>
      </c>
      <c r="W121" s="56">
        <v>21.900000000000386</v>
      </c>
      <c r="X121" s="23" t="s">
        <v>192</v>
      </c>
      <c r="Y121" s="28" t="str">
        <f>_xlfn.CONCAT(COORDENADAS[[#This Row],[GG]],"° ",COORDENADAS[[#This Row],[MM]],"' ",FIXED(COORDENADAS[[#This Row],[SS]],2),""" ",COORDENADAS[[#This Row],[Weter]])</f>
        <v>75° 35' 18,90" W</v>
      </c>
      <c r="Z121" s="28">
        <v>75</v>
      </c>
      <c r="AA121" s="28">
        <v>35</v>
      </c>
      <c r="AB121" s="28">
        <v>18.899999999996318</v>
      </c>
      <c r="AC121" s="23" t="s">
        <v>193</v>
      </c>
      <c r="AD121" s="23">
        <v>48.38</v>
      </c>
      <c r="AE121" s="23">
        <v>0</v>
      </c>
    </row>
    <row r="122" spans="1:31" x14ac:dyDescent="0.35">
      <c r="A122" s="29" t="s">
        <v>448</v>
      </c>
      <c r="B122" s="29" t="s">
        <v>642</v>
      </c>
      <c r="C122" s="21">
        <v>14</v>
      </c>
      <c r="D122" s="21">
        <v>1903</v>
      </c>
      <c r="E122" s="30">
        <v>43460</v>
      </c>
      <c r="F122" s="28" t="s">
        <v>577</v>
      </c>
      <c r="G122" s="28">
        <f>INDEX($C$2:$D$37,MATCH(RESOLUCIONES[[#This Row],[No. Canal]],$C$2:$C$37,0),2)</f>
        <v>473</v>
      </c>
      <c r="I122" s="28" t="s">
        <v>643</v>
      </c>
      <c r="J122" s="28" t="s">
        <v>381</v>
      </c>
      <c r="K122" s="28" t="str">
        <f t="shared" si="2"/>
        <v>BuenaventuraValle del Cauca</v>
      </c>
      <c r="L122" s="28"/>
      <c r="M122" s="28"/>
      <c r="N122" s="28"/>
      <c r="O122" s="69"/>
      <c r="P122" s="28"/>
      <c r="Q122" s="28" t="s">
        <v>644</v>
      </c>
      <c r="R122" s="28">
        <v>9.6373611111111099</v>
      </c>
      <c r="S122" s="28">
        <v>-75.206944444444446</v>
      </c>
      <c r="T122" s="28" t="str">
        <f>_xlfn.CONCAT(COORDENADAS[[#This Row],[G]],"° ",COORDENADAS[[#This Row],[M]],"' ",FIXED(COORDENADAS[[#This Row],[S]],2),""" ",COORDENADAS[[#This Row],[Norte]])</f>
        <v>9° 38' 14,50" N</v>
      </c>
      <c r="U122" s="41">
        <v>9</v>
      </c>
      <c r="V122" s="41">
        <v>38</v>
      </c>
      <c r="W122" s="56">
        <v>14.499999999995872</v>
      </c>
      <c r="X122" s="23" t="s">
        <v>192</v>
      </c>
      <c r="Y122" s="28" t="str">
        <f>_xlfn.CONCAT(COORDENADAS[[#This Row],[GG]],"° ",COORDENADAS[[#This Row],[MM]],"' ",FIXED(COORDENADAS[[#This Row],[SS]],2),""" ",COORDENADAS[[#This Row],[Weter]])</f>
        <v>75° 12' 25,00" W</v>
      </c>
      <c r="Z122" s="28">
        <v>75</v>
      </c>
      <c r="AA122" s="28">
        <v>12</v>
      </c>
      <c r="AB122" s="28">
        <v>25.000000000004508</v>
      </c>
      <c r="AC122" s="23" t="s">
        <v>193</v>
      </c>
      <c r="AD122" s="23">
        <v>48.38</v>
      </c>
      <c r="AE122" s="23">
        <v>0</v>
      </c>
    </row>
    <row r="123" spans="1:31" x14ac:dyDescent="0.35">
      <c r="A123" s="29" t="s">
        <v>452</v>
      </c>
      <c r="B123" s="29" t="s">
        <v>645</v>
      </c>
      <c r="C123" s="21">
        <v>21</v>
      </c>
      <c r="D123" s="21">
        <v>2076</v>
      </c>
      <c r="E123" s="31">
        <v>43082</v>
      </c>
      <c r="F123" s="28" t="s">
        <v>646</v>
      </c>
      <c r="G123" s="28">
        <f>INDEX($C$2:$D$37,MATCH(RESOLUCIONES[[#This Row],[No. Canal]],$C$2:$C$37,0),2)</f>
        <v>515</v>
      </c>
      <c r="I123" s="28" t="s">
        <v>647</v>
      </c>
      <c r="J123" s="28" t="s">
        <v>274</v>
      </c>
      <c r="K123" s="28" t="str">
        <f t="shared" si="2"/>
        <v>BuenavistaBoyaca</v>
      </c>
      <c r="L123" s="28"/>
      <c r="M123" s="28"/>
      <c r="N123" s="28"/>
      <c r="O123" s="69"/>
      <c r="P123" s="28"/>
      <c r="Q123" s="28" t="s">
        <v>648</v>
      </c>
      <c r="R123" s="28">
        <v>9.6366666670000001</v>
      </c>
      <c r="S123" s="28">
        <v>-75.204722222000001</v>
      </c>
      <c r="T123" s="28" t="str">
        <f>_xlfn.CONCAT(COORDENADAS[[#This Row],[G]],"° ",COORDENADAS[[#This Row],[M]],"' ",FIXED(COORDENADAS[[#This Row],[S]],2),""" ",COORDENADAS[[#This Row],[Norte]])</f>
        <v>9° 38' 12,42" N</v>
      </c>
      <c r="U123" s="41">
        <v>9</v>
      </c>
      <c r="V123" s="41">
        <v>38</v>
      </c>
      <c r="W123" s="56">
        <v>12.417741600000021</v>
      </c>
      <c r="X123" s="23" t="s">
        <v>192</v>
      </c>
      <c r="Y123" s="28" t="str">
        <f>_xlfn.CONCAT(COORDENADAS[[#This Row],[GG]],"° ",COORDENADAS[[#This Row],[MM]],"' ",FIXED(COORDENADAS[[#This Row],[SS]],2),""" ",COORDENADAS[[#This Row],[Weter]])</f>
        <v>75° 12' 17,32" W</v>
      </c>
      <c r="Z123" s="28">
        <v>75</v>
      </c>
      <c r="AA123" s="28">
        <v>12</v>
      </c>
      <c r="AB123" s="28">
        <v>17.322944400005969</v>
      </c>
      <c r="AC123" s="23" t="s">
        <v>193</v>
      </c>
      <c r="AD123" s="23">
        <v>40.6</v>
      </c>
      <c r="AE123" s="23">
        <v>40.700000000000003</v>
      </c>
    </row>
    <row r="124" spans="1:31" x14ac:dyDescent="0.35">
      <c r="A124" s="29" t="s">
        <v>621</v>
      </c>
      <c r="B124" s="29" t="s">
        <v>649</v>
      </c>
      <c r="C124" s="21">
        <v>41</v>
      </c>
      <c r="D124" s="32" t="s">
        <v>596</v>
      </c>
      <c r="E124" s="31">
        <v>40904</v>
      </c>
      <c r="F124" s="28" t="s">
        <v>597</v>
      </c>
      <c r="G124" s="28">
        <f>INDEX($C$2:$D$37,MATCH(RESOLUCIONES[[#This Row],[No. Canal]],$C$2:$C$37,0),2)</f>
        <v>635</v>
      </c>
      <c r="I124" s="28" t="s">
        <v>647</v>
      </c>
      <c r="J124" s="28" t="s">
        <v>337</v>
      </c>
      <c r="K124" s="28" t="str">
        <f t="shared" si="2"/>
        <v>BuenavistaCordoba</v>
      </c>
      <c r="L124" s="28"/>
      <c r="M124" s="28"/>
      <c r="N124" s="28"/>
      <c r="O124" s="69"/>
      <c r="P124" s="28"/>
      <c r="Q124" s="28" t="s">
        <v>650</v>
      </c>
      <c r="R124" s="28">
        <v>2.354166666666667</v>
      </c>
      <c r="S124" s="28">
        <v>-75.883527777777786</v>
      </c>
      <c r="T124" s="28" t="str">
        <f>_xlfn.CONCAT(COORDENADAS[[#This Row],[G]],"° ",COORDENADAS[[#This Row],[M]],"' ",FIXED(COORDENADAS[[#This Row],[S]],2),""" ",COORDENADAS[[#This Row],[Norte]])</f>
        <v>2° 21' 15,00" N</v>
      </c>
      <c r="U124" s="41">
        <v>2</v>
      </c>
      <c r="V124" s="41">
        <v>21</v>
      </c>
      <c r="W124" s="56">
        <v>15.000000000001146</v>
      </c>
      <c r="X124" s="23" t="s">
        <v>192</v>
      </c>
      <c r="Y124" s="28" t="str">
        <f>_xlfn.CONCAT(COORDENADAS[[#This Row],[GG]],"° ",COORDENADAS[[#This Row],[MM]],"' ",FIXED(COORDENADAS[[#This Row],[SS]],2),""" ",COORDENADAS[[#This Row],[Weter]])</f>
        <v>75° 53' 0,70" W</v>
      </c>
      <c r="Z124" s="28">
        <v>75</v>
      </c>
      <c r="AA124" s="28">
        <v>53</v>
      </c>
      <c r="AB124" s="28">
        <v>0.70000000003016538</v>
      </c>
      <c r="AC124" s="23" t="s">
        <v>193</v>
      </c>
      <c r="AD124" s="23">
        <v>48.38</v>
      </c>
      <c r="AE124" s="23">
        <v>0</v>
      </c>
    </row>
    <row r="125" spans="1:31" x14ac:dyDescent="0.35">
      <c r="A125" s="29" t="s">
        <v>457</v>
      </c>
      <c r="B125" s="29" t="s">
        <v>651</v>
      </c>
      <c r="C125" s="21">
        <v>34</v>
      </c>
      <c r="D125" s="21">
        <v>2311</v>
      </c>
      <c r="E125" s="31">
        <v>41911</v>
      </c>
      <c r="F125" s="28" t="s">
        <v>611</v>
      </c>
      <c r="G125" s="28">
        <f>INDEX($C$2:$D$37,MATCH(RESOLUCIONES[[#This Row],[No. Canal]],$C$2:$C$37,0),2)</f>
        <v>593</v>
      </c>
      <c r="I125" s="28" t="s">
        <v>647</v>
      </c>
      <c r="J125" s="28" t="s">
        <v>401</v>
      </c>
      <c r="K125" s="28" t="str">
        <f t="shared" si="2"/>
        <v>BuenavistaQuindio</v>
      </c>
      <c r="L125" s="28"/>
      <c r="M125" s="28"/>
      <c r="N125" s="28"/>
      <c r="O125" s="69"/>
      <c r="P125" s="28"/>
      <c r="Q125" s="28" t="s">
        <v>652</v>
      </c>
      <c r="R125" s="28">
        <v>10.422799999999999</v>
      </c>
      <c r="S125" s="28">
        <v>-75.525041666666667</v>
      </c>
      <c r="T125" s="28" t="str">
        <f>_xlfn.CONCAT(COORDENADAS[[#This Row],[G]],"° ",COORDENADAS[[#This Row],[M]],"' ",FIXED(COORDENADAS[[#This Row],[S]],2),""" ",COORDENADAS[[#This Row],[Norte]])</f>
        <v>10° 25' 22,08" N</v>
      </c>
      <c r="U125" s="41">
        <v>10</v>
      </c>
      <c r="V125" s="41">
        <v>25</v>
      </c>
      <c r="W125" s="56">
        <v>22.079999999995369</v>
      </c>
      <c r="X125" s="23" t="s">
        <v>192</v>
      </c>
      <c r="Y125" s="28" t="str">
        <f>_xlfn.CONCAT(COORDENADAS[[#This Row],[GG]],"° ",COORDENADAS[[#This Row],[MM]],"' ",FIXED(COORDENADAS[[#This Row],[SS]],2),""" ",COORDENADAS[[#This Row],[Weter]])</f>
        <v>75° 31' 30,15" W</v>
      </c>
      <c r="Z125" s="28">
        <v>75</v>
      </c>
      <c r="AA125" s="28">
        <v>31</v>
      </c>
      <c r="AB125" s="28">
        <v>30.149999999999679</v>
      </c>
      <c r="AC125" s="23" t="s">
        <v>193</v>
      </c>
      <c r="AD125" s="23">
        <v>48.38</v>
      </c>
      <c r="AE125" s="23">
        <v>0</v>
      </c>
    </row>
    <row r="126" spans="1:31" x14ac:dyDescent="0.35">
      <c r="A126" s="29" t="s">
        <v>459</v>
      </c>
      <c r="B126" s="29" t="s">
        <v>653</v>
      </c>
      <c r="C126" s="21">
        <v>43</v>
      </c>
      <c r="D126" s="21">
        <v>861</v>
      </c>
      <c r="E126" s="31">
        <v>42286</v>
      </c>
      <c r="F126" s="28" t="s">
        <v>639</v>
      </c>
      <c r="G126" s="28">
        <f>INDEX($C$2:$D$37,MATCH(RESOLUCIONES[[#This Row],[No. Canal]],$C$2:$C$37,0),2)</f>
        <v>647</v>
      </c>
      <c r="I126" s="28" t="s">
        <v>647</v>
      </c>
      <c r="J126" s="28" t="s">
        <v>413</v>
      </c>
      <c r="K126" s="28" t="str">
        <f t="shared" si="2"/>
        <v>BuenavistaSucre</v>
      </c>
      <c r="L126" s="28"/>
      <c r="M126" s="28"/>
      <c r="N126" s="28"/>
      <c r="O126" s="69"/>
      <c r="P126" s="28"/>
      <c r="Q126" s="28" t="s">
        <v>654</v>
      </c>
      <c r="R126" s="28">
        <v>10.420277778000001</v>
      </c>
      <c r="S126" s="28">
        <v>-75.525833332999994</v>
      </c>
      <c r="T126" s="28" t="str">
        <f>_xlfn.CONCAT(COORDENADAS[[#This Row],[G]],"° ",COORDENADAS[[#This Row],[M]],"' ",FIXED(COORDENADAS[[#This Row],[S]],2),""" ",COORDENADAS[[#This Row],[Norte]])</f>
        <v>10° 25' 13,00" N</v>
      </c>
      <c r="U126" s="41">
        <v>10</v>
      </c>
      <c r="V126" s="41">
        <v>25</v>
      </c>
      <c r="W126" s="56">
        <v>13.000000800003097</v>
      </c>
      <c r="X126" s="23" t="s">
        <v>192</v>
      </c>
      <c r="Y126" s="28" t="str">
        <f>_xlfn.CONCAT(COORDENADAS[[#This Row],[GG]],"° ",COORDENADAS[[#This Row],[MM]],"' ",FIXED(COORDENADAS[[#This Row],[SS]],2),""" ",COORDENADAS[[#This Row],[Weter]])</f>
        <v>75° 31' 33,00" W</v>
      </c>
      <c r="Z126" s="28">
        <v>75</v>
      </c>
      <c r="AA126" s="28">
        <v>31</v>
      </c>
      <c r="AB126" s="28">
        <v>32.999998799979082</v>
      </c>
      <c r="AC126" s="23" t="s">
        <v>193</v>
      </c>
      <c r="AD126" s="23">
        <v>40.6</v>
      </c>
      <c r="AE126" s="23">
        <v>40.700000000000003</v>
      </c>
    </row>
    <row r="127" spans="1:31" x14ac:dyDescent="0.35">
      <c r="A127" s="29" t="s">
        <v>467</v>
      </c>
      <c r="B127" s="29" t="s">
        <v>655</v>
      </c>
      <c r="C127" s="21">
        <v>41</v>
      </c>
      <c r="D127" s="21">
        <v>861</v>
      </c>
      <c r="E127" s="31">
        <v>42286</v>
      </c>
      <c r="F127" s="28" t="s">
        <v>639</v>
      </c>
      <c r="G127" s="28">
        <f>INDEX($C$2:$D$37,MATCH(RESOLUCIONES[[#This Row],[No. Canal]],$C$2:$C$37,0),2)</f>
        <v>635</v>
      </c>
      <c r="I127" s="28" t="s">
        <v>656</v>
      </c>
      <c r="J127" s="28" t="s">
        <v>315</v>
      </c>
      <c r="K127" s="28" t="str">
        <f t="shared" si="2"/>
        <v>Buenos AiresCauca</v>
      </c>
      <c r="L127" s="28"/>
      <c r="M127" s="28"/>
      <c r="N127" s="28"/>
      <c r="O127" s="69"/>
      <c r="P127" s="28"/>
      <c r="Q127" s="28" t="s">
        <v>657</v>
      </c>
      <c r="R127" s="28">
        <v>5.8912027780000003</v>
      </c>
      <c r="S127" s="28">
        <v>-73.082241667000005</v>
      </c>
      <c r="T127" s="28" t="str">
        <f>_xlfn.CONCAT(COORDENADAS[[#This Row],[G]],"° ",COORDENADAS[[#This Row],[M]],"' ",FIXED(COORDENADAS[[#This Row],[S]],2),""" ",COORDENADAS[[#This Row],[Norte]])</f>
        <v>5° 53' 28,33" N</v>
      </c>
      <c r="U127" s="41">
        <v>5</v>
      </c>
      <c r="V127" s="41">
        <v>53</v>
      </c>
      <c r="W127" s="56">
        <v>28.33000080000101</v>
      </c>
      <c r="X127" s="23" t="s">
        <v>192</v>
      </c>
      <c r="Y127" s="28" t="str">
        <f>_xlfn.CONCAT(COORDENADAS[[#This Row],[GG]],"° ",COORDENADAS[[#This Row],[MM]],"' ",FIXED(COORDENADAS[[#This Row],[SS]],2),""" ",COORDENADAS[[#This Row],[Weter]])</f>
        <v>73° 4' 56,07" W</v>
      </c>
      <c r="Z127" s="28">
        <v>73</v>
      </c>
      <c r="AA127" s="28">
        <v>4</v>
      </c>
      <c r="AB127" s="28">
        <v>56.070001200018851</v>
      </c>
      <c r="AC127" s="23" t="s">
        <v>193</v>
      </c>
      <c r="AD127" s="23">
        <v>40.6</v>
      </c>
      <c r="AE127" s="23">
        <v>40.700000000000003</v>
      </c>
    </row>
    <row r="128" spans="1:31" x14ac:dyDescent="0.35">
      <c r="A128" s="29" t="s">
        <v>471</v>
      </c>
      <c r="B128" s="29" t="s">
        <v>658</v>
      </c>
      <c r="C128" s="21">
        <v>21</v>
      </c>
      <c r="D128" s="21">
        <v>2311</v>
      </c>
      <c r="E128" s="31">
        <v>41911</v>
      </c>
      <c r="F128" s="28" t="s">
        <v>611</v>
      </c>
      <c r="G128" s="28">
        <f>INDEX($C$2:$D$37,MATCH(RESOLUCIONES[[#This Row],[No. Canal]],$C$2:$C$37,0),2)</f>
        <v>515</v>
      </c>
      <c r="I128" s="28" t="s">
        <v>659</v>
      </c>
      <c r="J128" s="28" t="s">
        <v>352</v>
      </c>
      <c r="K128" s="28" t="str">
        <f t="shared" si="2"/>
        <v>BuesacoNariño</v>
      </c>
      <c r="L128" s="28"/>
      <c r="M128" s="28"/>
      <c r="N128" s="28"/>
      <c r="O128" s="69"/>
      <c r="P128" s="28"/>
      <c r="Q128" s="28" t="s">
        <v>660</v>
      </c>
      <c r="R128" s="28">
        <v>2.0029444444444446</v>
      </c>
      <c r="S128" s="28">
        <v>-76.779361111111115</v>
      </c>
      <c r="T128" s="28" t="str">
        <f>_xlfn.CONCAT(COORDENADAS[[#This Row],[G]],"° ",COORDENADAS[[#This Row],[M]],"' ",FIXED(COORDENADAS[[#This Row],[S]],2),""" ",COORDENADAS[[#This Row],[Norte]])</f>
        <v>2° 0' 10,60" N</v>
      </c>
      <c r="U128" s="41">
        <v>2</v>
      </c>
      <c r="V128" s="41">
        <v>0</v>
      </c>
      <c r="W128" s="56">
        <v>10.600000000000698</v>
      </c>
      <c r="X128" s="23" t="s">
        <v>192</v>
      </c>
      <c r="Y128" s="28" t="str">
        <f>_xlfn.CONCAT(COORDENADAS[[#This Row],[GG]],"° ",COORDENADAS[[#This Row],[MM]],"' ",FIXED(COORDENADAS[[#This Row],[SS]],2),""" ",COORDENADAS[[#This Row],[Weter]])</f>
        <v>76° 46' 45,70" W</v>
      </c>
      <c r="Z128" s="28">
        <v>76</v>
      </c>
      <c r="AA128" s="28">
        <v>46</v>
      </c>
      <c r="AB128" s="28">
        <v>45.700000000012821</v>
      </c>
      <c r="AC128" s="23" t="s">
        <v>193</v>
      </c>
      <c r="AD128" s="23">
        <v>35.56</v>
      </c>
      <c r="AE128" s="23">
        <v>0</v>
      </c>
    </row>
    <row r="129" spans="1:31" x14ac:dyDescent="0.35">
      <c r="A129" s="29" t="s">
        <v>492</v>
      </c>
      <c r="B129" s="29" t="s">
        <v>661</v>
      </c>
      <c r="C129" s="21">
        <v>14</v>
      </c>
      <c r="D129" s="21">
        <v>1903</v>
      </c>
      <c r="E129" s="30">
        <v>43460</v>
      </c>
      <c r="F129" s="28" t="s">
        <v>577</v>
      </c>
      <c r="G129" s="28">
        <f>INDEX($C$2:$D$37,MATCH(RESOLUCIONES[[#This Row],[No. Canal]],$C$2:$C$37,0),2)</f>
        <v>473</v>
      </c>
      <c r="I129" s="28" t="s">
        <v>662</v>
      </c>
      <c r="J129" s="28" t="s">
        <v>381</v>
      </c>
      <c r="K129" s="28" t="str">
        <f t="shared" ref="K129:K192" si="3">_xlfn.CONCAT(TRIM(I129),TRIM(J129))</f>
        <v>BugalagrandeValle del Cauca</v>
      </c>
      <c r="L129" s="28"/>
      <c r="M129" s="28"/>
      <c r="N129" s="28"/>
      <c r="O129" s="69"/>
      <c r="P129" s="28"/>
      <c r="Q129" s="28" t="s">
        <v>663</v>
      </c>
      <c r="R129" s="28">
        <v>5.8640555555555549</v>
      </c>
      <c r="S129" s="28">
        <v>-73.05738888888888</v>
      </c>
      <c r="T129" s="28" t="str">
        <f>_xlfn.CONCAT(COORDENADAS[[#This Row],[G]],"° ",COORDENADAS[[#This Row],[M]],"' ",FIXED(COORDENADAS[[#This Row],[S]],2),""" ",COORDENADAS[[#This Row],[Norte]])</f>
        <v>5° 51' 50,60" N</v>
      </c>
      <c r="U129" s="41">
        <v>5</v>
      </c>
      <c r="V129" s="41">
        <v>51</v>
      </c>
      <c r="W129" s="56">
        <v>50.599999999997756</v>
      </c>
      <c r="X129" s="23" t="s">
        <v>192</v>
      </c>
      <c r="Y129" s="28" t="str">
        <f>_xlfn.CONCAT(COORDENADAS[[#This Row],[GG]],"° ",COORDENADAS[[#This Row],[MM]],"' ",FIXED(COORDENADAS[[#This Row],[SS]],2),""" ",COORDENADAS[[#This Row],[Weter]])</f>
        <v>73° 3' 26,60" W</v>
      </c>
      <c r="Z129" s="28">
        <v>73</v>
      </c>
      <c r="AA129" s="28">
        <v>3</v>
      </c>
      <c r="AB129" s="28">
        <v>26.599999999968976</v>
      </c>
      <c r="AC129" s="23" t="s">
        <v>193</v>
      </c>
      <c r="AD129" s="23">
        <v>48.38</v>
      </c>
      <c r="AE129" s="23">
        <v>0</v>
      </c>
    </row>
    <row r="130" spans="1:31" x14ac:dyDescent="0.35">
      <c r="A130" s="29" t="s">
        <v>494</v>
      </c>
      <c r="B130" s="29" t="s">
        <v>664</v>
      </c>
      <c r="C130" s="21">
        <v>14</v>
      </c>
      <c r="D130" s="21">
        <v>1903</v>
      </c>
      <c r="E130" s="30">
        <v>43460</v>
      </c>
      <c r="F130" s="28" t="s">
        <v>577</v>
      </c>
      <c r="G130" s="28">
        <f>INDEX($C$2:$D$37,MATCH(RESOLUCIONES[[#This Row],[No. Canal]],$C$2:$C$37,0),2)</f>
        <v>473</v>
      </c>
      <c r="I130" s="28" t="s">
        <v>665</v>
      </c>
      <c r="J130" s="28" t="s">
        <v>154</v>
      </c>
      <c r="K130" s="28" t="str">
        <f t="shared" si="3"/>
        <v>BuriticáAntioquia</v>
      </c>
      <c r="L130" s="28"/>
      <c r="M130" s="28"/>
      <c r="N130" s="28"/>
      <c r="O130" s="69"/>
      <c r="P130" s="28"/>
      <c r="Q130" s="28" t="s">
        <v>666</v>
      </c>
      <c r="R130" s="28">
        <v>6.0094166666666666</v>
      </c>
      <c r="S130" s="28">
        <v>-75.376527777777767</v>
      </c>
      <c r="T130" s="28" t="str">
        <f>_xlfn.CONCAT(COORDENADAS[[#This Row],[G]],"° ",COORDENADAS[[#This Row],[M]],"' ",FIXED(COORDENADAS[[#This Row],[S]],2),""" ",COORDENADAS[[#This Row],[Norte]])</f>
        <v>6° 0' 33,90" N</v>
      </c>
      <c r="U130" s="41">
        <v>6</v>
      </c>
      <c r="V130" s="41">
        <v>0</v>
      </c>
      <c r="W130" s="56">
        <v>33.899999999999864</v>
      </c>
      <c r="X130" s="23" t="s">
        <v>192</v>
      </c>
      <c r="Y130" s="28" t="str">
        <f>_xlfn.CONCAT(COORDENADAS[[#This Row],[GG]],"° ",COORDENADAS[[#This Row],[MM]],"' ",FIXED(COORDENADAS[[#This Row],[SS]],2),""" ",COORDENADAS[[#This Row],[Weter]])</f>
        <v>75° 22' 35,50" W</v>
      </c>
      <c r="Z130" s="28">
        <v>75</v>
      </c>
      <c r="AA130" s="28">
        <v>22</v>
      </c>
      <c r="AB130" s="28">
        <v>35.499999999960984</v>
      </c>
      <c r="AC130" s="23" t="s">
        <v>193</v>
      </c>
      <c r="AD130" s="23">
        <v>48.38</v>
      </c>
      <c r="AE130" s="23">
        <v>0</v>
      </c>
    </row>
    <row r="131" spans="1:31" x14ac:dyDescent="0.35">
      <c r="A131" s="29" t="s">
        <v>496</v>
      </c>
      <c r="B131" s="29" t="s">
        <v>667</v>
      </c>
      <c r="C131" s="21">
        <v>27</v>
      </c>
      <c r="D131" s="21">
        <v>1903</v>
      </c>
      <c r="E131" s="30">
        <v>43460</v>
      </c>
      <c r="F131" s="28" t="s">
        <v>577</v>
      </c>
      <c r="G131" s="28">
        <f>INDEX($C$2:$D$37,MATCH(RESOLUCIONES[[#This Row],[No. Canal]],$C$2:$C$37,0),2)</f>
        <v>551</v>
      </c>
      <c r="I131" s="28" t="s">
        <v>668</v>
      </c>
      <c r="J131" s="28" t="s">
        <v>274</v>
      </c>
      <c r="K131" s="28" t="str">
        <f t="shared" si="3"/>
        <v>BusbanzáBoyaca</v>
      </c>
      <c r="L131" s="28"/>
      <c r="M131" s="28"/>
      <c r="N131" s="28"/>
      <c r="O131" s="69"/>
      <c r="P131" s="28"/>
      <c r="Q131" s="28" t="s">
        <v>669</v>
      </c>
      <c r="R131" s="28">
        <v>7.0828888888888883</v>
      </c>
      <c r="S131" s="28">
        <v>-73.19594444444445</v>
      </c>
      <c r="T131" s="28" t="str">
        <f>_xlfn.CONCAT(COORDENADAS[[#This Row],[G]],"° ",COORDENADAS[[#This Row],[M]],"' ",FIXED(COORDENADAS[[#This Row],[S]],2),""" ",COORDENADAS[[#This Row],[Norte]])</f>
        <v>7° 4' 58,40" N</v>
      </c>
      <c r="U131" s="41">
        <v>7</v>
      </c>
      <c r="V131" s="41">
        <v>4</v>
      </c>
      <c r="W131" s="56">
        <v>58.399999999998045</v>
      </c>
      <c r="X131" s="23" t="s">
        <v>192</v>
      </c>
      <c r="Y131" s="28" t="str">
        <f>_xlfn.CONCAT(COORDENADAS[[#This Row],[GG]],"° ",COORDENADAS[[#This Row],[MM]],"' ",FIXED(COORDENADAS[[#This Row],[SS]],2),""" ",COORDENADAS[[#This Row],[Weter]])</f>
        <v>73° 11' 45,40" W</v>
      </c>
      <c r="Z131" s="28">
        <v>73</v>
      </c>
      <c r="AA131" s="28">
        <v>11</v>
      </c>
      <c r="AB131" s="28">
        <v>45.40000000002015</v>
      </c>
      <c r="AC131" s="23" t="s">
        <v>193</v>
      </c>
      <c r="AD131" s="23">
        <v>48.38</v>
      </c>
      <c r="AE131" s="23">
        <v>0</v>
      </c>
    </row>
    <row r="132" spans="1:31" x14ac:dyDescent="0.35">
      <c r="A132" s="29" t="s">
        <v>497</v>
      </c>
      <c r="B132" s="29" t="s">
        <v>670</v>
      </c>
      <c r="C132" s="21">
        <v>26</v>
      </c>
      <c r="D132" s="21">
        <v>1903</v>
      </c>
      <c r="E132" s="30">
        <v>43460</v>
      </c>
      <c r="F132" s="28" t="s">
        <v>577</v>
      </c>
      <c r="G132" s="28">
        <f>INDEX($C$2:$D$37,MATCH(RESOLUCIONES[[#This Row],[No. Canal]],$C$2:$C$37,0),2)</f>
        <v>545</v>
      </c>
      <c r="I132" s="28" t="s">
        <v>671</v>
      </c>
      <c r="J132" s="28" t="s">
        <v>283</v>
      </c>
      <c r="K132" s="28" t="str">
        <f t="shared" si="3"/>
        <v>CabreraCundinamarca</v>
      </c>
      <c r="L132" s="28"/>
      <c r="M132" s="28"/>
      <c r="N132" s="28"/>
      <c r="O132" s="69"/>
      <c r="P132" s="28"/>
      <c r="Q132" s="28" t="s">
        <v>672</v>
      </c>
      <c r="R132" s="28">
        <v>7.0762222220000002</v>
      </c>
      <c r="S132" s="28">
        <v>-73.196722222000005</v>
      </c>
      <c r="T132" s="28" t="str">
        <f>_xlfn.CONCAT(COORDENADAS[[#This Row],[G]],"° ",COORDENADAS[[#This Row],[M]],"' ",FIXED(COORDENADAS[[#This Row],[S]],2),""" ",COORDENADAS[[#This Row],[Norte]])</f>
        <v>7° 4' 37,22" N</v>
      </c>
      <c r="U132" s="41">
        <v>7</v>
      </c>
      <c r="V132" s="41">
        <v>4</v>
      </c>
      <c r="W132" s="56">
        <v>37.221095999999534</v>
      </c>
      <c r="X132" s="23" t="s">
        <v>192</v>
      </c>
      <c r="Y132" s="28" t="str">
        <f>_xlfn.CONCAT(COORDENADAS[[#This Row],[GG]],"° ",COORDENADAS[[#This Row],[MM]],"' ",FIXED(COORDENADAS[[#This Row],[SS]],2),""" ",COORDENADAS[[#This Row],[Weter]])</f>
        <v>73° 11' 47,80" W</v>
      </c>
      <c r="Z132" s="28">
        <v>73</v>
      </c>
      <c r="AA132" s="28">
        <v>11</v>
      </c>
      <c r="AB132" s="28">
        <v>47.797295999978409</v>
      </c>
      <c r="AC132" s="23" t="s">
        <v>193</v>
      </c>
      <c r="AD132" s="23">
        <v>40.6</v>
      </c>
      <c r="AE132" s="23">
        <v>40.700000000000003</v>
      </c>
    </row>
    <row r="133" spans="1:31" x14ac:dyDescent="0.35">
      <c r="A133" s="29" t="s">
        <v>498</v>
      </c>
      <c r="B133" s="29" t="s">
        <v>673</v>
      </c>
      <c r="C133" s="21">
        <v>15</v>
      </c>
      <c r="D133" s="32" t="s">
        <v>596</v>
      </c>
      <c r="E133" s="31">
        <v>40904</v>
      </c>
      <c r="F133" s="28" t="s">
        <v>597</v>
      </c>
      <c r="G133" s="28">
        <f>INDEX($C$2:$D$37,MATCH(RESOLUCIONES[[#This Row],[No. Canal]],$C$2:$C$37,0),2)</f>
        <v>479</v>
      </c>
      <c r="I133" s="28" t="s">
        <v>671</v>
      </c>
      <c r="J133" s="28" t="s">
        <v>304</v>
      </c>
      <c r="K133" s="28" t="str">
        <f t="shared" si="3"/>
        <v>CabreraSantander</v>
      </c>
      <c r="L133" s="28"/>
      <c r="M133" s="28"/>
      <c r="N133" s="28"/>
      <c r="O133" s="69"/>
      <c r="P133" s="28"/>
      <c r="Q133" s="28" t="s">
        <v>674</v>
      </c>
      <c r="R133" s="28">
        <v>-4.1690277777777798</v>
      </c>
      <c r="S133" s="28">
        <v>-69.957499999999996</v>
      </c>
      <c r="T133" s="28" t="str">
        <f>_xlfn.CONCAT(COORDENADAS[[#This Row],[G]],"° ",COORDENADAS[[#This Row],[M]],"' ",FIXED(COORDENADAS[[#This Row],[S]],2),""" ",COORDENADAS[[#This Row],[Norte]])</f>
        <v>4° 10' 8,50" S</v>
      </c>
      <c r="U133" s="41">
        <v>4</v>
      </c>
      <c r="V133" s="41">
        <v>10</v>
      </c>
      <c r="W133" s="56">
        <v>8.5000000000008296</v>
      </c>
      <c r="X133" s="23" t="s">
        <v>162</v>
      </c>
      <c r="Y133" s="28" t="str">
        <f>_xlfn.CONCAT(COORDENADAS[[#This Row],[GG]],"° ",COORDENADAS[[#This Row],[MM]],"' ",FIXED(COORDENADAS[[#This Row],[SS]],2),""" ",COORDENADAS[[#This Row],[Weter]])</f>
        <v>69° 57' 27,00" W</v>
      </c>
      <c r="Z133" s="28">
        <v>69</v>
      </c>
      <c r="AA133" s="28">
        <v>57</v>
      </c>
      <c r="AB133" s="28">
        <v>26.999999999985835</v>
      </c>
      <c r="AC133" s="23" t="s">
        <v>193</v>
      </c>
      <c r="AD133" s="23">
        <v>34.82</v>
      </c>
      <c r="AE133" s="23">
        <v>0</v>
      </c>
    </row>
    <row r="134" spans="1:31" x14ac:dyDescent="0.35">
      <c r="A134" s="29" t="s">
        <v>504</v>
      </c>
      <c r="B134" s="29" t="s">
        <v>675</v>
      </c>
      <c r="C134" s="21">
        <v>21</v>
      </c>
      <c r="D134" s="21">
        <v>2076</v>
      </c>
      <c r="E134" s="31">
        <v>43082</v>
      </c>
      <c r="F134" s="28" t="s">
        <v>646</v>
      </c>
      <c r="G134" s="28">
        <f>INDEX($C$2:$D$37,MATCH(RESOLUCIONES[[#This Row],[No. Canal]],$C$2:$C$37,0),2)</f>
        <v>515</v>
      </c>
      <c r="I134" s="28" t="s">
        <v>676</v>
      </c>
      <c r="J134" s="28" t="s">
        <v>210</v>
      </c>
      <c r="K134" s="28" t="str">
        <f t="shared" si="3"/>
        <v>CabuyaroMeta</v>
      </c>
      <c r="L134" s="28"/>
      <c r="M134" s="28"/>
      <c r="N134" s="28"/>
      <c r="O134" s="69"/>
      <c r="P134" s="28"/>
      <c r="Q134" s="28" t="s">
        <v>677</v>
      </c>
      <c r="R134" s="28">
        <v>-4.2162777780000003</v>
      </c>
      <c r="S134" s="28">
        <v>-69.936527777999999</v>
      </c>
      <c r="T134" s="28" t="str">
        <f>_xlfn.CONCAT(COORDENADAS[[#This Row],[G]],"° ",COORDENADAS[[#This Row],[M]],"' ",FIXED(COORDENADAS[[#This Row],[S]],2),""" ",COORDENADAS[[#This Row],[Norte]])</f>
        <v>4° 12' 59,14" S</v>
      </c>
      <c r="U134" s="41">
        <v>4</v>
      </c>
      <c r="V134" s="41">
        <v>12</v>
      </c>
      <c r="W134" s="56">
        <v>59.144608800000384</v>
      </c>
      <c r="X134" s="23" t="s">
        <v>162</v>
      </c>
      <c r="Y134" s="28" t="str">
        <f>_xlfn.CONCAT(COORDENADAS[[#This Row],[GG]],"° ",COORDENADAS[[#This Row],[MM]],"' ",FIXED(COORDENADAS[[#This Row],[SS]],2),""" ",COORDENADAS[[#This Row],[Weter]])</f>
        <v>69° 56' 12,19" W</v>
      </c>
      <c r="Z134" s="28">
        <v>69</v>
      </c>
      <c r="AA134" s="28">
        <v>56</v>
      </c>
      <c r="AB134" s="28">
        <v>12.189069600017266</v>
      </c>
      <c r="AC134" s="23" t="s">
        <v>193</v>
      </c>
      <c r="AD134" s="23">
        <v>40.6</v>
      </c>
      <c r="AE134" s="23">
        <v>40.700000000000003</v>
      </c>
    </row>
    <row r="135" spans="1:31" x14ac:dyDescent="0.35">
      <c r="A135" s="29" t="s">
        <v>506</v>
      </c>
      <c r="B135" s="29" t="s">
        <v>678</v>
      </c>
      <c r="C135" s="21">
        <v>14</v>
      </c>
      <c r="D135" s="21">
        <v>1903</v>
      </c>
      <c r="E135" s="30">
        <v>43460</v>
      </c>
      <c r="F135" s="28" t="s">
        <v>577</v>
      </c>
      <c r="G135" s="28">
        <f>INDEX($C$2:$D$37,MATCH(RESOLUCIONES[[#This Row],[No. Canal]],$C$2:$C$37,0),2)</f>
        <v>473</v>
      </c>
      <c r="I135" s="28" t="s">
        <v>679</v>
      </c>
      <c r="J135" s="28" t="s">
        <v>353</v>
      </c>
      <c r="K135" s="28" t="str">
        <f t="shared" si="3"/>
        <v>CacahualGuainia</v>
      </c>
      <c r="L135" s="28"/>
      <c r="M135" s="28"/>
      <c r="N135" s="28"/>
      <c r="O135" s="69"/>
      <c r="P135" s="28"/>
      <c r="Q135" s="28" t="s">
        <v>680</v>
      </c>
      <c r="R135" s="28">
        <v>2.8432500000000003</v>
      </c>
      <c r="S135" s="28">
        <v>-77.249027777777783</v>
      </c>
      <c r="T135" s="28" t="str">
        <f>_xlfn.CONCAT(COORDENADAS[[#This Row],[G]],"° ",COORDENADAS[[#This Row],[M]],"' ",FIXED(COORDENADAS[[#This Row],[S]],2),""" ",COORDENADAS[[#This Row],[Norte]])</f>
        <v>2° 50' 35,70" N</v>
      </c>
      <c r="U135" s="41">
        <v>2</v>
      </c>
      <c r="V135" s="41">
        <v>50</v>
      </c>
      <c r="W135" s="56">
        <v>35.700000000000863</v>
      </c>
      <c r="X135" s="23" t="s">
        <v>192</v>
      </c>
      <c r="Y135" s="28" t="str">
        <f>_xlfn.CONCAT(COORDENADAS[[#This Row],[GG]],"° ",COORDENADAS[[#This Row],[MM]],"' ",FIXED(COORDENADAS[[#This Row],[SS]],2),""" ",COORDENADAS[[#This Row],[Weter]])</f>
        <v>77° 14' 56,50" W</v>
      </c>
      <c r="Z135" s="28">
        <v>77</v>
      </c>
      <c r="AA135" s="28">
        <v>14</v>
      </c>
      <c r="AB135" s="28">
        <v>56.500000000020222</v>
      </c>
      <c r="AC135" s="23" t="s">
        <v>193</v>
      </c>
      <c r="AD135" s="23">
        <v>35.56</v>
      </c>
      <c r="AE135" s="23">
        <v>0</v>
      </c>
    </row>
    <row r="136" spans="1:31" x14ac:dyDescent="0.35">
      <c r="A136" s="29" t="s">
        <v>508</v>
      </c>
      <c r="B136" s="29" t="s">
        <v>681</v>
      </c>
      <c r="C136" s="21">
        <v>14</v>
      </c>
      <c r="D136" s="21">
        <v>1903</v>
      </c>
      <c r="E136" s="30">
        <v>43460</v>
      </c>
      <c r="F136" s="28" t="s">
        <v>577</v>
      </c>
      <c r="G136" s="28">
        <f>INDEX($C$2:$D$37,MATCH(RESOLUCIONES[[#This Row],[No. Canal]],$C$2:$C$37,0),2)</f>
        <v>473</v>
      </c>
      <c r="I136" s="28" t="s">
        <v>682</v>
      </c>
      <c r="J136" s="28" t="s">
        <v>154</v>
      </c>
      <c r="K136" s="28" t="str">
        <f t="shared" si="3"/>
        <v>CáceresAntioquia</v>
      </c>
      <c r="L136" s="28"/>
      <c r="M136" s="28"/>
      <c r="N136" s="28"/>
      <c r="O136" s="69"/>
      <c r="P136" s="28"/>
      <c r="Q136" s="28" t="s">
        <v>683</v>
      </c>
      <c r="R136" s="28">
        <v>10.994333333</v>
      </c>
      <c r="S136" s="28">
        <v>-74.83</v>
      </c>
      <c r="T136" s="28" t="str">
        <f>_xlfn.CONCAT(COORDENADAS[[#This Row],[G]],"° ",COORDENADAS[[#This Row],[M]],"' ",FIXED(COORDENADAS[[#This Row],[S]],2),""" ",COORDENADAS[[#This Row],[Norte]])</f>
        <v>10° 59' 39,48" N</v>
      </c>
      <c r="U136" s="41">
        <v>10</v>
      </c>
      <c r="V136" s="41">
        <v>59</v>
      </c>
      <c r="W136" s="56">
        <v>39.478387199997698</v>
      </c>
      <c r="X136" s="23" t="s">
        <v>192</v>
      </c>
      <c r="Y136" s="28" t="str">
        <f>_xlfn.CONCAT(COORDENADAS[[#This Row],[GG]],"° ",COORDENADAS[[#This Row],[MM]],"' ",FIXED(COORDENADAS[[#This Row],[SS]],2),""" ",COORDENADAS[[#This Row],[Weter]])</f>
        <v>74° 49' 48,25" W</v>
      </c>
      <c r="Z136" s="28">
        <v>74</v>
      </c>
      <c r="AA136" s="28">
        <v>49</v>
      </c>
      <c r="AB136" s="28">
        <v>48.249789600018914</v>
      </c>
      <c r="AC136" s="23" t="s">
        <v>193</v>
      </c>
      <c r="AD136" s="23">
        <v>40.6</v>
      </c>
      <c r="AE136" s="23">
        <v>40.700000000000003</v>
      </c>
    </row>
    <row r="137" spans="1:31" x14ac:dyDescent="0.35">
      <c r="A137" s="29" t="s">
        <v>517</v>
      </c>
      <c r="B137" s="29" t="s">
        <v>684</v>
      </c>
      <c r="C137" s="21">
        <v>41</v>
      </c>
      <c r="D137" s="21">
        <v>1903</v>
      </c>
      <c r="E137" s="30">
        <v>43460</v>
      </c>
      <c r="F137" s="28" t="s">
        <v>577</v>
      </c>
      <c r="G137" s="28">
        <f>INDEX($C$2:$D$37,MATCH(RESOLUCIONES[[#This Row],[No. Canal]],$C$2:$C$37,0),2)</f>
        <v>635</v>
      </c>
      <c r="I137" s="28" t="s">
        <v>685</v>
      </c>
      <c r="J137" s="28" t="s">
        <v>283</v>
      </c>
      <c r="K137" s="28" t="str">
        <f t="shared" si="3"/>
        <v>CachipayCundinamarca</v>
      </c>
      <c r="L137" s="28"/>
      <c r="M137" s="28"/>
      <c r="N137" s="28"/>
      <c r="O137" s="69"/>
      <c r="P137" s="28"/>
      <c r="Q137" s="28" t="s">
        <v>686</v>
      </c>
      <c r="R137" s="28">
        <v>6.746777777777778</v>
      </c>
      <c r="S137" s="28">
        <v>-73.105083333333326</v>
      </c>
      <c r="T137" s="28" t="str">
        <f>_xlfn.CONCAT(COORDENADAS[[#This Row],[G]],"° ",COORDENADAS[[#This Row],[M]],"' ",FIXED(COORDENADAS[[#This Row],[S]],2),""" ",COORDENADAS[[#This Row],[Norte]])</f>
        <v>6° 44' 48,11" N</v>
      </c>
      <c r="U137" s="41">
        <v>6</v>
      </c>
      <c r="V137" s="41">
        <v>44</v>
      </c>
      <c r="W137" s="56">
        <v>48.109232400000266</v>
      </c>
      <c r="X137" s="23" t="s">
        <v>192</v>
      </c>
      <c r="Y137" s="28" t="str">
        <f>_xlfn.CONCAT(COORDENADAS[[#This Row],[GG]],"° ",COORDENADAS[[#This Row],[MM]],"' ",FIXED(COORDENADAS[[#This Row],[SS]],2),""" ",COORDENADAS[[#This Row],[Weter]])</f>
        <v>73° 6' 18,21" W</v>
      </c>
      <c r="Z137" s="28">
        <v>73</v>
      </c>
      <c r="AA137" s="28">
        <v>6</v>
      </c>
      <c r="AB137" s="28">
        <v>18.208529999989175</v>
      </c>
      <c r="AC137" s="23" t="s">
        <v>193</v>
      </c>
      <c r="AD137" s="23">
        <v>40.6</v>
      </c>
      <c r="AE137" s="23">
        <v>40.700000000000003</v>
      </c>
    </row>
    <row r="138" spans="1:31" x14ac:dyDescent="0.35">
      <c r="A138" s="29" t="s">
        <v>519</v>
      </c>
      <c r="B138" s="29" t="s">
        <v>687</v>
      </c>
      <c r="C138" s="21">
        <v>41</v>
      </c>
      <c r="D138" s="21">
        <v>1903</v>
      </c>
      <c r="E138" s="30">
        <v>43460</v>
      </c>
      <c r="F138" s="28" t="s">
        <v>577</v>
      </c>
      <c r="G138" s="28">
        <f>INDEX($C$2:$D$37,MATCH(RESOLUCIONES[[#This Row],[No. Canal]],$C$2:$C$37,0),2)</f>
        <v>635</v>
      </c>
      <c r="I138" s="28" t="s">
        <v>688</v>
      </c>
      <c r="J138" s="28" t="s">
        <v>190</v>
      </c>
      <c r="K138" s="28" t="str">
        <f t="shared" si="3"/>
        <v>CachiráNorte de Santander</v>
      </c>
      <c r="L138" s="28"/>
      <c r="M138" s="28"/>
      <c r="N138" s="28"/>
      <c r="O138" s="69"/>
      <c r="P138" s="28"/>
      <c r="Q138" s="28" t="s">
        <v>689</v>
      </c>
      <c r="R138" s="28">
        <v>10.613083333333332</v>
      </c>
      <c r="S138" s="28">
        <v>-75.141361111111124</v>
      </c>
      <c r="T138" s="28" t="str">
        <f>_xlfn.CONCAT(COORDENADAS[[#This Row],[G]],"° ",COORDENADAS[[#This Row],[M]],"' ",FIXED(COORDENADAS[[#This Row],[S]],2),""" ",COORDENADAS[[#This Row],[Norte]])</f>
        <v>10° 36' 47,10" N</v>
      </c>
      <c r="U138" s="41">
        <v>10</v>
      </c>
      <c r="V138" s="41">
        <v>36</v>
      </c>
      <c r="W138" s="56">
        <v>47.09999999999561</v>
      </c>
      <c r="X138" s="23" t="s">
        <v>192</v>
      </c>
      <c r="Y138" s="28" t="str">
        <f>_xlfn.CONCAT(COORDENADAS[[#This Row],[GG]],"° ",COORDENADAS[[#This Row],[MM]],"' ",FIXED(COORDENADAS[[#This Row],[SS]],2),""" ",COORDENADAS[[#This Row],[Weter]])</f>
        <v>75° 8' 28,90" W</v>
      </c>
      <c r="Z138" s="28">
        <v>75</v>
      </c>
      <c r="AA138" s="28">
        <v>8</v>
      </c>
      <c r="AB138" s="28">
        <v>28.900000000045345</v>
      </c>
      <c r="AC138" s="23" t="s">
        <v>193</v>
      </c>
      <c r="AD138" s="23">
        <v>36.78</v>
      </c>
      <c r="AE138" s="23">
        <v>0</v>
      </c>
    </row>
    <row r="139" spans="1:31" x14ac:dyDescent="0.35">
      <c r="A139" s="29" t="s">
        <v>521</v>
      </c>
      <c r="B139" s="29" t="s">
        <v>690</v>
      </c>
      <c r="C139" s="21">
        <v>14</v>
      </c>
      <c r="D139" s="21">
        <v>861</v>
      </c>
      <c r="E139" s="31">
        <v>42286</v>
      </c>
      <c r="F139" s="28" t="s">
        <v>639</v>
      </c>
      <c r="G139" s="28">
        <f>INDEX($C$2:$D$37,MATCH(RESOLUCIONES[[#This Row],[No. Canal]],$C$2:$C$37,0),2)</f>
        <v>473</v>
      </c>
      <c r="I139" s="28" t="s">
        <v>691</v>
      </c>
      <c r="J139" s="28" t="s">
        <v>190</v>
      </c>
      <c r="K139" s="28" t="str">
        <f t="shared" si="3"/>
        <v>CácotaNorte de Santander</v>
      </c>
      <c r="L139" s="28"/>
      <c r="M139" s="28"/>
      <c r="N139" s="28"/>
      <c r="O139" s="69"/>
      <c r="P139" s="28"/>
      <c r="Q139" s="28" t="s">
        <v>692</v>
      </c>
      <c r="R139" s="28">
        <v>6.6661666666666672</v>
      </c>
      <c r="S139" s="28">
        <v>-72.764583333333334</v>
      </c>
      <c r="T139" s="28" t="str">
        <f>_xlfn.CONCAT(COORDENADAS[[#This Row],[G]],"° ",COORDENADAS[[#This Row],[M]],"' ",FIXED(COORDENADAS[[#This Row],[S]],2),""" ",COORDENADAS[[#This Row],[Norte]])</f>
        <v>6° 39' 58,20" N</v>
      </c>
      <c r="U139" s="41">
        <v>6</v>
      </c>
      <c r="V139" s="41">
        <v>39</v>
      </c>
      <c r="W139" s="56">
        <v>58.200000000001985</v>
      </c>
      <c r="X139" s="23" t="s">
        <v>192</v>
      </c>
      <c r="Y139" s="28" t="str">
        <f>_xlfn.CONCAT(COORDENADAS[[#This Row],[GG]],"° ",COORDENADAS[[#This Row],[MM]],"' ",FIXED(COORDENADAS[[#This Row],[SS]],2),""" ",COORDENADAS[[#This Row],[Weter]])</f>
        <v>72° 45' 52,50" W</v>
      </c>
      <c r="Z139" s="28">
        <v>72</v>
      </c>
      <c r="AA139" s="28">
        <v>45</v>
      </c>
      <c r="AB139" s="28">
        <v>52.500000000003411</v>
      </c>
      <c r="AC139" s="23" t="s">
        <v>193</v>
      </c>
      <c r="AD139" s="23">
        <v>34.82</v>
      </c>
      <c r="AE139" s="23">
        <v>0</v>
      </c>
    </row>
    <row r="140" spans="1:31" x14ac:dyDescent="0.35">
      <c r="A140" s="29" t="s">
        <v>523</v>
      </c>
      <c r="B140" s="29" t="s">
        <v>693</v>
      </c>
      <c r="C140" s="21">
        <v>14</v>
      </c>
      <c r="D140" s="21">
        <v>2076</v>
      </c>
      <c r="E140" s="31">
        <v>43082</v>
      </c>
      <c r="F140" s="28" t="s">
        <v>646</v>
      </c>
      <c r="G140" s="28">
        <f>INDEX($C$2:$D$37,MATCH(RESOLUCIONES[[#This Row],[No. Canal]],$C$2:$C$37,0),2)</f>
        <v>473</v>
      </c>
      <c r="I140" s="28" t="s">
        <v>694</v>
      </c>
      <c r="J140" s="28" t="s">
        <v>154</v>
      </c>
      <c r="K140" s="28" t="str">
        <f t="shared" si="3"/>
        <v>CaicedoAntioquia</v>
      </c>
      <c r="L140" s="28"/>
      <c r="M140" s="28"/>
      <c r="N140" s="28"/>
      <c r="O140" s="69"/>
      <c r="P140" s="28"/>
      <c r="Q140" s="28" t="s">
        <v>695</v>
      </c>
      <c r="R140" s="28">
        <v>6.6506472219999999</v>
      </c>
      <c r="S140" s="28">
        <v>-72.767505556000003</v>
      </c>
      <c r="T140" s="28" t="str">
        <f>_xlfn.CONCAT(COORDENADAS[[#This Row],[G]],"° ",COORDENADAS[[#This Row],[M]],"' ",FIXED(COORDENADAS[[#This Row],[S]],2),""" ",COORDENADAS[[#This Row],[Norte]])</f>
        <v>6° 39' 2,33" N</v>
      </c>
      <c r="U140" s="41">
        <v>6</v>
      </c>
      <c r="V140" s="41">
        <v>39</v>
      </c>
      <c r="W140" s="56">
        <v>2.3299991999996106</v>
      </c>
      <c r="X140" s="23" t="s">
        <v>192</v>
      </c>
      <c r="Y140" s="28" t="str">
        <f>_xlfn.CONCAT(COORDENADAS[[#This Row],[GG]],"° ",COORDENADAS[[#This Row],[MM]],"' ",FIXED(COORDENADAS[[#This Row],[SS]],2),""" ",COORDENADAS[[#This Row],[Weter]])</f>
        <v>72° 46' 3,02" W</v>
      </c>
      <c r="Z140" s="28">
        <v>72</v>
      </c>
      <c r="AA140" s="28">
        <v>46</v>
      </c>
      <c r="AB140" s="28">
        <v>3.0200016000115237</v>
      </c>
      <c r="AC140" s="23" t="s">
        <v>193</v>
      </c>
      <c r="AD140" s="23">
        <v>40.9</v>
      </c>
      <c r="AE140" s="23">
        <v>40.700000000000003</v>
      </c>
    </row>
    <row r="141" spans="1:31" x14ac:dyDescent="0.35">
      <c r="A141" s="29" t="s">
        <v>525</v>
      </c>
      <c r="B141" s="29" t="s">
        <v>696</v>
      </c>
      <c r="C141" s="21">
        <v>15</v>
      </c>
      <c r="D141" s="32" t="s">
        <v>596</v>
      </c>
      <c r="E141" s="31">
        <v>40904</v>
      </c>
      <c r="F141" s="28" t="s">
        <v>597</v>
      </c>
      <c r="G141" s="28">
        <f>INDEX($C$2:$D$37,MATCH(RESOLUCIONES[[#This Row],[No. Canal]],$C$2:$C$37,0),2)</f>
        <v>479</v>
      </c>
      <c r="I141" s="28" t="s">
        <v>697</v>
      </c>
      <c r="J141" s="28" t="s">
        <v>381</v>
      </c>
      <c r="K141" s="28" t="str">
        <f t="shared" si="3"/>
        <v>CaicedoniaValle del Cauca</v>
      </c>
      <c r="L141" s="28"/>
      <c r="M141" s="28"/>
      <c r="N141" s="28"/>
      <c r="O141" s="69"/>
      <c r="P141" s="28"/>
      <c r="Q141" s="28" t="s">
        <v>698</v>
      </c>
      <c r="R141" s="28">
        <v>4.8026388888888887</v>
      </c>
      <c r="S141" s="28">
        <v>-74.390444444444455</v>
      </c>
      <c r="T141" s="28" t="str">
        <f>_xlfn.CONCAT(COORDENADAS[[#This Row],[G]],"° ",COORDENADAS[[#This Row],[M]],"' ",FIXED(COORDENADAS[[#This Row],[S]],2),""" ",COORDENADAS[[#This Row],[Norte]])</f>
        <v>4° 48' 9,50" N</v>
      </c>
      <c r="U141" s="41">
        <v>4</v>
      </c>
      <c r="V141" s="41">
        <v>48</v>
      </c>
      <c r="W141" s="56">
        <v>9.499999999999087</v>
      </c>
      <c r="X141" s="23" t="s">
        <v>192</v>
      </c>
      <c r="Y141" s="28" t="str">
        <f>_xlfn.CONCAT(COORDENADAS[[#This Row],[GG]],"° ",COORDENADAS[[#This Row],[MM]],"' ",FIXED(COORDENADAS[[#This Row],[SS]],2),""" ",COORDENADAS[[#This Row],[Weter]])</f>
        <v>74° 23' 25,60" W</v>
      </c>
      <c r="Z141" s="28">
        <v>74</v>
      </c>
      <c r="AA141" s="28">
        <v>23</v>
      </c>
      <c r="AB141" s="28">
        <v>25.600000000038015</v>
      </c>
      <c r="AC141" s="23" t="s">
        <v>193</v>
      </c>
      <c r="AD141" s="23">
        <v>48.38</v>
      </c>
      <c r="AE141" s="23">
        <v>0</v>
      </c>
    </row>
    <row r="142" spans="1:31" x14ac:dyDescent="0.35">
      <c r="A142" s="29" t="s">
        <v>528</v>
      </c>
      <c r="B142" s="29" t="s">
        <v>699</v>
      </c>
      <c r="C142" s="21">
        <v>34</v>
      </c>
      <c r="D142" s="21">
        <v>1361</v>
      </c>
      <c r="E142" s="31">
        <v>42577</v>
      </c>
      <c r="F142" s="28" t="s">
        <v>700</v>
      </c>
      <c r="G142" s="28">
        <f>INDEX($C$2:$D$37,MATCH(RESOLUCIONES[[#This Row],[No. Canal]],$C$2:$C$37,0),2)</f>
        <v>593</v>
      </c>
      <c r="I142" s="28" t="s">
        <v>701</v>
      </c>
      <c r="J142" s="28" t="s">
        <v>413</v>
      </c>
      <c r="K142" s="28" t="str">
        <f t="shared" si="3"/>
        <v>CaimitoSucre</v>
      </c>
      <c r="L142" s="28"/>
      <c r="M142" s="28"/>
      <c r="N142" s="28"/>
      <c r="O142" s="69"/>
      <c r="P142" s="28"/>
      <c r="Q142" s="28" t="s">
        <v>702</v>
      </c>
      <c r="R142" s="28">
        <v>4.803083333</v>
      </c>
      <c r="S142" s="28">
        <v>-74.393472222</v>
      </c>
      <c r="T142" s="28" t="str">
        <f>_xlfn.CONCAT(COORDENADAS[[#This Row],[G]],"° ",COORDENADAS[[#This Row],[M]],"' ",FIXED(COORDENADAS[[#This Row],[S]],2),""" ",COORDENADAS[[#This Row],[Norte]])</f>
        <v>4° 48' 11,10" N</v>
      </c>
      <c r="U142" s="41">
        <v>4</v>
      </c>
      <c r="V142" s="41">
        <v>48</v>
      </c>
      <c r="W142" s="56">
        <v>11.099998799999877</v>
      </c>
      <c r="X142" s="23" t="s">
        <v>192</v>
      </c>
      <c r="Y142" s="28" t="str">
        <f>_xlfn.CONCAT(COORDENADAS[[#This Row],[GG]],"° ",COORDENADAS[[#This Row],[MM]],"' ",FIXED(COORDENADAS[[#This Row],[SS]],2),""" ",COORDENADAS[[#This Row],[Weter]])</f>
        <v>74° 23' 36,50" W</v>
      </c>
      <c r="Z142" s="28">
        <v>74</v>
      </c>
      <c r="AA142" s="28">
        <v>23</v>
      </c>
      <c r="AB142" s="28">
        <v>36.499999199999046</v>
      </c>
      <c r="AC142" s="23" t="s">
        <v>193</v>
      </c>
      <c r="AD142" s="23">
        <v>40.6</v>
      </c>
      <c r="AE142" s="23">
        <v>40.700000000000003</v>
      </c>
    </row>
    <row r="143" spans="1:31" x14ac:dyDescent="0.35">
      <c r="A143" s="29" t="s">
        <v>530</v>
      </c>
      <c r="B143" s="29" t="s">
        <v>703</v>
      </c>
      <c r="C143" s="21">
        <v>41</v>
      </c>
      <c r="D143" s="21">
        <v>861</v>
      </c>
      <c r="E143" s="31">
        <v>42286</v>
      </c>
      <c r="F143" s="28" t="s">
        <v>639</v>
      </c>
      <c r="G143" s="28">
        <f>INDEX($C$2:$D$37,MATCH(RESOLUCIONES[[#This Row],[No. Canal]],$C$2:$C$37,0),2)</f>
        <v>635</v>
      </c>
      <c r="I143" s="28" t="s">
        <v>704</v>
      </c>
      <c r="J143" s="28" t="s">
        <v>409</v>
      </c>
      <c r="K143" s="28" t="str">
        <f t="shared" si="3"/>
        <v>CajamarcaTolima</v>
      </c>
      <c r="L143" s="28"/>
      <c r="M143" s="28"/>
      <c r="N143" s="28"/>
      <c r="O143" s="69"/>
      <c r="P143" s="28"/>
      <c r="Q143" s="28" t="s">
        <v>705</v>
      </c>
      <c r="R143" s="28">
        <v>5.2486388888888893</v>
      </c>
      <c r="S143" s="28">
        <v>-75.15325</v>
      </c>
      <c r="T143" s="28" t="str">
        <f>_xlfn.CONCAT(COORDENADAS[[#This Row],[G]],"° ",COORDENADAS[[#This Row],[M]],"' ",FIXED(COORDENADAS[[#This Row],[S]],2),""" ",COORDENADAS[[#This Row],[Norte]])</f>
        <v>5° 14' 54,75" N</v>
      </c>
      <c r="U143" s="41">
        <v>5</v>
      </c>
      <c r="V143" s="41">
        <v>14</v>
      </c>
      <c r="W143" s="56">
        <v>54.750000000001563</v>
      </c>
      <c r="X143" s="23" t="s">
        <v>192</v>
      </c>
      <c r="Y143" s="28" t="str">
        <f>_xlfn.CONCAT(COORDENADAS[[#This Row],[GG]],"° ",COORDENADAS[[#This Row],[MM]],"' ",FIXED(COORDENADAS[[#This Row],[SS]],2),""" ",COORDENADAS[[#This Row],[Weter]])</f>
        <v>75° 9' 11,38" W</v>
      </c>
      <c r="Z143" s="28">
        <v>75</v>
      </c>
      <c r="AA143" s="28">
        <v>9</v>
      </c>
      <c r="AB143" s="28">
        <v>11.380000000023093</v>
      </c>
      <c r="AC143" s="23" t="s">
        <v>193</v>
      </c>
      <c r="AD143" s="23">
        <v>35.56</v>
      </c>
      <c r="AE143" s="23">
        <v>0</v>
      </c>
    </row>
    <row r="144" spans="1:31" x14ac:dyDescent="0.35">
      <c r="A144" s="29" t="s">
        <v>536</v>
      </c>
      <c r="B144" s="29" t="s">
        <v>706</v>
      </c>
      <c r="C144" s="21">
        <v>14</v>
      </c>
      <c r="D144" s="21">
        <v>1903</v>
      </c>
      <c r="E144" s="30">
        <v>43460</v>
      </c>
      <c r="F144" s="28" t="s">
        <v>577</v>
      </c>
      <c r="G144" s="28">
        <f>INDEX($C$2:$D$37,MATCH(RESOLUCIONES[[#This Row],[No. Canal]],$C$2:$C$37,0),2)</f>
        <v>473</v>
      </c>
      <c r="I144" s="28" t="s">
        <v>707</v>
      </c>
      <c r="J144" s="28" t="s">
        <v>315</v>
      </c>
      <c r="K144" s="28" t="str">
        <f t="shared" si="3"/>
        <v>CajibíoCauca</v>
      </c>
      <c r="L144" s="28"/>
      <c r="M144" s="28"/>
      <c r="N144" s="28"/>
      <c r="O144" s="69"/>
      <c r="P144" s="28"/>
      <c r="Q144" s="28" t="s">
        <v>708</v>
      </c>
      <c r="R144" s="28">
        <v>13.376511111111112</v>
      </c>
      <c r="S144" s="28">
        <v>-81.356249999999989</v>
      </c>
      <c r="T144" s="28" t="str">
        <f>_xlfn.CONCAT(COORDENADAS[[#This Row],[G]],"° ",COORDENADAS[[#This Row],[M]],"' ",FIXED(COORDENADAS[[#This Row],[S]],2),""" ",COORDENADAS[[#This Row],[Norte]])</f>
        <v>13° 22' 35,44" N</v>
      </c>
      <c r="U144" s="41">
        <v>13</v>
      </c>
      <c r="V144" s="41">
        <v>22</v>
      </c>
      <c r="W144" s="56">
        <v>35.440000000003756</v>
      </c>
      <c r="X144" s="23" t="s">
        <v>192</v>
      </c>
      <c r="Y144" s="28" t="str">
        <f>_xlfn.CONCAT(COORDENADAS[[#This Row],[GG]],"° ",COORDENADAS[[#This Row],[MM]],"' ",FIXED(COORDENADAS[[#This Row],[SS]],2),""" ",COORDENADAS[[#This Row],[Weter]])</f>
        <v>81° 21' 22,50" W</v>
      </c>
      <c r="Z144" s="28">
        <v>81</v>
      </c>
      <c r="AA144" s="28">
        <v>21</v>
      </c>
      <c r="AB144" s="28">
        <v>22.499999999959151</v>
      </c>
      <c r="AC144" s="23" t="s">
        <v>193</v>
      </c>
      <c r="AD144" s="23">
        <v>41.2</v>
      </c>
      <c r="AE144" s="23">
        <v>41.3</v>
      </c>
    </row>
    <row r="145" spans="1:31" x14ac:dyDescent="0.35">
      <c r="A145" s="29" t="s">
        <v>539</v>
      </c>
      <c r="B145" s="29" t="s">
        <v>709</v>
      </c>
      <c r="C145" s="21">
        <v>14</v>
      </c>
      <c r="D145" s="21">
        <v>2076</v>
      </c>
      <c r="E145" s="31">
        <v>43082</v>
      </c>
      <c r="F145" s="28" t="s">
        <v>646</v>
      </c>
      <c r="G145" s="28">
        <f>INDEX($C$2:$D$37,MATCH(RESOLUCIONES[[#This Row],[No. Canal]],$C$2:$C$37,0),2)</f>
        <v>473</v>
      </c>
      <c r="I145" s="28" t="s">
        <v>710</v>
      </c>
      <c r="J145" s="28" t="s">
        <v>283</v>
      </c>
      <c r="K145" s="28" t="str">
        <f t="shared" si="3"/>
        <v>CajicáCundinamarca</v>
      </c>
      <c r="L145" s="28"/>
      <c r="M145" s="28"/>
      <c r="N145" s="28"/>
      <c r="O145" s="69"/>
      <c r="P145" s="28"/>
      <c r="Q145" s="28" t="s">
        <v>711</v>
      </c>
      <c r="R145" s="28">
        <v>4.4069722222222225</v>
      </c>
      <c r="S145" s="28">
        <v>-75.224666666666664</v>
      </c>
      <c r="T145" s="28" t="str">
        <f>_xlfn.CONCAT(COORDENADAS[[#This Row],[G]],"° ",COORDENADAS[[#This Row],[M]],"' ",FIXED(COORDENADAS[[#This Row],[S]],2),""" ",COORDENADAS[[#This Row],[Norte]])</f>
        <v>4° 24' 25,10" N</v>
      </c>
      <c r="U145" s="41">
        <v>4</v>
      </c>
      <c r="V145" s="41">
        <v>24</v>
      </c>
      <c r="W145" s="56">
        <v>25.100000000000968</v>
      </c>
      <c r="X145" s="23" t="s">
        <v>192</v>
      </c>
      <c r="Y145" s="28" t="str">
        <f>_xlfn.CONCAT(COORDENADAS[[#This Row],[GG]],"° ",COORDENADAS[[#This Row],[MM]],"' ",FIXED(COORDENADAS[[#This Row],[SS]],2),""" ",COORDENADAS[[#This Row],[Weter]])</f>
        <v>75° 13' 28,80" W</v>
      </c>
      <c r="Z145" s="28">
        <v>75</v>
      </c>
      <c r="AA145" s="28">
        <v>13</v>
      </c>
      <c r="AB145" s="28">
        <v>28.799999999990831</v>
      </c>
      <c r="AC145" s="23" t="s">
        <v>193</v>
      </c>
      <c r="AD145" s="23">
        <v>49.11</v>
      </c>
      <c r="AE145" s="23">
        <v>0</v>
      </c>
    </row>
    <row r="146" spans="1:31" x14ac:dyDescent="0.35">
      <c r="A146" s="29" t="s">
        <v>541</v>
      </c>
      <c r="B146" s="29" t="s">
        <v>712</v>
      </c>
      <c r="C146" s="21">
        <v>14</v>
      </c>
      <c r="D146" s="21">
        <v>1903</v>
      </c>
      <c r="E146" s="30">
        <v>43460</v>
      </c>
      <c r="F146" s="28" t="s">
        <v>577</v>
      </c>
      <c r="G146" s="28">
        <f>INDEX($C$2:$D$37,MATCH(RESOLUCIONES[[#This Row],[No. Canal]],$C$2:$C$37,0),2)</f>
        <v>473</v>
      </c>
      <c r="I146" s="28" t="s">
        <v>713</v>
      </c>
      <c r="J146" s="28" t="s">
        <v>260</v>
      </c>
      <c r="K146" s="28" t="str">
        <f t="shared" si="3"/>
        <v>CalamarBolivar</v>
      </c>
      <c r="L146" s="28"/>
      <c r="M146" s="28"/>
      <c r="N146" s="28"/>
      <c r="O146" s="69"/>
      <c r="P146" s="28"/>
      <c r="Q146" s="28" t="s">
        <v>714</v>
      </c>
      <c r="R146" s="28">
        <v>4.4073611110000002</v>
      </c>
      <c r="S146" s="28">
        <v>-75.223249999999993</v>
      </c>
      <c r="T146" s="28" t="str">
        <f>_xlfn.CONCAT(COORDENADAS[[#This Row],[G]],"° ",COORDENADAS[[#This Row],[M]],"' ",FIXED(COORDENADAS[[#This Row],[S]],2),""" ",COORDENADAS[[#This Row],[Norte]])</f>
        <v>4° 24' 26,59" N</v>
      </c>
      <c r="U146" s="41">
        <v>4</v>
      </c>
      <c r="V146" s="41">
        <v>24</v>
      </c>
      <c r="W146" s="56">
        <v>26.59056119999881</v>
      </c>
      <c r="X146" s="23" t="s">
        <v>192</v>
      </c>
      <c r="Y146" s="28" t="str">
        <f>_xlfn.CONCAT(COORDENADAS[[#This Row],[GG]],"° ",COORDENADAS[[#This Row],[MM]],"' ",FIXED(COORDENADAS[[#This Row],[SS]],2),""" ",COORDENADAS[[#This Row],[Weter]])</f>
        <v>75° 13' 24,11" W</v>
      </c>
      <c r="Z146" s="28">
        <v>75</v>
      </c>
      <c r="AA146" s="28">
        <v>13</v>
      </c>
      <c r="AB146" s="28">
        <v>24.114493200006535</v>
      </c>
      <c r="AC146" s="23" t="s">
        <v>193</v>
      </c>
      <c r="AD146" s="23">
        <v>41.3</v>
      </c>
      <c r="AE146" s="23">
        <v>41.4</v>
      </c>
    </row>
    <row r="147" spans="1:31" x14ac:dyDescent="0.35">
      <c r="A147" s="29" t="s">
        <v>544</v>
      </c>
      <c r="B147" s="29" t="s">
        <v>715</v>
      </c>
      <c r="C147" s="21">
        <v>14</v>
      </c>
      <c r="D147" s="21">
        <v>1903</v>
      </c>
      <c r="E147" s="30">
        <v>43460</v>
      </c>
      <c r="F147" s="28" t="s">
        <v>577</v>
      </c>
      <c r="G147" s="28">
        <f>INDEX($C$2:$D$37,MATCH(RESOLUCIONES[[#This Row],[No. Canal]],$C$2:$C$37,0),2)</f>
        <v>473</v>
      </c>
      <c r="I147" s="28" t="s">
        <v>713</v>
      </c>
      <c r="J147" s="28" t="s">
        <v>360</v>
      </c>
      <c r="K147" s="28" t="str">
        <f t="shared" si="3"/>
        <v>CalamarGuaviare</v>
      </c>
      <c r="L147" s="28"/>
      <c r="M147" s="28"/>
      <c r="N147" s="28"/>
      <c r="O147" s="69"/>
      <c r="P147" s="28"/>
      <c r="Q147" s="28" t="s">
        <v>716</v>
      </c>
      <c r="R147" s="28">
        <v>1.069583333</v>
      </c>
      <c r="S147" s="28">
        <v>-76.736194444000006</v>
      </c>
      <c r="T147" s="28" t="str">
        <f>_xlfn.CONCAT(COORDENADAS[[#This Row],[G]],"° ",COORDENADAS[[#This Row],[M]],"' ",FIXED(COORDENADAS[[#This Row],[S]],2),""" ",COORDENADAS[[#This Row],[Norte]])</f>
        <v>1° 4' 10,50" N</v>
      </c>
      <c r="U147" s="41">
        <v>1</v>
      </c>
      <c r="V147" s="41">
        <v>4</v>
      </c>
      <c r="W147" s="56">
        <v>10.499998799999894</v>
      </c>
      <c r="X147" s="23" t="s">
        <v>192</v>
      </c>
      <c r="Y147" s="28" t="str">
        <f>_xlfn.CONCAT(COORDENADAS[[#This Row],[GG]],"° ",COORDENADAS[[#This Row],[MM]],"' ",FIXED(COORDENADAS[[#This Row],[SS]],2),""" ",COORDENADAS[[#This Row],[Weter]])</f>
        <v>76° 44' 10,30" W</v>
      </c>
      <c r="Z147" s="28">
        <v>76</v>
      </c>
      <c r="AA147" s="28">
        <v>44</v>
      </c>
      <c r="AB147" s="28">
        <v>10.299998400021382</v>
      </c>
      <c r="AC147" s="23" t="s">
        <v>193</v>
      </c>
      <c r="AD147" s="23">
        <v>40.799999999999997</v>
      </c>
      <c r="AE147" s="23">
        <v>41</v>
      </c>
    </row>
    <row r="148" spans="1:31" x14ac:dyDescent="0.35">
      <c r="A148" s="29" t="s">
        <v>551</v>
      </c>
      <c r="B148" s="29" t="s">
        <v>717</v>
      </c>
      <c r="C148" s="21">
        <v>14</v>
      </c>
      <c r="D148" s="21">
        <v>2311</v>
      </c>
      <c r="E148" s="31">
        <v>41911</v>
      </c>
      <c r="F148" s="28" t="s">
        <v>611</v>
      </c>
      <c r="G148" s="28">
        <f>INDEX($C$2:$D$37,MATCH(RESOLUCIONES[[#This Row],[No. Canal]],$C$2:$C$37,0),2)</f>
        <v>473</v>
      </c>
      <c r="I148" s="28" t="s">
        <v>718</v>
      </c>
      <c r="J148" s="28" t="s">
        <v>401</v>
      </c>
      <c r="K148" s="28" t="str">
        <f t="shared" si="3"/>
        <v>CalarcaQuindio</v>
      </c>
      <c r="L148" s="28"/>
      <c r="M148" s="28"/>
      <c r="N148" s="28"/>
      <c r="O148" s="69"/>
      <c r="P148" s="28"/>
      <c r="Q148" s="28" t="s">
        <v>719</v>
      </c>
      <c r="R148" s="28">
        <v>1.2588888888888889</v>
      </c>
      <c r="S148" s="28">
        <v>-70.237222222222229</v>
      </c>
      <c r="T148" s="28" t="str">
        <f>_xlfn.CONCAT(COORDENADAS[[#This Row],[G]],"° ",COORDENADAS[[#This Row],[M]],"' ",FIXED(COORDENADAS[[#This Row],[S]],2),""" ",COORDENADAS[[#This Row],[Norte]])</f>
        <v>1° 15' 32,00" N</v>
      </c>
      <c r="U148" s="41">
        <v>1</v>
      </c>
      <c r="V148" s="41">
        <v>15</v>
      </c>
      <c r="W148" s="56">
        <v>32.000000000000206</v>
      </c>
      <c r="X148" s="23" t="s">
        <v>192</v>
      </c>
      <c r="Y148" s="28" t="str">
        <f>_xlfn.CONCAT(COORDENADAS[[#This Row],[GG]],"° ",COORDENADAS[[#This Row],[MM]],"' ",FIXED(COORDENADAS[[#This Row],[SS]],2),""" ",COORDENADAS[[#This Row],[Weter]])</f>
        <v>70° 14' 14,00" W</v>
      </c>
      <c r="Z148" s="28">
        <v>70</v>
      </c>
      <c r="AA148" s="28">
        <v>14</v>
      </c>
      <c r="AB148" s="28">
        <v>14.00000000002477</v>
      </c>
      <c r="AC148" s="23" t="s">
        <v>193</v>
      </c>
      <c r="AD148" s="23">
        <v>34.82</v>
      </c>
      <c r="AE148" s="23">
        <v>0</v>
      </c>
    </row>
    <row r="149" spans="1:31" x14ac:dyDescent="0.35">
      <c r="A149" s="29" t="s">
        <v>555</v>
      </c>
      <c r="B149" s="29" t="s">
        <v>720</v>
      </c>
      <c r="C149" s="21">
        <v>14</v>
      </c>
      <c r="D149" s="21">
        <v>2171</v>
      </c>
      <c r="E149" s="31">
        <v>43091</v>
      </c>
      <c r="F149" s="28" t="s">
        <v>590</v>
      </c>
      <c r="G149" s="28">
        <f>INDEX($C$2:$D$37,MATCH(RESOLUCIONES[[#This Row],[No. Canal]],$C$2:$C$37,0),2)</f>
        <v>473</v>
      </c>
      <c r="I149" s="28" t="s">
        <v>284</v>
      </c>
      <c r="J149" s="28" t="s">
        <v>154</v>
      </c>
      <c r="K149" s="28" t="str">
        <f t="shared" si="3"/>
        <v>CaldasAntioquia</v>
      </c>
      <c r="L149" s="28"/>
      <c r="M149" s="28"/>
      <c r="N149" s="28"/>
      <c r="O149" s="69"/>
      <c r="P149" s="28"/>
      <c r="Q149" s="28" t="s">
        <v>721</v>
      </c>
      <c r="R149" s="28">
        <v>1.2588611110000001</v>
      </c>
      <c r="S149" s="28">
        <v>-70.237166666999997</v>
      </c>
      <c r="T149" s="28" t="str">
        <f>_xlfn.CONCAT(COORDENADAS[[#This Row],[G]],"° ",COORDENADAS[[#This Row],[M]],"' ",FIXED(COORDENADAS[[#This Row],[S]],2),""" ",COORDENADAS[[#This Row],[Norte]])</f>
        <v>1° 15' 31,90" N</v>
      </c>
      <c r="U149" s="41">
        <v>1</v>
      </c>
      <c r="V149" s="41">
        <v>15</v>
      </c>
      <c r="W149" s="56">
        <v>31.899999600000317</v>
      </c>
      <c r="X149" s="23" t="s">
        <v>192</v>
      </c>
      <c r="Y149" s="28" t="str">
        <f>_xlfn.CONCAT(COORDENADAS[[#This Row],[GG]],"° ",COORDENADAS[[#This Row],[MM]],"' ",FIXED(COORDENADAS[[#This Row],[SS]],2),""" ",COORDENADAS[[#This Row],[Weter]])</f>
        <v>70° 14' 13,80" W</v>
      </c>
      <c r="Z149" s="28">
        <v>70</v>
      </c>
      <c r="AA149" s="28">
        <v>14</v>
      </c>
      <c r="AB149" s="28">
        <v>13.800001199988387</v>
      </c>
      <c r="AC149" s="23" t="s">
        <v>193</v>
      </c>
      <c r="AD149" s="23">
        <v>40.6</v>
      </c>
      <c r="AE149" s="23">
        <v>40.700000000000003</v>
      </c>
    </row>
    <row r="150" spans="1:31" x14ac:dyDescent="0.35">
      <c r="A150" s="29" t="s">
        <v>557</v>
      </c>
      <c r="B150" s="29" t="s">
        <v>722</v>
      </c>
      <c r="C150" s="21">
        <v>14</v>
      </c>
      <c r="D150" s="21">
        <v>1903</v>
      </c>
      <c r="E150" s="30">
        <v>43460</v>
      </c>
      <c r="F150" s="28" t="s">
        <v>577</v>
      </c>
      <c r="G150" s="28">
        <f>INDEX($C$2:$D$37,MATCH(RESOLUCIONES[[#This Row],[No. Canal]],$C$2:$C$37,0),2)</f>
        <v>473</v>
      </c>
      <c r="I150" s="28" t="s">
        <v>284</v>
      </c>
      <c r="J150" s="28" t="s">
        <v>274</v>
      </c>
      <c r="K150" s="28" t="str">
        <f t="shared" si="3"/>
        <v>CaldasBoyaca</v>
      </c>
      <c r="L150" s="28"/>
      <c r="M150" s="28"/>
      <c r="N150" s="28"/>
      <c r="O150" s="69"/>
      <c r="P150" s="28"/>
      <c r="Q150" s="28" t="s">
        <v>723</v>
      </c>
      <c r="R150" s="28">
        <v>1.0806944444444444</v>
      </c>
      <c r="S150" s="28">
        <v>-76.713666666666668</v>
      </c>
      <c r="T150" s="28" t="str">
        <f>_xlfn.CONCAT(COORDENADAS[[#This Row],[G]],"° ",COORDENADAS[[#This Row],[M]],"' ",FIXED(COORDENADAS[[#This Row],[S]],2),""" ",COORDENADAS[[#This Row],[Norte]])</f>
        <v>1° 4' 50,50" N</v>
      </c>
      <c r="U150" s="41">
        <v>1</v>
      </c>
      <c r="V150" s="41">
        <v>4</v>
      </c>
      <c r="W150" s="56">
        <v>50.499999999999851</v>
      </c>
      <c r="X150" s="23" t="s">
        <v>192</v>
      </c>
      <c r="Y150" s="28" t="str">
        <f>_xlfn.CONCAT(COORDENADAS[[#This Row],[GG]],"° ",COORDENADAS[[#This Row],[MM]],"' ",FIXED(COORDENADAS[[#This Row],[SS]],2),""" ",COORDENADAS[[#This Row],[Weter]])</f>
        <v>76° 42' 49,20" W</v>
      </c>
      <c r="Z150" s="28">
        <v>76</v>
      </c>
      <c r="AA150" s="28">
        <v>42</v>
      </c>
      <c r="AB150" s="28">
        <v>49.200000000006568</v>
      </c>
      <c r="AC150" s="23" t="s">
        <v>193</v>
      </c>
      <c r="AD150" s="23">
        <v>48.83</v>
      </c>
      <c r="AE150" s="23">
        <v>0</v>
      </c>
    </row>
    <row r="151" spans="1:31" x14ac:dyDescent="0.35">
      <c r="A151" s="29" t="s">
        <v>559</v>
      </c>
      <c r="B151" s="29" t="s">
        <v>724</v>
      </c>
      <c r="C151" s="21">
        <v>14</v>
      </c>
      <c r="D151" s="21">
        <v>1903</v>
      </c>
      <c r="E151" s="30">
        <v>43460</v>
      </c>
      <c r="F151" s="28" t="s">
        <v>577</v>
      </c>
      <c r="G151" s="28">
        <f>INDEX($C$2:$D$37,MATCH(RESOLUCIONES[[#This Row],[No. Canal]],$C$2:$C$37,0),2)</f>
        <v>473</v>
      </c>
      <c r="I151" s="28" t="s">
        <v>725</v>
      </c>
      <c r="J151" s="28" t="s">
        <v>315</v>
      </c>
      <c r="K151" s="28" t="str">
        <f t="shared" si="3"/>
        <v>CaldonoCauca</v>
      </c>
      <c r="L151" s="28"/>
      <c r="M151" s="28"/>
      <c r="N151" s="28"/>
      <c r="O151" s="69"/>
      <c r="P151" s="28"/>
      <c r="Q151" s="28" t="s">
        <v>726</v>
      </c>
      <c r="R151" s="28">
        <v>5.8748055555555556</v>
      </c>
      <c r="S151" s="28">
        <v>-73.602944444444432</v>
      </c>
      <c r="T151" s="28" t="str">
        <f>_xlfn.CONCAT(COORDENADAS[[#This Row],[G]],"° ",COORDENADAS[[#This Row],[M]],"' ",FIXED(COORDENADAS[[#This Row],[S]],2),""" ",COORDENADAS[[#This Row],[Norte]])</f>
        <v>5° 52' 29,30" N</v>
      </c>
      <c r="U151" s="41">
        <v>5</v>
      </c>
      <c r="V151" s="41">
        <v>52</v>
      </c>
      <c r="W151" s="56">
        <v>29.300000000000104</v>
      </c>
      <c r="X151" s="23" t="s">
        <v>192</v>
      </c>
      <c r="Y151" s="28" t="str">
        <f>_xlfn.CONCAT(COORDENADAS[[#This Row],[GG]],"° ",COORDENADAS[[#This Row],[MM]],"' ",FIXED(COORDENADAS[[#This Row],[SS]],2),""" ",COORDENADAS[[#This Row],[Weter]])</f>
        <v>73° 36' 10,60" W</v>
      </c>
      <c r="Z151" s="28">
        <v>73</v>
      </c>
      <c r="AA151" s="28">
        <v>36</v>
      </c>
      <c r="AB151" s="28">
        <v>10.599999999956333</v>
      </c>
      <c r="AC151" s="23" t="s">
        <v>193</v>
      </c>
      <c r="AD151" s="23">
        <v>51</v>
      </c>
      <c r="AE151" s="23">
        <v>0</v>
      </c>
    </row>
    <row r="152" spans="1:31" x14ac:dyDescent="0.35">
      <c r="A152" s="29" t="s">
        <v>564</v>
      </c>
      <c r="B152" s="29" t="s">
        <v>727</v>
      </c>
      <c r="C152" s="21">
        <v>14</v>
      </c>
      <c r="D152" s="21">
        <v>2171</v>
      </c>
      <c r="E152" s="31">
        <v>43091</v>
      </c>
      <c r="F152" s="28" t="s">
        <v>590</v>
      </c>
      <c r="G152" s="28">
        <f>INDEX($C$2:$D$37,MATCH(RESOLUCIONES[[#This Row],[No. Canal]],$C$2:$C$37,0),2)</f>
        <v>473</v>
      </c>
      <c r="I152" s="28" t="s">
        <v>728</v>
      </c>
      <c r="J152" s="28" t="s">
        <v>381</v>
      </c>
      <c r="K152" s="28" t="str">
        <f t="shared" si="3"/>
        <v>CaliValle del Cauca</v>
      </c>
      <c r="L152" s="28"/>
      <c r="M152" s="28"/>
      <c r="N152" s="28"/>
      <c r="O152" s="69"/>
      <c r="P152" s="28"/>
      <c r="Q152" s="28" t="s">
        <v>729</v>
      </c>
      <c r="R152" s="28">
        <v>5.8737777777777787</v>
      </c>
      <c r="S152" s="28">
        <v>-73.602611111111102</v>
      </c>
      <c r="T152" s="28" t="str">
        <f>_xlfn.CONCAT(COORDENADAS[[#This Row],[G]],"° ",COORDENADAS[[#This Row],[M]],"' ",FIXED(COORDENADAS[[#This Row],[S]],2),""" ",COORDENADAS[[#This Row],[Norte]])</f>
        <v>5° 52' 25,60" N</v>
      </c>
      <c r="U152" s="41">
        <v>5</v>
      </c>
      <c r="V152" s="41">
        <v>52</v>
      </c>
      <c r="W152" s="56">
        <v>25.600000799999911</v>
      </c>
      <c r="X152" s="23" t="s">
        <v>192</v>
      </c>
      <c r="Y152" s="28" t="str">
        <f>_xlfn.CONCAT(COORDENADAS[[#This Row],[GG]],"° ",COORDENADAS[[#This Row],[MM]],"' ",FIXED(COORDENADAS[[#This Row],[SS]],2),""" ",COORDENADAS[[#This Row],[Weter]])</f>
        <v>73° 36' 9,40" W</v>
      </c>
      <c r="Z152" s="28">
        <v>73</v>
      </c>
      <c r="AA152" s="28">
        <v>36</v>
      </c>
      <c r="AB152" s="28">
        <v>9.399995999992905</v>
      </c>
      <c r="AC152" s="23" t="s">
        <v>193</v>
      </c>
      <c r="AD152" s="23">
        <v>42.8</v>
      </c>
      <c r="AE152" s="23">
        <v>42.7</v>
      </c>
    </row>
    <row r="153" spans="1:31" x14ac:dyDescent="0.35">
      <c r="A153" s="29" t="s">
        <v>566</v>
      </c>
      <c r="B153" s="29" t="s">
        <v>730</v>
      </c>
      <c r="C153" s="21">
        <v>14</v>
      </c>
      <c r="D153" s="21">
        <v>1903</v>
      </c>
      <c r="E153" s="30">
        <v>43460</v>
      </c>
      <c r="F153" s="28" t="s">
        <v>577</v>
      </c>
      <c r="G153" s="28">
        <f>INDEX($C$2:$D$37,MATCH(RESOLUCIONES[[#This Row],[No. Canal]],$C$2:$C$37,0),2)</f>
        <v>473</v>
      </c>
      <c r="I153" s="28" t="s">
        <v>731</v>
      </c>
      <c r="J153" s="28" t="s">
        <v>304</v>
      </c>
      <c r="K153" s="28" t="str">
        <f t="shared" si="3"/>
        <v>CaliforniaSantander</v>
      </c>
      <c r="L153" s="28"/>
      <c r="M153" s="28"/>
      <c r="N153" s="28"/>
      <c r="O153" s="69"/>
      <c r="P153" s="28"/>
      <c r="Q153" s="28" t="s">
        <v>732</v>
      </c>
      <c r="R153" s="28">
        <v>8.8730555560000006</v>
      </c>
      <c r="S153" s="28">
        <v>-75.640833333000003</v>
      </c>
      <c r="T153" s="28" t="str">
        <f>_xlfn.CONCAT(COORDENADAS[[#This Row],[G]],"° ",COORDENADAS[[#This Row],[M]],"' ",FIXED(COORDENADAS[[#This Row],[S]],2),""" ",COORDENADAS[[#This Row],[Norte]])</f>
        <v>8° 52' 23,00" N</v>
      </c>
      <c r="U153" s="41">
        <v>8</v>
      </c>
      <c r="V153" s="41">
        <v>52</v>
      </c>
      <c r="W153" s="56">
        <v>23.000001600002129</v>
      </c>
      <c r="X153" s="23" t="s">
        <v>192</v>
      </c>
      <c r="Y153" s="28" t="str">
        <f>_xlfn.CONCAT(COORDENADAS[[#This Row],[GG]],"° ",COORDENADAS[[#This Row],[MM]],"' ",FIXED(COORDENADAS[[#This Row],[SS]],2),""" ",COORDENADAS[[#This Row],[Weter]])</f>
        <v>75° 38' 27,00" W</v>
      </c>
      <c r="Z153" s="28">
        <v>75</v>
      </c>
      <c r="AA153" s="28">
        <v>38</v>
      </c>
      <c r="AB153" s="28">
        <v>26.999998800012115</v>
      </c>
      <c r="AC153" s="23" t="s">
        <v>193</v>
      </c>
      <c r="AD153" s="23">
        <v>40.6</v>
      </c>
      <c r="AE153" s="23">
        <v>40.700000000000003</v>
      </c>
    </row>
    <row r="154" spans="1:31" x14ac:dyDescent="0.35">
      <c r="A154" s="29" t="s">
        <v>733</v>
      </c>
      <c r="B154" s="29" t="s">
        <v>734</v>
      </c>
      <c r="C154" s="21">
        <v>14</v>
      </c>
      <c r="D154" s="21">
        <v>2171</v>
      </c>
      <c r="E154" s="31">
        <v>43091</v>
      </c>
      <c r="F154" s="28" t="s">
        <v>590</v>
      </c>
      <c r="G154" s="28">
        <f>INDEX($C$2:$D$37,MATCH(RESOLUCIONES[[#This Row],[No. Canal]],$C$2:$C$37,0),2)</f>
        <v>473</v>
      </c>
      <c r="I154" s="28" t="s">
        <v>735</v>
      </c>
      <c r="J154" s="28" t="s">
        <v>381</v>
      </c>
      <c r="K154" s="28" t="str">
        <f t="shared" si="3"/>
        <v>CalimaValle del Cauca</v>
      </c>
      <c r="L154" s="28"/>
      <c r="M154" s="28"/>
      <c r="N154" s="28"/>
      <c r="O154" s="69"/>
      <c r="P154" s="28"/>
      <c r="Q154" s="28" t="s">
        <v>736</v>
      </c>
      <c r="R154" s="28">
        <v>5.2554722219999999</v>
      </c>
      <c r="S154" s="28">
        <v>-76.117666666999995</v>
      </c>
      <c r="T154" s="28" t="str">
        <f>_xlfn.CONCAT(COORDENADAS[[#This Row],[G]],"° ",COORDENADAS[[#This Row],[M]],"' ",FIXED(COORDENADAS[[#This Row],[S]],2),""" ",COORDENADAS[[#This Row],[Norte]])</f>
        <v>5° 15' 19,70" N</v>
      </c>
      <c r="U154" s="41">
        <v>5</v>
      </c>
      <c r="V154" s="41">
        <v>15</v>
      </c>
      <c r="W154" s="56">
        <v>19.699999199999496</v>
      </c>
      <c r="X154" s="23" t="s">
        <v>192</v>
      </c>
      <c r="Y154" s="28" t="str">
        <f>_xlfn.CONCAT(COORDENADAS[[#This Row],[GG]],"° ",COORDENADAS[[#This Row],[MM]],"' ",FIXED(COORDENADAS[[#This Row],[SS]],2),""" ",COORDENADAS[[#This Row],[Weter]])</f>
        <v>76° 7' 3,60" W</v>
      </c>
      <c r="Z154" s="28">
        <v>76</v>
      </c>
      <c r="AA154" s="28">
        <v>7</v>
      </c>
      <c r="AB154" s="28">
        <v>3.6000011999806181</v>
      </c>
      <c r="AC154" s="23" t="s">
        <v>193</v>
      </c>
      <c r="AD154" s="23">
        <v>41.1</v>
      </c>
      <c r="AE154" s="23">
        <v>40.700000000000003</v>
      </c>
    </row>
    <row r="155" spans="1:31" x14ac:dyDescent="0.35">
      <c r="A155" s="29" t="s">
        <v>575</v>
      </c>
      <c r="B155" s="29" t="s">
        <v>737</v>
      </c>
      <c r="C155" s="21">
        <v>14</v>
      </c>
      <c r="D155" s="21">
        <v>1434</v>
      </c>
      <c r="E155" s="31">
        <v>42963</v>
      </c>
      <c r="F155" s="28" t="s">
        <v>738</v>
      </c>
      <c r="G155" s="28">
        <f>INDEX($C$2:$D$37,MATCH(RESOLUCIONES[[#This Row],[No. Canal]],$C$2:$C$37,0),2)</f>
        <v>473</v>
      </c>
      <c r="I155" s="28" t="s">
        <v>739</v>
      </c>
      <c r="J155" s="28" t="s">
        <v>315</v>
      </c>
      <c r="K155" s="28" t="str">
        <f t="shared" si="3"/>
        <v>CalotoCauca</v>
      </c>
      <c r="L155" s="28"/>
      <c r="M155" s="28"/>
      <c r="N155" s="28"/>
      <c r="O155" s="69"/>
      <c r="P155" s="28"/>
      <c r="Q155" s="28" t="s">
        <v>740</v>
      </c>
      <c r="R155" s="28">
        <v>9.242972222222221</v>
      </c>
      <c r="S155" s="28">
        <v>-76.132944444444433</v>
      </c>
      <c r="T155" s="28" t="str">
        <f>_xlfn.CONCAT(COORDENADAS[[#This Row],[G]],"° ",COORDENADAS[[#This Row],[M]],"' ",FIXED(COORDENADAS[[#This Row],[S]],2),""" ",COORDENADAS[[#This Row],[Norte]])</f>
        <v>9° 14' 34,70" N</v>
      </c>
      <c r="U155" s="41">
        <v>9</v>
      </c>
      <c r="V155" s="41">
        <v>14</v>
      </c>
      <c r="W155" s="56">
        <v>34.699999999995711</v>
      </c>
      <c r="X155" s="23" t="s">
        <v>192</v>
      </c>
      <c r="Y155" s="28" t="str">
        <f>_xlfn.CONCAT(COORDENADAS[[#This Row],[GG]],"° ",COORDENADAS[[#This Row],[MM]],"' ",FIXED(COORDENADAS[[#This Row],[SS]],2),""" ",COORDENADAS[[#This Row],[Weter]])</f>
        <v>76° 7' 58,60" W</v>
      </c>
      <c r="Z155" s="28">
        <v>76</v>
      </c>
      <c r="AA155" s="28">
        <v>7</v>
      </c>
      <c r="AB155" s="28">
        <v>58.599999999960339</v>
      </c>
      <c r="AC155" s="23" t="s">
        <v>193</v>
      </c>
      <c r="AD155" s="23">
        <v>34.82</v>
      </c>
      <c r="AE155" s="23">
        <v>0</v>
      </c>
    </row>
    <row r="156" spans="1:31" ht="15" thickBot="1" x14ac:dyDescent="0.4">
      <c r="A156" s="29" t="s">
        <v>585</v>
      </c>
      <c r="B156" s="29" t="s">
        <v>741</v>
      </c>
      <c r="C156" s="21">
        <v>14</v>
      </c>
      <c r="D156" s="21">
        <v>1903</v>
      </c>
      <c r="E156" s="30">
        <v>43460</v>
      </c>
      <c r="F156" s="28" t="s">
        <v>577</v>
      </c>
      <c r="G156" s="28">
        <f>INDEX($C$2:$D$37,MATCH(RESOLUCIONES[[#This Row],[No. Canal]],$C$2:$C$37,0),2)</f>
        <v>473</v>
      </c>
      <c r="I156" s="28" t="s">
        <v>742</v>
      </c>
      <c r="J156" s="28" t="s">
        <v>154</v>
      </c>
      <c r="K156" s="28" t="str">
        <f t="shared" si="3"/>
        <v>CampamentoAntioquia</v>
      </c>
      <c r="L156" s="28"/>
      <c r="M156" s="28"/>
      <c r="N156" s="28"/>
      <c r="O156" s="69"/>
      <c r="P156" s="28"/>
      <c r="Q156" s="54" t="s">
        <v>743</v>
      </c>
      <c r="R156" s="54">
        <v>2.5154999999999998</v>
      </c>
      <c r="S156" s="54">
        <v>-76.95483333333334</v>
      </c>
      <c r="T156" s="28" t="str">
        <f>_xlfn.CONCAT(COORDENADAS[[#This Row],[G]],"° ",COORDENADAS[[#This Row],[M]],"' ",FIXED(COORDENADAS[[#This Row],[S]],2),""" ",COORDENADAS[[#This Row],[Norte]])</f>
        <v>2° 30' 55,80" N</v>
      </c>
      <c r="U156" s="55">
        <v>2</v>
      </c>
      <c r="V156" s="55">
        <v>30</v>
      </c>
      <c r="W156" s="70">
        <v>55.79999999999945</v>
      </c>
      <c r="X156" s="71" t="s">
        <v>192</v>
      </c>
      <c r="Y156" s="28" t="str">
        <f>_xlfn.CONCAT(COORDENADAS[[#This Row],[GG]],"° ",COORDENADAS[[#This Row],[MM]],"' ",FIXED(COORDENADAS[[#This Row],[SS]],2),""" ",COORDENADAS[[#This Row],[Weter]])</f>
        <v>76° 57' 17,40" W</v>
      </c>
      <c r="Z156" s="54">
        <v>76</v>
      </c>
      <c r="AA156" s="54">
        <v>57</v>
      </c>
      <c r="AB156" s="54">
        <v>17.400000000025262</v>
      </c>
      <c r="AC156" s="71" t="s">
        <v>193</v>
      </c>
      <c r="AD156" s="23">
        <v>49.11</v>
      </c>
      <c r="AE156" s="23">
        <v>0</v>
      </c>
    </row>
    <row r="157" spans="1:31" x14ac:dyDescent="0.35">
      <c r="A157" s="33" t="s">
        <v>594</v>
      </c>
      <c r="B157" s="29" t="s">
        <v>744</v>
      </c>
      <c r="C157" s="21">
        <v>49</v>
      </c>
      <c r="D157" s="21">
        <v>2076</v>
      </c>
      <c r="E157" s="31">
        <v>43082</v>
      </c>
      <c r="F157" s="28" t="s">
        <v>646</v>
      </c>
      <c r="G157" s="28">
        <f>INDEX($C$2:$D$37,MATCH(RESOLUCIONES[[#This Row],[No. Canal]],$C$2:$C$37,0),2)</f>
        <v>683</v>
      </c>
      <c r="I157" s="28" t="s">
        <v>745</v>
      </c>
      <c r="J157" s="28" t="s">
        <v>231</v>
      </c>
      <c r="K157" s="28" t="str">
        <f t="shared" si="3"/>
        <v>Campo de La CruzAtlantico</v>
      </c>
      <c r="L157" s="28"/>
      <c r="M157" s="28"/>
      <c r="N157" s="28"/>
      <c r="O157" s="69"/>
      <c r="P157" s="28"/>
      <c r="Q157" s="28" t="s">
        <v>746</v>
      </c>
      <c r="R157" s="28">
        <v>2.5193055559999999</v>
      </c>
      <c r="S157" s="28">
        <v>-76.957583333000002</v>
      </c>
      <c r="T157" s="28" t="str">
        <f>_xlfn.CONCAT(COORDENADAS[[#This Row],[G]],"° ",COORDENADAS[[#This Row],[M]],"' ",FIXED(COORDENADAS[[#This Row],[S]],2),""" ",COORDENADAS[[#This Row],[Norte]])</f>
        <v>2° 31' 9,50" N</v>
      </c>
      <c r="U157" s="41">
        <v>2</v>
      </c>
      <c r="V157" s="41">
        <v>31</v>
      </c>
      <c r="W157" s="56">
        <v>9.500001599999619</v>
      </c>
      <c r="X157" s="23" t="s">
        <v>192</v>
      </c>
      <c r="Y157" s="28" t="str">
        <f>_xlfn.CONCAT(COORDENADAS[[#This Row],[GG]],"° ",COORDENADAS[[#This Row],[MM]],"' ",FIXED(COORDENADAS[[#This Row],[SS]],2),""" ",COORDENADAS[[#This Row],[Weter]])</f>
        <v>76° 57' 27,30" W</v>
      </c>
      <c r="Z157" s="28">
        <v>76</v>
      </c>
      <c r="AA157" s="28">
        <v>57</v>
      </c>
      <c r="AB157" s="28">
        <v>27.299998800008485</v>
      </c>
      <c r="AC157" s="23" t="s">
        <v>193</v>
      </c>
      <c r="AD157" s="23">
        <v>42.2</v>
      </c>
      <c r="AE157" s="23">
        <v>42.4</v>
      </c>
    </row>
    <row r="158" spans="1:31" x14ac:dyDescent="0.35">
      <c r="A158" s="29" t="s">
        <v>609</v>
      </c>
      <c r="B158" s="29" t="s">
        <v>747</v>
      </c>
      <c r="C158" s="21">
        <v>14</v>
      </c>
      <c r="D158" s="21">
        <v>2311</v>
      </c>
      <c r="E158" s="31">
        <v>41911</v>
      </c>
      <c r="F158" s="28" t="s">
        <v>611</v>
      </c>
      <c r="G158" s="28">
        <f>INDEX($C$2:$D$37,MATCH(RESOLUCIONES[[#This Row],[No. Canal]],$C$2:$C$37,0),2)</f>
        <v>473</v>
      </c>
      <c r="I158" s="28" t="s">
        <v>748</v>
      </c>
      <c r="J158" s="28" t="s">
        <v>245</v>
      </c>
      <c r="K158" s="28" t="str">
        <f t="shared" si="3"/>
        <v>CampoalegreHuila</v>
      </c>
      <c r="L158" s="28"/>
      <c r="M158" s="28"/>
      <c r="N158" s="28"/>
      <c r="O158" s="69"/>
      <c r="P158" s="28"/>
      <c r="Q158" s="28" t="s">
        <v>749</v>
      </c>
      <c r="R158" s="28">
        <v>8.4219166666666663</v>
      </c>
      <c r="S158" s="28">
        <v>-76.773333333333326</v>
      </c>
      <c r="T158" s="28" t="str">
        <f>_xlfn.CONCAT(COORDENADAS[[#This Row],[G]],"° ",COORDENADAS[[#This Row],[M]],"' ",FIXED(COORDENADAS[[#This Row],[S]],2),""" ",COORDENADAS[[#This Row],[Norte]])</f>
        <v>8° 25' 18,48" N</v>
      </c>
      <c r="U158" s="41">
        <v>8</v>
      </c>
      <c r="V158" s="41">
        <v>25</v>
      </c>
      <c r="W158" s="56">
        <v>18.479999999997364</v>
      </c>
      <c r="X158" s="23" t="s">
        <v>192</v>
      </c>
      <c r="Y158" s="28" t="str">
        <f>_xlfn.CONCAT(COORDENADAS[[#This Row],[GG]],"° ",COORDENADAS[[#This Row],[MM]],"' ",FIXED(COORDENADAS[[#This Row],[SS]],2),""" ",COORDENADAS[[#This Row],[Weter]])</f>
        <v>76° 46' 24,04" W</v>
      </c>
      <c r="Z158" s="28">
        <v>76</v>
      </c>
      <c r="AA158" s="28">
        <v>46</v>
      </c>
      <c r="AB158" s="28">
        <v>24.040000000010011</v>
      </c>
      <c r="AC158" s="23" t="s">
        <v>193</v>
      </c>
      <c r="AD158" s="23">
        <v>35.56</v>
      </c>
      <c r="AE158" s="23">
        <v>0</v>
      </c>
    </row>
    <row r="159" spans="1:31" x14ac:dyDescent="0.35">
      <c r="A159" s="29" t="s">
        <v>613</v>
      </c>
      <c r="B159" s="29" t="s">
        <v>750</v>
      </c>
      <c r="C159" s="21">
        <v>14</v>
      </c>
      <c r="D159" s="21">
        <v>1903</v>
      </c>
      <c r="E159" s="30">
        <v>43460</v>
      </c>
      <c r="F159" s="28" t="s">
        <v>577</v>
      </c>
      <c r="G159" s="28">
        <f>INDEX($C$2:$D$37,MATCH(RESOLUCIONES[[#This Row],[No. Canal]],$C$2:$C$37,0),2)</f>
        <v>473</v>
      </c>
      <c r="I159" s="28" t="s">
        <v>751</v>
      </c>
      <c r="J159" s="28" t="s">
        <v>274</v>
      </c>
      <c r="K159" s="28" t="str">
        <f t="shared" si="3"/>
        <v>CampohermosoBoyaca</v>
      </c>
      <c r="L159" s="28"/>
      <c r="M159" s="28"/>
      <c r="N159" s="28"/>
      <c r="O159" s="69"/>
      <c r="P159" s="28"/>
      <c r="Q159" s="28" t="s">
        <v>752</v>
      </c>
      <c r="R159" s="28">
        <v>8.4219166669999996</v>
      </c>
      <c r="S159" s="28">
        <v>-76.773333332999997</v>
      </c>
      <c r="T159" s="28" t="str">
        <f>_xlfn.CONCAT(COORDENADAS[[#This Row],[G]],"° ",COORDENADAS[[#This Row],[M]],"' ",FIXED(COORDENADAS[[#This Row],[S]],2),""" ",COORDENADAS[[#This Row],[Norte]])</f>
        <v>8° 25' 18,90" N</v>
      </c>
      <c r="U159" s="41">
        <v>8</v>
      </c>
      <c r="V159" s="41">
        <v>25</v>
      </c>
      <c r="W159" s="56">
        <v>18.900001199998616</v>
      </c>
      <c r="X159" s="23" t="s">
        <v>192</v>
      </c>
      <c r="Y159" s="28" t="str">
        <f>_xlfn.CONCAT(COORDENADAS[[#This Row],[GG]],"° ",COORDENADAS[[#This Row],[MM]],"' ",FIXED(COORDENADAS[[#This Row],[SS]],2),""" ",COORDENADAS[[#This Row],[Weter]])</f>
        <v>76° 46' 24,00" W</v>
      </c>
      <c r="Z159" s="28">
        <v>76</v>
      </c>
      <c r="AA159" s="28">
        <v>46</v>
      </c>
      <c r="AB159" s="28">
        <v>23.999998799987267</v>
      </c>
      <c r="AC159" s="23" t="s">
        <v>193</v>
      </c>
      <c r="AD159" s="23">
        <v>41.8</v>
      </c>
      <c r="AE159" s="23">
        <v>41.7</v>
      </c>
    </row>
    <row r="160" spans="1:31" x14ac:dyDescent="0.35">
      <c r="A160" s="34" t="s">
        <v>626</v>
      </c>
      <c r="B160" s="29" t="s">
        <v>753</v>
      </c>
      <c r="C160" s="35">
        <v>14</v>
      </c>
      <c r="D160" s="35">
        <v>1903</v>
      </c>
      <c r="E160" s="36">
        <v>43460</v>
      </c>
      <c r="F160" s="28" t="s">
        <v>577</v>
      </c>
      <c r="G160" s="28">
        <f>INDEX($C$2:$D$37,MATCH(RESOLUCIONES[[#This Row],[No. Canal]],$C$2:$C$37,0),2)</f>
        <v>473</v>
      </c>
      <c r="I160" s="28" t="s">
        <v>754</v>
      </c>
      <c r="J160" s="28" t="s">
        <v>337</v>
      </c>
      <c r="K160" s="28" t="str">
        <f t="shared" si="3"/>
        <v>CanaleteCordoba</v>
      </c>
      <c r="L160" s="28"/>
      <c r="M160" s="28"/>
      <c r="N160" s="28"/>
      <c r="O160" s="69"/>
      <c r="P160" s="28"/>
      <c r="Q160" s="28" t="s">
        <v>755</v>
      </c>
      <c r="R160" s="28">
        <v>3.4677333333333333</v>
      </c>
      <c r="S160" s="28">
        <v>-76.545161111111113</v>
      </c>
      <c r="T160" s="28" t="str">
        <f>_xlfn.CONCAT(COORDENADAS[[#This Row],[G]],"° ",COORDENADAS[[#This Row],[M]],"' ",FIXED(COORDENADAS[[#This Row],[S]],2),""" ",COORDENADAS[[#This Row],[Norte]])</f>
        <v>3° 28' 3,84" N</v>
      </c>
      <c r="U160" s="41">
        <v>3</v>
      </c>
      <c r="V160" s="41">
        <v>28</v>
      </c>
      <c r="W160" s="56">
        <v>3.84</v>
      </c>
      <c r="X160" s="23" t="s">
        <v>192</v>
      </c>
      <c r="Y160" s="28" t="str">
        <f>_xlfn.CONCAT(COORDENADAS[[#This Row],[GG]],"° ",COORDENADAS[[#This Row],[MM]],"' ",FIXED(COORDENADAS[[#This Row],[SS]],2),""" ",COORDENADAS[[#This Row],[Weter]])</f>
        <v>76° 32' 42,58" W</v>
      </c>
      <c r="Z160" s="28">
        <v>76</v>
      </c>
      <c r="AA160" s="28">
        <v>32</v>
      </c>
      <c r="AB160" s="28">
        <v>42.58</v>
      </c>
      <c r="AC160" s="23" t="s">
        <v>193</v>
      </c>
      <c r="AD160" s="23">
        <v>0</v>
      </c>
      <c r="AE160" s="23">
        <v>0</v>
      </c>
    </row>
    <row r="161" spans="1:31" x14ac:dyDescent="0.35">
      <c r="A161" s="29" t="s">
        <v>629</v>
      </c>
      <c r="B161" s="29" t="s">
        <v>756</v>
      </c>
      <c r="C161" s="21">
        <v>14</v>
      </c>
      <c r="D161" s="21">
        <v>2171</v>
      </c>
      <c r="E161" s="31">
        <v>43091</v>
      </c>
      <c r="F161" s="28" t="s">
        <v>590</v>
      </c>
      <c r="G161" s="28">
        <f>INDEX($C$2:$D$37,MATCH(RESOLUCIONES[[#This Row],[No. Canal]],$C$2:$C$37,0),2)</f>
        <v>473</v>
      </c>
      <c r="I161" s="28" t="s">
        <v>757</v>
      </c>
      <c r="J161" s="28" t="s">
        <v>231</v>
      </c>
      <c r="K161" s="28" t="str">
        <f t="shared" si="3"/>
        <v>CandelariaAtlantico</v>
      </c>
      <c r="L161" s="28"/>
      <c r="M161" s="28"/>
      <c r="N161" s="28"/>
      <c r="O161" s="69"/>
      <c r="P161" s="28"/>
      <c r="Q161" s="28" t="s">
        <v>758</v>
      </c>
      <c r="R161" s="28">
        <v>5.3567666669999996</v>
      </c>
      <c r="S161" s="28">
        <v>-73.418772222000001</v>
      </c>
      <c r="T161" s="28" t="str">
        <f>_xlfn.CONCAT(COORDENADAS[[#This Row],[G]],"° ",COORDENADAS[[#This Row],[M]],"' ",FIXED(COORDENADAS[[#This Row],[S]],2),""" ",COORDENADAS[[#This Row],[Norte]])</f>
        <v>5° 21' 24,36" N</v>
      </c>
      <c r="U161" s="41">
        <v>5</v>
      </c>
      <c r="V161" s="41">
        <v>21</v>
      </c>
      <c r="W161" s="56">
        <v>24.360001199998614</v>
      </c>
      <c r="X161" s="23" t="s">
        <v>192</v>
      </c>
      <c r="Y161" s="28" t="str">
        <f>_xlfn.CONCAT(COORDENADAS[[#This Row],[GG]],"° ",COORDENADAS[[#This Row],[MM]],"' ",FIXED(COORDENADAS[[#This Row],[SS]],2),""" ",COORDENADAS[[#This Row],[Weter]])</f>
        <v>73° 25' 7,58" W</v>
      </c>
      <c r="Z161" s="28">
        <v>73</v>
      </c>
      <c r="AA161" s="28">
        <v>25</v>
      </c>
      <c r="AB161" s="28">
        <v>7.5799992000042282</v>
      </c>
      <c r="AC161" s="23" t="s">
        <v>193</v>
      </c>
      <c r="AD161" s="23">
        <v>40.6</v>
      </c>
      <c r="AE161" s="23">
        <v>40.700000000000003</v>
      </c>
    </row>
    <row r="162" spans="1:31" x14ac:dyDescent="0.35">
      <c r="A162" s="29" t="s">
        <v>632</v>
      </c>
      <c r="B162" s="29" t="s">
        <v>759</v>
      </c>
      <c r="C162" s="21">
        <v>34</v>
      </c>
      <c r="D162" s="21">
        <v>1903</v>
      </c>
      <c r="E162" s="30">
        <v>43460</v>
      </c>
      <c r="F162" s="28" t="s">
        <v>577</v>
      </c>
      <c r="G162" s="28">
        <f>INDEX($C$2:$D$37,MATCH(RESOLUCIONES[[#This Row],[No. Canal]],$C$2:$C$37,0),2)</f>
        <v>593</v>
      </c>
      <c r="I162" s="28" t="s">
        <v>757</v>
      </c>
      <c r="J162" s="28" t="s">
        <v>381</v>
      </c>
      <c r="K162" s="28" t="str">
        <f t="shared" si="3"/>
        <v>CandelariaValle del Cauca</v>
      </c>
      <c r="L162" s="28"/>
      <c r="M162" s="28"/>
      <c r="N162" s="28"/>
      <c r="O162" s="69"/>
      <c r="P162" s="28"/>
      <c r="Q162" s="28" t="s">
        <v>760</v>
      </c>
      <c r="R162" s="28">
        <v>5.6077500000000002</v>
      </c>
      <c r="S162" s="28">
        <v>-72.183638888999994</v>
      </c>
      <c r="T162" s="28" t="str">
        <f>_xlfn.CONCAT(COORDENADAS[[#This Row],[G]],"° ",COORDENADAS[[#This Row],[M]],"' ",FIXED(COORDENADAS[[#This Row],[S]],2),""" ",COORDENADAS[[#This Row],[Norte]])</f>
        <v>5° 36' 27,90" N</v>
      </c>
      <c r="U162" s="41">
        <v>5</v>
      </c>
      <c r="V162" s="41">
        <v>36</v>
      </c>
      <c r="W162" s="56">
        <v>27.900000000000922</v>
      </c>
      <c r="X162" s="23" t="s">
        <v>192</v>
      </c>
      <c r="Y162" s="28" t="str">
        <f>_xlfn.CONCAT(COORDENADAS[[#This Row],[GG]],"° ",COORDENADAS[[#This Row],[MM]],"' ",FIXED(COORDENADAS[[#This Row],[SS]],2),""" ",COORDENADAS[[#This Row],[Weter]])</f>
        <v>72° 11' 1,10" W</v>
      </c>
      <c r="Z162" s="28">
        <v>72</v>
      </c>
      <c r="AA162" s="28">
        <v>11</v>
      </c>
      <c r="AB162" s="28">
        <v>1.100000399977763</v>
      </c>
      <c r="AC162" s="23" t="s">
        <v>193</v>
      </c>
      <c r="AD162" s="23">
        <v>40.6</v>
      </c>
      <c r="AE162" s="23">
        <v>40.700000000000003</v>
      </c>
    </row>
    <row r="163" spans="1:31" x14ac:dyDescent="0.35">
      <c r="A163" s="29" t="s">
        <v>634</v>
      </c>
      <c r="B163" s="29" t="s">
        <v>761</v>
      </c>
      <c r="C163" s="21">
        <v>26</v>
      </c>
      <c r="D163" s="21">
        <v>1361</v>
      </c>
      <c r="E163" s="31">
        <v>42577</v>
      </c>
      <c r="F163" s="28" t="s">
        <v>700</v>
      </c>
      <c r="G163" s="28">
        <f>INDEX($C$2:$D$37,MATCH(RESOLUCIONES[[#This Row],[No. Canal]],$C$2:$C$37,0),2)</f>
        <v>545</v>
      </c>
      <c r="I163" s="28" t="s">
        <v>762</v>
      </c>
      <c r="J163" s="28" t="s">
        <v>260</v>
      </c>
      <c r="K163" s="28" t="str">
        <f t="shared" si="3"/>
        <v>CantagalloBolivar</v>
      </c>
      <c r="L163" s="28"/>
      <c r="M163" s="28"/>
      <c r="N163" s="28"/>
      <c r="O163" s="69"/>
      <c r="P163" s="28"/>
      <c r="Q163" s="28" t="s">
        <v>763</v>
      </c>
      <c r="R163" s="28">
        <v>8.2331666666666674</v>
      </c>
      <c r="S163" s="28">
        <v>-73.391722222222228</v>
      </c>
      <c r="T163" s="28" t="str">
        <f>_xlfn.CONCAT(COORDENADAS[[#This Row],[G]],"° ",COORDENADAS[[#This Row],[M]],"' ",FIXED(COORDENADAS[[#This Row],[S]],2),""" ",COORDENADAS[[#This Row],[Norte]])</f>
        <v>8° 13' 59,40" N</v>
      </c>
      <c r="U163" s="41" t="s">
        <v>764</v>
      </c>
      <c r="V163" s="41">
        <v>13</v>
      </c>
      <c r="W163" s="56">
        <v>59.400000000002649</v>
      </c>
      <c r="X163" s="23" t="s">
        <v>192</v>
      </c>
      <c r="Y163" s="28" t="str">
        <f>_xlfn.CONCAT(COORDENADAS[[#This Row],[GG]],"° ",COORDENADAS[[#This Row],[MM]],"' ",FIXED(COORDENADAS[[#This Row],[SS]],2),""" ",COORDENADAS[[#This Row],[Weter]])</f>
        <v>73° 23' 30,20" W</v>
      </c>
      <c r="Z163" s="28">
        <v>73</v>
      </c>
      <c r="AA163" s="28">
        <v>23</v>
      </c>
      <c r="AB163" s="28">
        <v>30.200000000020189</v>
      </c>
      <c r="AC163" s="23" t="s">
        <v>193</v>
      </c>
      <c r="AD163" s="23">
        <v>34.82</v>
      </c>
      <c r="AE163" s="23">
        <v>0</v>
      </c>
    </row>
    <row r="164" spans="1:31" x14ac:dyDescent="0.35">
      <c r="A164" s="29" t="s">
        <v>637</v>
      </c>
      <c r="B164" s="29" t="s">
        <v>765</v>
      </c>
      <c r="C164" s="21">
        <v>14</v>
      </c>
      <c r="D164" s="21">
        <v>1903</v>
      </c>
      <c r="E164" s="30">
        <v>43460</v>
      </c>
      <c r="F164" s="28" t="s">
        <v>577</v>
      </c>
      <c r="G164" s="28">
        <f>INDEX($C$2:$D$37,MATCH(RESOLUCIONES[[#This Row],[No. Canal]],$C$2:$C$37,0),2)</f>
        <v>473</v>
      </c>
      <c r="I164" s="28" t="s">
        <v>766</v>
      </c>
      <c r="J164" s="28" t="s">
        <v>154</v>
      </c>
      <c r="K164" s="28" t="str">
        <f t="shared" si="3"/>
        <v>CañasgordasAntioquia</v>
      </c>
      <c r="L164" s="28"/>
      <c r="M164" s="28"/>
      <c r="N164" s="28"/>
      <c r="O164" s="69"/>
      <c r="P164" s="28"/>
      <c r="Q164" s="28" t="s">
        <v>767</v>
      </c>
      <c r="R164" s="28">
        <v>0.66261111111111115</v>
      </c>
      <c r="S164" s="28">
        <v>-76.851111111111109</v>
      </c>
      <c r="T164" s="28" t="str">
        <f>_xlfn.CONCAT(COORDENADAS[[#This Row],[G]],"° ",COORDENADAS[[#This Row],[M]],"' ",FIXED(COORDENADAS[[#This Row],[S]],2),""" ",COORDENADAS[[#This Row],[Norte]])</f>
        <v>0° 39' 45,40" N</v>
      </c>
      <c r="U164" s="41">
        <v>0</v>
      </c>
      <c r="V164" s="41">
        <v>39</v>
      </c>
      <c r="W164" s="56">
        <v>45.400000000000063</v>
      </c>
      <c r="X164" s="23" t="s">
        <v>192</v>
      </c>
      <c r="Y164" s="28" t="str">
        <f>_xlfn.CONCAT(COORDENADAS[[#This Row],[GG]],"° ",COORDENADAS[[#This Row],[MM]],"' ",FIXED(COORDENADAS[[#This Row],[SS]],2),""" ",COORDENADAS[[#This Row],[Weter]])</f>
        <v>76° 51' 4,00" W</v>
      </c>
      <c r="Z164" s="28">
        <v>76</v>
      </c>
      <c r="AA164" s="28">
        <v>51</v>
      </c>
      <c r="AB164" s="28">
        <v>3.9999999999930314</v>
      </c>
      <c r="AC164" s="23" t="s">
        <v>193</v>
      </c>
      <c r="AD164" s="23">
        <v>34.82</v>
      </c>
      <c r="AE164" s="23">
        <v>0</v>
      </c>
    </row>
    <row r="165" spans="1:31" x14ac:dyDescent="0.35">
      <c r="A165" s="29" t="s">
        <v>641</v>
      </c>
      <c r="B165" s="29" t="s">
        <v>768</v>
      </c>
      <c r="C165" s="21">
        <v>14</v>
      </c>
      <c r="D165" s="32" t="s">
        <v>596</v>
      </c>
      <c r="E165" s="31">
        <v>40904</v>
      </c>
      <c r="F165" s="28" t="s">
        <v>597</v>
      </c>
      <c r="G165" s="28">
        <f>INDEX($C$2:$D$37,MATCH(RESOLUCIONES[[#This Row],[No. Canal]],$C$2:$C$37,0),2)</f>
        <v>473</v>
      </c>
      <c r="I165" s="28" t="s">
        <v>769</v>
      </c>
      <c r="J165" s="28" t="s">
        <v>283</v>
      </c>
      <c r="K165" s="28" t="str">
        <f t="shared" si="3"/>
        <v>CaparrapíCundinamarca</v>
      </c>
      <c r="L165" s="28"/>
      <c r="M165" s="28"/>
      <c r="N165" s="28"/>
      <c r="O165" s="69"/>
      <c r="P165" s="28"/>
      <c r="Q165" s="28" t="s">
        <v>770</v>
      </c>
      <c r="R165" s="28">
        <v>0.66261111100000003</v>
      </c>
      <c r="S165" s="28">
        <v>-76.851111110999994</v>
      </c>
      <c r="T165" s="28" t="str">
        <f>_xlfn.CONCAT(COORDENADAS[[#This Row],[G]],"° ",COORDENADAS[[#This Row],[M]],"' ",FIXED(COORDENADAS[[#This Row],[S]],2),""" ",COORDENADAS[[#This Row],[Norte]])</f>
        <v>0° 39' 51,27" N</v>
      </c>
      <c r="U165" s="41">
        <v>0</v>
      </c>
      <c r="V165" s="41">
        <v>39</v>
      </c>
      <c r="W165" s="56">
        <v>51.266620799999927</v>
      </c>
      <c r="X165" s="23" t="s">
        <v>192</v>
      </c>
      <c r="Y165" s="28" t="str">
        <f>_xlfn.CONCAT(COORDENADAS[[#This Row],[GG]],"° ",COORDENADAS[[#This Row],[MM]],"' ",FIXED(COORDENADAS[[#This Row],[SS]],2),""" ",COORDENADAS[[#This Row],[Weter]])</f>
        <v>76° 51' 5,91" W</v>
      </c>
      <c r="Z165" s="28">
        <v>76</v>
      </c>
      <c r="AA165" s="28">
        <v>51</v>
      </c>
      <c r="AB165" s="28">
        <v>5.9102711999936108</v>
      </c>
      <c r="AC165" s="23" t="s">
        <v>193</v>
      </c>
      <c r="AD165" s="23">
        <v>42.5</v>
      </c>
      <c r="AE165" s="23">
        <v>42.1</v>
      </c>
    </row>
    <row r="166" spans="1:31" x14ac:dyDescent="0.35">
      <c r="A166" s="29" t="s">
        <v>644</v>
      </c>
      <c r="B166" s="29" t="s">
        <v>771</v>
      </c>
      <c r="C166" s="21">
        <v>14</v>
      </c>
      <c r="D166" s="21">
        <v>2311</v>
      </c>
      <c r="E166" s="31">
        <v>41911</v>
      </c>
      <c r="F166" s="28" t="s">
        <v>611</v>
      </c>
      <c r="G166" s="28">
        <f>INDEX($C$2:$D$37,MATCH(RESOLUCIONES[[#This Row],[No. Canal]],$C$2:$C$37,0),2)</f>
        <v>473</v>
      </c>
      <c r="I166" s="28" t="s">
        <v>772</v>
      </c>
      <c r="J166" s="28" t="s">
        <v>304</v>
      </c>
      <c r="K166" s="28" t="str">
        <f t="shared" si="3"/>
        <v>CapitanejoSantander</v>
      </c>
      <c r="L166" s="28"/>
      <c r="M166" s="28"/>
      <c r="N166" s="28"/>
      <c r="O166" s="69"/>
      <c r="P166" s="28"/>
      <c r="Q166" s="28" t="s">
        <v>773</v>
      </c>
      <c r="R166" s="28">
        <v>5.1316800000000002</v>
      </c>
      <c r="S166" s="28">
        <v>-73.390889999999999</v>
      </c>
      <c r="T166" s="28" t="str">
        <f>_xlfn.CONCAT(COORDENADAS[[#This Row],[G]],"° ",COORDENADAS[[#This Row],[M]],"' ",FIXED(COORDENADAS[[#This Row],[S]],2),""" ",COORDENADAS[[#This Row],[Norte]])</f>
        <v>5° 7' 56,87" N</v>
      </c>
      <c r="U166" s="41">
        <v>5</v>
      </c>
      <c r="V166" s="41">
        <v>7</v>
      </c>
      <c r="W166" s="56">
        <v>56.870533200000317</v>
      </c>
      <c r="X166" s="23" t="s">
        <v>192</v>
      </c>
      <c r="Y166" s="28" t="str">
        <f>_xlfn.CONCAT(COORDENADAS[[#This Row],[GG]],"° ",COORDENADAS[[#This Row],[MM]],"' ",FIXED(COORDENADAS[[#This Row],[SS]],2),""" ",COORDENADAS[[#This Row],[Weter]])</f>
        <v>73° 23' 24,62" W</v>
      </c>
      <c r="Z166" s="28">
        <v>73</v>
      </c>
      <c r="AA166" s="28">
        <v>23</v>
      </c>
      <c r="AB166" s="28">
        <v>24.615873600005123</v>
      </c>
      <c r="AC166" s="23" t="s">
        <v>193</v>
      </c>
      <c r="AD166" s="23">
        <v>40.6</v>
      </c>
      <c r="AE166" s="23">
        <v>40.700000000000003</v>
      </c>
    </row>
    <row r="167" spans="1:31" x14ac:dyDescent="0.35">
      <c r="A167" s="29" t="s">
        <v>650</v>
      </c>
      <c r="B167" s="29" t="s">
        <v>774</v>
      </c>
      <c r="C167" s="21">
        <v>14</v>
      </c>
      <c r="D167" s="21">
        <v>1903</v>
      </c>
      <c r="E167" s="30">
        <v>43460</v>
      </c>
      <c r="F167" s="28" t="s">
        <v>577</v>
      </c>
      <c r="G167" s="28">
        <f>INDEX($C$2:$D$37,MATCH(RESOLUCIONES[[#This Row],[No. Canal]],$C$2:$C$37,0),2)</f>
        <v>473</v>
      </c>
      <c r="I167" s="28" t="s">
        <v>775</v>
      </c>
      <c r="J167" s="28" t="s">
        <v>283</v>
      </c>
      <c r="K167" s="28" t="str">
        <f t="shared" si="3"/>
        <v>CaquezaCundinamarca</v>
      </c>
      <c r="L167" s="28"/>
      <c r="M167" s="28"/>
      <c r="N167" s="28"/>
      <c r="O167" s="69"/>
      <c r="P167" s="28"/>
      <c r="Q167" s="28" t="s">
        <v>776</v>
      </c>
      <c r="R167" s="28">
        <v>5.1785222222222229</v>
      </c>
      <c r="S167" s="28">
        <v>-74.127102777777765</v>
      </c>
      <c r="T167" s="28" t="str">
        <f>_xlfn.CONCAT(COORDENADAS[[#This Row],[G]],"° ",COORDENADAS[[#This Row],[M]],"' ",FIXED(COORDENADAS[[#This Row],[S]],2),""" ",COORDENADAS[[#This Row],[Norte]])</f>
        <v>5° 10' 45,14" N</v>
      </c>
      <c r="U167" s="41">
        <v>5</v>
      </c>
      <c r="V167" s="41">
        <v>10</v>
      </c>
      <c r="W167" s="56">
        <v>45.140000000001059</v>
      </c>
      <c r="X167" s="23" t="s">
        <v>192</v>
      </c>
      <c r="Y167" s="28" t="str">
        <f>_xlfn.CONCAT(COORDENADAS[[#This Row],[GG]],"° ",COORDENADAS[[#This Row],[MM]],"' ",FIXED(COORDENADAS[[#This Row],[SS]],2),""" ",COORDENADAS[[#This Row],[Weter]])</f>
        <v>74° 7' 34,55" W</v>
      </c>
      <c r="Z167" s="28">
        <v>74</v>
      </c>
      <c r="AA167" s="28">
        <v>7</v>
      </c>
      <c r="AB167" s="28">
        <v>34.549999999989033</v>
      </c>
      <c r="AC167" s="23" t="s">
        <v>193</v>
      </c>
      <c r="AD167" s="23">
        <v>34.82</v>
      </c>
      <c r="AE167" s="23">
        <v>0</v>
      </c>
    </row>
    <row r="168" spans="1:31" x14ac:dyDescent="0.35">
      <c r="A168" s="29" t="s">
        <v>652</v>
      </c>
      <c r="B168" s="29" t="s">
        <v>777</v>
      </c>
      <c r="C168" s="21">
        <v>14</v>
      </c>
      <c r="D168" s="32" t="s">
        <v>596</v>
      </c>
      <c r="E168" s="31">
        <v>40904</v>
      </c>
      <c r="F168" s="28" t="s">
        <v>597</v>
      </c>
      <c r="G168" s="28">
        <f>INDEX($C$2:$D$37,MATCH(RESOLUCIONES[[#This Row],[No. Canal]],$C$2:$C$37,0),2)</f>
        <v>473</v>
      </c>
      <c r="I168" s="28" t="s">
        <v>778</v>
      </c>
      <c r="J168" s="28" t="s">
        <v>154</v>
      </c>
      <c r="K168" s="28" t="str">
        <f t="shared" si="3"/>
        <v>CaracolíAntioquia</v>
      </c>
      <c r="L168" s="28"/>
      <c r="M168" s="28"/>
      <c r="N168" s="28"/>
      <c r="O168" s="69"/>
      <c r="P168" s="28"/>
      <c r="Q168" s="28" t="s">
        <v>779</v>
      </c>
      <c r="R168" s="28">
        <v>6.2792777777777777</v>
      </c>
      <c r="S168" s="28">
        <v>-75.686972222222224</v>
      </c>
      <c r="T168" s="28" t="str">
        <f>_xlfn.CONCAT(COORDENADAS[[#This Row],[G]],"° ",COORDENADAS[[#This Row],[M]],"' ",FIXED(COORDENADAS[[#This Row],[S]],2),""" ",COORDENADAS[[#This Row],[Norte]])</f>
        <v>6° 16' 45,40" N</v>
      </c>
      <c r="U168" s="41">
        <v>6</v>
      </c>
      <c r="V168" s="41">
        <v>16</v>
      </c>
      <c r="W168" s="56">
        <v>45.399999999999864</v>
      </c>
      <c r="X168" s="23" t="s">
        <v>192</v>
      </c>
      <c r="Y168" s="28" t="str">
        <f>_xlfn.CONCAT(COORDENADAS[[#This Row],[GG]],"° ",COORDENADAS[[#This Row],[MM]],"' ",FIXED(COORDENADAS[[#This Row],[SS]],2),""" ",COORDENADAS[[#This Row],[Weter]])</f>
        <v>75° 41' 13,10" W</v>
      </c>
      <c r="Z168" s="28">
        <v>75</v>
      </c>
      <c r="AA168" s="28">
        <v>41</v>
      </c>
      <c r="AB168" s="28">
        <v>13.100000000005085</v>
      </c>
      <c r="AC168" s="23" t="s">
        <v>193</v>
      </c>
      <c r="AD168" s="23">
        <v>48.38</v>
      </c>
      <c r="AE168" s="23">
        <v>0</v>
      </c>
    </row>
    <row r="169" spans="1:31" x14ac:dyDescent="0.35">
      <c r="A169" s="29" t="s">
        <v>660</v>
      </c>
      <c r="B169" s="29" t="s">
        <v>780</v>
      </c>
      <c r="C169" s="21">
        <v>21</v>
      </c>
      <c r="D169" s="21">
        <v>1903</v>
      </c>
      <c r="E169" s="30">
        <v>43460</v>
      </c>
      <c r="F169" s="28" t="s">
        <v>577</v>
      </c>
      <c r="G169" s="28">
        <f>INDEX($C$2:$D$37,MATCH(RESOLUCIONES[[#This Row],[No. Canal]],$C$2:$C$37,0),2)</f>
        <v>515</v>
      </c>
      <c r="I169" s="28" t="s">
        <v>781</v>
      </c>
      <c r="J169" s="28" t="s">
        <v>154</v>
      </c>
      <c r="K169" s="28" t="str">
        <f t="shared" si="3"/>
        <v>CaramantaAntioquia</v>
      </c>
      <c r="L169" s="28"/>
      <c r="M169" s="28"/>
      <c r="N169" s="28"/>
      <c r="O169" s="69"/>
      <c r="P169" s="28"/>
      <c r="Q169" s="28" t="s">
        <v>782</v>
      </c>
      <c r="R169" s="28">
        <v>6.2799444439999998</v>
      </c>
      <c r="S169" s="28">
        <v>-75.686194443999995</v>
      </c>
      <c r="T169" s="28" t="str">
        <f>_xlfn.CONCAT(COORDENADAS[[#This Row],[G]],"° ",COORDENADAS[[#This Row],[M]],"' ",FIXED(COORDENADAS[[#This Row],[S]],2),""" ",COORDENADAS[[#This Row],[Norte]])</f>
        <v>6° 16' 47,69" N</v>
      </c>
      <c r="U169" s="41">
        <v>6</v>
      </c>
      <c r="V169" s="41">
        <v>16</v>
      </c>
      <c r="W169" s="56">
        <v>47.688286800000213</v>
      </c>
      <c r="X169" s="23" t="s">
        <v>192</v>
      </c>
      <c r="Y169" s="28" t="str">
        <f>_xlfn.CONCAT(COORDENADAS[[#This Row],[GG]],"° ",COORDENADAS[[#This Row],[MM]],"' ",FIXED(COORDENADAS[[#This Row],[SS]],2),""" ",COORDENADAS[[#This Row],[Weter]])</f>
        <v>75° 41' 10,59" W</v>
      </c>
      <c r="Z169" s="28">
        <v>75</v>
      </c>
      <c r="AA169" s="28">
        <v>41</v>
      </c>
      <c r="AB169" s="28">
        <v>10.592959199996077</v>
      </c>
      <c r="AC169" s="23" t="s">
        <v>193</v>
      </c>
      <c r="AD169" s="23">
        <v>40.6</v>
      </c>
      <c r="AE169" s="23">
        <v>40.799999999999997</v>
      </c>
    </row>
    <row r="170" spans="1:31" x14ac:dyDescent="0.35">
      <c r="A170" s="29" t="s">
        <v>663</v>
      </c>
      <c r="B170" s="29" t="s">
        <v>783</v>
      </c>
      <c r="C170" s="21">
        <v>14</v>
      </c>
      <c r="D170" s="21">
        <v>2311</v>
      </c>
      <c r="E170" s="31">
        <v>41911</v>
      </c>
      <c r="F170" s="28" t="s">
        <v>611</v>
      </c>
      <c r="G170" s="28">
        <f>INDEX($C$2:$D$37,MATCH(RESOLUCIONES[[#This Row],[No. Canal]],$C$2:$C$37,0),2)</f>
        <v>473</v>
      </c>
      <c r="I170" s="28" t="s">
        <v>784</v>
      </c>
      <c r="J170" s="28" t="s">
        <v>304</v>
      </c>
      <c r="K170" s="28" t="str">
        <f t="shared" si="3"/>
        <v>CarcasíSantander</v>
      </c>
      <c r="L170" s="28"/>
      <c r="M170" s="28"/>
      <c r="N170" s="28"/>
      <c r="O170" s="69"/>
      <c r="P170" s="28"/>
      <c r="Q170" s="28" t="s">
        <v>733</v>
      </c>
      <c r="R170" s="28">
        <v>2.5848666666666666</v>
      </c>
      <c r="S170" s="28">
        <v>-75.999661111111109</v>
      </c>
      <c r="T170" s="28" t="str">
        <f>_xlfn.CONCAT(COORDENADAS[[#This Row],[G]],"° ",COORDENADAS[[#This Row],[M]],"' ",FIXED(COORDENADAS[[#This Row],[S]],2),""" ",COORDENADAS[[#This Row],[Norte]])</f>
        <v>2° 35' 5,52" N</v>
      </c>
      <c r="U170" s="41">
        <v>2</v>
      </c>
      <c r="V170" s="41">
        <v>35</v>
      </c>
      <c r="W170" s="56">
        <v>5.5199999999997917</v>
      </c>
      <c r="X170" s="23" t="s">
        <v>192</v>
      </c>
      <c r="Y170" s="28" t="str">
        <f>_xlfn.CONCAT(COORDENADAS[[#This Row],[GG]],"° ",COORDENADAS[[#This Row],[MM]],"' ",FIXED(COORDENADAS[[#This Row],[SS]],2),""" ",COORDENADAS[[#This Row],[Weter]])</f>
        <v>75° 59' 58,78" W</v>
      </c>
      <c r="Z170" s="28">
        <v>75</v>
      </c>
      <c r="AA170" s="28">
        <v>59</v>
      </c>
      <c r="AB170" s="28">
        <v>58.779999999993791</v>
      </c>
      <c r="AC170" s="23" t="s">
        <v>193</v>
      </c>
      <c r="AD170" s="23">
        <v>48.38</v>
      </c>
      <c r="AE170" s="23">
        <v>0</v>
      </c>
    </row>
    <row r="171" spans="1:31" x14ac:dyDescent="0.35">
      <c r="A171" s="29" t="s">
        <v>666</v>
      </c>
      <c r="B171" s="29" t="s">
        <v>785</v>
      </c>
      <c r="C171" s="21">
        <v>14</v>
      </c>
      <c r="D171" s="21">
        <v>2171</v>
      </c>
      <c r="E171" s="31">
        <v>43091</v>
      </c>
      <c r="F171" s="28" t="s">
        <v>590</v>
      </c>
      <c r="G171" s="28">
        <f>INDEX($C$2:$D$37,MATCH(RESOLUCIONES[[#This Row],[No. Canal]],$C$2:$C$37,0),2)</f>
        <v>473</v>
      </c>
      <c r="I171" s="28" t="s">
        <v>786</v>
      </c>
      <c r="J171" s="28" t="s">
        <v>154</v>
      </c>
      <c r="K171" s="28" t="str">
        <f t="shared" si="3"/>
        <v>CarepaAntioquia</v>
      </c>
      <c r="L171" s="28"/>
      <c r="M171" s="28"/>
      <c r="N171" s="28"/>
      <c r="O171" s="69"/>
      <c r="P171" s="28"/>
      <c r="Q171" s="28" t="s">
        <v>787</v>
      </c>
      <c r="R171" s="28">
        <v>8.9555555560000002</v>
      </c>
      <c r="S171" s="28">
        <v>-73.619527778000005</v>
      </c>
      <c r="T171" s="28" t="str">
        <f>_xlfn.CONCAT(COORDENADAS[[#This Row],[G]],"° ",COORDENADAS[[#This Row],[M]],"' ",FIXED(COORDENADAS[[#This Row],[S]],2),""" ",COORDENADAS[[#This Row],[Norte]])</f>
        <v>8° 57' 20,00" N</v>
      </c>
      <c r="U171" s="41">
        <v>8</v>
      </c>
      <c r="V171" s="41">
        <v>57</v>
      </c>
      <c r="W171" s="56">
        <v>20.000001600000861</v>
      </c>
      <c r="X171" s="23" t="s">
        <v>192</v>
      </c>
      <c r="Y171" s="28" t="str">
        <f>_xlfn.CONCAT(COORDENADAS[[#This Row],[GG]],"° ",COORDENADAS[[#This Row],[MM]],"' ",FIXED(COORDENADAS[[#This Row],[SS]],2),""" ",COORDENADAS[[#This Row],[Weter]])</f>
        <v>73° 37' 10,30" W</v>
      </c>
      <c r="Z171" s="28">
        <v>73</v>
      </c>
      <c r="AA171" s="28">
        <v>37</v>
      </c>
      <c r="AB171" s="28">
        <v>10.300000800019582</v>
      </c>
      <c r="AC171" s="23" t="s">
        <v>193</v>
      </c>
      <c r="AD171" s="23">
        <v>42.3</v>
      </c>
      <c r="AE171" s="23">
        <v>41.8</v>
      </c>
    </row>
    <row r="172" spans="1:31" x14ac:dyDescent="0.35">
      <c r="A172" s="29" t="s">
        <v>669</v>
      </c>
      <c r="B172" s="29" t="s">
        <v>788</v>
      </c>
      <c r="C172" s="21">
        <v>14</v>
      </c>
      <c r="D172" s="32" t="s">
        <v>596</v>
      </c>
      <c r="E172" s="31">
        <v>40904</v>
      </c>
      <c r="F172" s="28" t="s">
        <v>597</v>
      </c>
      <c r="G172" s="28">
        <f>INDEX($C$2:$D$37,MATCH(RESOLUCIONES[[#This Row],[No. Canal]],$C$2:$C$37,0),2)</f>
        <v>473</v>
      </c>
      <c r="I172" s="28" t="s">
        <v>789</v>
      </c>
      <c r="J172" s="28" t="s">
        <v>409</v>
      </c>
      <c r="K172" s="28" t="str">
        <f t="shared" si="3"/>
        <v>Carmen de ApicaláTolima</v>
      </c>
      <c r="L172" s="28"/>
      <c r="M172" s="28"/>
      <c r="N172" s="28"/>
      <c r="O172" s="69"/>
      <c r="P172" s="28"/>
      <c r="Q172" s="28" t="s">
        <v>790</v>
      </c>
      <c r="R172" s="28">
        <v>7.3818611111111103</v>
      </c>
      <c r="S172" s="28">
        <v>-72.640944444444457</v>
      </c>
      <c r="T172" s="28" t="str">
        <f>_xlfn.CONCAT(COORDENADAS[[#This Row],[G]],"° ",COORDENADAS[[#This Row],[M]],"' ",FIXED(COORDENADAS[[#This Row],[S]],2),""" ",COORDENADAS[[#This Row],[Norte]])</f>
        <v>7° 22' 54,70" N</v>
      </c>
      <c r="U172" s="41">
        <v>7</v>
      </c>
      <c r="V172" s="41">
        <v>22</v>
      </c>
      <c r="W172" s="56">
        <v>54.699999999997239</v>
      </c>
      <c r="X172" s="23" t="s">
        <v>192</v>
      </c>
      <c r="Y172" s="28" t="str">
        <f>_xlfn.CONCAT(COORDENADAS[[#This Row],[GG]],"° ",COORDENADAS[[#This Row],[MM]],"' ",FIXED(COORDENADAS[[#This Row],[SS]],2),""" ",COORDENADAS[[#This Row],[Weter]])</f>
        <v>72° 38' 27,40" W</v>
      </c>
      <c r="Z172" s="28">
        <v>72</v>
      </c>
      <c r="AA172" s="28">
        <v>38</v>
      </c>
      <c r="AB172" s="28">
        <v>27.400000000046809</v>
      </c>
      <c r="AC172" s="23" t="s">
        <v>193</v>
      </c>
      <c r="AD172" s="23">
        <v>48.38</v>
      </c>
      <c r="AE172" s="23">
        <v>0</v>
      </c>
    </row>
    <row r="173" spans="1:31" x14ac:dyDescent="0.35">
      <c r="A173" s="29" t="s">
        <v>674</v>
      </c>
      <c r="B173" s="29" t="s">
        <v>791</v>
      </c>
      <c r="C173" s="21">
        <v>14</v>
      </c>
      <c r="D173" s="21">
        <v>1903</v>
      </c>
      <c r="E173" s="30">
        <v>43460</v>
      </c>
      <c r="F173" s="28" t="s">
        <v>577</v>
      </c>
      <c r="G173" s="28">
        <f>INDEX($C$2:$D$37,MATCH(RESOLUCIONES[[#This Row],[No. Canal]],$C$2:$C$37,0),2)</f>
        <v>473</v>
      </c>
      <c r="I173" s="28" t="s">
        <v>792</v>
      </c>
      <c r="J173" s="28" t="s">
        <v>283</v>
      </c>
      <c r="K173" s="28" t="str">
        <f t="shared" si="3"/>
        <v>Carmen de CarupaCundinamarca</v>
      </c>
      <c r="L173" s="28"/>
      <c r="M173" s="28"/>
      <c r="N173" s="28"/>
      <c r="O173" s="69"/>
      <c r="P173" s="28"/>
      <c r="Q173" s="28" t="s">
        <v>793</v>
      </c>
      <c r="R173" s="28">
        <v>5.8790555555555564</v>
      </c>
      <c r="S173" s="28">
        <v>-71.900527777777782</v>
      </c>
      <c r="T173" s="28" t="str">
        <f>_xlfn.CONCAT(COORDENADAS[[#This Row],[G]],"° ",COORDENADAS[[#This Row],[M]],"' ",FIXED(COORDENADAS[[#This Row],[S]],2),""" ",COORDENADAS[[#This Row],[Norte]])</f>
        <v>5° 52' 44,60" N</v>
      </c>
      <c r="U173" s="41">
        <v>5</v>
      </c>
      <c r="V173" s="41">
        <v>52</v>
      </c>
      <c r="W173" s="56">
        <v>44.600000000002815</v>
      </c>
      <c r="X173" s="23" t="s">
        <v>192</v>
      </c>
      <c r="Y173" s="28" t="str">
        <f>_xlfn.CONCAT(COORDENADAS[[#This Row],[GG]],"° ",COORDENADAS[[#This Row],[MM]],"' ",FIXED(COORDENADAS[[#This Row],[SS]],2),""" ",COORDENADAS[[#This Row],[Weter]])</f>
        <v>71° 54' 1,90" W</v>
      </c>
      <c r="Z173" s="28">
        <v>71</v>
      </c>
      <c r="AA173" s="28">
        <v>54</v>
      </c>
      <c r="AB173" s="28">
        <v>1.900000000015245</v>
      </c>
      <c r="AC173" s="23" t="s">
        <v>193</v>
      </c>
      <c r="AD173" s="23">
        <v>34.82</v>
      </c>
      <c r="AE173" s="23">
        <v>0</v>
      </c>
    </row>
    <row r="174" spans="1:31" x14ac:dyDescent="0.35">
      <c r="A174" s="29" t="s">
        <v>680</v>
      </c>
      <c r="B174" s="29" t="s">
        <v>794</v>
      </c>
      <c r="C174" s="21">
        <v>21</v>
      </c>
      <c r="D174" s="21">
        <v>1903</v>
      </c>
      <c r="E174" s="30">
        <v>43460</v>
      </c>
      <c r="F174" s="28" t="s">
        <v>577</v>
      </c>
      <c r="G174" s="28">
        <f>INDEX($C$2:$D$37,MATCH(RESOLUCIONES[[#This Row],[No. Canal]],$C$2:$C$37,0),2)</f>
        <v>515</v>
      </c>
      <c r="I174" s="28" t="s">
        <v>795</v>
      </c>
      <c r="J174" s="28" t="s">
        <v>230</v>
      </c>
      <c r="K174" s="28" t="str">
        <f t="shared" si="3"/>
        <v>Carmen del DarienChoco</v>
      </c>
      <c r="L174" s="28"/>
      <c r="M174" s="28"/>
      <c r="N174" s="28"/>
      <c r="O174" s="69"/>
      <c r="P174" s="28"/>
      <c r="Q174" s="28" t="s">
        <v>796</v>
      </c>
      <c r="R174" s="28">
        <v>5.3902777777777784</v>
      </c>
      <c r="S174" s="28">
        <v>-75.138055555555567</v>
      </c>
      <c r="T174" s="28" t="str">
        <f>_xlfn.CONCAT(COORDENADAS[[#This Row],[G]],"° ",COORDENADAS[[#This Row],[M]],"' ",FIXED(COORDENADAS[[#This Row],[S]],2),""" ",COORDENADAS[[#This Row],[Norte]])</f>
        <v>5° 23' 25,00" N</v>
      </c>
      <c r="U174" s="41">
        <v>5</v>
      </c>
      <c r="V174" s="41">
        <v>23</v>
      </c>
      <c r="W174" s="56">
        <v>25.00000000000211</v>
      </c>
      <c r="X174" s="23" t="s">
        <v>192</v>
      </c>
      <c r="Y174" s="28" t="str">
        <f>_xlfn.CONCAT(COORDENADAS[[#This Row],[GG]],"° ",COORDENADAS[[#This Row],[MM]],"' ",FIXED(COORDENADAS[[#This Row],[SS]],2),""" ",COORDENADAS[[#This Row],[Weter]])</f>
        <v>75° 8' 17,00" W</v>
      </c>
      <c r="Z174" s="28">
        <v>75</v>
      </c>
      <c r="AA174" s="28">
        <v>8</v>
      </c>
      <c r="AB174" s="28">
        <v>17.000000000042526</v>
      </c>
      <c r="AC174" s="23" t="s">
        <v>193</v>
      </c>
      <c r="AD174" s="23">
        <v>34.82</v>
      </c>
      <c r="AE174" s="23">
        <v>0</v>
      </c>
    </row>
    <row r="175" spans="1:31" x14ac:dyDescent="0.35">
      <c r="A175" s="29" t="s">
        <v>689</v>
      </c>
      <c r="B175" s="29" t="s">
        <v>797</v>
      </c>
      <c r="C175" s="21">
        <v>34</v>
      </c>
      <c r="D175" s="21">
        <v>1903</v>
      </c>
      <c r="E175" s="30">
        <v>43460</v>
      </c>
      <c r="F175" s="28" t="s">
        <v>577</v>
      </c>
      <c r="G175" s="28">
        <f>INDEX($C$2:$D$37,MATCH(RESOLUCIONES[[#This Row],[No. Canal]],$C$2:$C$37,0),2)</f>
        <v>593</v>
      </c>
      <c r="I175" s="28" t="s">
        <v>798</v>
      </c>
      <c r="J175" s="28" t="s">
        <v>154</v>
      </c>
      <c r="K175" s="28" t="str">
        <f t="shared" si="3"/>
        <v>CarolinaAntioquia</v>
      </c>
      <c r="L175" s="28"/>
      <c r="M175" s="28"/>
      <c r="N175" s="28"/>
      <c r="O175" s="69"/>
      <c r="P175" s="28"/>
      <c r="Q175" s="28" t="s">
        <v>799</v>
      </c>
      <c r="R175" s="28">
        <v>6.9953611111111114</v>
      </c>
      <c r="S175" s="28">
        <v>-73.041638888888883</v>
      </c>
      <c r="T175" s="28" t="str">
        <f>_xlfn.CONCAT(COORDENADAS[[#This Row],[G]],"° ",COORDENADAS[[#This Row],[M]],"' ",FIXED(COORDENADAS[[#This Row],[S]],2),""" ",COORDENADAS[[#This Row],[Norte]])</f>
        <v>6° 59' 43,30" N</v>
      </c>
      <c r="U175" s="41">
        <v>6</v>
      </c>
      <c r="V175" s="41">
        <v>59</v>
      </c>
      <c r="W175" s="56">
        <v>43.300000000001091</v>
      </c>
      <c r="X175" s="23" t="s">
        <v>192</v>
      </c>
      <c r="Y175" s="28" t="str">
        <f>_xlfn.CONCAT(COORDENADAS[[#This Row],[GG]],"° ",COORDENADAS[[#This Row],[MM]],"' ",FIXED(COORDENADAS[[#This Row],[SS]],2),""" ",COORDENADAS[[#This Row],[Weter]])</f>
        <v>73° 2' 29,90" W</v>
      </c>
      <c r="Z175" s="28">
        <v>73</v>
      </c>
      <c r="AA175" s="28">
        <v>2</v>
      </c>
      <c r="AB175" s="28">
        <v>29.899999999979627</v>
      </c>
      <c r="AC175" s="23" t="s">
        <v>193</v>
      </c>
      <c r="AD175" s="23">
        <v>34.82</v>
      </c>
      <c r="AE175" s="23">
        <v>0</v>
      </c>
    </row>
    <row r="176" spans="1:31" x14ac:dyDescent="0.35">
      <c r="A176" s="29" t="s">
        <v>692</v>
      </c>
      <c r="B176" s="29" t="s">
        <v>800</v>
      </c>
      <c r="C176" s="21">
        <v>14</v>
      </c>
      <c r="D176" s="21">
        <v>1903</v>
      </c>
      <c r="E176" s="30">
        <v>43460</v>
      </c>
      <c r="F176" s="28" t="s">
        <v>577</v>
      </c>
      <c r="G176" s="28">
        <f>INDEX($C$2:$D$37,MATCH(RESOLUCIONES[[#This Row],[No. Canal]],$C$2:$C$37,0),2)</f>
        <v>473</v>
      </c>
      <c r="I176" s="28" t="s">
        <v>801</v>
      </c>
      <c r="J176" s="28" t="s">
        <v>260</v>
      </c>
      <c r="K176" s="28" t="str">
        <f t="shared" si="3"/>
        <v>CartagenaBolivar</v>
      </c>
      <c r="L176" s="28"/>
      <c r="M176" s="28"/>
      <c r="N176" s="28"/>
      <c r="O176" s="69"/>
      <c r="P176" s="28"/>
      <c r="Q176" s="28" t="s">
        <v>802</v>
      </c>
      <c r="R176" s="28">
        <v>1.933194444</v>
      </c>
      <c r="S176" s="28">
        <v>-76.000555555999995</v>
      </c>
      <c r="T176" s="28" t="str">
        <f>_xlfn.CONCAT(COORDENADAS[[#This Row],[G]],"° ",COORDENADAS[[#This Row],[M]],"' ",FIXED(COORDENADAS[[#This Row],[S]],2),""" ",COORDENADAS[[#This Row],[Norte]])</f>
        <v>1° 55' 59,50" N</v>
      </c>
      <c r="U176" s="41">
        <v>1</v>
      </c>
      <c r="V176" s="41">
        <v>55</v>
      </c>
      <c r="W176" s="56">
        <v>59.499998399999974</v>
      </c>
      <c r="X176" s="23" t="s">
        <v>192</v>
      </c>
      <c r="Y176" s="28" t="str">
        <f>_xlfn.CONCAT(COORDENADAS[[#This Row],[GG]],"° ",COORDENADAS[[#This Row],[MM]],"' ",FIXED(COORDENADAS[[#This Row],[SS]],2),""" ",COORDENADAS[[#This Row],[Weter]])</f>
        <v>76° 0' 2,00" W</v>
      </c>
      <c r="Z176" s="28">
        <v>76</v>
      </c>
      <c r="AA176" s="28">
        <v>0</v>
      </c>
      <c r="AB176" s="28">
        <v>2.0000015999812604</v>
      </c>
      <c r="AC176" s="23" t="s">
        <v>193</v>
      </c>
      <c r="AD176" s="23">
        <v>40.799999999999997</v>
      </c>
      <c r="AE176" s="23">
        <v>40.700000000000003</v>
      </c>
    </row>
    <row r="177" spans="1:31" x14ac:dyDescent="0.35">
      <c r="A177" s="29" t="s">
        <v>698</v>
      </c>
      <c r="B177" s="29" t="s">
        <v>803</v>
      </c>
      <c r="C177" s="21">
        <v>14</v>
      </c>
      <c r="D177" s="21">
        <v>2311</v>
      </c>
      <c r="E177" s="31">
        <v>41911</v>
      </c>
      <c r="F177" s="28" t="s">
        <v>611</v>
      </c>
      <c r="G177" s="28">
        <f>INDEX($C$2:$D$37,MATCH(RESOLUCIONES[[#This Row],[No. Canal]],$C$2:$C$37,0),2)</f>
        <v>473</v>
      </c>
      <c r="I177" s="28" t="s">
        <v>804</v>
      </c>
      <c r="J177" s="28" t="s">
        <v>294</v>
      </c>
      <c r="K177" s="28" t="str">
        <f t="shared" si="3"/>
        <v>Cartagena del ChairáCaqueta</v>
      </c>
      <c r="L177" s="28"/>
      <c r="M177" s="28"/>
      <c r="N177" s="28"/>
      <c r="O177" s="69"/>
      <c r="P177" s="28"/>
      <c r="Q177" s="28" t="s">
        <v>805</v>
      </c>
      <c r="R177" s="28">
        <v>3.1941166666666665</v>
      </c>
      <c r="S177" s="28">
        <v>-75.648369444444455</v>
      </c>
      <c r="T177" s="28" t="str">
        <f>_xlfn.CONCAT(COORDENADAS[[#This Row],[G]],"° ",COORDENADAS[[#This Row],[M]],"' ",FIXED(COORDENADAS[[#This Row],[S]],2),""" ",COORDENADAS[[#This Row],[Norte]])</f>
        <v>3° 11' 38,82" N</v>
      </c>
      <c r="U177" s="41">
        <v>3</v>
      </c>
      <c r="V177" s="41">
        <v>11</v>
      </c>
      <c r="W177" s="56">
        <v>38.819999999999425</v>
      </c>
      <c r="X177" s="23" t="s">
        <v>192</v>
      </c>
      <c r="Y177" s="28" t="str">
        <f>_xlfn.CONCAT(COORDENADAS[[#This Row],[GG]],"° ",COORDENADAS[[#This Row],[MM]],"' ",FIXED(COORDENADAS[[#This Row],[SS]],2),""" ",COORDENADAS[[#This Row],[Weter]])</f>
        <v>75° 38' 54,13" W</v>
      </c>
      <c r="Z177" s="28">
        <v>75</v>
      </c>
      <c r="AA177" s="28">
        <v>38</v>
      </c>
      <c r="AB177" s="28">
        <v>54.130000000038869</v>
      </c>
      <c r="AC177" s="23" t="s">
        <v>193</v>
      </c>
      <c r="AD177" s="23">
        <v>34.82</v>
      </c>
      <c r="AE177" s="23">
        <v>0</v>
      </c>
    </row>
    <row r="178" spans="1:31" x14ac:dyDescent="0.35">
      <c r="A178" s="29" t="s">
        <v>705</v>
      </c>
      <c r="B178" s="29" t="s">
        <v>806</v>
      </c>
      <c r="C178" s="21">
        <v>21</v>
      </c>
      <c r="D178" s="21">
        <v>1903</v>
      </c>
      <c r="E178" s="30">
        <v>43460</v>
      </c>
      <c r="F178" s="28" t="s">
        <v>577</v>
      </c>
      <c r="G178" s="28">
        <f>INDEX($C$2:$D$37,MATCH(RESOLUCIONES[[#This Row],[No. Canal]],$C$2:$C$37,0),2)</f>
        <v>515</v>
      </c>
      <c r="I178" s="28" t="s">
        <v>807</v>
      </c>
      <c r="J178" s="28" t="s">
        <v>381</v>
      </c>
      <c r="K178" s="28" t="str">
        <f t="shared" si="3"/>
        <v>CartagoValle del Cauca</v>
      </c>
      <c r="L178" s="28"/>
      <c r="M178" s="28"/>
      <c r="N178" s="28"/>
      <c r="O178" s="69"/>
      <c r="P178" s="28"/>
      <c r="Q178" s="28" t="s">
        <v>808</v>
      </c>
      <c r="R178" s="28">
        <v>4.4389722220000003</v>
      </c>
      <c r="S178" s="28">
        <v>-75.623527777999996</v>
      </c>
      <c r="T178" s="28" t="str">
        <f>_xlfn.CONCAT(COORDENADAS[[#This Row],[G]],"° ",COORDENADAS[[#This Row],[M]],"' ",FIXED(COORDENADAS[[#This Row],[S]],2),""" ",COORDENADAS[[#This Row],[Norte]])</f>
        <v>4° 26' 10,33" N</v>
      </c>
      <c r="U178" s="41">
        <v>4</v>
      </c>
      <c r="V178" s="41">
        <v>26</v>
      </c>
      <c r="W178" s="56">
        <v>10.333539599999231</v>
      </c>
      <c r="X178" s="23" t="s">
        <v>192</v>
      </c>
      <c r="Y178" s="28" t="str">
        <f>_xlfn.CONCAT(COORDENADAS[[#This Row],[GG]],"° ",COORDENADAS[[#This Row],[MM]],"' ",FIXED(COORDENADAS[[#This Row],[SS]],2),""" ",COORDENADAS[[#This Row],[Weter]])</f>
        <v>75° 37' 12,54" W</v>
      </c>
      <c r="Z178" s="28">
        <v>75</v>
      </c>
      <c r="AA178" s="28">
        <v>37</v>
      </c>
      <c r="AB178" s="28">
        <v>12.536234400003998</v>
      </c>
      <c r="AC178" s="23" t="s">
        <v>193</v>
      </c>
      <c r="AD178" s="23">
        <v>42.6</v>
      </c>
      <c r="AE178" s="23">
        <v>43.1</v>
      </c>
    </row>
    <row r="179" spans="1:31" x14ac:dyDescent="0.35">
      <c r="A179" s="29" t="s">
        <v>711</v>
      </c>
      <c r="B179" s="29" t="s">
        <v>809</v>
      </c>
      <c r="C179" s="21">
        <v>21</v>
      </c>
      <c r="D179" s="21">
        <v>2311</v>
      </c>
      <c r="E179" s="31">
        <v>41911</v>
      </c>
      <c r="F179" s="28" t="s">
        <v>611</v>
      </c>
      <c r="G179" s="28">
        <f>INDEX($C$2:$D$37,MATCH(RESOLUCIONES[[#This Row],[No. Canal]],$C$2:$C$37,0),2)</f>
        <v>515</v>
      </c>
      <c r="I179" s="28" t="s">
        <v>810</v>
      </c>
      <c r="J179" s="28" t="s">
        <v>424</v>
      </c>
      <c r="K179" s="28" t="str">
        <f t="shared" si="3"/>
        <v>CaruruVaupes</v>
      </c>
      <c r="L179" s="28"/>
      <c r="M179" s="28"/>
      <c r="N179" s="28"/>
      <c r="O179" s="69"/>
      <c r="P179" s="28"/>
      <c r="Q179" s="28" t="s">
        <v>811</v>
      </c>
      <c r="R179" s="28">
        <v>13.379722222222222</v>
      </c>
      <c r="S179" s="28">
        <v>-81.368791666666667</v>
      </c>
      <c r="T179" s="28" t="str">
        <f>_xlfn.CONCAT(COORDENADAS[[#This Row],[G]],"° ",COORDENADAS[[#This Row],[M]],"' ",FIXED(COORDENADAS[[#This Row],[S]],2),""" ",COORDENADAS[[#This Row],[Norte]])</f>
        <v>13° 22' 47,00" N</v>
      </c>
      <c r="U179" s="41">
        <v>13</v>
      </c>
      <c r="V179" s="41">
        <v>22</v>
      </c>
      <c r="W179" s="56">
        <v>46.999999999999552</v>
      </c>
      <c r="X179" s="23" t="s">
        <v>192</v>
      </c>
      <c r="Y179" s="28" t="str">
        <f>_xlfn.CONCAT(COORDENADAS[[#This Row],[GG]],"° ",COORDENADAS[[#This Row],[MM]],"' ",FIXED(COORDENADAS[[#This Row],[SS]],2),""" ",COORDENADAS[[#This Row],[Weter]])</f>
        <v>81° 22' 7,65" W</v>
      </c>
      <c r="Z179" s="28">
        <v>81</v>
      </c>
      <c r="AA179" s="28">
        <v>22</v>
      </c>
      <c r="AB179" s="28">
        <v>7.6499999999999568</v>
      </c>
      <c r="AC179" s="23" t="s">
        <v>193</v>
      </c>
      <c r="AD179" s="23">
        <v>36.049999999999997</v>
      </c>
      <c r="AE179" s="23">
        <v>0</v>
      </c>
    </row>
    <row r="180" spans="1:31" x14ac:dyDescent="0.35">
      <c r="A180" s="29" t="s">
        <v>719</v>
      </c>
      <c r="B180" s="29" t="s">
        <v>812</v>
      </c>
      <c r="C180" s="21">
        <v>14</v>
      </c>
      <c r="D180" s="21">
        <v>1903</v>
      </c>
      <c r="E180" s="30">
        <v>43460</v>
      </c>
      <c r="F180" s="28" t="s">
        <v>577</v>
      </c>
      <c r="G180" s="28">
        <f>INDEX($C$2:$D$37,MATCH(RESOLUCIONES[[#This Row],[No. Canal]],$C$2:$C$37,0),2)</f>
        <v>473</v>
      </c>
      <c r="I180" s="28" t="s">
        <v>813</v>
      </c>
      <c r="J180" s="28" t="s">
        <v>409</v>
      </c>
      <c r="K180" s="28" t="str">
        <f t="shared" si="3"/>
        <v>CasabiancaTolima</v>
      </c>
      <c r="L180" s="28"/>
      <c r="M180" s="28"/>
      <c r="N180" s="28"/>
      <c r="O180" s="69"/>
      <c r="P180" s="28"/>
      <c r="Q180" s="28" t="s">
        <v>814</v>
      </c>
      <c r="R180" s="28">
        <v>8.237277777777777</v>
      </c>
      <c r="S180" s="28">
        <v>-73.391538888888888</v>
      </c>
      <c r="T180" s="28" t="str">
        <f>_xlfn.CONCAT(COORDENADAS[[#This Row],[G]],"° ",COORDENADAS[[#This Row],[M]],"' ",FIXED(COORDENADAS[[#This Row],[S]],2),""" ",COORDENADAS[[#This Row],[Norte]])</f>
        <v>8° 14' 14,20" N</v>
      </c>
      <c r="U180" s="41">
        <v>8</v>
      </c>
      <c r="V180" s="41">
        <v>14</v>
      </c>
      <c r="W180" s="56">
        <v>14.199999999997303</v>
      </c>
      <c r="X180" s="23" t="s">
        <v>192</v>
      </c>
      <c r="Y180" s="28" t="str">
        <f>_xlfn.CONCAT(COORDENADAS[[#This Row],[GG]],"° ",COORDENADAS[[#This Row],[MM]],"' ",FIXED(COORDENADAS[[#This Row],[SS]],2),""" ",COORDENADAS[[#This Row],[Weter]])</f>
        <v>73° 23' 29,54" W</v>
      </c>
      <c r="Z180" s="28">
        <v>73</v>
      </c>
      <c r="AA180" s="28">
        <v>23</v>
      </c>
      <c r="AB180" s="28">
        <v>29.53999999999828</v>
      </c>
      <c r="AC180" s="23" t="s">
        <v>193</v>
      </c>
      <c r="AD180" s="23">
        <v>43.3</v>
      </c>
      <c r="AE180" s="23">
        <v>43.3</v>
      </c>
    </row>
    <row r="181" spans="1:31" x14ac:dyDescent="0.35">
      <c r="A181" s="29" t="s">
        <v>723</v>
      </c>
      <c r="B181" s="29" t="s">
        <v>815</v>
      </c>
      <c r="C181" s="21">
        <v>14</v>
      </c>
      <c r="D181" s="21">
        <v>2076</v>
      </c>
      <c r="E181" s="31">
        <v>43082</v>
      </c>
      <c r="F181" s="28" t="s">
        <v>646</v>
      </c>
      <c r="G181" s="28">
        <f>INDEX($C$2:$D$37,MATCH(RESOLUCIONES[[#This Row],[No. Canal]],$C$2:$C$37,0),2)</f>
        <v>473</v>
      </c>
      <c r="I181" s="28" t="s">
        <v>816</v>
      </c>
      <c r="J181" s="28" t="s">
        <v>210</v>
      </c>
      <c r="K181" s="28" t="str">
        <f t="shared" si="3"/>
        <v>Castilla la NuevaMeta</v>
      </c>
      <c r="L181" s="28"/>
      <c r="M181" s="28"/>
      <c r="N181" s="28"/>
      <c r="O181" s="69"/>
      <c r="P181" s="28"/>
      <c r="Q181" s="28" t="s">
        <v>817</v>
      </c>
      <c r="R181" s="28">
        <v>6.4858333333333338</v>
      </c>
      <c r="S181" s="28">
        <v>-74.403055555555568</v>
      </c>
      <c r="T181" s="28" t="str">
        <f>_xlfn.CONCAT(COORDENADAS[[#This Row],[G]],"° ",COORDENADAS[[#This Row],[M]],"' ",FIXED(COORDENADAS[[#This Row],[S]],2),""" ",COORDENADAS[[#This Row],[Norte]])</f>
        <v>6° 29' 6,95" N</v>
      </c>
      <c r="U181" s="41">
        <v>6</v>
      </c>
      <c r="V181" s="41">
        <v>29</v>
      </c>
      <c r="W181" s="56">
        <v>6.9462852000013564</v>
      </c>
      <c r="X181" s="23" t="s">
        <v>192</v>
      </c>
      <c r="Y181" s="28" t="str">
        <f>_xlfn.CONCAT(COORDENADAS[[#This Row],[GG]],"° ",COORDENADAS[[#This Row],[MM]],"' ",FIXED(COORDENADAS[[#This Row],[SS]],2),""" ",COORDENADAS[[#This Row],[Weter]])</f>
        <v>74° 24' 10,85" W</v>
      </c>
      <c r="Z181" s="28">
        <v>74</v>
      </c>
      <c r="AA181" s="28">
        <v>24</v>
      </c>
      <c r="AB181" s="28">
        <v>10.846385999983488</v>
      </c>
      <c r="AC181" s="23" t="s">
        <v>193</v>
      </c>
      <c r="AD181" s="23">
        <v>40.6</v>
      </c>
      <c r="AE181" s="23">
        <v>40.799999999999997</v>
      </c>
    </row>
    <row r="182" spans="1:31" x14ac:dyDescent="0.35">
      <c r="A182" s="29" t="s">
        <v>726</v>
      </c>
      <c r="B182" s="29" t="s">
        <v>818</v>
      </c>
      <c r="C182" s="21">
        <v>43</v>
      </c>
      <c r="D182" s="21">
        <v>2171</v>
      </c>
      <c r="E182" s="31">
        <v>43091</v>
      </c>
      <c r="F182" s="28" t="s">
        <v>590</v>
      </c>
      <c r="G182" s="28">
        <f>INDEX($C$2:$D$37,MATCH(RESOLUCIONES[[#This Row],[No. Canal]],$C$2:$C$37,0),2)</f>
        <v>647</v>
      </c>
      <c r="I182" s="28" t="s">
        <v>819</v>
      </c>
      <c r="J182" s="28" t="s">
        <v>154</v>
      </c>
      <c r="K182" s="28" t="str">
        <f t="shared" si="3"/>
        <v>CaucasiaAntioquia</v>
      </c>
      <c r="L182" s="28"/>
      <c r="M182" s="28"/>
      <c r="N182" s="28"/>
      <c r="O182" s="69"/>
      <c r="P182" s="28"/>
      <c r="Q182" s="28" t="s">
        <v>820</v>
      </c>
      <c r="R182" s="28">
        <v>6.1884861111111116</v>
      </c>
      <c r="S182" s="28">
        <v>-67.480166666666662</v>
      </c>
      <c r="T182" s="28" t="str">
        <f>_xlfn.CONCAT(COORDENADAS[[#This Row],[G]],"° ",COORDENADAS[[#This Row],[M]],"' ",FIXED(COORDENADAS[[#This Row],[S]],2),""" ",COORDENADAS[[#This Row],[Norte]])</f>
        <v>6° 11' 18,55" N</v>
      </c>
      <c r="U182" s="41">
        <v>6</v>
      </c>
      <c r="V182" s="41">
        <v>11</v>
      </c>
      <c r="W182" s="56">
        <v>18.55000000000172</v>
      </c>
      <c r="X182" s="23" t="s">
        <v>192</v>
      </c>
      <c r="Y182" s="28" t="str">
        <f>_xlfn.CONCAT(COORDENADAS[[#This Row],[GG]],"° ",COORDENADAS[[#This Row],[MM]],"' ",FIXED(COORDENADAS[[#This Row],[SS]],2),""" ",COORDENADAS[[#This Row],[Weter]])</f>
        <v>67° 28' 48,60" W</v>
      </c>
      <c r="Z182" s="28">
        <v>67</v>
      </c>
      <c r="AA182" s="28">
        <v>28</v>
      </c>
      <c r="AB182" s="28">
        <v>48.599999999983055</v>
      </c>
      <c r="AC182" s="23" t="s">
        <v>193</v>
      </c>
      <c r="AD182" s="23">
        <v>35.659999999999997</v>
      </c>
      <c r="AE182" s="23">
        <v>0</v>
      </c>
    </row>
    <row r="183" spans="1:31" x14ac:dyDescent="0.35">
      <c r="A183" s="29" t="s">
        <v>740</v>
      </c>
      <c r="B183" s="29" t="s">
        <v>821</v>
      </c>
      <c r="C183" s="21">
        <v>14</v>
      </c>
      <c r="D183" s="21">
        <v>1903</v>
      </c>
      <c r="E183" s="30">
        <v>43460</v>
      </c>
      <c r="F183" s="28" t="s">
        <v>577</v>
      </c>
      <c r="G183" s="28">
        <f>INDEX($C$2:$D$37,MATCH(RESOLUCIONES[[#This Row],[No. Canal]],$C$2:$C$37,0),2)</f>
        <v>473</v>
      </c>
      <c r="I183" s="28" t="s">
        <v>822</v>
      </c>
      <c r="J183" s="28" t="s">
        <v>304</v>
      </c>
      <c r="K183" s="28" t="str">
        <f t="shared" si="3"/>
        <v>CepitáSantander</v>
      </c>
      <c r="L183" s="28"/>
      <c r="M183" s="28"/>
      <c r="N183" s="28"/>
      <c r="O183" s="69"/>
      <c r="P183" s="28"/>
      <c r="Q183" s="28" t="s">
        <v>823</v>
      </c>
      <c r="R183" s="28">
        <v>6.1843611110000003</v>
      </c>
      <c r="S183" s="28">
        <v>-67.483083332999996</v>
      </c>
      <c r="T183" s="28" t="str">
        <f>_xlfn.CONCAT(COORDENADAS[[#This Row],[G]],"° ",COORDENADAS[[#This Row],[M]],"' ",FIXED(COORDENADAS[[#This Row],[S]],2),""" ",COORDENADAS[[#This Row],[Norte]])</f>
        <v>6° 11' 3,70" N</v>
      </c>
      <c r="U183" s="41">
        <v>6</v>
      </c>
      <c r="V183" s="41">
        <v>11</v>
      </c>
      <c r="W183" s="56">
        <v>3.6999996000011248</v>
      </c>
      <c r="X183" s="23" t="s">
        <v>192</v>
      </c>
      <c r="Y183" s="28" t="str">
        <f>_xlfn.CONCAT(COORDENADAS[[#This Row],[GG]],"° ",COORDENADAS[[#This Row],[MM]],"' ",FIXED(COORDENADAS[[#This Row],[SS]],2),""" ",COORDENADAS[[#This Row],[Weter]])</f>
        <v>67° 28' 59,10" W</v>
      </c>
      <c r="Z183" s="28">
        <v>67</v>
      </c>
      <c r="AA183" s="28">
        <v>28</v>
      </c>
      <c r="AB183" s="28">
        <v>59.099998799986196</v>
      </c>
      <c r="AC183" s="23" t="s">
        <v>193</v>
      </c>
      <c r="AD183" s="23">
        <v>42.3</v>
      </c>
      <c r="AE183" s="23">
        <v>42.1</v>
      </c>
    </row>
    <row r="184" spans="1:31" x14ac:dyDescent="0.35">
      <c r="A184" s="29" t="s">
        <v>743</v>
      </c>
      <c r="B184" s="29" t="s">
        <v>824</v>
      </c>
      <c r="C184" s="21">
        <v>21</v>
      </c>
      <c r="D184" s="21">
        <v>861</v>
      </c>
      <c r="E184" s="31">
        <v>42286</v>
      </c>
      <c r="F184" s="28" t="s">
        <v>639</v>
      </c>
      <c r="G184" s="28">
        <f>INDEX($C$2:$D$37,MATCH(RESOLUCIONES[[#This Row],[No. Canal]],$C$2:$C$37,0),2)</f>
        <v>515</v>
      </c>
      <c r="I184" s="28" t="s">
        <v>825</v>
      </c>
      <c r="J184" s="28" t="s">
        <v>337</v>
      </c>
      <c r="K184" s="28" t="str">
        <f t="shared" si="3"/>
        <v>CeretéCordoba</v>
      </c>
      <c r="L184" s="28"/>
      <c r="M184" s="28"/>
      <c r="N184" s="28"/>
      <c r="O184" s="69"/>
      <c r="P184" s="28"/>
      <c r="Q184" s="28" t="s">
        <v>826</v>
      </c>
      <c r="R184" s="28">
        <v>9.0327777779999998</v>
      </c>
      <c r="S184" s="28">
        <v>-76.253611110999998</v>
      </c>
      <c r="T184" s="28" t="str">
        <f>_xlfn.CONCAT(COORDENADAS[[#This Row],[G]],"° ",COORDENADAS[[#This Row],[M]],"' ",FIXED(COORDENADAS[[#This Row],[S]],2),""" ",COORDENADAS[[#This Row],[Norte]])</f>
        <v>9° 1' 58,07" N</v>
      </c>
      <c r="U184" s="41">
        <v>9</v>
      </c>
      <c r="V184" s="41">
        <v>1</v>
      </c>
      <c r="W184" s="56">
        <v>58.068465599998262</v>
      </c>
      <c r="X184" s="23" t="s">
        <v>192</v>
      </c>
      <c r="Y184" s="28" t="str">
        <f>_xlfn.CONCAT(COORDENADAS[[#This Row],[GG]],"° ",COORDENADAS[[#This Row],[MM]],"' ",FIXED(COORDENADAS[[#This Row],[SS]],2),""" ",COORDENADAS[[#This Row],[Weter]])</f>
        <v>76° 15' 12,60" W</v>
      </c>
      <c r="Z184" s="28">
        <v>76</v>
      </c>
      <c r="AA184" s="28">
        <v>15</v>
      </c>
      <c r="AB184" s="28">
        <v>12.602746800018849</v>
      </c>
      <c r="AC184" s="23" t="s">
        <v>193</v>
      </c>
      <c r="AD184" s="23">
        <v>40.6</v>
      </c>
      <c r="AE184" s="23">
        <v>40.700000000000003</v>
      </c>
    </row>
    <row r="185" spans="1:31" x14ac:dyDescent="0.35">
      <c r="A185" s="29" t="s">
        <v>749</v>
      </c>
      <c r="B185" s="29" t="s">
        <v>827</v>
      </c>
      <c r="C185" s="21">
        <v>21</v>
      </c>
      <c r="D185" s="21">
        <v>1903</v>
      </c>
      <c r="E185" s="30">
        <v>43460</v>
      </c>
      <c r="F185" s="28" t="s">
        <v>577</v>
      </c>
      <c r="G185" s="28">
        <f>INDEX($C$2:$D$37,MATCH(RESOLUCIONES[[#This Row],[No. Canal]],$C$2:$C$37,0),2)</f>
        <v>515</v>
      </c>
      <c r="I185" s="28" t="s">
        <v>828</v>
      </c>
      <c r="J185" s="28" t="s">
        <v>274</v>
      </c>
      <c r="K185" s="28" t="str">
        <f t="shared" si="3"/>
        <v>CerinzaBoyaca</v>
      </c>
      <c r="L185" s="28"/>
      <c r="M185" s="28"/>
      <c r="N185" s="28"/>
      <c r="O185" s="69"/>
      <c r="P185" s="28"/>
      <c r="Q185" s="28" t="s">
        <v>829</v>
      </c>
      <c r="R185" s="28">
        <v>3.8690972222222224</v>
      </c>
      <c r="S185" s="28">
        <v>-67.921416666666673</v>
      </c>
      <c r="T185" s="28" t="str">
        <f>_xlfn.CONCAT(COORDENADAS[[#This Row],[G]],"° ",COORDENADAS[[#This Row],[M]],"' ",FIXED(COORDENADAS[[#This Row],[S]],2),""" ",COORDENADAS[[#This Row],[Norte]])</f>
        <v>3° 52' 8,75" N</v>
      </c>
      <c r="U185" s="41">
        <v>3</v>
      </c>
      <c r="V185" s="41">
        <v>52</v>
      </c>
      <c r="W185" s="56">
        <v>8.7500000000005684</v>
      </c>
      <c r="X185" s="23" t="s">
        <v>192</v>
      </c>
      <c r="Y185" s="28" t="str">
        <f>_xlfn.CONCAT(COORDENADAS[[#This Row],[GG]],"° ",COORDENADAS[[#This Row],[MM]],"' ",FIXED(COORDENADAS[[#This Row],[SS]],2),""" ",COORDENADAS[[#This Row],[Weter]])</f>
        <v>67° 55' 17,10" W</v>
      </c>
      <c r="Z185" s="28">
        <v>67</v>
      </c>
      <c r="AA185" s="28">
        <v>55</v>
      </c>
      <c r="AB185" s="28">
        <v>17.100000000022099</v>
      </c>
      <c r="AC185" s="23" t="s">
        <v>193</v>
      </c>
      <c r="AD185" s="23">
        <v>35.659999999999997</v>
      </c>
      <c r="AE185" s="23">
        <v>0</v>
      </c>
    </row>
    <row r="186" spans="1:31" x14ac:dyDescent="0.35">
      <c r="A186" s="29" t="s">
        <v>763</v>
      </c>
      <c r="B186" s="29" t="s">
        <v>830</v>
      </c>
      <c r="C186" s="21">
        <v>14</v>
      </c>
      <c r="D186" s="21">
        <v>1903</v>
      </c>
      <c r="E186" s="30">
        <v>43460</v>
      </c>
      <c r="F186" s="28" t="s">
        <v>577</v>
      </c>
      <c r="G186" s="28">
        <f>INDEX($C$2:$D$37,MATCH(RESOLUCIONES[[#This Row],[No. Canal]],$C$2:$C$37,0),2)</f>
        <v>473</v>
      </c>
      <c r="I186" s="28" t="s">
        <v>831</v>
      </c>
      <c r="J186" s="28" t="s">
        <v>304</v>
      </c>
      <c r="K186" s="28" t="str">
        <f t="shared" si="3"/>
        <v>CerritoSantander</v>
      </c>
      <c r="L186" s="28"/>
      <c r="M186" s="28"/>
      <c r="N186" s="28"/>
      <c r="O186" s="69"/>
      <c r="P186" s="28"/>
      <c r="Q186" s="28" t="s">
        <v>832</v>
      </c>
      <c r="R186" s="28">
        <v>3.865444444</v>
      </c>
      <c r="S186" s="28">
        <v>-67.926500000000004</v>
      </c>
      <c r="T186" s="28" t="str">
        <f>_xlfn.CONCAT(COORDENADAS[[#This Row],[G]],"° ",COORDENADAS[[#This Row],[M]],"' ",FIXED(COORDENADAS[[#This Row],[S]],2),""" ",COORDENADAS[[#This Row],[Norte]])</f>
        <v>3° 51' 55,60" N</v>
      </c>
      <c r="U186" s="41">
        <v>3</v>
      </c>
      <c r="V186" s="41">
        <v>51</v>
      </c>
      <c r="W186" s="56">
        <v>55.599998400000004</v>
      </c>
      <c r="X186" s="23" t="s">
        <v>192</v>
      </c>
      <c r="Y186" s="28" t="str">
        <f>_xlfn.CONCAT(COORDENADAS[[#This Row],[GG]],"° ",COORDENADAS[[#This Row],[MM]],"' ",FIXED(COORDENADAS[[#This Row],[SS]],2),""" ",COORDENADAS[[#This Row],[Weter]])</f>
        <v>67° 55' 35,40" W</v>
      </c>
      <c r="Z186" s="28">
        <v>67</v>
      </c>
      <c r="AA186" s="28">
        <v>55</v>
      </c>
      <c r="AB186" s="28">
        <v>35.400000000015687</v>
      </c>
      <c r="AC186" s="23" t="s">
        <v>193</v>
      </c>
      <c r="AD186" s="23">
        <v>42.3</v>
      </c>
      <c r="AE186" s="23">
        <v>42.1</v>
      </c>
    </row>
    <row r="187" spans="1:31" x14ac:dyDescent="0.35">
      <c r="A187" s="29" t="s">
        <v>767</v>
      </c>
      <c r="B187" s="29" t="s">
        <v>833</v>
      </c>
      <c r="C187" s="21">
        <v>14</v>
      </c>
      <c r="D187" s="21">
        <v>1903</v>
      </c>
      <c r="E187" s="30">
        <v>43460</v>
      </c>
      <c r="F187" s="28" t="s">
        <v>577</v>
      </c>
      <c r="G187" s="28">
        <f>INDEX($C$2:$D$37,MATCH(RESOLUCIONES[[#This Row],[No. Canal]],$C$2:$C$37,0),2)</f>
        <v>473</v>
      </c>
      <c r="I187" s="28" t="s">
        <v>834</v>
      </c>
      <c r="J187" s="28" t="s">
        <v>382</v>
      </c>
      <c r="K187" s="28" t="str">
        <f t="shared" si="3"/>
        <v>Cerro San AntonioMagdalena</v>
      </c>
      <c r="L187" s="28"/>
      <c r="M187" s="28"/>
      <c r="N187" s="28"/>
      <c r="O187" s="69"/>
      <c r="P187" s="28"/>
      <c r="Q187" s="28" t="s">
        <v>835</v>
      </c>
      <c r="R187" s="28">
        <v>-0.20019444444444401</v>
      </c>
      <c r="S187" s="28">
        <v>-74.779361111111115</v>
      </c>
      <c r="T187" s="28" t="str">
        <f>_xlfn.CONCAT(COORDENADAS[[#This Row],[G]],"° ",COORDENADAS[[#This Row],[M]],"' ",FIXED(COORDENADAS[[#This Row],[S]],2),""" ",COORDENADAS[[#This Row],[Norte]])</f>
        <v>0° 12' 0,70" S</v>
      </c>
      <c r="U187" s="41">
        <v>0</v>
      </c>
      <c r="V187" s="41">
        <v>12</v>
      </c>
      <c r="W187" s="56">
        <v>0.69999999999998952</v>
      </c>
      <c r="X187" s="23" t="s">
        <v>162</v>
      </c>
      <c r="Y187" s="28" t="str">
        <f>_xlfn.CONCAT(COORDENADAS[[#This Row],[GG]],"° ",COORDENADAS[[#This Row],[MM]],"' ",FIXED(COORDENADAS[[#This Row],[SS]],2),""" ",COORDENADAS[[#This Row],[Weter]])</f>
        <v>74° 46' 45,70" W</v>
      </c>
      <c r="Z187" s="28">
        <v>74</v>
      </c>
      <c r="AA187" s="28">
        <v>46</v>
      </c>
      <c r="AB187" s="28">
        <v>45.700000000012821</v>
      </c>
      <c r="AC187" s="23" t="s">
        <v>193</v>
      </c>
      <c r="AD187" s="23">
        <v>34.82</v>
      </c>
      <c r="AE187" s="23">
        <v>0</v>
      </c>
    </row>
    <row r="188" spans="1:31" x14ac:dyDescent="0.35">
      <c r="A188" s="29" t="s">
        <v>776</v>
      </c>
      <c r="B188" s="29" t="s">
        <v>836</v>
      </c>
      <c r="C188" s="21">
        <v>14</v>
      </c>
      <c r="D188" s="21">
        <v>1903</v>
      </c>
      <c r="E188" s="30">
        <v>43460</v>
      </c>
      <c r="F188" s="28" t="s">
        <v>577</v>
      </c>
      <c r="G188" s="28">
        <f>INDEX($C$2:$D$37,MATCH(RESOLUCIONES[[#This Row],[No. Canal]],$C$2:$C$37,0),2)</f>
        <v>473</v>
      </c>
      <c r="I188" s="28" t="s">
        <v>837</v>
      </c>
      <c r="J188" s="28" t="s">
        <v>230</v>
      </c>
      <c r="K188" s="28" t="str">
        <f t="shared" si="3"/>
        <v>CérteguiChoco</v>
      </c>
      <c r="L188" s="28"/>
      <c r="M188" s="28"/>
      <c r="N188" s="28"/>
      <c r="O188" s="69"/>
      <c r="P188" s="28"/>
      <c r="Q188" s="28" t="s">
        <v>838</v>
      </c>
      <c r="R188" s="28">
        <v>-0.19016666666666701</v>
      </c>
      <c r="S188" s="28">
        <v>-74.78202777777777</v>
      </c>
      <c r="T188" s="28" t="str">
        <f>_xlfn.CONCAT(COORDENADAS[[#This Row],[G]],"° ",COORDENADAS[[#This Row],[M]],"' ",FIXED(COORDENADAS[[#This Row],[S]],2),""" ",COORDENADAS[[#This Row],[Norte]])</f>
        <v>0° 11' 24,53" S</v>
      </c>
      <c r="U188" s="41">
        <v>0</v>
      </c>
      <c r="V188" s="41">
        <v>11</v>
      </c>
      <c r="W188" s="56">
        <v>24.532249200000077</v>
      </c>
      <c r="X188" s="23" t="s">
        <v>162</v>
      </c>
      <c r="Y188" s="28" t="str">
        <f>_xlfn.CONCAT(COORDENADAS[[#This Row],[GG]],"° ",COORDENADAS[[#This Row],[MM]],"' ",FIXED(COORDENADAS[[#This Row],[SS]],2),""" ",COORDENADAS[[#This Row],[Weter]])</f>
        <v>74° 46' 55,26" W</v>
      </c>
      <c r="Z188" s="28">
        <v>74</v>
      </c>
      <c r="AA188" s="28">
        <v>46</v>
      </c>
      <c r="AB188" s="28">
        <v>55.262211599980262</v>
      </c>
      <c r="AC188" s="23" t="s">
        <v>193</v>
      </c>
      <c r="AD188" s="23">
        <v>42.5</v>
      </c>
      <c r="AE188" s="23">
        <v>42.5</v>
      </c>
    </row>
    <row r="189" spans="1:31" x14ac:dyDescent="0.35">
      <c r="A189" s="29" t="s">
        <v>779</v>
      </c>
      <c r="B189" s="29" t="s">
        <v>839</v>
      </c>
      <c r="C189" s="21">
        <v>14</v>
      </c>
      <c r="D189" s="21">
        <v>861</v>
      </c>
      <c r="E189" s="31">
        <v>42286</v>
      </c>
      <c r="F189" s="28" t="s">
        <v>639</v>
      </c>
      <c r="G189" s="28">
        <f>INDEX($C$2:$D$37,MATCH(RESOLUCIONES[[#This Row],[No. Canal]],$C$2:$C$37,0),2)</f>
        <v>473</v>
      </c>
      <c r="I189" s="28" t="s">
        <v>840</v>
      </c>
      <c r="J189" s="28" t="s">
        <v>352</v>
      </c>
      <c r="K189" s="28" t="str">
        <f t="shared" si="3"/>
        <v>ChachagüíNariño</v>
      </c>
      <c r="L189" s="28"/>
      <c r="M189" s="28"/>
      <c r="N189" s="28"/>
      <c r="O189" s="69"/>
      <c r="P189" s="28"/>
      <c r="Q189" s="28" t="s">
        <v>841</v>
      </c>
      <c r="R189" s="28">
        <v>7.8878611111111105</v>
      </c>
      <c r="S189" s="28">
        <v>-75.672583333333336</v>
      </c>
      <c r="T189" s="28" t="str">
        <f>_xlfn.CONCAT(COORDENADAS[[#This Row],[G]],"° ",COORDENADAS[[#This Row],[M]],"' ",FIXED(COORDENADAS[[#This Row],[S]],2),""" ",COORDENADAS[[#This Row],[Norte]])</f>
        <v>7° 53' 16,30" N</v>
      </c>
      <c r="U189" s="41">
        <v>7</v>
      </c>
      <c r="V189" s="41">
        <v>53</v>
      </c>
      <c r="W189" s="56">
        <v>16.299999999998072</v>
      </c>
      <c r="X189" s="23" t="s">
        <v>192</v>
      </c>
      <c r="Y189" s="28" t="str">
        <f>_xlfn.CONCAT(COORDENADAS[[#This Row],[GG]],"° ",COORDENADAS[[#This Row],[MM]],"' ",FIXED(COORDENADAS[[#This Row],[SS]],2),""" ",COORDENADAS[[#This Row],[Weter]])</f>
        <v>75° 40' 21,30" W</v>
      </c>
      <c r="Z189" s="28">
        <v>75</v>
      </c>
      <c r="AA189" s="28">
        <v>40</v>
      </c>
      <c r="AB189" s="28">
        <v>21.300000000008048</v>
      </c>
      <c r="AC189" s="23" t="s">
        <v>193</v>
      </c>
      <c r="AD189" s="23">
        <v>35.56</v>
      </c>
      <c r="AE189" s="23">
        <v>0</v>
      </c>
    </row>
    <row r="190" spans="1:31" x14ac:dyDescent="0.35">
      <c r="A190" s="29" t="s">
        <v>790</v>
      </c>
      <c r="B190" s="29" t="s">
        <v>842</v>
      </c>
      <c r="C190" s="21">
        <v>14</v>
      </c>
      <c r="D190" s="21">
        <v>2171</v>
      </c>
      <c r="E190" s="31">
        <v>43091</v>
      </c>
      <c r="F190" s="28" t="s">
        <v>590</v>
      </c>
      <c r="G190" s="28">
        <f>INDEX($C$2:$D$37,MATCH(RESOLUCIONES[[#This Row],[No. Canal]],$C$2:$C$37,0),2)</f>
        <v>473</v>
      </c>
      <c r="I190" s="28" t="s">
        <v>843</v>
      </c>
      <c r="J190" s="28" t="s">
        <v>283</v>
      </c>
      <c r="K190" s="28" t="str">
        <f t="shared" si="3"/>
        <v>ChaguaníCundinamarca</v>
      </c>
      <c r="L190" s="28"/>
      <c r="M190" s="28"/>
      <c r="N190" s="28"/>
      <c r="O190" s="69"/>
      <c r="P190" s="28"/>
      <c r="Q190" s="28" t="s">
        <v>844</v>
      </c>
      <c r="R190" s="28">
        <v>7.8878611110000003</v>
      </c>
      <c r="S190" s="28">
        <v>-75.672583333000006</v>
      </c>
      <c r="T190" s="28" t="str">
        <f>_xlfn.CONCAT(COORDENADAS[[#This Row],[G]],"° ",COORDENADAS[[#This Row],[M]],"' ",FIXED(COORDENADAS[[#This Row],[S]],2),""" ",COORDENADAS[[#This Row],[Norte]])</f>
        <v>7° 53' 16,60" N</v>
      </c>
      <c r="U190" s="41">
        <v>7</v>
      </c>
      <c r="V190" s="41">
        <v>53</v>
      </c>
      <c r="W190" s="56">
        <v>16.600891199998635</v>
      </c>
      <c r="X190" s="23" t="s">
        <v>192</v>
      </c>
      <c r="Y190" s="28" t="str">
        <f>_xlfn.CONCAT(COORDENADAS[[#This Row],[GG]],"° ",COORDENADAS[[#This Row],[MM]],"' ",FIXED(COORDENADAS[[#This Row],[SS]],2),""" ",COORDENADAS[[#This Row],[Weter]])</f>
        <v>75° 40' 21,39" W</v>
      </c>
      <c r="Z190" s="28">
        <v>75</v>
      </c>
      <c r="AA190" s="28">
        <v>40</v>
      </c>
      <c r="AB190" s="28">
        <v>21.387482400007364</v>
      </c>
      <c r="AC190" s="23" t="s">
        <v>193</v>
      </c>
      <c r="AD190" s="23">
        <v>42.3</v>
      </c>
      <c r="AE190" s="23">
        <v>41.8</v>
      </c>
    </row>
    <row r="191" spans="1:31" x14ac:dyDescent="0.35">
      <c r="A191" s="29" t="s">
        <v>793</v>
      </c>
      <c r="B191" s="29" t="s">
        <v>845</v>
      </c>
      <c r="C191" s="21">
        <v>14</v>
      </c>
      <c r="D191" s="21">
        <v>1903</v>
      </c>
      <c r="E191" s="30">
        <v>43460</v>
      </c>
      <c r="F191" s="28" t="s">
        <v>577</v>
      </c>
      <c r="G191" s="28">
        <f>INDEX($C$2:$D$37,MATCH(RESOLUCIONES[[#This Row],[No. Canal]],$C$2:$C$37,0),2)</f>
        <v>473</v>
      </c>
      <c r="I191" s="28" t="s">
        <v>846</v>
      </c>
      <c r="J191" s="28" t="s">
        <v>413</v>
      </c>
      <c r="K191" s="28" t="str">
        <f t="shared" si="3"/>
        <v>ChalánSucre</v>
      </c>
      <c r="L191" s="28"/>
      <c r="M191" s="28"/>
      <c r="N191" s="28"/>
      <c r="O191" s="69"/>
      <c r="P191" s="28"/>
      <c r="Q191" s="28" t="s">
        <v>847</v>
      </c>
      <c r="R191" s="28">
        <v>5.6832111000000003</v>
      </c>
      <c r="S191" s="28">
        <v>-76.647850000000005</v>
      </c>
      <c r="T191" s="28" t="str">
        <f>_xlfn.CONCAT(COORDENADAS[[#This Row],[G]],"° ",COORDENADAS[[#This Row],[M]],"' ",FIXED(COORDENADAS[[#This Row],[S]],2),""" ",COORDENADAS[[#This Row],[Norte]])</f>
        <v>5° 40' 59,56" N</v>
      </c>
      <c r="U191" s="41">
        <v>5</v>
      </c>
      <c r="V191" s="41">
        <v>40</v>
      </c>
      <c r="W191" s="56">
        <v>59.56</v>
      </c>
      <c r="X191" s="23" t="s">
        <v>192</v>
      </c>
      <c r="Y191" s="28" t="str">
        <f>_xlfn.CONCAT(COORDENADAS[[#This Row],[GG]],"° ",COORDENADAS[[#This Row],[MM]],"' ",FIXED(COORDENADAS[[#This Row],[SS]],2),""" ",COORDENADAS[[#This Row],[Weter]])</f>
        <v>76° 38' 52,26" W</v>
      </c>
      <c r="Z191" s="28">
        <v>76</v>
      </c>
      <c r="AA191" s="28">
        <v>38</v>
      </c>
      <c r="AB191" s="28">
        <v>52.260000000019424</v>
      </c>
      <c r="AC191" s="23" t="s">
        <v>193</v>
      </c>
      <c r="AD191" s="23">
        <v>34.82</v>
      </c>
      <c r="AE191" s="23">
        <v>0</v>
      </c>
    </row>
    <row r="192" spans="1:31" x14ac:dyDescent="0.35">
      <c r="A192" s="29" t="s">
        <v>796</v>
      </c>
      <c r="B192" s="29" t="s">
        <v>848</v>
      </c>
      <c r="C192" s="21">
        <v>14</v>
      </c>
      <c r="D192" s="21">
        <v>1903</v>
      </c>
      <c r="E192" s="30">
        <v>43460</v>
      </c>
      <c r="F192" s="28" t="s">
        <v>577</v>
      </c>
      <c r="G192" s="28">
        <f>INDEX($C$2:$D$37,MATCH(RESOLUCIONES[[#This Row],[No. Canal]],$C$2:$C$37,0),2)</f>
        <v>473</v>
      </c>
      <c r="I192" s="28" t="s">
        <v>849</v>
      </c>
      <c r="J192" s="28" t="s">
        <v>305</v>
      </c>
      <c r="K192" s="28" t="str">
        <f t="shared" si="3"/>
        <v>ChamezaCasanare</v>
      </c>
      <c r="L192" s="28"/>
      <c r="M192" s="28"/>
      <c r="N192" s="28"/>
      <c r="O192" s="69"/>
      <c r="P192" s="28"/>
      <c r="Q192" s="28" t="s">
        <v>850</v>
      </c>
      <c r="R192" s="28">
        <v>4.3348611111111106</v>
      </c>
      <c r="S192" s="28">
        <v>-74.502194444444442</v>
      </c>
      <c r="T192" s="28" t="str">
        <f>_xlfn.CONCAT(COORDENADAS[[#This Row],[G]],"° ",COORDENADAS[[#This Row],[M]],"' ",FIXED(COORDENADAS[[#This Row],[S]],2),""" ",COORDENADAS[[#This Row],[Norte]])</f>
        <v>4° 20' 4,92" N</v>
      </c>
      <c r="U192" s="41">
        <v>4</v>
      </c>
      <c r="V192" s="41">
        <v>20</v>
      </c>
      <c r="W192" s="56">
        <v>4.9180092000008058</v>
      </c>
      <c r="X192" s="23" t="s">
        <v>192</v>
      </c>
      <c r="Y192" s="28" t="str">
        <f>_xlfn.CONCAT(COORDENADAS[[#This Row],[GG]],"° ",COORDENADAS[[#This Row],[MM]],"' ",FIXED(COORDENADAS[[#This Row],[SS]],2),""" ",COORDENADAS[[#This Row],[Weter]])</f>
        <v>74° 30' 7,12" W</v>
      </c>
      <c r="Z192" s="28">
        <v>74</v>
      </c>
      <c r="AA192" s="28">
        <v>30</v>
      </c>
      <c r="AB192" s="28">
        <v>7.1163756000089506</v>
      </c>
      <c r="AC192" s="23" t="s">
        <v>193</v>
      </c>
      <c r="AD192" s="23">
        <v>40.6</v>
      </c>
      <c r="AE192" s="23">
        <v>40.700000000000003</v>
      </c>
    </row>
    <row r="193" spans="1:31" x14ac:dyDescent="0.35">
      <c r="A193" s="29" t="s">
        <v>477</v>
      </c>
      <c r="B193" s="29" t="s">
        <v>851</v>
      </c>
      <c r="C193" s="21">
        <v>14</v>
      </c>
      <c r="D193" s="21">
        <v>2076</v>
      </c>
      <c r="E193" s="31">
        <v>43082</v>
      </c>
      <c r="F193" s="28" t="s">
        <v>646</v>
      </c>
      <c r="G193" s="28">
        <f>INDEX($C$2:$D$37,MATCH(RESOLUCIONES[[#This Row],[No. Canal]],$C$2:$C$37,0),2)</f>
        <v>473</v>
      </c>
      <c r="I193" s="28" t="s">
        <v>852</v>
      </c>
      <c r="J193" s="28" t="s">
        <v>409</v>
      </c>
      <c r="K193" s="28" t="str">
        <f t="shared" ref="K193:K256" si="4">_xlfn.CONCAT(TRIM(I193),TRIM(J193))</f>
        <v>ChaparralTolima</v>
      </c>
      <c r="L193" s="28"/>
      <c r="M193" s="28"/>
      <c r="N193" s="28"/>
      <c r="O193" s="69"/>
      <c r="P193" s="28"/>
      <c r="Q193" s="28" t="s">
        <v>853</v>
      </c>
      <c r="R193" s="28">
        <v>3.5354444444444444</v>
      </c>
      <c r="S193" s="28">
        <v>-75.649277777777783</v>
      </c>
      <c r="T193" s="28" t="str">
        <f>_xlfn.CONCAT(COORDENADAS[[#This Row],[G]],"° ",COORDENADAS[[#This Row],[M]],"' ",FIXED(COORDENADAS[[#This Row],[S]],2),""" ",COORDENADAS[[#This Row],[Norte]])</f>
        <v>3° 32' 7,60" N</v>
      </c>
      <c r="U193" s="41">
        <v>3</v>
      </c>
      <c r="V193" s="41">
        <v>32</v>
      </c>
      <c r="W193" s="56">
        <v>7.5999999999998291</v>
      </c>
      <c r="X193" s="23" t="s">
        <v>192</v>
      </c>
      <c r="Y193" s="28" t="str">
        <f>_xlfn.CONCAT(COORDENADAS[[#This Row],[GG]],"° ",COORDENADAS[[#This Row],[MM]],"' ",FIXED(COORDENADAS[[#This Row],[SS]],2),""" ",COORDENADAS[[#This Row],[Weter]])</f>
        <v>75° 38' 57,40" W</v>
      </c>
      <c r="Z193" s="28">
        <v>75</v>
      </c>
      <c r="AA193" s="28">
        <v>38</v>
      </c>
      <c r="AB193" s="28">
        <v>57.400000000019524</v>
      </c>
      <c r="AC193" s="23" t="s">
        <v>193</v>
      </c>
      <c r="AD193" s="23">
        <v>34.82</v>
      </c>
      <c r="AE193" s="23">
        <v>0</v>
      </c>
    </row>
    <row r="194" spans="1:31" x14ac:dyDescent="0.35">
      <c r="A194" s="29" t="s">
        <v>799</v>
      </c>
      <c r="B194" s="29" t="s">
        <v>854</v>
      </c>
      <c r="C194" s="21">
        <v>21</v>
      </c>
      <c r="D194" s="21">
        <v>1903</v>
      </c>
      <c r="E194" s="30">
        <v>43460</v>
      </c>
      <c r="F194" s="28" t="s">
        <v>577</v>
      </c>
      <c r="G194" s="28">
        <f>INDEX($C$2:$D$37,MATCH(RESOLUCIONES[[#This Row],[No. Canal]],$C$2:$C$37,0),2)</f>
        <v>515</v>
      </c>
      <c r="I194" s="28" t="s">
        <v>855</v>
      </c>
      <c r="J194" s="28" t="s">
        <v>304</v>
      </c>
      <c r="K194" s="28" t="str">
        <f t="shared" si="4"/>
        <v>CharaláSantander</v>
      </c>
      <c r="L194" s="28"/>
      <c r="M194" s="28"/>
      <c r="N194" s="28"/>
      <c r="O194" s="69"/>
      <c r="P194" s="28"/>
      <c r="Q194" s="28" t="s">
        <v>856</v>
      </c>
      <c r="R194" s="28">
        <v>11.178694444444444</v>
      </c>
      <c r="S194" s="28">
        <v>-74.234916666666663</v>
      </c>
      <c r="T194" s="28" t="str">
        <f>_xlfn.CONCAT(COORDENADAS[[#This Row],[G]],"° ",COORDENADAS[[#This Row],[M]],"' ",FIXED(COORDENADAS[[#This Row],[S]],2),""" ",COORDENADAS[[#This Row],[Norte]])</f>
        <v>11° 10' 43,30" N</v>
      </c>
      <c r="U194" s="41">
        <v>11</v>
      </c>
      <c r="V194" s="41">
        <v>10</v>
      </c>
      <c r="W194" s="56">
        <v>43.299999999998597</v>
      </c>
      <c r="X194" s="23" t="s">
        <v>192</v>
      </c>
      <c r="Y194" s="28" t="str">
        <f>_xlfn.CONCAT(COORDENADAS[[#This Row],[GG]],"° ",COORDENADAS[[#This Row],[MM]],"' ",FIXED(COORDENADAS[[#This Row],[SS]],2),""" ",COORDENADAS[[#This Row],[Weter]])</f>
        <v>74° 14' 5,70" W</v>
      </c>
      <c r="Z194" s="28">
        <v>74</v>
      </c>
      <c r="AA194" s="28">
        <v>14</v>
      </c>
      <c r="AB194" s="28">
        <v>5.6999999999879813</v>
      </c>
      <c r="AC194" s="23" t="s">
        <v>193</v>
      </c>
      <c r="AD194" s="23">
        <v>48.38</v>
      </c>
      <c r="AE194" s="23">
        <v>0</v>
      </c>
    </row>
    <row r="195" spans="1:31" x14ac:dyDescent="0.35">
      <c r="A195" s="29" t="s">
        <v>805</v>
      </c>
      <c r="B195" s="29" t="s">
        <v>857</v>
      </c>
      <c r="C195" s="21">
        <v>14</v>
      </c>
      <c r="D195" s="21">
        <v>1903</v>
      </c>
      <c r="E195" s="30">
        <v>43460</v>
      </c>
      <c r="F195" s="28" t="s">
        <v>577</v>
      </c>
      <c r="G195" s="28">
        <f>INDEX($C$2:$D$37,MATCH(RESOLUCIONES[[#This Row],[No. Canal]],$C$2:$C$37,0),2)</f>
        <v>473</v>
      </c>
      <c r="I195" s="28" t="s">
        <v>858</v>
      </c>
      <c r="J195" s="28" t="s">
        <v>304</v>
      </c>
      <c r="K195" s="28" t="str">
        <f t="shared" si="4"/>
        <v>ChartaSantander</v>
      </c>
      <c r="L195" s="28"/>
      <c r="M195" s="28"/>
      <c r="N195" s="28"/>
      <c r="O195" s="69"/>
      <c r="P195" s="28"/>
      <c r="Q195" s="28" t="s">
        <v>859</v>
      </c>
      <c r="R195" s="28">
        <v>4.2499444444444441</v>
      </c>
      <c r="S195" s="28">
        <v>-75.230583333333328</v>
      </c>
      <c r="T195" s="28" t="str">
        <f>_xlfn.CONCAT(COORDENADAS[[#This Row],[G]],"° ",COORDENADAS[[#This Row],[M]],"' ",FIXED(COORDENADAS[[#This Row],[S]],2),""" ",COORDENADAS[[#This Row],[Norte]])</f>
        <v>4° 14' 59,80" N</v>
      </c>
      <c r="U195" s="41">
        <v>4</v>
      </c>
      <c r="V195" s="41">
        <v>14</v>
      </c>
      <c r="W195" s="56">
        <v>59.8</v>
      </c>
      <c r="X195" s="23" t="s">
        <v>192</v>
      </c>
      <c r="Y195" s="28" t="str">
        <f>_xlfn.CONCAT(COORDENADAS[[#This Row],[GG]],"° ",COORDENADAS[[#This Row],[MM]],"' ",FIXED(COORDENADAS[[#This Row],[SS]],2),""" ",COORDENADAS[[#This Row],[Weter]])</f>
        <v>75° 13' 50,10" W</v>
      </c>
      <c r="Z195" s="28">
        <v>75</v>
      </c>
      <c r="AA195" s="28">
        <v>13</v>
      </c>
      <c r="AB195" s="28">
        <v>50.099999999981691</v>
      </c>
      <c r="AC195" s="23" t="s">
        <v>193</v>
      </c>
      <c r="AD195" s="23">
        <v>34.82</v>
      </c>
      <c r="AE195" s="23">
        <v>0</v>
      </c>
    </row>
    <row r="196" spans="1:31" x14ac:dyDescent="0.35">
      <c r="A196" s="29" t="s">
        <v>811</v>
      </c>
      <c r="B196" s="29" t="s">
        <v>860</v>
      </c>
      <c r="C196" s="21">
        <v>26</v>
      </c>
      <c r="D196" s="21">
        <v>1903</v>
      </c>
      <c r="E196" s="30">
        <v>43460</v>
      </c>
      <c r="F196" s="28" t="s">
        <v>577</v>
      </c>
      <c r="G196" s="28">
        <f>INDEX($C$2:$D$37,MATCH(RESOLUCIONES[[#This Row],[No. Canal]],$C$2:$C$37,0),2)</f>
        <v>545</v>
      </c>
      <c r="I196" s="28" t="s">
        <v>861</v>
      </c>
      <c r="J196" s="28" t="s">
        <v>283</v>
      </c>
      <c r="K196" s="28" t="str">
        <f t="shared" si="4"/>
        <v>ChíaCundinamarca</v>
      </c>
      <c r="L196" s="28"/>
      <c r="M196" s="28"/>
      <c r="N196" s="28"/>
      <c r="O196" s="69"/>
      <c r="P196" s="28"/>
      <c r="Q196" s="28" t="s">
        <v>862</v>
      </c>
      <c r="R196" s="28">
        <v>5.714666666666667</v>
      </c>
      <c r="S196" s="28">
        <v>-73.814319444444436</v>
      </c>
      <c r="T196" s="28" t="str">
        <f>_xlfn.CONCAT(COORDENADAS[[#This Row],[G]],"° ",COORDENADAS[[#This Row],[M]],"' ",FIXED(COORDENADAS[[#This Row],[S]],2),""" ",COORDENADAS[[#This Row],[Norte]])</f>
        <v>5° 42' 52,80" N</v>
      </c>
      <c r="U196" s="41">
        <v>5</v>
      </c>
      <c r="V196" s="41">
        <v>42</v>
      </c>
      <c r="W196" s="56">
        <v>52.800000000001376</v>
      </c>
      <c r="X196" s="23" t="s">
        <v>192</v>
      </c>
      <c r="Y196" s="28" t="str">
        <f>_xlfn.CONCAT(COORDENADAS[[#This Row],[GG]],"° ",COORDENADAS[[#This Row],[MM]],"' ",FIXED(COORDENADAS[[#This Row],[SS]],2),""" ",COORDENADAS[[#This Row],[Weter]])</f>
        <v>73° 48' 51,55" W</v>
      </c>
      <c r="Z196" s="28">
        <v>73</v>
      </c>
      <c r="AA196" s="28">
        <v>48</v>
      </c>
      <c r="AB196" s="28">
        <v>51.549999999970012</v>
      </c>
      <c r="AC196" s="23" t="s">
        <v>193</v>
      </c>
      <c r="AD196" s="23">
        <v>50.06</v>
      </c>
      <c r="AE196" s="23">
        <v>0</v>
      </c>
    </row>
    <row r="197" spans="1:31" x14ac:dyDescent="0.35">
      <c r="A197" s="29" t="s">
        <v>820</v>
      </c>
      <c r="B197" s="29" t="s">
        <v>863</v>
      </c>
      <c r="C197" s="21">
        <v>22</v>
      </c>
      <c r="D197" s="21">
        <v>1903</v>
      </c>
      <c r="E197" s="30">
        <v>43460</v>
      </c>
      <c r="F197" s="28" t="s">
        <v>577</v>
      </c>
      <c r="G197" s="28">
        <f>INDEX($C$2:$D$37,MATCH(RESOLUCIONES[[#This Row],[No. Canal]],$C$2:$C$37,0),2)</f>
        <v>521</v>
      </c>
      <c r="I197" s="28" t="s">
        <v>864</v>
      </c>
      <c r="J197" s="28" t="s">
        <v>154</v>
      </c>
      <c r="K197" s="28" t="str">
        <f t="shared" si="4"/>
        <v>ChigorodóAntioquia</v>
      </c>
      <c r="L197" s="28"/>
      <c r="M197" s="28"/>
      <c r="N197" s="28"/>
      <c r="O197" s="69"/>
      <c r="P197" s="28"/>
      <c r="Q197" s="28" t="s">
        <v>865</v>
      </c>
      <c r="R197" s="28">
        <v>5.7149166669999998</v>
      </c>
      <c r="S197" s="28">
        <v>-73.812722222000005</v>
      </c>
      <c r="T197" s="28" t="str">
        <f>_xlfn.CONCAT(COORDENADAS[[#This Row],[G]],"° ",COORDENADAS[[#This Row],[M]],"' ",FIXED(COORDENADAS[[#This Row],[S]],2),""" ",COORDENADAS[[#This Row],[Norte]])</f>
        <v>5° 42' 53,67" N</v>
      </c>
      <c r="U197" s="41">
        <v>5</v>
      </c>
      <c r="V197" s="41">
        <v>42</v>
      </c>
      <c r="W197" s="56">
        <v>53.667007200000057</v>
      </c>
      <c r="X197" s="23" t="s">
        <v>192</v>
      </c>
      <c r="Y197" s="28" t="str">
        <f>_xlfn.CONCAT(COORDENADAS[[#This Row],[GG]],"° ",COORDENADAS[[#This Row],[MM]],"' ",FIXED(COORDENADAS[[#This Row],[SS]],2),""" ",COORDENADAS[[#This Row],[Weter]])</f>
        <v>73° 48' 45,28" W</v>
      </c>
      <c r="Z197" s="28">
        <v>73</v>
      </c>
      <c r="AA197" s="28">
        <v>48</v>
      </c>
      <c r="AB197" s="28">
        <v>45.278276399990162</v>
      </c>
      <c r="AC197" s="23" t="s">
        <v>193</v>
      </c>
      <c r="AD197" s="23">
        <v>42.4</v>
      </c>
      <c r="AE197" s="23">
        <v>42.7</v>
      </c>
    </row>
    <row r="198" spans="1:31" x14ac:dyDescent="0.35">
      <c r="A198" s="29" t="s">
        <v>829</v>
      </c>
      <c r="B198" s="29" t="s">
        <v>866</v>
      </c>
      <c r="C198" s="21">
        <v>22</v>
      </c>
      <c r="D198" s="21">
        <v>1903</v>
      </c>
      <c r="E198" s="30">
        <v>43460</v>
      </c>
      <c r="F198" s="28" t="s">
        <v>577</v>
      </c>
      <c r="G198" s="28">
        <f>INDEX($C$2:$D$37,MATCH(RESOLUCIONES[[#This Row],[No. Canal]],$C$2:$C$37,0),2)</f>
        <v>521</v>
      </c>
      <c r="I198" s="28" t="s">
        <v>867</v>
      </c>
      <c r="J198" s="28" t="s">
        <v>304</v>
      </c>
      <c r="K198" s="28" t="str">
        <f t="shared" si="4"/>
        <v>ChimaSantander</v>
      </c>
      <c r="L198" s="28"/>
      <c r="M198" s="28"/>
      <c r="N198" s="28"/>
      <c r="O198" s="69"/>
      <c r="P198" s="28"/>
      <c r="Q198" s="28" t="s">
        <v>868</v>
      </c>
      <c r="R198" s="28">
        <v>5.4319166666666669</v>
      </c>
      <c r="S198" s="28">
        <v>-75.507361111111109</v>
      </c>
      <c r="T198" s="28" t="str">
        <f>_xlfn.CONCAT(COORDENADAS[[#This Row],[G]],"° ",COORDENADAS[[#This Row],[M]],"' ",FIXED(COORDENADAS[[#This Row],[S]],2),""" ",COORDENADAS[[#This Row],[Norte]])</f>
        <v>5° 25' 54,90" N</v>
      </c>
      <c r="U198" s="41">
        <v>5</v>
      </c>
      <c r="V198" s="41">
        <v>25</v>
      </c>
      <c r="W198" s="56">
        <v>54.900000000000951</v>
      </c>
      <c r="X198" s="23" t="s">
        <v>192</v>
      </c>
      <c r="Y198" s="28" t="str">
        <f>_xlfn.CONCAT(COORDENADAS[[#This Row],[GG]],"° ",COORDENADAS[[#This Row],[MM]],"' ",FIXED(COORDENADAS[[#This Row],[SS]],2),""" ",COORDENADAS[[#This Row],[Weter]])</f>
        <v>75° 30' 26,50" W</v>
      </c>
      <c r="Z198" s="28">
        <v>75</v>
      </c>
      <c r="AA198" s="28">
        <v>30</v>
      </c>
      <c r="AB198" s="28">
        <v>26.499999999992951</v>
      </c>
      <c r="AC198" s="23" t="s">
        <v>193</v>
      </c>
      <c r="AD198" s="23">
        <v>35.56</v>
      </c>
      <c r="AE198" s="23">
        <v>0</v>
      </c>
    </row>
    <row r="199" spans="1:31" x14ac:dyDescent="0.35">
      <c r="A199" s="29" t="s">
        <v>835</v>
      </c>
      <c r="B199" s="29" t="s">
        <v>869</v>
      </c>
      <c r="C199" s="21">
        <v>14</v>
      </c>
      <c r="D199" s="21">
        <v>1903</v>
      </c>
      <c r="E199" s="30">
        <v>43460</v>
      </c>
      <c r="F199" s="28" t="s">
        <v>577</v>
      </c>
      <c r="G199" s="28">
        <f>INDEX($C$2:$D$37,MATCH(RESOLUCIONES[[#This Row],[No. Canal]],$C$2:$C$37,0),2)</f>
        <v>473</v>
      </c>
      <c r="I199" s="28" t="s">
        <v>870</v>
      </c>
      <c r="J199" s="28" t="s">
        <v>337</v>
      </c>
      <c r="K199" s="28" t="str">
        <f t="shared" si="4"/>
        <v>ChimáCordoba</v>
      </c>
      <c r="L199" s="28"/>
      <c r="M199" s="28"/>
      <c r="N199" s="28"/>
      <c r="O199" s="69"/>
      <c r="P199" s="28"/>
      <c r="Q199" s="28" t="s">
        <v>871</v>
      </c>
      <c r="R199" s="28">
        <v>5.9645305555555561</v>
      </c>
      <c r="S199" s="28">
        <v>-75.944666666666677</v>
      </c>
      <c r="T199" s="28" t="str">
        <f>_xlfn.CONCAT(COORDENADAS[[#This Row],[G]],"° ",COORDENADAS[[#This Row],[M]],"' ",FIXED(COORDENADAS[[#This Row],[S]],2),""" ",COORDENADAS[[#This Row],[Norte]])</f>
        <v>5° 57' 53,59" N</v>
      </c>
      <c r="U199" s="41">
        <v>5</v>
      </c>
      <c r="V199" s="41">
        <v>57</v>
      </c>
      <c r="W199" s="56">
        <v>53.590000000000956</v>
      </c>
      <c r="X199" s="23" t="s">
        <v>192</v>
      </c>
      <c r="Y199" s="28" t="str">
        <f>_xlfn.CONCAT(COORDENADAS[[#This Row],[GG]],"° ",COORDENADAS[[#This Row],[MM]],"' ",FIXED(COORDENADAS[[#This Row],[SS]],2),""" ",COORDENADAS[[#This Row],[Weter]])</f>
        <v>75° 56' 43,41" W</v>
      </c>
      <c r="Z199" s="28">
        <v>75</v>
      </c>
      <c r="AA199" s="28">
        <v>56</v>
      </c>
      <c r="AB199" s="28">
        <v>43.409999999996614</v>
      </c>
      <c r="AC199" s="23" t="s">
        <v>193</v>
      </c>
      <c r="AD199" s="23">
        <v>34.82</v>
      </c>
      <c r="AE199" s="23">
        <v>0</v>
      </c>
    </row>
    <row r="200" spans="1:31" x14ac:dyDescent="0.35">
      <c r="A200" s="29" t="s">
        <v>841</v>
      </c>
      <c r="B200" s="29" t="s">
        <v>872</v>
      </c>
      <c r="C200" s="21">
        <v>21</v>
      </c>
      <c r="D200" s="21">
        <v>1903</v>
      </c>
      <c r="E200" s="30">
        <v>43460</v>
      </c>
      <c r="F200" s="28" t="s">
        <v>577</v>
      </c>
      <c r="G200" s="28">
        <f>INDEX($C$2:$D$37,MATCH(RESOLUCIONES[[#This Row],[No. Canal]],$C$2:$C$37,0),2)</f>
        <v>515</v>
      </c>
      <c r="I200" s="28" t="s">
        <v>873</v>
      </c>
      <c r="J200" s="28" t="s">
        <v>293</v>
      </c>
      <c r="K200" s="28" t="str">
        <f t="shared" si="4"/>
        <v>ChimichaguaCesar</v>
      </c>
      <c r="L200" s="28"/>
      <c r="M200" s="28"/>
      <c r="N200" s="28"/>
      <c r="O200" s="69"/>
      <c r="P200" s="28"/>
      <c r="Q200" s="28" t="s">
        <v>874</v>
      </c>
      <c r="R200" s="28">
        <v>5.9608333333333334</v>
      </c>
      <c r="S200" s="28">
        <v>-75.941416666666669</v>
      </c>
      <c r="T200" s="28" t="str">
        <f>_xlfn.CONCAT(COORDENADAS[[#This Row],[G]],"° ",COORDENADAS[[#This Row],[M]],"' ",FIXED(COORDENADAS[[#This Row],[S]],2),""" ",COORDENADAS[[#This Row],[Norte]])</f>
        <v>5° 57' 38,26" N</v>
      </c>
      <c r="U200" s="41">
        <v>5</v>
      </c>
      <c r="V200" s="41">
        <v>57</v>
      </c>
      <c r="W200" s="56">
        <v>38.261055600001455</v>
      </c>
      <c r="X200" s="23" t="s">
        <v>192</v>
      </c>
      <c r="Y200" s="28" t="str">
        <f>_xlfn.CONCAT(COORDENADAS[[#This Row],[GG]],"° ",COORDENADAS[[#This Row],[MM]],"' ",FIXED(COORDENADAS[[#This Row],[SS]],2),""" ",COORDENADAS[[#This Row],[Weter]])</f>
        <v>75° 56' 27,63" W</v>
      </c>
      <c r="Z200" s="28">
        <v>75</v>
      </c>
      <c r="AA200" s="28">
        <v>56</v>
      </c>
      <c r="AB200" s="28">
        <v>27.627421199988422</v>
      </c>
      <c r="AC200" s="23" t="s">
        <v>193</v>
      </c>
      <c r="AD200" s="23">
        <v>40.6</v>
      </c>
      <c r="AE200" s="23">
        <v>40.799999999999997</v>
      </c>
    </row>
    <row r="201" spans="1:31" x14ac:dyDescent="0.35">
      <c r="A201" s="29" t="s">
        <v>847</v>
      </c>
      <c r="B201" s="29" t="s">
        <v>875</v>
      </c>
      <c r="C201" s="21">
        <v>14</v>
      </c>
      <c r="D201" s="21">
        <v>1434</v>
      </c>
      <c r="E201" s="31">
        <v>42963</v>
      </c>
      <c r="F201" s="28" t="s">
        <v>738</v>
      </c>
      <c r="G201" s="28">
        <f>INDEX($C$2:$D$37,MATCH(RESOLUCIONES[[#This Row],[No. Canal]],$C$2:$C$37,0),2)</f>
        <v>473</v>
      </c>
      <c r="I201" s="28" t="s">
        <v>876</v>
      </c>
      <c r="J201" s="28" t="s">
        <v>190</v>
      </c>
      <c r="K201" s="28" t="str">
        <f t="shared" si="4"/>
        <v>ChinácotaNorte de Santander</v>
      </c>
      <c r="L201" s="28"/>
      <c r="M201" s="28"/>
      <c r="N201" s="28"/>
      <c r="O201" s="69"/>
      <c r="P201" s="28"/>
      <c r="Q201" s="28" t="s">
        <v>877</v>
      </c>
      <c r="R201" s="28">
        <v>5.5062777780000003</v>
      </c>
      <c r="S201" s="28">
        <v>-73.514583333000004</v>
      </c>
      <c r="T201" s="28" t="str">
        <f>_xlfn.CONCAT(COORDENADAS[[#This Row],[G]],"° ",COORDENADAS[[#This Row],[M]],"' ",FIXED(COORDENADAS[[#This Row],[S]],2),""" ",COORDENADAS[[#This Row],[Norte]])</f>
        <v>5° 30' 22,60" N</v>
      </c>
      <c r="U201" s="41">
        <v>5</v>
      </c>
      <c r="V201" s="41">
        <v>30</v>
      </c>
      <c r="W201" s="56">
        <v>22.600000800001041</v>
      </c>
      <c r="X201" s="23" t="s">
        <v>192</v>
      </c>
      <c r="Y201" s="28" t="str">
        <f>_xlfn.CONCAT(COORDENADAS[[#This Row],[GG]],"° ",COORDENADAS[[#This Row],[MM]],"' ",FIXED(COORDENADAS[[#This Row],[SS]],2),""" ",COORDENADAS[[#This Row],[Weter]])</f>
        <v>73° 30' 52,50" W</v>
      </c>
      <c r="Z201" s="28">
        <v>73</v>
      </c>
      <c r="AA201" s="28">
        <v>30</v>
      </c>
      <c r="AB201" s="28">
        <v>52.499998800016101</v>
      </c>
      <c r="AC201" s="23" t="s">
        <v>193</v>
      </c>
      <c r="AD201" s="23">
        <v>42.8</v>
      </c>
      <c r="AE201" s="23">
        <v>42.7</v>
      </c>
    </row>
    <row r="202" spans="1:31" x14ac:dyDescent="0.35">
      <c r="A202" s="29" t="s">
        <v>853</v>
      </c>
      <c r="B202" s="29" t="s">
        <v>878</v>
      </c>
      <c r="C202" s="21">
        <v>14</v>
      </c>
      <c r="D202" s="21">
        <v>1903</v>
      </c>
      <c r="E202" s="30">
        <v>43460</v>
      </c>
      <c r="F202" s="28" t="s">
        <v>577</v>
      </c>
      <c r="G202" s="28">
        <f>INDEX($C$2:$D$37,MATCH(RESOLUCIONES[[#This Row],[No. Canal]],$C$2:$C$37,0),2)</f>
        <v>473</v>
      </c>
      <c r="I202" s="28" t="s">
        <v>879</v>
      </c>
      <c r="J202" s="28" t="s">
        <v>274</v>
      </c>
      <c r="K202" s="28" t="str">
        <f t="shared" si="4"/>
        <v>ChinavitaBoyaca</v>
      </c>
      <c r="L202" s="28"/>
      <c r="M202" s="28"/>
      <c r="N202" s="28"/>
      <c r="O202" s="69"/>
      <c r="P202" s="28"/>
      <c r="Q202" s="28" t="s">
        <v>880</v>
      </c>
      <c r="R202" s="28">
        <v>1.339536111111111</v>
      </c>
      <c r="S202" s="28">
        <v>-77.613369444444444</v>
      </c>
      <c r="T202" s="28" t="str">
        <f>_xlfn.CONCAT(COORDENADAS[[#This Row],[G]],"° ",COORDENADAS[[#This Row],[M]],"' ",FIXED(COORDENADAS[[#This Row],[S]],2),""" ",COORDENADAS[[#This Row],[Norte]])</f>
        <v>1° 20' 22,33" N</v>
      </c>
      <c r="U202" s="41">
        <v>1</v>
      </c>
      <c r="V202" s="41">
        <v>20</v>
      </c>
      <c r="W202" s="56">
        <v>22.329999999999806</v>
      </c>
      <c r="X202" s="23" t="s">
        <v>192</v>
      </c>
      <c r="Y202" s="28" t="str">
        <f>_xlfn.CONCAT(COORDENADAS[[#This Row],[GG]],"° ",COORDENADAS[[#This Row],[MM]],"' ",FIXED(COORDENADAS[[#This Row],[SS]],2),""" ",COORDENADAS[[#This Row],[Weter]])</f>
        <v>77° 36' 48,13" W</v>
      </c>
      <c r="Z202" s="28">
        <v>77</v>
      </c>
      <c r="AA202" s="28">
        <v>36</v>
      </c>
      <c r="AB202" s="28">
        <v>48.12999999999996</v>
      </c>
      <c r="AC202" s="23" t="s">
        <v>193</v>
      </c>
      <c r="AD202" s="23">
        <v>48.43</v>
      </c>
      <c r="AE202" s="23">
        <v>0</v>
      </c>
    </row>
    <row r="203" spans="1:31" x14ac:dyDescent="0.35">
      <c r="A203" s="29" t="s">
        <v>856</v>
      </c>
      <c r="B203" s="29" t="s">
        <v>881</v>
      </c>
      <c r="C203" s="21">
        <v>14</v>
      </c>
      <c r="D203" s="21">
        <v>861</v>
      </c>
      <c r="E203" s="31">
        <v>42286</v>
      </c>
      <c r="F203" s="28" t="s">
        <v>639</v>
      </c>
      <c r="G203" s="28">
        <f>INDEX($C$2:$D$37,MATCH(RESOLUCIONES[[#This Row],[No. Canal]],$C$2:$C$37,0),2)</f>
        <v>473</v>
      </c>
      <c r="I203" s="28" t="s">
        <v>882</v>
      </c>
      <c r="J203" s="28" t="s">
        <v>284</v>
      </c>
      <c r="K203" s="28" t="str">
        <f t="shared" si="4"/>
        <v>ChinchináCaldas</v>
      </c>
      <c r="L203" s="28"/>
      <c r="M203" s="28"/>
      <c r="N203" s="28"/>
      <c r="O203" s="69"/>
      <c r="P203" s="28"/>
      <c r="Q203" s="28" t="s">
        <v>883</v>
      </c>
      <c r="R203" s="28">
        <v>1.338361111</v>
      </c>
      <c r="S203" s="28">
        <v>-77.613277777999997</v>
      </c>
      <c r="T203" s="28" t="str">
        <f>_xlfn.CONCAT(COORDENADAS[[#This Row],[G]],"° ",COORDENADAS[[#This Row],[M]],"' ",FIXED(COORDENADAS[[#This Row],[S]],2),""" ",COORDENADAS[[#This Row],[Norte]])</f>
        <v>1° 20' 18,10" N</v>
      </c>
      <c r="U203" s="41">
        <v>1</v>
      </c>
      <c r="V203" s="41">
        <v>20</v>
      </c>
      <c r="W203" s="56">
        <v>18.099999600000039</v>
      </c>
      <c r="X203" s="23" t="s">
        <v>192</v>
      </c>
      <c r="Y203" s="28" t="str">
        <f>_xlfn.CONCAT(COORDENADAS[[#This Row],[GG]],"° ",COORDENADAS[[#This Row],[MM]],"' ",FIXED(COORDENADAS[[#This Row],[SS]],2),""" ",COORDENADAS[[#This Row],[Weter]])</f>
        <v>77° 36' 47,80" W</v>
      </c>
      <c r="Z203" s="28">
        <v>77</v>
      </c>
      <c r="AA203" s="28">
        <v>36</v>
      </c>
      <c r="AB203" s="28">
        <v>47.800000799989071</v>
      </c>
      <c r="AC203" s="23" t="s">
        <v>193</v>
      </c>
      <c r="AD203" s="23">
        <v>40.799999999999997</v>
      </c>
      <c r="AE203" s="23">
        <v>41</v>
      </c>
    </row>
    <row r="204" spans="1:31" x14ac:dyDescent="0.35">
      <c r="A204" s="29" t="s">
        <v>859</v>
      </c>
      <c r="B204" s="29" t="s">
        <v>884</v>
      </c>
      <c r="C204" s="21">
        <v>14</v>
      </c>
      <c r="D204" s="21">
        <v>1903</v>
      </c>
      <c r="E204" s="30">
        <v>43460</v>
      </c>
      <c r="F204" s="28" t="s">
        <v>577</v>
      </c>
      <c r="G204" s="28">
        <f>INDEX($C$2:$D$37,MATCH(RESOLUCIONES[[#This Row],[No. Canal]],$C$2:$C$37,0),2)</f>
        <v>473</v>
      </c>
      <c r="I204" s="28" t="s">
        <v>885</v>
      </c>
      <c r="J204" s="28" t="s">
        <v>337</v>
      </c>
      <c r="K204" s="28" t="str">
        <f t="shared" si="4"/>
        <v>ChinúCordoba</v>
      </c>
      <c r="L204" s="28"/>
      <c r="M204" s="28"/>
      <c r="N204" s="28"/>
      <c r="O204" s="69"/>
      <c r="P204" s="28"/>
      <c r="Q204" s="28" t="s">
        <v>886</v>
      </c>
      <c r="R204" s="28">
        <v>1.846527777777778</v>
      </c>
      <c r="S204" s="28">
        <v>-76.293361111111111</v>
      </c>
      <c r="T204" s="28" t="str">
        <f>_xlfn.CONCAT(COORDENADAS[[#This Row],[G]],"° ",COORDENADAS[[#This Row],[M]],"' ",FIXED(COORDENADAS[[#This Row],[S]],2),""" ",COORDENADAS[[#This Row],[Norte]])</f>
        <v>1° 50' 47,50" N</v>
      </c>
      <c r="U204" s="41">
        <v>1</v>
      </c>
      <c r="V204" s="41">
        <v>50</v>
      </c>
      <c r="W204" s="56">
        <v>47.500000000000632</v>
      </c>
      <c r="X204" s="23" t="s">
        <v>192</v>
      </c>
      <c r="Y204" s="28" t="str">
        <f>_xlfn.CONCAT(COORDENADAS[[#This Row],[GG]],"° ",COORDENADAS[[#This Row],[MM]],"' ",FIXED(COORDENADAS[[#This Row],[SS]],2),""" ",COORDENADAS[[#This Row],[Weter]])</f>
        <v>76° 17' 36,10" W</v>
      </c>
      <c r="Z204" s="28">
        <v>76</v>
      </c>
      <c r="AA204" s="28">
        <v>17</v>
      </c>
      <c r="AB204" s="28">
        <v>36.099999999997891</v>
      </c>
      <c r="AC204" s="23" t="s">
        <v>193</v>
      </c>
      <c r="AD204" s="23">
        <v>48.38</v>
      </c>
      <c r="AE204" s="23">
        <v>0</v>
      </c>
    </row>
    <row r="205" spans="1:31" x14ac:dyDescent="0.35">
      <c r="A205" s="29" t="s">
        <v>862</v>
      </c>
      <c r="B205" s="29" t="s">
        <v>887</v>
      </c>
      <c r="C205" s="21">
        <v>21</v>
      </c>
      <c r="D205" s="21">
        <v>2171</v>
      </c>
      <c r="E205" s="31">
        <v>43091</v>
      </c>
      <c r="F205" s="28" t="s">
        <v>590</v>
      </c>
      <c r="G205" s="28">
        <f>INDEX($C$2:$D$37,MATCH(RESOLUCIONES[[#This Row],[No. Canal]],$C$2:$C$37,0),2)</f>
        <v>515</v>
      </c>
      <c r="I205" s="28" t="s">
        <v>888</v>
      </c>
      <c r="J205" s="28" t="s">
        <v>283</v>
      </c>
      <c r="K205" s="28" t="str">
        <f t="shared" si="4"/>
        <v>ChipaqueCundinamarca</v>
      </c>
      <c r="L205" s="28"/>
      <c r="M205" s="28"/>
      <c r="N205" s="28"/>
      <c r="O205" s="69"/>
      <c r="P205" s="28"/>
      <c r="Q205" s="28" t="s">
        <v>889</v>
      </c>
      <c r="R205" s="28">
        <v>6.1693611111111117</v>
      </c>
      <c r="S205" s="28">
        <v>-74.990944444444452</v>
      </c>
      <c r="T205" s="28" t="str">
        <f>_xlfn.CONCAT(COORDENADAS[[#This Row],[G]],"° ",COORDENADAS[[#This Row],[M]],"' ",FIXED(COORDENADAS[[#This Row],[S]],2),""" ",COORDENADAS[[#This Row],[Norte]])</f>
        <v>6° 10' 9,70" N</v>
      </c>
      <c r="U205" s="41">
        <v>6</v>
      </c>
      <c r="V205" s="41">
        <v>10</v>
      </c>
      <c r="W205" s="56">
        <v>9.7000000000022961</v>
      </c>
      <c r="X205" s="23" t="s">
        <v>192</v>
      </c>
      <c r="Y205" s="28" t="str">
        <f>_xlfn.CONCAT(COORDENADAS[[#This Row],[GG]],"° ",COORDENADAS[[#This Row],[MM]],"' ",FIXED(COORDENADAS[[#This Row],[SS]],2),""" ",COORDENADAS[[#This Row],[Weter]])</f>
        <v>74° 59' 27,40" W</v>
      </c>
      <c r="Z205" s="28">
        <v>74</v>
      </c>
      <c r="AA205" s="28">
        <v>59</v>
      </c>
      <c r="AB205" s="28">
        <v>27.400000000026424</v>
      </c>
      <c r="AC205" s="23" t="s">
        <v>193</v>
      </c>
      <c r="AD205" s="23">
        <v>34.82</v>
      </c>
      <c r="AE205" s="23">
        <v>0</v>
      </c>
    </row>
    <row r="206" spans="1:31" x14ac:dyDescent="0.35">
      <c r="A206" s="29" t="s">
        <v>868</v>
      </c>
      <c r="B206" s="29" t="s">
        <v>890</v>
      </c>
      <c r="C206" s="21">
        <v>14</v>
      </c>
      <c r="D206" s="21">
        <v>1903</v>
      </c>
      <c r="E206" s="30">
        <v>43460</v>
      </c>
      <c r="F206" s="28" t="s">
        <v>577</v>
      </c>
      <c r="G206" s="28">
        <f>INDEX($C$2:$D$37,MATCH(RESOLUCIONES[[#This Row],[No. Canal]],$C$2:$C$37,0),2)</f>
        <v>473</v>
      </c>
      <c r="I206" s="28" t="s">
        <v>891</v>
      </c>
      <c r="J206" s="28" t="s">
        <v>304</v>
      </c>
      <c r="K206" s="28" t="str">
        <f t="shared" si="4"/>
        <v>ChipatáSantander</v>
      </c>
      <c r="L206" s="28"/>
      <c r="M206" s="28"/>
      <c r="N206" s="28"/>
      <c r="O206" s="69"/>
      <c r="P206" s="28"/>
      <c r="Q206" s="28" t="s">
        <v>892</v>
      </c>
      <c r="R206" s="28">
        <v>6.5835277777777774</v>
      </c>
      <c r="S206" s="28">
        <v>-73.174666666666667</v>
      </c>
      <c r="T206" s="28" t="str">
        <f>_xlfn.CONCAT(COORDENADAS[[#This Row],[G]],"° ",COORDENADAS[[#This Row],[M]],"' ",FIXED(COORDENADAS[[#This Row],[S]],2),""" ",COORDENADAS[[#This Row],[Norte]])</f>
        <v>6° 35' 0,70" N</v>
      </c>
      <c r="U206" s="41">
        <v>6</v>
      </c>
      <c r="V206" s="41">
        <v>35</v>
      </c>
      <c r="W206" s="56">
        <v>0.69999999999859064</v>
      </c>
      <c r="X206" s="23" t="s">
        <v>192</v>
      </c>
      <c r="Y206" s="28" t="str">
        <f>_xlfn.CONCAT(COORDENADAS[[#This Row],[GG]],"° ",COORDENADAS[[#This Row],[MM]],"' ",FIXED(COORDENADAS[[#This Row],[SS]],2),""" ",COORDENADAS[[#This Row],[Weter]])</f>
        <v>73° 10' 28,80" W</v>
      </c>
      <c r="Z206" s="28">
        <v>73</v>
      </c>
      <c r="AA206" s="28">
        <v>10</v>
      </c>
      <c r="AB206" s="28">
        <v>28.800000000001123</v>
      </c>
      <c r="AC206" s="23" t="s">
        <v>193</v>
      </c>
      <c r="AD206" s="23">
        <v>37.380000000000003</v>
      </c>
      <c r="AE206" s="23">
        <v>0</v>
      </c>
    </row>
    <row r="207" spans="1:31" x14ac:dyDescent="0.35">
      <c r="A207" s="29" t="s">
        <v>871</v>
      </c>
      <c r="B207" s="29" t="s">
        <v>893</v>
      </c>
      <c r="C207" s="21">
        <v>14</v>
      </c>
      <c r="D207" s="21">
        <v>1903</v>
      </c>
      <c r="E207" s="30">
        <v>43460</v>
      </c>
      <c r="F207" s="28" t="s">
        <v>577</v>
      </c>
      <c r="G207" s="28">
        <f>INDEX($C$2:$D$37,MATCH(RESOLUCIONES[[#This Row],[No. Canal]],$C$2:$C$37,0),2)</f>
        <v>473</v>
      </c>
      <c r="I207" s="28" t="s">
        <v>894</v>
      </c>
      <c r="J207" s="28" t="s">
        <v>274</v>
      </c>
      <c r="K207" s="28" t="str">
        <f t="shared" si="4"/>
        <v>ChiquinquiráBoyaca</v>
      </c>
      <c r="L207" s="28"/>
      <c r="M207" s="28"/>
      <c r="N207" s="28"/>
      <c r="O207" s="69"/>
      <c r="P207" s="28"/>
      <c r="Q207" s="28" t="s">
        <v>895</v>
      </c>
      <c r="R207" s="28">
        <v>6.5919722219999999</v>
      </c>
      <c r="S207" s="28">
        <v>-73.182277778</v>
      </c>
      <c r="T207" s="28" t="str">
        <f>_xlfn.CONCAT(COORDENADAS[[#This Row],[G]],"° ",COORDENADAS[[#This Row],[M]],"' ",FIXED(COORDENADAS[[#This Row],[S]],2),""" ",COORDENADAS[[#This Row],[Norte]])</f>
        <v>6° 35' 31,10" N</v>
      </c>
      <c r="U207" s="41">
        <v>6</v>
      </c>
      <c r="V207" s="41">
        <v>35</v>
      </c>
      <c r="W207" s="56">
        <v>31.099999199999438</v>
      </c>
      <c r="X207" s="23" t="s">
        <v>192</v>
      </c>
      <c r="Y207" s="28" t="str">
        <f>_xlfn.CONCAT(COORDENADAS[[#This Row],[GG]],"° ",COORDENADAS[[#This Row],[MM]],"' ",FIXED(COORDENADAS[[#This Row],[SS]],2),""" ",COORDENADAS[[#This Row],[Weter]])</f>
        <v>73° 10' 56,20" W</v>
      </c>
      <c r="Z207" s="28">
        <v>73</v>
      </c>
      <c r="AA207" s="28">
        <v>10</v>
      </c>
      <c r="AB207" s="28">
        <v>56.200000799998442</v>
      </c>
      <c r="AC207" s="23" t="s">
        <v>193</v>
      </c>
      <c r="AD207" s="23">
        <v>40.6</v>
      </c>
      <c r="AE207" s="23">
        <v>40.700000000000003</v>
      </c>
    </row>
    <row r="208" spans="1:31" x14ac:dyDescent="0.35">
      <c r="A208" s="29" t="s">
        <v>880</v>
      </c>
      <c r="B208" s="29" t="s">
        <v>896</v>
      </c>
      <c r="C208" s="21">
        <v>14</v>
      </c>
      <c r="D208" s="21">
        <v>2171</v>
      </c>
      <c r="E208" s="31">
        <v>43091</v>
      </c>
      <c r="F208" s="28" t="s">
        <v>590</v>
      </c>
      <c r="G208" s="28">
        <f>INDEX($C$2:$D$37,MATCH(RESOLUCIONES[[#This Row],[No. Canal]],$C$2:$C$37,0),2)</f>
        <v>473</v>
      </c>
      <c r="I208" s="28" t="s">
        <v>897</v>
      </c>
      <c r="J208" s="28" t="s">
        <v>274</v>
      </c>
      <c r="K208" s="28" t="str">
        <f t="shared" si="4"/>
        <v>ChíquizaBoyaca</v>
      </c>
      <c r="L208" s="28"/>
      <c r="M208" s="28"/>
      <c r="N208" s="28"/>
      <c r="O208" s="69"/>
      <c r="P208" s="28"/>
      <c r="Q208" s="28" t="s">
        <v>898</v>
      </c>
      <c r="R208" s="28">
        <v>2.548888888888889</v>
      </c>
      <c r="S208" s="28">
        <v>-72.646972222222232</v>
      </c>
      <c r="T208" s="28" t="str">
        <f>_xlfn.CONCAT(COORDENADAS[[#This Row],[G]],"° ",COORDENADAS[[#This Row],[M]],"' ",FIXED(COORDENADAS[[#This Row],[S]],2),""" ",COORDENADAS[[#This Row],[Norte]])</f>
        <v>2° 32' 56,00" N</v>
      </c>
      <c r="U208" s="41">
        <v>2</v>
      </c>
      <c r="V208" s="41">
        <v>32</v>
      </c>
      <c r="W208" s="56">
        <v>56.000000000000362</v>
      </c>
      <c r="X208" s="23" t="s">
        <v>192</v>
      </c>
      <c r="Y208" s="28" t="str">
        <f>_xlfn.CONCAT(COORDENADAS[[#This Row],[GG]],"° ",COORDENADAS[[#This Row],[MM]],"' ",FIXED(COORDENADAS[[#This Row],[SS]],2),""" ",COORDENADAS[[#This Row],[Weter]])</f>
        <v>72° 38' 49,10" W</v>
      </c>
      <c r="Z208" s="28">
        <v>72</v>
      </c>
      <c r="AA208" s="28">
        <v>38</v>
      </c>
      <c r="AB208" s="28">
        <v>49.100000000033894</v>
      </c>
      <c r="AC208" s="23" t="s">
        <v>193</v>
      </c>
      <c r="AD208" s="23">
        <v>48.38</v>
      </c>
      <c r="AE208" s="23">
        <v>0</v>
      </c>
    </row>
    <row r="209" spans="1:31" x14ac:dyDescent="0.35">
      <c r="A209" s="29" t="s">
        <v>886</v>
      </c>
      <c r="B209" s="29" t="s">
        <v>899</v>
      </c>
      <c r="C209" s="21">
        <v>14</v>
      </c>
      <c r="D209" s="21">
        <v>2076</v>
      </c>
      <c r="E209" s="31">
        <v>43082</v>
      </c>
      <c r="F209" s="28" t="s">
        <v>646</v>
      </c>
      <c r="G209" s="28">
        <f>INDEX($C$2:$D$37,MATCH(RESOLUCIONES[[#This Row],[No. Canal]],$C$2:$C$37,0),2)</f>
        <v>473</v>
      </c>
      <c r="I209" s="28" t="s">
        <v>900</v>
      </c>
      <c r="J209" s="28" t="s">
        <v>293</v>
      </c>
      <c r="K209" s="28" t="str">
        <f t="shared" si="4"/>
        <v>ChiriguanáCesar</v>
      </c>
      <c r="L209" s="28"/>
      <c r="M209" s="28"/>
      <c r="N209" s="28"/>
      <c r="O209" s="69"/>
      <c r="P209" s="28"/>
      <c r="Q209" s="28" t="s">
        <v>901</v>
      </c>
      <c r="R209" s="28">
        <v>2.5605833329999999</v>
      </c>
      <c r="S209" s="28">
        <v>-72.641499999999994</v>
      </c>
      <c r="T209" s="28" t="str">
        <f>_xlfn.CONCAT(COORDENADAS[[#This Row],[G]],"° ",COORDENADAS[[#This Row],[M]],"' ",FIXED(COORDENADAS[[#This Row],[S]],2),""" ",COORDENADAS[[#This Row],[Norte]])</f>
        <v>2° 33' 38,10" N</v>
      </c>
      <c r="U209" s="41">
        <v>2</v>
      </c>
      <c r="V209" s="41">
        <v>33</v>
      </c>
      <c r="W209" s="56">
        <v>38.099998799999298</v>
      </c>
      <c r="X209" s="23" t="s">
        <v>192</v>
      </c>
      <c r="Y209" s="28" t="str">
        <f>_xlfn.CONCAT(COORDENADAS[[#This Row],[GG]],"° ",COORDENADAS[[#This Row],[MM]],"' ",FIXED(COORDENADAS[[#This Row],[SS]],2),""" ",COORDENADAS[[#This Row],[Weter]])</f>
        <v>72° 38' 29,40" W</v>
      </c>
      <c r="Z209" s="28">
        <v>72</v>
      </c>
      <c r="AA209" s="28">
        <v>38</v>
      </c>
      <c r="AB209" s="28">
        <v>29.399999999976778</v>
      </c>
      <c r="AC209" s="23" t="s">
        <v>193</v>
      </c>
      <c r="AD209" s="23">
        <v>40.6</v>
      </c>
      <c r="AE209" s="23">
        <v>40.700000000000003</v>
      </c>
    </row>
    <row r="210" spans="1:31" x14ac:dyDescent="0.35">
      <c r="A210" s="29" t="s">
        <v>889</v>
      </c>
      <c r="B210" s="29" t="s">
        <v>902</v>
      </c>
      <c r="C210" s="21">
        <v>14</v>
      </c>
      <c r="D210" s="21">
        <v>1903</v>
      </c>
      <c r="E210" s="30">
        <v>43460</v>
      </c>
      <c r="F210" s="28" t="s">
        <v>577</v>
      </c>
      <c r="G210" s="28">
        <f>INDEX($C$2:$D$37,MATCH(RESOLUCIONES[[#This Row],[No. Canal]],$C$2:$C$37,0),2)</f>
        <v>473</v>
      </c>
      <c r="I210" s="28" t="s">
        <v>903</v>
      </c>
      <c r="J210" s="28" t="s">
        <v>274</v>
      </c>
      <c r="K210" s="28" t="str">
        <f t="shared" si="4"/>
        <v>ChiscasBoyaca</v>
      </c>
      <c r="L210" s="28"/>
      <c r="M210" s="28"/>
      <c r="N210" s="28"/>
      <c r="O210" s="69"/>
      <c r="P210" s="28"/>
      <c r="Q210" s="28" t="s">
        <v>904</v>
      </c>
      <c r="R210" s="28">
        <v>8.7627500000000005</v>
      </c>
      <c r="S210" s="28">
        <v>-76.514583333333334</v>
      </c>
      <c r="T210" s="28" t="str">
        <f>_xlfn.CONCAT(COORDENADAS[[#This Row],[G]],"° ",COORDENADAS[[#This Row],[M]],"' ",FIXED(COORDENADAS[[#This Row],[S]],2),""" ",COORDENADAS[[#This Row],[Norte]])</f>
        <v>8° 45' 45,90" N</v>
      </c>
      <c r="U210" s="41">
        <v>8</v>
      </c>
      <c r="V210" s="41">
        <v>45</v>
      </c>
      <c r="W210" s="56">
        <v>45.900000000001739</v>
      </c>
      <c r="X210" s="23" t="s">
        <v>192</v>
      </c>
      <c r="Y210" s="28" t="str">
        <f>_xlfn.CONCAT(COORDENADAS[[#This Row],[GG]],"° ",COORDENADAS[[#This Row],[MM]],"' ",FIXED(COORDENADAS[[#This Row],[SS]],2),""" ",COORDENADAS[[#This Row],[Weter]])</f>
        <v>76° 30' 52,50" W</v>
      </c>
      <c r="Z210" s="28">
        <v>76</v>
      </c>
      <c r="AA210" s="28">
        <v>30</v>
      </c>
      <c r="AB210" s="28">
        <v>52.500000000003411</v>
      </c>
      <c r="AC210" s="23" t="s">
        <v>193</v>
      </c>
      <c r="AD210" s="23">
        <v>36.700000000000003</v>
      </c>
      <c r="AE210" s="23">
        <v>0</v>
      </c>
    </row>
    <row r="211" spans="1:31" x14ac:dyDescent="0.35">
      <c r="A211" s="29" t="s">
        <v>892</v>
      </c>
      <c r="B211" s="29" t="s">
        <v>905</v>
      </c>
      <c r="C211" s="21">
        <v>41</v>
      </c>
      <c r="D211" s="21">
        <v>1903</v>
      </c>
      <c r="E211" s="30">
        <v>43460</v>
      </c>
      <c r="F211" s="28" t="s">
        <v>577</v>
      </c>
      <c r="G211" s="28">
        <f>INDEX($C$2:$D$37,MATCH(RESOLUCIONES[[#This Row],[No. Canal]],$C$2:$C$37,0),2)</f>
        <v>635</v>
      </c>
      <c r="I211" s="28" t="s">
        <v>906</v>
      </c>
      <c r="J211" s="28" t="s">
        <v>274</v>
      </c>
      <c r="K211" s="28" t="str">
        <f t="shared" si="4"/>
        <v>ChitaBoyaca</v>
      </c>
      <c r="L211" s="28"/>
      <c r="M211" s="28"/>
      <c r="N211" s="28"/>
      <c r="O211" s="69"/>
      <c r="P211" s="28"/>
      <c r="Q211" s="28" t="s">
        <v>907</v>
      </c>
      <c r="R211" s="28">
        <v>10.768000000000001</v>
      </c>
      <c r="S211" s="28">
        <v>-73.007888888888886</v>
      </c>
      <c r="T211" s="28" t="str">
        <f>_xlfn.CONCAT(COORDENADAS[[#This Row],[G]],"° ",COORDENADAS[[#This Row],[M]],"' ",FIXED(COORDENADAS[[#This Row],[S]],2),""" ",COORDENADAS[[#This Row],[Norte]])</f>
        <v>10° 46' 4,80" N</v>
      </c>
      <c r="U211" s="41">
        <v>10</v>
      </c>
      <c r="V211" s="41">
        <v>46</v>
      </c>
      <c r="W211" s="56">
        <v>4.8000000000022691</v>
      </c>
      <c r="X211" s="23" t="s">
        <v>192</v>
      </c>
      <c r="Y211" s="28" t="str">
        <f>_xlfn.CONCAT(COORDENADAS[[#This Row],[GG]],"° ",COORDENADAS[[#This Row],[MM]],"' ",FIXED(COORDENADAS[[#This Row],[SS]],2),""" ",COORDENADAS[[#This Row],[Weter]])</f>
        <v>73° 0' 28,40" W</v>
      </c>
      <c r="Z211" s="28">
        <v>73</v>
      </c>
      <c r="AA211" s="28">
        <v>0</v>
      </c>
      <c r="AB211" s="28">
        <v>28.399999999987813</v>
      </c>
      <c r="AC211" s="23" t="s">
        <v>193</v>
      </c>
      <c r="AD211" s="23">
        <v>36.78</v>
      </c>
      <c r="AE211" s="23">
        <v>0</v>
      </c>
    </row>
    <row r="212" spans="1:31" x14ac:dyDescent="0.35">
      <c r="A212" s="29" t="s">
        <v>898</v>
      </c>
      <c r="B212" s="29" t="s">
        <v>908</v>
      </c>
      <c r="C212" s="21">
        <v>14</v>
      </c>
      <c r="D212" s="21">
        <v>2171</v>
      </c>
      <c r="E212" s="31">
        <v>43091</v>
      </c>
      <c r="F212" s="28" t="s">
        <v>590</v>
      </c>
      <c r="G212" s="28">
        <f>INDEX($C$2:$D$37,MATCH(RESOLUCIONES[[#This Row],[No. Canal]],$C$2:$C$37,0),2)</f>
        <v>473</v>
      </c>
      <c r="I212" s="28" t="s">
        <v>909</v>
      </c>
      <c r="J212" s="28" t="s">
        <v>190</v>
      </c>
      <c r="K212" s="28" t="str">
        <f t="shared" si="4"/>
        <v>ChitagáNorte de Santander</v>
      </c>
      <c r="L212" s="28"/>
      <c r="M212" s="28"/>
      <c r="N212" s="28"/>
      <c r="O212" s="69"/>
      <c r="P212" s="28"/>
      <c r="Q212" s="28" t="s">
        <v>910</v>
      </c>
      <c r="R212" s="28">
        <v>1.5249166670000001</v>
      </c>
      <c r="S212" s="28">
        <v>-77.193250000000006</v>
      </c>
      <c r="T212" s="28" t="str">
        <f>_xlfn.CONCAT(COORDENADAS[[#This Row],[G]],"° ",COORDENADAS[[#This Row],[M]],"' ",FIXED(COORDENADAS[[#This Row],[S]],2),""" ",COORDENADAS[[#This Row],[Norte]])</f>
        <v>1° 31' 29,70" N</v>
      </c>
      <c r="U212" s="41">
        <v>1</v>
      </c>
      <c r="V212" s="41">
        <v>31</v>
      </c>
      <c r="W212" s="56">
        <v>29.700001200000024</v>
      </c>
      <c r="X212" s="23" t="s">
        <v>192</v>
      </c>
      <c r="Y212" s="28" t="str">
        <f>_xlfn.CONCAT(COORDENADAS[[#This Row],[GG]],"° ",COORDENADAS[[#This Row],[MM]],"' ",FIXED(COORDENADAS[[#This Row],[SS]],2),""" ",COORDENADAS[[#This Row],[Weter]])</f>
        <v>77° 11' 35,70" W</v>
      </c>
      <c r="Z212" s="28">
        <v>77</v>
      </c>
      <c r="AA212" s="28">
        <v>11</v>
      </c>
      <c r="AB212" s="28">
        <v>35.70000000002215</v>
      </c>
      <c r="AC212" s="23" t="s">
        <v>193</v>
      </c>
      <c r="AD212" s="23">
        <v>40.799999999999997</v>
      </c>
      <c r="AE212" s="23">
        <v>40.700000000000003</v>
      </c>
    </row>
    <row r="213" spans="1:31" x14ac:dyDescent="0.35">
      <c r="A213" s="29" t="s">
        <v>904</v>
      </c>
      <c r="B213" s="29" t="s">
        <v>911</v>
      </c>
      <c r="C213" s="21">
        <v>33</v>
      </c>
      <c r="D213" s="21">
        <v>1903</v>
      </c>
      <c r="E213" s="30">
        <v>43460</v>
      </c>
      <c r="F213" s="28" t="s">
        <v>577</v>
      </c>
      <c r="G213" s="28">
        <f>INDEX($C$2:$D$37,MATCH(RESOLUCIONES[[#This Row],[No. Canal]],$C$2:$C$37,0),2)</f>
        <v>587</v>
      </c>
      <c r="I213" s="28" t="s">
        <v>912</v>
      </c>
      <c r="J213" s="28" t="s">
        <v>274</v>
      </c>
      <c r="K213" s="28" t="str">
        <f t="shared" si="4"/>
        <v>ChitaraqueBoyaca</v>
      </c>
      <c r="L213" s="28"/>
      <c r="M213" s="28"/>
      <c r="N213" s="28"/>
      <c r="O213" s="69"/>
      <c r="P213" s="28"/>
      <c r="Q213" s="28" t="s">
        <v>913</v>
      </c>
      <c r="R213" s="28">
        <v>8.6708888888888875</v>
      </c>
      <c r="S213" s="28">
        <v>-75.155138888888899</v>
      </c>
      <c r="T213" s="28" t="str">
        <f>_xlfn.CONCAT(COORDENADAS[[#This Row],[G]],"° ",COORDENADAS[[#This Row],[M]],"' ",FIXED(COORDENADAS[[#This Row],[S]],2),""" ",COORDENADAS[[#This Row],[Norte]])</f>
        <v>8° 40' 10,45" N</v>
      </c>
      <c r="U213" s="41">
        <v>8</v>
      </c>
      <c r="V213" s="41">
        <v>40</v>
      </c>
      <c r="W213" s="56">
        <v>10.447996800002235</v>
      </c>
      <c r="X213" s="23" t="s">
        <v>192</v>
      </c>
      <c r="Y213" s="28" t="str">
        <f>_xlfn.CONCAT(COORDENADAS[[#This Row],[GG]],"° ",COORDENADAS[[#This Row],[MM]],"' ",FIXED(COORDENADAS[[#This Row],[SS]],2),""" ",COORDENADAS[[#This Row],[Weter]])</f>
        <v>75° 9' 17,33" W</v>
      </c>
      <c r="Z213" s="28">
        <v>75</v>
      </c>
      <c r="AA213" s="28">
        <v>9</v>
      </c>
      <c r="AB213" s="28">
        <v>17.332718399993631</v>
      </c>
      <c r="AC213" s="23" t="s">
        <v>193</v>
      </c>
      <c r="AD213" s="23">
        <v>40.6</v>
      </c>
      <c r="AE213" s="23">
        <v>40.700000000000003</v>
      </c>
    </row>
    <row r="214" spans="1:31" x14ac:dyDescent="0.35">
      <c r="A214" s="29" t="s">
        <v>907</v>
      </c>
      <c r="B214" s="29" t="s">
        <v>914</v>
      </c>
      <c r="C214" s="21">
        <v>14</v>
      </c>
      <c r="D214" s="21">
        <v>1903</v>
      </c>
      <c r="E214" s="30">
        <v>43460</v>
      </c>
      <c r="F214" s="28" t="s">
        <v>577</v>
      </c>
      <c r="G214" s="28">
        <f>INDEX($C$2:$D$37,MATCH(RESOLUCIONES[[#This Row],[No. Canal]],$C$2:$C$37,0),2)</f>
        <v>473</v>
      </c>
      <c r="I214" s="28" t="s">
        <v>915</v>
      </c>
      <c r="J214" s="28" t="s">
        <v>274</v>
      </c>
      <c r="K214" s="28" t="str">
        <f t="shared" si="4"/>
        <v>ChivatáBoyaca</v>
      </c>
      <c r="L214" s="28"/>
      <c r="M214" s="28"/>
      <c r="N214" s="28"/>
      <c r="O214" s="69"/>
      <c r="P214" s="28"/>
      <c r="Q214" s="28" t="s">
        <v>916</v>
      </c>
      <c r="R214" s="28">
        <v>1.6721111111111109</v>
      </c>
      <c r="S214" s="28">
        <v>-77.021694444444449</v>
      </c>
      <c r="T214" s="28" t="str">
        <f>_xlfn.CONCAT(COORDENADAS[[#This Row],[G]],"° ",COORDENADAS[[#This Row],[M]],"' ",FIXED(COORDENADAS[[#This Row],[S]],2),""" ",COORDENADAS[[#This Row],[Norte]])</f>
        <v>1° 40' 19,60" N</v>
      </c>
      <c r="U214" s="41">
        <v>1</v>
      </c>
      <c r="V214" s="41">
        <v>40</v>
      </c>
      <c r="W214" s="56">
        <v>19.599999999999305</v>
      </c>
      <c r="X214" s="23" t="s">
        <v>192</v>
      </c>
      <c r="Y214" s="28" t="str">
        <f>_xlfn.CONCAT(COORDENADAS[[#This Row],[GG]],"° ",COORDENADAS[[#This Row],[MM]],"' ",FIXED(COORDENADAS[[#This Row],[SS]],2),""" ",COORDENADAS[[#This Row],[Weter]])</f>
        <v>77° 1' 18,10" W</v>
      </c>
      <c r="Z214" s="28">
        <v>77</v>
      </c>
      <c r="AA214" s="28">
        <v>1</v>
      </c>
      <c r="AB214" s="28">
        <v>18.100000000017644</v>
      </c>
      <c r="AC214" s="23" t="s">
        <v>193</v>
      </c>
      <c r="AD214" s="23">
        <v>34.82</v>
      </c>
      <c r="AE214" s="23">
        <v>0</v>
      </c>
    </row>
    <row r="215" spans="1:31" x14ac:dyDescent="0.35">
      <c r="A215" s="29" t="s">
        <v>916</v>
      </c>
      <c r="B215" s="29" t="s">
        <v>917</v>
      </c>
      <c r="C215" s="21">
        <v>14</v>
      </c>
      <c r="D215" s="21">
        <v>1903</v>
      </c>
      <c r="E215" s="30">
        <v>43460</v>
      </c>
      <c r="F215" s="28" t="s">
        <v>577</v>
      </c>
      <c r="G215" s="28">
        <f>INDEX($C$2:$D$37,MATCH(RESOLUCIONES[[#This Row],[No. Canal]],$C$2:$C$37,0),2)</f>
        <v>473</v>
      </c>
      <c r="I215" s="28" t="s">
        <v>918</v>
      </c>
      <c r="J215" s="28" t="s">
        <v>382</v>
      </c>
      <c r="K215" s="28" t="str">
        <f t="shared" si="4"/>
        <v>ChivoloMagdalena</v>
      </c>
      <c r="L215" s="28"/>
      <c r="M215" s="28"/>
      <c r="N215" s="28"/>
      <c r="O215" s="69"/>
      <c r="P215" s="28"/>
      <c r="Q215" s="28" t="s">
        <v>919</v>
      </c>
      <c r="R215" s="28">
        <v>1.6847222222222222</v>
      </c>
      <c r="S215" s="28">
        <v>-77.01947222222222</v>
      </c>
      <c r="T215" s="28" t="str">
        <f>_xlfn.CONCAT(COORDENADAS[[#This Row],[G]],"° ",COORDENADAS[[#This Row],[M]],"' ",FIXED(COORDENADAS[[#This Row],[S]],2),""" ",COORDENADAS[[#This Row],[Norte]])</f>
        <v>1° 41' 4,73" N</v>
      </c>
      <c r="U215" s="41">
        <v>1</v>
      </c>
      <c r="V215" s="41">
        <v>41</v>
      </c>
      <c r="W215" s="56">
        <v>4.7280947999996492</v>
      </c>
      <c r="X215" s="23" t="s">
        <v>192</v>
      </c>
      <c r="Y215" s="28" t="str">
        <f>_xlfn.CONCAT(COORDENADAS[[#This Row],[GG]],"° ",COORDENADAS[[#This Row],[MM]],"' ",FIXED(COORDENADAS[[#This Row],[SS]],2),""" ",COORDENADAS[[#This Row],[Weter]])</f>
        <v>77° 1' 9,47" W</v>
      </c>
      <c r="Z215" s="28">
        <v>77</v>
      </c>
      <c r="AA215" s="28">
        <v>1</v>
      </c>
      <c r="AB215" s="28">
        <v>9.4691279999744893</v>
      </c>
      <c r="AC215" s="23" t="s">
        <v>193</v>
      </c>
      <c r="AD215" s="23">
        <v>40.799999999999997</v>
      </c>
      <c r="AE215" s="23">
        <v>41</v>
      </c>
    </row>
    <row r="216" spans="1:31" x14ac:dyDescent="0.35">
      <c r="A216" s="29" t="s">
        <v>920</v>
      </c>
      <c r="B216" s="29" t="s">
        <v>921</v>
      </c>
      <c r="C216" s="21">
        <v>14</v>
      </c>
      <c r="D216" s="21">
        <v>1903</v>
      </c>
      <c r="E216" s="30">
        <v>43460</v>
      </c>
      <c r="F216" s="28" t="s">
        <v>577</v>
      </c>
      <c r="G216" s="28">
        <f>INDEX($C$2:$D$37,MATCH(RESOLUCIONES[[#This Row],[No. Canal]],$C$2:$C$37,0),2)</f>
        <v>473</v>
      </c>
      <c r="I216" s="28" t="s">
        <v>922</v>
      </c>
      <c r="J216" s="28" t="s">
        <v>274</v>
      </c>
      <c r="K216" s="28" t="str">
        <f t="shared" si="4"/>
        <v>ChivorBoyaca</v>
      </c>
      <c r="L216" s="28"/>
      <c r="M216" s="28"/>
      <c r="N216" s="28"/>
      <c r="O216" s="69"/>
      <c r="P216" s="28"/>
      <c r="Q216" s="28" t="s">
        <v>920</v>
      </c>
      <c r="R216" s="28">
        <v>8.3081388888888892</v>
      </c>
      <c r="S216" s="28">
        <v>-76.389861111111117</v>
      </c>
      <c r="T216" s="28" t="str">
        <f>_xlfn.CONCAT(COORDENADAS[[#This Row],[G]],"° ",COORDENADAS[[#This Row],[M]],"' ",FIXED(COORDENADAS[[#This Row],[S]],2),""" ",COORDENADAS[[#This Row],[Norte]])</f>
        <v>8° 18' 29,30" N</v>
      </c>
      <c r="U216" s="41">
        <v>8</v>
      </c>
      <c r="V216" s="41">
        <v>18</v>
      </c>
      <c r="W216" s="56">
        <v>29.300000000001102</v>
      </c>
      <c r="X216" s="23" t="s">
        <v>192</v>
      </c>
      <c r="Y216" s="28" t="str">
        <f>_xlfn.CONCAT(COORDENADAS[[#This Row],[GG]],"° ",COORDENADAS[[#This Row],[MM]],"' ",FIXED(COORDENADAS[[#This Row],[SS]],2),""" ",COORDENADAS[[#This Row],[Weter]])</f>
        <v>76° 23' 23,50" W</v>
      </c>
      <c r="Z216" s="28">
        <v>76</v>
      </c>
      <c r="AA216" s="28">
        <v>23</v>
      </c>
      <c r="AB216" s="28">
        <v>23.500000000019462</v>
      </c>
      <c r="AC216" s="23" t="s">
        <v>193</v>
      </c>
      <c r="AD216" s="23">
        <v>36.700000000000003</v>
      </c>
      <c r="AE216" s="23">
        <v>0</v>
      </c>
    </row>
    <row r="217" spans="1:31" x14ac:dyDescent="0.35">
      <c r="A217" s="29" t="s">
        <v>923</v>
      </c>
      <c r="B217" s="29" t="s">
        <v>924</v>
      </c>
      <c r="C217" s="21">
        <v>14</v>
      </c>
      <c r="D217" s="21">
        <v>1903</v>
      </c>
      <c r="E217" s="30">
        <v>43460</v>
      </c>
      <c r="F217" s="28" t="s">
        <v>577</v>
      </c>
      <c r="G217" s="28">
        <f>INDEX($C$2:$D$37,MATCH(RESOLUCIONES[[#This Row],[No. Canal]],$C$2:$C$37,0),2)</f>
        <v>473</v>
      </c>
      <c r="I217" s="28" t="s">
        <v>925</v>
      </c>
      <c r="J217" s="28" t="s">
        <v>283</v>
      </c>
      <c r="K217" s="28" t="str">
        <f t="shared" si="4"/>
        <v>ChoachíCundinamarca</v>
      </c>
      <c r="L217" s="28"/>
      <c r="M217" s="28"/>
      <c r="N217" s="28"/>
      <c r="O217" s="69"/>
      <c r="P217" s="28"/>
      <c r="Q217" s="28" t="s">
        <v>923</v>
      </c>
      <c r="R217" s="28">
        <v>6.288555555555555</v>
      </c>
      <c r="S217" s="28">
        <v>-75.029388888888889</v>
      </c>
      <c r="T217" s="28" t="str">
        <f>_xlfn.CONCAT(COORDENADAS[[#This Row],[G]],"° ",COORDENADAS[[#This Row],[M]],"' ",FIXED(COORDENADAS[[#This Row],[S]],2),""" ",COORDENADAS[[#This Row],[Norte]])</f>
        <v>6° 17' 18,80" N</v>
      </c>
      <c r="U217" s="41">
        <v>6</v>
      </c>
      <c r="V217" s="41">
        <v>17</v>
      </c>
      <c r="W217" s="56">
        <v>18.799999999998064</v>
      </c>
      <c r="X217" s="23" t="s">
        <v>192</v>
      </c>
      <c r="Y217" s="28" t="str">
        <f>_xlfn.CONCAT(COORDENADAS[[#This Row],[GG]],"° ",COORDENADAS[[#This Row],[MM]],"' ",FIXED(COORDENADAS[[#This Row],[SS]],2),""" ",COORDENADAS[[#This Row],[Weter]])</f>
        <v>75° 1' 45,80" W</v>
      </c>
      <c r="Z217" s="28">
        <v>75</v>
      </c>
      <c r="AA217" s="28">
        <v>1</v>
      </c>
      <c r="AB217" s="28">
        <v>45.799999999999272</v>
      </c>
      <c r="AC217" s="23" t="s">
        <v>193</v>
      </c>
      <c r="AD217" s="23">
        <v>34.82</v>
      </c>
      <c r="AE217" s="23">
        <v>0</v>
      </c>
    </row>
    <row r="218" spans="1:31" x14ac:dyDescent="0.35">
      <c r="A218" s="21" t="s">
        <v>926</v>
      </c>
      <c r="B218" s="29" t="s">
        <v>927</v>
      </c>
      <c r="C218" s="21">
        <v>14</v>
      </c>
      <c r="D218" s="21">
        <v>1709</v>
      </c>
      <c r="E218" s="30">
        <v>44390</v>
      </c>
      <c r="F218" s="28" t="s">
        <v>928</v>
      </c>
      <c r="G218" s="28">
        <f>INDEX($C$2:$D$37,MATCH(RESOLUCIONES[[#This Row],[No. Canal]],$C$2:$C$37,0),2)</f>
        <v>473</v>
      </c>
      <c r="I218" s="28" t="s">
        <v>929</v>
      </c>
      <c r="J218" s="28" t="s">
        <v>283</v>
      </c>
      <c r="K218" s="28" t="str">
        <f t="shared" si="4"/>
        <v>ChocontáCundinamarca</v>
      </c>
      <c r="L218" s="28"/>
      <c r="M218" s="28"/>
      <c r="N218" s="28"/>
      <c r="O218" s="69"/>
      <c r="P218" s="28"/>
      <c r="Q218" s="28" t="s">
        <v>926</v>
      </c>
      <c r="R218" s="28">
        <v>6.4805555555555561</v>
      </c>
      <c r="S218" s="28">
        <v>-75.021111111111111</v>
      </c>
      <c r="T218" s="28" t="str">
        <f>_xlfn.CONCAT(COORDENADAS[[#This Row],[G]],"° ",COORDENADAS[[#This Row],[M]],"' ",FIXED(COORDENADAS[[#This Row],[S]],2),""" ",COORDENADAS[[#This Row],[Norte]])</f>
        <v>6° 28' 50,00" N</v>
      </c>
      <c r="U218" s="41">
        <v>6</v>
      </c>
      <c r="V218" s="41">
        <v>28</v>
      </c>
      <c r="W218" s="56">
        <v>50.000000000001819</v>
      </c>
      <c r="X218" s="23" t="s">
        <v>192</v>
      </c>
      <c r="Y218" s="28" t="str">
        <f>_xlfn.CONCAT(COORDENADAS[[#This Row],[GG]],"° ",COORDENADAS[[#This Row],[MM]],"' ",FIXED(COORDENADAS[[#This Row],[SS]],2),""" ",COORDENADAS[[#This Row],[Weter]])</f>
        <v>75° 1' 16,00" W</v>
      </c>
      <c r="Z218" s="28">
        <v>75</v>
      </c>
      <c r="AA218" s="28">
        <v>1</v>
      </c>
      <c r="AB218" s="28">
        <v>15.999999999999091</v>
      </c>
      <c r="AC218" s="23" t="s">
        <v>193</v>
      </c>
      <c r="AD218" s="23">
        <v>51.36</v>
      </c>
      <c r="AE218" s="23">
        <v>0</v>
      </c>
    </row>
    <row r="219" spans="1:31" x14ac:dyDescent="0.35">
      <c r="A219" s="29" t="s">
        <v>930</v>
      </c>
      <c r="B219" s="29" t="s">
        <v>931</v>
      </c>
      <c r="C219" s="21">
        <v>14</v>
      </c>
      <c r="D219" s="21">
        <v>1903</v>
      </c>
      <c r="E219" s="30">
        <v>43460</v>
      </c>
      <c r="F219" s="28" t="s">
        <v>577</v>
      </c>
      <c r="G219" s="28">
        <f>INDEX($C$2:$D$37,MATCH(RESOLUCIONES[[#This Row],[No. Canal]],$C$2:$C$37,0),2)</f>
        <v>473</v>
      </c>
      <c r="I219" s="28" t="s">
        <v>932</v>
      </c>
      <c r="J219" s="28" t="s">
        <v>260</v>
      </c>
      <c r="K219" s="28" t="str">
        <f t="shared" si="4"/>
        <v>CicucoBolivar</v>
      </c>
      <c r="L219" s="28"/>
      <c r="M219" s="28"/>
      <c r="N219" s="28"/>
      <c r="O219" s="69"/>
      <c r="P219" s="28"/>
      <c r="Q219" s="28" t="s">
        <v>930</v>
      </c>
      <c r="R219" s="28">
        <v>2.1166111111111112</v>
      </c>
      <c r="S219" s="28">
        <v>-74.767777777777781</v>
      </c>
      <c r="T219" s="28" t="str">
        <f>_xlfn.CONCAT(COORDENADAS[[#This Row],[G]],"° ",COORDENADAS[[#This Row],[M]],"' ",FIXED(COORDENADAS[[#This Row],[S]],2),""" ",COORDENADAS[[#This Row],[Norte]])</f>
        <v>2° 6' 59,80" N</v>
      </c>
      <c r="U219" s="41">
        <v>2</v>
      </c>
      <c r="V219" s="41">
        <v>6</v>
      </c>
      <c r="W219" s="56">
        <v>59.8</v>
      </c>
      <c r="X219" s="23" t="s">
        <v>192</v>
      </c>
      <c r="Y219" s="28" t="str">
        <f>_xlfn.CONCAT(COORDENADAS[[#This Row],[GG]],"° ",COORDENADAS[[#This Row],[MM]],"' ",FIXED(COORDENADAS[[#This Row],[SS]],2),""" ",COORDENADAS[[#This Row],[Weter]])</f>
        <v>74° 46' 4,00" W</v>
      </c>
      <c r="Z219" s="28">
        <v>74</v>
      </c>
      <c r="AA219" s="28">
        <v>46</v>
      </c>
      <c r="AB219" s="28">
        <v>4.0000000000098179</v>
      </c>
      <c r="AC219" s="23" t="s">
        <v>193</v>
      </c>
      <c r="AD219" s="23">
        <v>34.82</v>
      </c>
      <c r="AE219" s="23">
        <v>0</v>
      </c>
    </row>
    <row r="220" spans="1:31" x14ac:dyDescent="0.35">
      <c r="A220" s="29" t="s">
        <v>537</v>
      </c>
      <c r="B220" s="29" t="s">
        <v>933</v>
      </c>
      <c r="C220" s="21">
        <v>14</v>
      </c>
      <c r="D220" s="21">
        <v>1903</v>
      </c>
      <c r="E220" s="30">
        <v>43460</v>
      </c>
      <c r="F220" s="28" t="s">
        <v>577</v>
      </c>
      <c r="G220" s="28">
        <f>INDEX($C$2:$D$37,MATCH(RESOLUCIONES[[#This Row],[No. Canal]],$C$2:$C$37,0),2)</f>
        <v>473</v>
      </c>
      <c r="I220" s="28" t="s">
        <v>934</v>
      </c>
      <c r="J220" s="28" t="s">
        <v>382</v>
      </c>
      <c r="K220" s="28" t="str">
        <f t="shared" si="4"/>
        <v>CiénagaMagdalena</v>
      </c>
      <c r="L220" s="28"/>
      <c r="M220" s="28"/>
      <c r="N220" s="28"/>
      <c r="O220" s="69"/>
      <c r="P220" s="28"/>
      <c r="Q220" s="28" t="s">
        <v>935</v>
      </c>
      <c r="R220" s="28">
        <v>2.1102500000000002</v>
      </c>
      <c r="S220" s="28">
        <v>-74.764722222000003</v>
      </c>
      <c r="T220" s="28" t="str">
        <f>_xlfn.CONCAT(COORDENADAS[[#This Row],[G]],"° ",COORDENADAS[[#This Row],[M]],"' ",FIXED(COORDENADAS[[#This Row],[S]],2),""" ",COORDENADAS[[#This Row],[Norte]])</f>
        <v>2° 6' 36,90" N</v>
      </c>
      <c r="U220" s="41">
        <v>2</v>
      </c>
      <c r="V220" s="41">
        <v>6</v>
      </c>
      <c r="W220" s="56">
        <v>36.900000000000631</v>
      </c>
      <c r="X220" s="23" t="s">
        <v>192</v>
      </c>
      <c r="Y220" s="28" t="str">
        <f>_xlfn.CONCAT(COORDENADAS[[#This Row],[GG]],"° ",COORDENADAS[[#This Row],[MM]],"' ",FIXED(COORDENADAS[[#This Row],[SS]],2),""" ",COORDENADAS[[#This Row],[Weter]])</f>
        <v>74° 45' 53,00" W</v>
      </c>
      <c r="Z220" s="28">
        <v>74</v>
      </c>
      <c r="AA220" s="28">
        <v>45</v>
      </c>
      <c r="AB220" s="28">
        <v>52.999999200011416</v>
      </c>
      <c r="AC220" s="23" t="s">
        <v>193</v>
      </c>
      <c r="AD220" s="23">
        <v>40.799999999999997</v>
      </c>
      <c r="AE220" s="23">
        <v>40.700000000000003</v>
      </c>
    </row>
    <row r="221" spans="1:31" x14ac:dyDescent="0.35">
      <c r="A221" s="29" t="s">
        <v>936</v>
      </c>
      <c r="B221" s="29" t="s">
        <v>937</v>
      </c>
      <c r="C221" s="21">
        <v>14</v>
      </c>
      <c r="D221" s="21">
        <v>1903</v>
      </c>
      <c r="E221" s="30">
        <v>43460</v>
      </c>
      <c r="F221" s="28" t="s">
        <v>577</v>
      </c>
      <c r="G221" s="28">
        <f>INDEX($C$2:$D$37,MATCH(RESOLUCIONES[[#This Row],[No. Canal]],$C$2:$C$37,0),2)</f>
        <v>473</v>
      </c>
      <c r="I221" s="28" t="s">
        <v>938</v>
      </c>
      <c r="J221" s="28" t="s">
        <v>337</v>
      </c>
      <c r="K221" s="28" t="str">
        <f t="shared" si="4"/>
        <v>Ciénaga de OroCordoba</v>
      </c>
      <c r="L221" s="28"/>
      <c r="M221" s="28"/>
      <c r="N221" s="28"/>
      <c r="O221" s="69"/>
      <c r="P221" s="28"/>
      <c r="Q221" s="28" t="s">
        <v>936</v>
      </c>
      <c r="R221" s="28">
        <v>1.3268055555555556</v>
      </c>
      <c r="S221" s="28">
        <v>-77.484361111111113</v>
      </c>
      <c r="T221" s="28" t="str">
        <f>_xlfn.CONCAT(COORDENADAS[[#This Row],[G]],"° ",COORDENADAS[[#This Row],[M]],"' ",FIXED(COORDENADAS[[#This Row],[S]],2),""" ",COORDENADAS[[#This Row],[Norte]])</f>
        <v>1° 19' 36,50" N</v>
      </c>
      <c r="U221" s="41">
        <v>1</v>
      </c>
      <c r="V221" s="41">
        <v>19</v>
      </c>
      <c r="W221" s="56">
        <v>36.500000000000114</v>
      </c>
      <c r="X221" s="23" t="s">
        <v>192</v>
      </c>
      <c r="Y221" s="28" t="str">
        <f>_xlfn.CONCAT(COORDENADAS[[#This Row],[GG]],"° ",COORDENADAS[[#This Row],[MM]],"' ",FIXED(COORDENADAS[[#This Row],[SS]],2),""" ",COORDENADAS[[#This Row],[Weter]])</f>
        <v>77° 29' 3,70" W</v>
      </c>
      <c r="Z221" s="28">
        <v>77</v>
      </c>
      <c r="AA221" s="28">
        <v>29</v>
      </c>
      <c r="AB221" s="28">
        <v>3.7000000000068534</v>
      </c>
      <c r="AC221" s="23" t="s">
        <v>193</v>
      </c>
      <c r="AD221" s="23">
        <v>34.82</v>
      </c>
      <c r="AE221" s="23">
        <v>0</v>
      </c>
    </row>
    <row r="222" spans="1:31" x14ac:dyDescent="0.35">
      <c r="A222" s="29" t="s">
        <v>939</v>
      </c>
      <c r="B222" s="29" t="s">
        <v>940</v>
      </c>
      <c r="C222" s="21">
        <v>14</v>
      </c>
      <c r="D222" s="32" t="s">
        <v>596</v>
      </c>
      <c r="E222" s="31">
        <v>40904</v>
      </c>
      <c r="F222" s="28" t="s">
        <v>597</v>
      </c>
      <c r="G222" s="28">
        <f>INDEX($C$2:$D$37,MATCH(RESOLUCIONES[[#This Row],[No. Canal]],$C$2:$C$37,0),2)</f>
        <v>473</v>
      </c>
      <c r="I222" s="28" t="s">
        <v>941</v>
      </c>
      <c r="J222" s="28" t="s">
        <v>274</v>
      </c>
      <c r="K222" s="28" t="str">
        <f t="shared" si="4"/>
        <v>CiénegaBoyaca</v>
      </c>
      <c r="L222" s="28"/>
      <c r="M222" s="28"/>
      <c r="N222" s="28"/>
      <c r="O222" s="69"/>
      <c r="P222" s="28"/>
      <c r="Q222" s="28" t="s">
        <v>942</v>
      </c>
      <c r="R222" s="28">
        <v>1.3268888888888888</v>
      </c>
      <c r="S222" s="28">
        <v>-77.484194444444441</v>
      </c>
      <c r="T222" s="28" t="str">
        <f>_xlfn.CONCAT(COORDENADAS[[#This Row],[G]],"° ",COORDENADAS[[#This Row],[M]],"' ",FIXED(COORDENADAS[[#This Row],[S]],2),""" ",COORDENADAS[[#This Row],[Norte]])</f>
        <v>1° 19' 36,46" N</v>
      </c>
      <c r="U222" s="41">
        <v>1</v>
      </c>
      <c r="V222" s="41">
        <v>19</v>
      </c>
      <c r="W222" s="56">
        <v>36.463864799999882</v>
      </c>
      <c r="X222" s="23" t="s">
        <v>192</v>
      </c>
      <c r="Y222" s="28" t="str">
        <f>_xlfn.CONCAT(COORDENADAS[[#This Row],[GG]],"° ",COORDENADAS[[#This Row],[MM]],"' ",FIXED(COORDENADAS[[#This Row],[SS]],2),""" ",COORDENADAS[[#This Row],[Weter]])</f>
        <v>77° 29' 3,06" W</v>
      </c>
      <c r="Z222" s="28">
        <v>77</v>
      </c>
      <c r="AA222" s="28">
        <v>29</v>
      </c>
      <c r="AB222" s="28">
        <v>3.0644556000004153</v>
      </c>
      <c r="AC222" s="23" t="s">
        <v>193</v>
      </c>
      <c r="AD222" s="23">
        <v>40.799999999999997</v>
      </c>
      <c r="AE222" s="23">
        <v>41</v>
      </c>
    </row>
    <row r="223" spans="1:31" x14ac:dyDescent="0.35">
      <c r="A223" s="29" t="s">
        <v>943</v>
      </c>
      <c r="B223" s="29" t="s">
        <v>944</v>
      </c>
      <c r="C223" s="21">
        <v>14</v>
      </c>
      <c r="D223" s="32" t="s">
        <v>596</v>
      </c>
      <c r="E223" s="31">
        <v>40904</v>
      </c>
      <c r="F223" s="28" t="s">
        <v>597</v>
      </c>
      <c r="G223" s="28">
        <f>INDEX($C$2:$D$37,MATCH(RESOLUCIONES[[#This Row],[No. Canal]],$C$2:$C$37,0),2)</f>
        <v>473</v>
      </c>
      <c r="I223" s="28" t="s">
        <v>945</v>
      </c>
      <c r="J223" s="28" t="s">
        <v>304</v>
      </c>
      <c r="K223" s="28" t="str">
        <f t="shared" si="4"/>
        <v>CimitarraSantander</v>
      </c>
      <c r="L223" s="28"/>
      <c r="M223" s="28"/>
      <c r="N223" s="28"/>
      <c r="O223" s="69"/>
      <c r="P223" s="28"/>
      <c r="Q223" s="28" t="s">
        <v>939</v>
      </c>
      <c r="R223" s="28">
        <v>4.5202499999999999</v>
      </c>
      <c r="S223" s="28">
        <v>-74.102805555555548</v>
      </c>
      <c r="T223" s="28" t="str">
        <f>_xlfn.CONCAT(COORDENADAS[[#This Row],[G]],"° ",COORDENADAS[[#This Row],[M]],"' ",FIXED(COORDENADAS[[#This Row],[S]],2),""" ",COORDENADAS[[#This Row],[Norte]])</f>
        <v>4° 31' 12,90" N</v>
      </c>
      <c r="U223" s="41">
        <v>4</v>
      </c>
      <c r="V223" s="41">
        <v>31</v>
      </c>
      <c r="W223" s="56">
        <v>12.899999999999379</v>
      </c>
      <c r="X223" s="23" t="s">
        <v>192</v>
      </c>
      <c r="Y223" s="28" t="str">
        <f>_xlfn.CONCAT(COORDENADAS[[#This Row],[GG]],"° ",COORDENADAS[[#This Row],[MM]],"' ",FIXED(COORDENADAS[[#This Row],[SS]],2),""" ",COORDENADAS[[#This Row],[Weter]])</f>
        <v>74° 6' 10,10" W</v>
      </c>
      <c r="Z223" s="28">
        <v>74</v>
      </c>
      <c r="AA223" s="28">
        <v>6</v>
      </c>
      <c r="AB223" s="28">
        <v>10.099999999973742</v>
      </c>
      <c r="AC223" s="23" t="s">
        <v>193</v>
      </c>
      <c r="AD223" s="23">
        <v>48.38</v>
      </c>
      <c r="AE223" s="23">
        <v>0</v>
      </c>
    </row>
    <row r="224" spans="1:31" x14ac:dyDescent="0.35">
      <c r="A224" s="29" t="s">
        <v>946</v>
      </c>
      <c r="B224" s="29" t="s">
        <v>947</v>
      </c>
      <c r="C224" s="21">
        <v>26</v>
      </c>
      <c r="D224" s="21">
        <v>1903</v>
      </c>
      <c r="E224" s="30">
        <v>43460</v>
      </c>
      <c r="F224" s="28" t="s">
        <v>577</v>
      </c>
      <c r="G224" s="28">
        <f>INDEX($C$2:$D$37,MATCH(RESOLUCIONES[[#This Row],[No. Canal]],$C$2:$C$37,0),2)</f>
        <v>545</v>
      </c>
      <c r="I224" s="28" t="s">
        <v>948</v>
      </c>
      <c r="J224" s="28" t="s">
        <v>401</v>
      </c>
      <c r="K224" s="28" t="str">
        <f t="shared" si="4"/>
        <v>CircasiaQuindio</v>
      </c>
      <c r="L224" s="28"/>
      <c r="M224" s="28"/>
      <c r="N224" s="28"/>
      <c r="O224" s="69"/>
      <c r="P224" s="28"/>
      <c r="Q224" s="28" t="s">
        <v>943</v>
      </c>
      <c r="R224" s="28">
        <v>11.234916666666665</v>
      </c>
      <c r="S224" s="28">
        <v>-74.183138888888891</v>
      </c>
      <c r="T224" s="28" t="str">
        <f>_xlfn.CONCAT(COORDENADAS[[#This Row],[G]],"° ",COORDENADAS[[#This Row],[M]],"' ",FIXED(COORDENADAS[[#This Row],[S]],2),""" ",COORDENADAS[[#This Row],[Norte]])</f>
        <v>11° 14' 5,70" N</v>
      </c>
      <c r="U224" s="41">
        <v>11</v>
      </c>
      <c r="V224" s="41">
        <v>14</v>
      </c>
      <c r="W224" s="56">
        <v>5.6999999999943762</v>
      </c>
      <c r="X224" s="23" t="s">
        <v>192</v>
      </c>
      <c r="Y224" s="28" t="str">
        <f>_xlfn.CONCAT(COORDENADAS[[#This Row],[GG]],"° ",COORDENADAS[[#This Row],[MM]],"' ",FIXED(COORDENADAS[[#This Row],[SS]],2),""" ",COORDENADAS[[#This Row],[Weter]])</f>
        <v>74° 10' 59,30" W</v>
      </c>
      <c r="Z224" s="28">
        <v>74</v>
      </c>
      <c r="AA224" s="28">
        <v>10</v>
      </c>
      <c r="AB224" s="28">
        <v>59.300000000007493</v>
      </c>
      <c r="AC224" s="23" t="s">
        <v>193</v>
      </c>
      <c r="AD224" s="23">
        <v>48.38</v>
      </c>
      <c r="AE224" s="23">
        <v>0</v>
      </c>
    </row>
    <row r="225" spans="1:31" x14ac:dyDescent="0.35">
      <c r="A225" s="29" t="s">
        <v>949</v>
      </c>
      <c r="B225" s="29" t="s">
        <v>950</v>
      </c>
      <c r="C225" s="21">
        <v>22</v>
      </c>
      <c r="D225" s="21">
        <v>1903</v>
      </c>
      <c r="E225" s="30">
        <v>43460</v>
      </c>
      <c r="F225" s="28" t="s">
        <v>577</v>
      </c>
      <c r="G225" s="28">
        <f>INDEX($C$2:$D$37,MATCH(RESOLUCIONES[[#This Row],[No. Canal]],$C$2:$C$37,0),2)</f>
        <v>521</v>
      </c>
      <c r="I225" s="28" t="s">
        <v>951</v>
      </c>
      <c r="J225" s="28" t="s">
        <v>154</v>
      </c>
      <c r="K225" s="28" t="str">
        <f t="shared" si="4"/>
        <v>CisnerosAntioquia</v>
      </c>
      <c r="L225" s="28"/>
      <c r="M225" s="28"/>
      <c r="N225" s="28"/>
      <c r="O225" s="69"/>
      <c r="P225" s="28"/>
      <c r="Q225" s="28" t="s">
        <v>952</v>
      </c>
      <c r="R225" s="28">
        <v>3.3697222222222223</v>
      </c>
      <c r="S225" s="28">
        <v>-75.590277777777771</v>
      </c>
      <c r="T225" s="28" t="str">
        <f>_xlfn.CONCAT(COORDENADAS[[#This Row],[G]],"° ",COORDENADAS[[#This Row],[M]],"' ",FIXED(COORDENADAS[[#This Row],[S]],2),""" ",COORDENADAS[[#This Row],[Norte]])</f>
        <v>3° 22' 11,00" N</v>
      </c>
      <c r="U225" s="41">
        <v>3</v>
      </c>
      <c r="V225" s="41">
        <v>22</v>
      </c>
      <c r="W225" s="56">
        <v>10.999999200000254</v>
      </c>
      <c r="X225" s="23" t="s">
        <v>192</v>
      </c>
      <c r="Y225" s="28" t="str">
        <f>_xlfn.CONCAT(COORDENADAS[[#This Row],[GG]],"° ",COORDENADAS[[#This Row],[MM]],"' ",FIXED(COORDENADAS[[#This Row],[SS]],2),""" ",COORDENADAS[[#This Row],[Weter]])</f>
        <v>75° 35' 25,00" W</v>
      </c>
      <c r="Z225" s="28">
        <v>75</v>
      </c>
      <c r="AA225" s="28">
        <v>35</v>
      </c>
      <c r="AB225" s="28">
        <v>25.00000799997779</v>
      </c>
      <c r="AC225" s="23" t="s">
        <v>193</v>
      </c>
      <c r="AD225" s="23">
        <v>41.6</v>
      </c>
      <c r="AE225" s="23">
        <v>41.7</v>
      </c>
    </row>
    <row r="226" spans="1:31" x14ac:dyDescent="0.35">
      <c r="A226" s="29" t="s">
        <v>953</v>
      </c>
      <c r="B226" s="29" t="s">
        <v>954</v>
      </c>
      <c r="C226" s="21">
        <v>14</v>
      </c>
      <c r="D226" s="21">
        <v>1903</v>
      </c>
      <c r="E226" s="30">
        <v>43460</v>
      </c>
      <c r="F226" s="28" t="s">
        <v>577</v>
      </c>
      <c r="G226" s="28">
        <f>INDEX($C$2:$D$37,MATCH(RESOLUCIONES[[#This Row],[No. Canal]],$C$2:$C$37,0),2)</f>
        <v>473</v>
      </c>
      <c r="I226" s="28" t="s">
        <v>955</v>
      </c>
      <c r="J226" s="28" t="s">
        <v>154</v>
      </c>
      <c r="K226" s="28" t="str">
        <f t="shared" si="4"/>
        <v>Ciudad BolívarAntioquia</v>
      </c>
      <c r="L226" s="28"/>
      <c r="M226" s="28"/>
      <c r="N226" s="28"/>
      <c r="O226" s="69"/>
      <c r="P226" s="28"/>
      <c r="Q226" s="28" t="s">
        <v>946</v>
      </c>
      <c r="R226" s="28">
        <v>6.1414722222222222</v>
      </c>
      <c r="S226" s="28">
        <v>-75.270611111111108</v>
      </c>
      <c r="T226" s="28" t="str">
        <f>_xlfn.CONCAT(COORDENADAS[[#This Row],[G]],"° ",COORDENADAS[[#This Row],[M]],"' ",FIXED(COORDENADAS[[#This Row],[S]],2),""" ",COORDENADAS[[#This Row],[Norte]])</f>
        <v>6° 8' 29,30" N</v>
      </c>
      <c r="U226" s="41">
        <v>6</v>
      </c>
      <c r="V226" s="41">
        <v>8</v>
      </c>
      <c r="W226" s="56">
        <v>29.300000000000004</v>
      </c>
      <c r="X226" s="23" t="s">
        <v>192</v>
      </c>
      <c r="Y226" s="28" t="str">
        <f>_xlfn.CONCAT(COORDENADAS[[#This Row],[GG]],"° ",COORDENADAS[[#This Row],[MM]],"' ",FIXED(COORDENADAS[[#This Row],[SS]],2),""" ",COORDENADAS[[#This Row],[Weter]])</f>
        <v>75° 16' 14,20" W</v>
      </c>
      <c r="Z226" s="28">
        <v>75</v>
      </c>
      <c r="AA226" s="28">
        <v>16</v>
      </c>
      <c r="AB226" s="28">
        <v>14.19999999999051</v>
      </c>
      <c r="AC226" s="23" t="s">
        <v>193</v>
      </c>
      <c r="AD226" s="23">
        <v>34.82</v>
      </c>
      <c r="AE226" s="23">
        <v>0</v>
      </c>
    </row>
    <row r="227" spans="1:31" x14ac:dyDescent="0.35">
      <c r="A227" s="29" t="s">
        <v>956</v>
      </c>
      <c r="B227" s="29" t="s">
        <v>957</v>
      </c>
      <c r="C227" s="21">
        <v>14</v>
      </c>
      <c r="D227" s="32" t="s">
        <v>596</v>
      </c>
      <c r="E227" s="31">
        <v>40904</v>
      </c>
      <c r="F227" s="28" t="s">
        <v>597</v>
      </c>
      <c r="G227" s="28">
        <f>INDEX($C$2:$D$37,MATCH(RESOLUCIONES[[#This Row],[No. Canal]],$C$2:$C$37,0),2)</f>
        <v>473</v>
      </c>
      <c r="I227" s="28" t="s">
        <v>958</v>
      </c>
      <c r="J227" s="28" t="s">
        <v>260</v>
      </c>
      <c r="K227" s="28" t="str">
        <f t="shared" si="4"/>
        <v>ClemenciaBolivar</v>
      </c>
      <c r="L227" s="28"/>
      <c r="M227" s="28"/>
      <c r="N227" s="28"/>
      <c r="O227" s="69"/>
      <c r="P227" s="28"/>
      <c r="Q227" s="28" t="s">
        <v>949</v>
      </c>
      <c r="R227" s="28">
        <v>6.9563611111111117</v>
      </c>
      <c r="S227" s="28">
        <v>-71.862469444444443</v>
      </c>
      <c r="T227" s="28" t="str">
        <f>_xlfn.CONCAT(COORDENADAS[[#This Row],[G]],"° ",COORDENADAS[[#This Row],[M]],"' ",FIXED(COORDENADAS[[#This Row],[S]],2),""" ",COORDENADAS[[#This Row],[Norte]])</f>
        <v>6° 57' 22,90" N</v>
      </c>
      <c r="U227" s="41">
        <v>6</v>
      </c>
      <c r="V227" s="41">
        <v>57</v>
      </c>
      <c r="W227" s="56">
        <v>22.900000000002141</v>
      </c>
      <c r="X227" s="23" t="s">
        <v>192</v>
      </c>
      <c r="Y227" s="28" t="str">
        <f>_xlfn.CONCAT(COORDENADAS[[#This Row],[GG]],"° ",COORDENADAS[[#This Row],[MM]],"' ",FIXED(COORDENADAS[[#This Row],[SS]],2),""" ",COORDENADAS[[#This Row],[Weter]])</f>
        <v>71° 51' 44,89" W</v>
      </c>
      <c r="Z227" s="28">
        <v>71</v>
      </c>
      <c r="AA227" s="28">
        <v>51</v>
      </c>
      <c r="AB227" s="28">
        <v>44.889999999994721</v>
      </c>
      <c r="AC227" s="23" t="s">
        <v>193</v>
      </c>
      <c r="AD227" s="23">
        <v>35.659999999999997</v>
      </c>
      <c r="AE227" s="23">
        <v>0</v>
      </c>
    </row>
    <row r="228" spans="1:31" x14ac:dyDescent="0.35">
      <c r="A228" s="29" t="s">
        <v>397</v>
      </c>
      <c r="B228" s="29" t="s">
        <v>959</v>
      </c>
      <c r="C228" s="21">
        <v>46</v>
      </c>
      <c r="D228" s="21">
        <v>2171</v>
      </c>
      <c r="E228" s="31">
        <v>43091</v>
      </c>
      <c r="F228" s="28" t="s">
        <v>590</v>
      </c>
      <c r="G228" s="28">
        <f>INDEX($C$2:$D$37,MATCH(RESOLUCIONES[[#This Row],[No. Canal]],$C$2:$C$37,0),2)</f>
        <v>665</v>
      </c>
      <c r="I228" s="28" t="s">
        <v>960</v>
      </c>
      <c r="J228" s="28" t="s">
        <v>154</v>
      </c>
      <c r="K228" s="28" t="str">
        <f t="shared" si="4"/>
        <v>CocornáAntioquia</v>
      </c>
      <c r="L228" s="28"/>
      <c r="M228" s="28"/>
      <c r="N228" s="28"/>
      <c r="O228" s="69"/>
      <c r="P228" s="28"/>
      <c r="Q228" s="28" t="s">
        <v>961</v>
      </c>
      <c r="R228" s="28">
        <v>6.9517222219999999</v>
      </c>
      <c r="S228" s="28">
        <v>-71.872124999999997</v>
      </c>
      <c r="T228" s="28" t="str">
        <f>_xlfn.CONCAT(COORDENADAS[[#This Row],[G]],"° ",COORDENADAS[[#This Row],[M]],"' ",FIXED(COORDENADAS[[#This Row],[S]],2),""" ",COORDENADAS[[#This Row],[Norte]])</f>
        <v>6° 57' 6,20" N</v>
      </c>
      <c r="U228" s="41">
        <v>6</v>
      </c>
      <c r="V228" s="41">
        <v>57</v>
      </c>
      <c r="W228" s="56">
        <v>6.1999991999997839</v>
      </c>
      <c r="X228" s="23" t="s">
        <v>192</v>
      </c>
      <c r="Y228" s="28" t="str">
        <f>_xlfn.CONCAT(COORDENADAS[[#This Row],[GG]],"° ",COORDENADAS[[#This Row],[MM]],"' ",FIXED(COORDENADAS[[#This Row],[SS]],2),""" ",COORDENADAS[[#This Row],[Weter]])</f>
        <v>71° 52' 19,65" W</v>
      </c>
      <c r="Z228" s="28">
        <v>71</v>
      </c>
      <c r="AA228" s="28">
        <v>52</v>
      </c>
      <c r="AB228" s="28">
        <v>19.649999999988843</v>
      </c>
      <c r="AC228" s="23" t="s">
        <v>193</v>
      </c>
      <c r="AD228" s="23">
        <v>41.6</v>
      </c>
      <c r="AE228" s="23">
        <v>41.8</v>
      </c>
    </row>
    <row r="229" spans="1:31" x14ac:dyDescent="0.35">
      <c r="A229" s="29" t="s">
        <v>962</v>
      </c>
      <c r="B229" s="29" t="s">
        <v>963</v>
      </c>
      <c r="C229" s="21">
        <v>21</v>
      </c>
      <c r="D229" s="21">
        <v>1903</v>
      </c>
      <c r="E229" s="30">
        <v>43460</v>
      </c>
      <c r="F229" s="28" t="s">
        <v>577</v>
      </c>
      <c r="G229" s="28">
        <f>INDEX($C$2:$D$37,MATCH(RESOLUCIONES[[#This Row],[No. Canal]],$C$2:$C$37,0),2)</f>
        <v>515</v>
      </c>
      <c r="I229" s="28" t="s">
        <v>964</v>
      </c>
      <c r="J229" s="28" t="s">
        <v>409</v>
      </c>
      <c r="K229" s="28" t="str">
        <f t="shared" si="4"/>
        <v>CoelloTolima</v>
      </c>
      <c r="L229" s="28"/>
      <c r="M229" s="28"/>
      <c r="N229" s="28"/>
      <c r="O229" s="69"/>
      <c r="P229" s="28"/>
      <c r="Q229" s="28" t="s">
        <v>953</v>
      </c>
      <c r="R229" s="28">
        <v>8.0815833333333327</v>
      </c>
      <c r="S229" s="28">
        <v>-72.811944444444435</v>
      </c>
      <c r="T229" s="28" t="str">
        <f>_xlfn.CONCAT(COORDENADAS[[#This Row],[G]],"° ",COORDENADAS[[#This Row],[M]],"' ",FIXED(COORDENADAS[[#This Row],[S]],2),""" ",COORDENADAS[[#This Row],[Norte]])</f>
        <v>8° 4' 53,70" N</v>
      </c>
      <c r="U229" s="41">
        <v>8</v>
      </c>
      <c r="V229" s="41">
        <v>4</v>
      </c>
      <c r="W229" s="56">
        <v>53.69999999999763</v>
      </c>
      <c r="X229" s="23" t="s">
        <v>192</v>
      </c>
      <c r="Y229" s="28" t="str">
        <f>_xlfn.CONCAT(COORDENADAS[[#This Row],[GG]],"° ",COORDENADAS[[#This Row],[MM]],"' ",FIXED(COORDENADAS[[#This Row],[SS]],2),""" ",COORDENADAS[[#This Row],[Weter]])</f>
        <v>72° 48' 43,00" W</v>
      </c>
      <c r="Z229" s="28">
        <v>72</v>
      </c>
      <c r="AA229" s="28">
        <v>48</v>
      </c>
      <c r="AB229" s="28">
        <v>42.999999999967557</v>
      </c>
      <c r="AC229" s="23" t="s">
        <v>193</v>
      </c>
      <c r="AD229" s="23">
        <v>34.82</v>
      </c>
      <c r="AE229" s="23">
        <v>0</v>
      </c>
    </row>
    <row r="230" spans="1:31" x14ac:dyDescent="0.35">
      <c r="A230" s="29" t="s">
        <v>965</v>
      </c>
      <c r="B230" s="29" t="s">
        <v>966</v>
      </c>
      <c r="C230" s="21">
        <v>14</v>
      </c>
      <c r="D230" s="21">
        <v>1903</v>
      </c>
      <c r="E230" s="30">
        <v>43460</v>
      </c>
      <c r="F230" s="28" t="s">
        <v>577</v>
      </c>
      <c r="G230" s="28">
        <f>INDEX($C$2:$D$37,MATCH(RESOLUCIONES[[#This Row],[No. Canal]],$C$2:$C$37,0),2)</f>
        <v>473</v>
      </c>
      <c r="I230" s="28" t="s">
        <v>967</v>
      </c>
      <c r="J230" s="28" t="s">
        <v>283</v>
      </c>
      <c r="K230" s="28" t="str">
        <f t="shared" si="4"/>
        <v>CoguaCundinamarca</v>
      </c>
      <c r="L230" s="28"/>
      <c r="M230" s="28"/>
      <c r="N230" s="28"/>
      <c r="O230" s="69"/>
      <c r="P230" s="28"/>
      <c r="Q230" s="28" t="s">
        <v>956</v>
      </c>
      <c r="R230" s="28">
        <v>6.2186666666666666</v>
      </c>
      <c r="S230" s="28">
        <v>-75.54505555555555</v>
      </c>
      <c r="T230" s="28" t="str">
        <f>_xlfn.CONCAT(COORDENADAS[[#This Row],[G]],"° ",COORDENADAS[[#This Row],[M]],"' ",FIXED(COORDENADAS[[#This Row],[S]],2),""" ",COORDENADAS[[#This Row],[Norte]])</f>
        <v>6° 13' 7,20" N</v>
      </c>
      <c r="U230" s="41">
        <v>6</v>
      </c>
      <c r="V230" s="41">
        <v>13</v>
      </c>
      <c r="W230" s="56">
        <v>7.1999999999996067</v>
      </c>
      <c r="X230" s="23" t="s">
        <v>192</v>
      </c>
      <c r="Y230" s="28" t="str">
        <f>_xlfn.CONCAT(COORDENADAS[[#This Row],[GG]],"° ",COORDENADAS[[#This Row],[MM]],"' ",FIXED(COORDENADAS[[#This Row],[SS]],2),""" ",COORDENADAS[[#This Row],[Weter]])</f>
        <v>75° 32' 42,20" W</v>
      </c>
      <c r="Z230" s="28">
        <v>75</v>
      </c>
      <c r="AA230" s="28">
        <v>32</v>
      </c>
      <c r="AB230" s="28">
        <v>42.199999999978701</v>
      </c>
      <c r="AC230" s="23" t="s">
        <v>193</v>
      </c>
      <c r="AD230" s="23">
        <v>48.38</v>
      </c>
      <c r="AE230" s="23">
        <v>0</v>
      </c>
    </row>
    <row r="231" spans="1:31" x14ac:dyDescent="0.35">
      <c r="A231" s="29" t="s">
        <v>968</v>
      </c>
      <c r="B231" s="29" t="s">
        <v>969</v>
      </c>
      <c r="C231" s="21">
        <v>41</v>
      </c>
      <c r="D231" s="21">
        <v>1903</v>
      </c>
      <c r="E231" s="30">
        <v>43460</v>
      </c>
      <c r="F231" s="28" t="s">
        <v>577</v>
      </c>
      <c r="G231" s="28">
        <f>INDEX($C$2:$D$37,MATCH(RESOLUCIONES[[#This Row],[No. Canal]],$C$2:$C$37,0),2)</f>
        <v>635</v>
      </c>
      <c r="I231" s="28" t="s">
        <v>970</v>
      </c>
      <c r="J231" s="28" t="s">
        <v>245</v>
      </c>
      <c r="K231" s="28" t="str">
        <f t="shared" si="4"/>
        <v>ColombiaHuila</v>
      </c>
      <c r="L231" s="28"/>
      <c r="M231" s="28"/>
      <c r="N231" s="28"/>
      <c r="O231" s="69"/>
      <c r="P231" s="28"/>
      <c r="Q231" s="28" t="s">
        <v>971</v>
      </c>
      <c r="R231" s="28">
        <v>1.1456944444444443</v>
      </c>
      <c r="S231" s="28">
        <v>-76.845083333333335</v>
      </c>
      <c r="T231" s="28" t="str">
        <f>_xlfn.CONCAT(COORDENADAS[[#This Row],[G]],"° ",COORDENADAS[[#This Row],[M]],"' ",FIXED(COORDENADAS[[#This Row],[S]],2),""" ",COORDENADAS[[#This Row],[Norte]])</f>
        <v>1° 8' 44,50" N</v>
      </c>
      <c r="U231" s="41">
        <v>1</v>
      </c>
      <c r="V231" s="41">
        <v>8</v>
      </c>
      <c r="W231" s="56">
        <v>44.499999999999659</v>
      </c>
      <c r="X231" s="23" t="s">
        <v>192</v>
      </c>
      <c r="Y231" s="28" t="str">
        <f>_xlfn.CONCAT(COORDENADAS[[#This Row],[GG]],"° ",COORDENADAS[[#This Row],[MM]],"' ",FIXED(COORDENADAS[[#This Row],[SS]],2),""" ",COORDENADAS[[#This Row],[Weter]])</f>
        <v>76° 50' 42,30" W</v>
      </c>
      <c r="Z231" s="28">
        <v>76</v>
      </c>
      <c r="AA231" s="28">
        <v>50</v>
      </c>
      <c r="AB231" s="28">
        <v>42.300000000005731</v>
      </c>
      <c r="AC231" s="23" t="s">
        <v>193</v>
      </c>
      <c r="AD231" s="23">
        <v>40.799999999999997</v>
      </c>
      <c r="AE231" s="23">
        <v>40.700000000000003</v>
      </c>
    </row>
    <row r="232" spans="1:31" x14ac:dyDescent="0.35">
      <c r="A232" s="29" t="s">
        <v>972</v>
      </c>
      <c r="B232" s="29" t="s">
        <v>973</v>
      </c>
      <c r="C232" s="21">
        <v>14</v>
      </c>
      <c r="D232" s="21">
        <v>1903</v>
      </c>
      <c r="E232" s="30">
        <v>43460</v>
      </c>
      <c r="F232" s="28" t="s">
        <v>577</v>
      </c>
      <c r="G232" s="28">
        <f>INDEX($C$2:$D$37,MATCH(RESOLUCIONES[[#This Row],[No. Canal]],$C$2:$C$37,0),2)</f>
        <v>473</v>
      </c>
      <c r="I232" s="28" t="s">
        <v>974</v>
      </c>
      <c r="J232" s="28" t="s">
        <v>352</v>
      </c>
      <c r="K232" s="28" t="str">
        <f t="shared" si="4"/>
        <v>ColónNariño</v>
      </c>
      <c r="L232" s="28"/>
      <c r="M232" s="28"/>
      <c r="N232" s="28"/>
      <c r="O232" s="69"/>
      <c r="P232" s="28"/>
      <c r="Q232" s="28" t="s">
        <v>962</v>
      </c>
      <c r="R232" s="28">
        <v>2.6079444444444446</v>
      </c>
      <c r="S232" s="28">
        <v>-76.373694444444439</v>
      </c>
      <c r="T232" s="28" t="str">
        <f>_xlfn.CONCAT(COORDENADAS[[#This Row],[G]],"° ",COORDENADAS[[#This Row],[M]],"' ",FIXED(COORDENADAS[[#This Row],[S]],2),""" ",COORDENADAS[[#This Row],[Norte]])</f>
        <v>2° 36' 28,60" N</v>
      </c>
      <c r="U232" s="41">
        <v>2</v>
      </c>
      <c r="V232" s="41">
        <v>36</v>
      </c>
      <c r="W232" s="56">
        <v>28.600000000000712</v>
      </c>
      <c r="X232" s="23" t="s">
        <v>192</v>
      </c>
      <c r="Y232" s="28" t="str">
        <f>_xlfn.CONCAT(COORDENADAS[[#This Row],[GG]],"° ",COORDENADAS[[#This Row],[MM]],"' ",FIXED(COORDENADAS[[#This Row],[SS]],2),""" ",COORDENADAS[[#This Row],[Weter]])</f>
        <v>76° 22' 25,30" W</v>
      </c>
      <c r="Z232" s="28">
        <v>76</v>
      </c>
      <c r="AA232" s="28">
        <v>22</v>
      </c>
      <c r="AB232" s="28">
        <v>25.299999999980493</v>
      </c>
      <c r="AC232" s="23" t="s">
        <v>193</v>
      </c>
      <c r="AD232" s="23">
        <v>35.56</v>
      </c>
      <c r="AE232" s="23">
        <v>0</v>
      </c>
    </row>
    <row r="233" spans="1:31" x14ac:dyDescent="0.35">
      <c r="A233" s="29" t="s">
        <v>975</v>
      </c>
      <c r="B233" s="29" t="s">
        <v>976</v>
      </c>
      <c r="C233" s="21">
        <v>14</v>
      </c>
      <c r="D233" s="21">
        <v>1903</v>
      </c>
      <c r="E233" s="30">
        <v>43460</v>
      </c>
      <c r="F233" s="28" t="s">
        <v>577</v>
      </c>
      <c r="G233" s="28">
        <f>INDEX($C$2:$D$37,MATCH(RESOLUCIONES[[#This Row],[No. Canal]],$C$2:$C$37,0),2)</f>
        <v>473</v>
      </c>
      <c r="I233" s="28" t="s">
        <v>974</v>
      </c>
      <c r="J233" s="28" t="s">
        <v>396</v>
      </c>
      <c r="K233" s="28" t="str">
        <f t="shared" si="4"/>
        <v>ColónPutumayo</v>
      </c>
      <c r="L233" s="28"/>
      <c r="M233" s="28"/>
      <c r="N233" s="28"/>
      <c r="O233" s="69"/>
      <c r="P233" s="28"/>
      <c r="Q233" s="28" t="s">
        <v>977</v>
      </c>
      <c r="R233" s="28">
        <v>2.6012500000000003</v>
      </c>
      <c r="S233" s="28">
        <v>-76.395027777777784</v>
      </c>
      <c r="T233" s="28" t="str">
        <f>_xlfn.CONCAT(COORDENADAS[[#This Row],[G]],"° ",COORDENADAS[[#This Row],[M]],"' ",FIXED(COORDENADAS[[#This Row],[S]],2),""" ",COORDENADAS[[#This Row],[Norte]])</f>
        <v>2° 36' 5,29" N</v>
      </c>
      <c r="U233" s="41">
        <v>2</v>
      </c>
      <c r="V233" s="41">
        <v>36</v>
      </c>
      <c r="W233" s="56">
        <v>5.2868628000001028</v>
      </c>
      <c r="X233" s="23" t="s">
        <v>192</v>
      </c>
      <c r="Y233" s="28" t="str">
        <f>_xlfn.CONCAT(COORDENADAS[[#This Row],[GG]],"° ",COORDENADAS[[#This Row],[MM]],"' ",FIXED(COORDENADAS[[#This Row],[SS]],2),""" ",COORDENADAS[[#This Row],[Weter]])</f>
        <v>76° 23' 42,02" W</v>
      </c>
      <c r="Z233" s="28">
        <v>76</v>
      </c>
      <c r="AA233" s="28">
        <v>23</v>
      </c>
      <c r="AB233" s="28">
        <v>42.015717599981507</v>
      </c>
      <c r="AC233" s="23" t="s">
        <v>193</v>
      </c>
      <c r="AD233" s="23">
        <v>42.1</v>
      </c>
      <c r="AE233" s="23">
        <v>42.3</v>
      </c>
    </row>
    <row r="234" spans="1:31" x14ac:dyDescent="0.35">
      <c r="A234" s="29" t="s">
        <v>978</v>
      </c>
      <c r="B234" s="29" t="s">
        <v>979</v>
      </c>
      <c r="C234" s="21">
        <v>14</v>
      </c>
      <c r="D234" s="32" t="s">
        <v>596</v>
      </c>
      <c r="E234" s="31">
        <v>40904</v>
      </c>
      <c r="F234" s="28" t="s">
        <v>597</v>
      </c>
      <c r="G234" s="28">
        <f>INDEX($C$2:$D$37,MATCH(RESOLUCIONES[[#This Row],[No. Canal]],$C$2:$C$37,0),2)</f>
        <v>473</v>
      </c>
      <c r="I234" s="28" t="s">
        <v>980</v>
      </c>
      <c r="J234" s="28" t="s">
        <v>413</v>
      </c>
      <c r="K234" s="28" t="str">
        <f t="shared" si="4"/>
        <v>ColosoSucre</v>
      </c>
      <c r="L234" s="28"/>
      <c r="M234" s="28"/>
      <c r="N234" s="28"/>
      <c r="O234" s="69"/>
      <c r="P234" s="28"/>
      <c r="Q234" s="28" t="s">
        <v>981</v>
      </c>
      <c r="R234" s="28">
        <v>12.558333333</v>
      </c>
      <c r="S234" s="28">
        <v>-81.716944444000006</v>
      </c>
      <c r="T234" s="28" t="str">
        <f>_xlfn.CONCAT(COORDENADAS[[#This Row],[G]],"° ",COORDENADAS[[#This Row],[M]],"' ",FIXED(COORDENADAS[[#This Row],[S]],2),""" ",COORDENADAS[[#This Row],[Norte]])</f>
        <v>12° 33' 30,69" N</v>
      </c>
      <c r="U234" s="41">
        <v>12</v>
      </c>
      <c r="V234" s="41">
        <v>33</v>
      </c>
      <c r="W234" s="56">
        <v>30.692836800002521</v>
      </c>
      <c r="X234" s="23" t="s">
        <v>192</v>
      </c>
      <c r="Y234" s="28" t="str">
        <f>_xlfn.CONCAT(COORDENADAS[[#This Row],[GG]],"° ",COORDENADAS[[#This Row],[MM]],"' ",FIXED(COORDENADAS[[#This Row],[SS]],2),""" ",COORDENADAS[[#This Row],[Weter]])</f>
        <v>81° 43' 0,52" W</v>
      </c>
      <c r="Z234" s="28">
        <v>81</v>
      </c>
      <c r="AA234" s="28">
        <v>43</v>
      </c>
      <c r="AB234" s="28">
        <v>0.52120559997885785</v>
      </c>
      <c r="AC234" s="23" t="s">
        <v>193</v>
      </c>
      <c r="AD234" s="23">
        <v>41.2</v>
      </c>
      <c r="AE234" s="23">
        <v>41.3</v>
      </c>
    </row>
    <row r="235" spans="1:31" x14ac:dyDescent="0.35">
      <c r="A235" s="29" t="s">
        <v>982</v>
      </c>
      <c r="B235" s="29" t="s">
        <v>983</v>
      </c>
      <c r="C235" s="21">
        <v>14</v>
      </c>
      <c r="D235" s="21">
        <v>2171</v>
      </c>
      <c r="E235" s="31">
        <v>43091</v>
      </c>
      <c r="F235" s="28" t="s">
        <v>590</v>
      </c>
      <c r="G235" s="28">
        <f>INDEX($C$2:$D$37,MATCH(RESOLUCIONES[[#This Row],[No. Canal]],$C$2:$C$37,0),2)</f>
        <v>473</v>
      </c>
      <c r="I235" s="28" t="s">
        <v>984</v>
      </c>
      <c r="J235" s="28" t="s">
        <v>274</v>
      </c>
      <c r="K235" s="28" t="str">
        <f t="shared" si="4"/>
        <v>CómbitaBoyaca</v>
      </c>
      <c r="L235" s="28"/>
      <c r="M235" s="28"/>
      <c r="N235" s="28"/>
      <c r="O235" s="69"/>
      <c r="P235" s="28"/>
      <c r="Q235" s="28" t="s">
        <v>965</v>
      </c>
      <c r="R235" s="28">
        <v>6.3003333333333336</v>
      </c>
      <c r="S235" s="28">
        <v>-72.695999999999998</v>
      </c>
      <c r="T235" s="28" t="str">
        <f>_xlfn.CONCAT(COORDENADAS[[#This Row],[G]],"° ",COORDENADAS[[#This Row],[M]],"' ",FIXED(COORDENADAS[[#This Row],[S]],2),""" ",COORDENADAS[[#This Row],[Norte]])</f>
        <v>6° 18' 1,20" N</v>
      </c>
      <c r="U235" s="41">
        <v>6</v>
      </c>
      <c r="V235" s="41">
        <v>18</v>
      </c>
      <c r="W235" s="56">
        <v>1.200000000000867</v>
      </c>
      <c r="X235" s="23" t="s">
        <v>192</v>
      </c>
      <c r="Y235" s="28" t="str">
        <f>_xlfn.CONCAT(COORDENADAS[[#This Row],[GG]],"° ",COORDENADAS[[#This Row],[MM]],"' ",FIXED(COORDENADAS[[#This Row],[SS]],2),""" ",COORDENADAS[[#This Row],[Weter]])</f>
        <v>72° 41' 45,60" W</v>
      </c>
      <c r="Z235" s="28">
        <v>72</v>
      </c>
      <c r="AA235" s="28">
        <v>41</v>
      </c>
      <c r="AB235" s="28">
        <v>45.599999999992576</v>
      </c>
      <c r="AC235" s="23" t="s">
        <v>193</v>
      </c>
      <c r="AD235" s="23">
        <v>34.82</v>
      </c>
      <c r="AE235" s="23">
        <v>0</v>
      </c>
    </row>
    <row r="236" spans="1:31" x14ac:dyDescent="0.35">
      <c r="A236" s="29" t="s">
        <v>985</v>
      </c>
      <c r="B236" s="29" t="s">
        <v>986</v>
      </c>
      <c r="C236" s="21">
        <v>14</v>
      </c>
      <c r="D236" s="21">
        <v>1903</v>
      </c>
      <c r="E236" s="30">
        <v>43460</v>
      </c>
      <c r="F236" s="28" t="s">
        <v>577</v>
      </c>
      <c r="G236" s="28">
        <f>INDEX($C$2:$D$37,MATCH(RESOLUCIONES[[#This Row],[No. Canal]],$C$2:$C$37,0),2)</f>
        <v>473</v>
      </c>
      <c r="I236" s="28" t="s">
        <v>987</v>
      </c>
      <c r="J236" s="28" t="s">
        <v>154</v>
      </c>
      <c r="K236" s="28" t="str">
        <f t="shared" si="4"/>
        <v>ConcepciónAntioquia</v>
      </c>
      <c r="L236" s="28"/>
      <c r="M236" s="28"/>
      <c r="N236" s="28"/>
      <c r="O236" s="69"/>
      <c r="P236" s="28"/>
      <c r="Q236" s="28" t="s">
        <v>968</v>
      </c>
      <c r="R236" s="28">
        <v>6.4837499999999997</v>
      </c>
      <c r="S236" s="28">
        <v>-73.236805555555563</v>
      </c>
      <c r="T236" s="28" t="str">
        <f>_xlfn.CONCAT(COORDENADAS[[#This Row],[G]],"° ",COORDENADAS[[#This Row],[M]],"' ",FIXED(COORDENADAS[[#This Row],[S]],2),""" ",COORDENADAS[[#This Row],[Norte]])</f>
        <v>6° 29' 1,50" N</v>
      </c>
      <c r="U236" s="41">
        <v>6</v>
      </c>
      <c r="V236" s="41">
        <v>29</v>
      </c>
      <c r="W236" s="56">
        <v>1.4999999999988356</v>
      </c>
      <c r="X236" s="23" t="s">
        <v>192</v>
      </c>
      <c r="Y236" s="28" t="str">
        <f>_xlfn.CONCAT(COORDENADAS[[#This Row],[GG]],"° ",COORDENADAS[[#This Row],[MM]],"' ",FIXED(COORDENADAS[[#This Row],[SS]],2),""" ",COORDENADAS[[#This Row],[Weter]])</f>
        <v>73° 14' 12,50" W</v>
      </c>
      <c r="Z236" s="28">
        <v>73</v>
      </c>
      <c r="AA236" s="28">
        <v>14</v>
      </c>
      <c r="AB236" s="28">
        <v>12.500000000026134</v>
      </c>
      <c r="AC236" s="23" t="s">
        <v>193</v>
      </c>
      <c r="AD236" s="23">
        <v>37.380000000000003</v>
      </c>
      <c r="AE236" s="23">
        <v>0</v>
      </c>
    </row>
    <row r="237" spans="1:31" x14ac:dyDescent="0.35">
      <c r="A237" s="29" t="s">
        <v>988</v>
      </c>
      <c r="B237" s="29" t="s">
        <v>989</v>
      </c>
      <c r="C237" s="21">
        <v>14</v>
      </c>
      <c r="D237" s="21">
        <v>1903</v>
      </c>
      <c r="E237" s="30">
        <v>43460</v>
      </c>
      <c r="F237" s="28" t="s">
        <v>577</v>
      </c>
      <c r="G237" s="28">
        <f>INDEX($C$2:$D$37,MATCH(RESOLUCIONES[[#This Row],[No. Canal]],$C$2:$C$37,0),2)</f>
        <v>473</v>
      </c>
      <c r="I237" s="28" t="s">
        <v>987</v>
      </c>
      <c r="J237" s="28" t="s">
        <v>304</v>
      </c>
      <c r="K237" s="28" t="str">
        <f t="shared" si="4"/>
        <v>ConcepciónSantander</v>
      </c>
      <c r="L237" s="28"/>
      <c r="M237" s="28"/>
      <c r="N237" s="28"/>
      <c r="O237" s="69"/>
      <c r="P237" s="28"/>
      <c r="Q237" s="28" t="s">
        <v>972</v>
      </c>
      <c r="R237" s="28">
        <v>5.7125277777777779</v>
      </c>
      <c r="S237" s="28">
        <v>-75.31894444444444</v>
      </c>
      <c r="T237" s="28" t="str">
        <f>_xlfn.CONCAT(COORDENADAS[[#This Row],[G]],"° ",COORDENADAS[[#This Row],[M]],"' ",FIXED(COORDENADAS[[#This Row],[S]],2),""" ",COORDENADAS[[#This Row],[Norte]])</f>
        <v>5° 42' 45,10" N</v>
      </c>
      <c r="U237" s="41">
        <v>5</v>
      </c>
      <c r="V237" s="41">
        <v>42</v>
      </c>
      <c r="W237" s="56">
        <v>45.100000000000492</v>
      </c>
      <c r="X237" s="23" t="s">
        <v>192</v>
      </c>
      <c r="Y237" s="28" t="str">
        <f>_xlfn.CONCAT(COORDENADAS[[#This Row],[GG]],"° ",COORDENADAS[[#This Row],[MM]],"' ",FIXED(COORDENADAS[[#This Row],[SS]],2),""" ",COORDENADAS[[#This Row],[Weter]])</f>
        <v>75° 19' 8,20" W</v>
      </c>
      <c r="Z237" s="28">
        <v>75</v>
      </c>
      <c r="AA237" s="28">
        <v>19</v>
      </c>
      <c r="AB237" s="28">
        <v>8.1999999999857742</v>
      </c>
      <c r="AC237" s="23" t="s">
        <v>193</v>
      </c>
      <c r="AD237" s="23">
        <v>35.56</v>
      </c>
      <c r="AE237" s="23">
        <v>0</v>
      </c>
    </row>
    <row r="238" spans="1:31" x14ac:dyDescent="0.35">
      <c r="A238" s="29" t="s">
        <v>990</v>
      </c>
      <c r="B238" s="29" t="s">
        <v>991</v>
      </c>
      <c r="C238" s="21">
        <v>26</v>
      </c>
      <c r="D238" s="21">
        <v>1903</v>
      </c>
      <c r="E238" s="30">
        <v>43460</v>
      </c>
      <c r="F238" s="28" t="s">
        <v>577</v>
      </c>
      <c r="G238" s="28">
        <f>INDEX($C$2:$D$37,MATCH(RESOLUCIONES[[#This Row],[No. Canal]],$C$2:$C$37,0),2)</f>
        <v>545</v>
      </c>
      <c r="I238" s="28" t="s">
        <v>992</v>
      </c>
      <c r="J238" s="28" t="s">
        <v>154</v>
      </c>
      <c r="K238" s="28" t="str">
        <f t="shared" si="4"/>
        <v>ConcordiaAntioquia</v>
      </c>
      <c r="L238" s="28"/>
      <c r="M238" s="28"/>
      <c r="N238" s="28"/>
      <c r="O238" s="69"/>
      <c r="P238" s="28"/>
      <c r="Q238" s="28" t="s">
        <v>975</v>
      </c>
      <c r="R238" s="28">
        <v>2.9416666666666669</v>
      </c>
      <c r="S238" s="28">
        <v>-76.69361111111111</v>
      </c>
      <c r="T238" s="28" t="str">
        <f>_xlfn.CONCAT(COORDENADAS[[#This Row],[G]],"° ",COORDENADAS[[#This Row],[M]],"' ",FIXED(COORDENADAS[[#This Row],[S]],2),""" ",COORDENADAS[[#This Row],[Norte]])</f>
        <v>2° 56' 30,00" N</v>
      </c>
      <c r="U238" s="41">
        <v>2</v>
      </c>
      <c r="V238" s="41">
        <v>56</v>
      </c>
      <c r="W238" s="56">
        <v>30.000000000000693</v>
      </c>
      <c r="X238" s="23" t="s">
        <v>192</v>
      </c>
      <c r="Y238" s="28" t="str">
        <f>_xlfn.CONCAT(COORDENADAS[[#This Row],[GG]],"° ",COORDENADAS[[#This Row],[MM]],"' ",FIXED(COORDENADAS[[#This Row],[SS]],2),""" ",COORDENADAS[[#This Row],[Weter]])</f>
        <v>76° 41' 37,00" W</v>
      </c>
      <c r="Z238" s="28">
        <v>76</v>
      </c>
      <c r="AA238" s="28">
        <v>41</v>
      </c>
      <c r="AB238" s="28">
        <v>36.999999999996987</v>
      </c>
      <c r="AC238" s="23" t="s">
        <v>193</v>
      </c>
      <c r="AD238" s="23">
        <v>34.82</v>
      </c>
      <c r="AE238" s="23">
        <v>0</v>
      </c>
    </row>
    <row r="239" spans="1:31" x14ac:dyDescent="0.35">
      <c r="A239" s="29" t="s">
        <v>993</v>
      </c>
      <c r="B239" s="29" t="s">
        <v>994</v>
      </c>
      <c r="C239" s="21">
        <v>38</v>
      </c>
      <c r="D239" s="21">
        <v>131</v>
      </c>
      <c r="E239" s="31">
        <v>42062</v>
      </c>
      <c r="F239" s="28" t="s">
        <v>995</v>
      </c>
      <c r="G239" s="28">
        <f>INDEX($C$2:$D$37,MATCH(RESOLUCIONES[[#This Row],[No. Canal]],$C$2:$C$37,0),2)</f>
        <v>617</v>
      </c>
      <c r="I239" s="28" t="s">
        <v>992</v>
      </c>
      <c r="J239" s="28" t="s">
        <v>382</v>
      </c>
      <c r="K239" s="28" t="str">
        <f t="shared" si="4"/>
        <v>ConcordiaMagdalena</v>
      </c>
      <c r="L239" s="28"/>
      <c r="M239" s="28"/>
      <c r="N239" s="28"/>
      <c r="O239" s="69"/>
      <c r="P239" s="28"/>
      <c r="Q239" s="28" t="s">
        <v>978</v>
      </c>
      <c r="R239" s="28">
        <v>4.7435833333333335</v>
      </c>
      <c r="S239" s="28">
        <v>-74.074838888888891</v>
      </c>
      <c r="T239" s="28" t="str">
        <f>_xlfn.CONCAT(COORDENADAS[[#This Row],[G]],"° ",COORDENADAS[[#This Row],[M]],"' ",FIXED(COORDENADAS[[#This Row],[S]],2),""" ",COORDENADAS[[#This Row],[Norte]])</f>
        <v>4° 44' 36,90" N</v>
      </c>
      <c r="U239" s="41">
        <v>4</v>
      </c>
      <c r="V239" s="41">
        <v>44</v>
      </c>
      <c r="W239" s="56">
        <v>36.90000000000073</v>
      </c>
      <c r="X239" s="23" t="s">
        <v>192</v>
      </c>
      <c r="Y239" s="28" t="str">
        <f>_xlfn.CONCAT(COORDENADAS[[#This Row],[GG]],"° ",COORDENADAS[[#This Row],[MM]],"' ",FIXED(COORDENADAS[[#This Row],[SS]],2),""" ",COORDENADAS[[#This Row],[Weter]])</f>
        <v>74° 4' 29,42" W</v>
      </c>
      <c r="Z239" s="28">
        <v>74</v>
      </c>
      <c r="AA239" s="28">
        <v>4</v>
      </c>
      <c r="AB239" s="28">
        <v>29.420000000008034</v>
      </c>
      <c r="AC239" s="23" t="s">
        <v>193</v>
      </c>
      <c r="AD239" s="23">
        <v>48.38</v>
      </c>
      <c r="AE239" s="23">
        <v>0</v>
      </c>
    </row>
    <row r="240" spans="1:31" x14ac:dyDescent="0.35">
      <c r="A240" s="29" t="s">
        <v>996</v>
      </c>
      <c r="B240" s="29" t="s">
        <v>997</v>
      </c>
      <c r="C240" s="21">
        <v>14</v>
      </c>
      <c r="D240" s="21">
        <v>861</v>
      </c>
      <c r="E240" s="31">
        <v>42286</v>
      </c>
      <c r="F240" s="28" t="s">
        <v>639</v>
      </c>
      <c r="G240" s="28">
        <f>INDEX($C$2:$D$37,MATCH(RESOLUCIONES[[#This Row],[No. Canal]],$C$2:$C$37,0),2)</f>
        <v>473</v>
      </c>
      <c r="I240" s="28" t="s">
        <v>998</v>
      </c>
      <c r="J240" s="28" t="s">
        <v>230</v>
      </c>
      <c r="K240" s="28" t="str">
        <f t="shared" si="4"/>
        <v>CondotoChoco</v>
      </c>
      <c r="L240" s="28"/>
      <c r="M240" s="28"/>
      <c r="N240" s="28"/>
      <c r="O240" s="69"/>
      <c r="P240" s="28"/>
      <c r="Q240" s="28" t="s">
        <v>999</v>
      </c>
      <c r="R240" s="28">
        <v>5.1169444444444441</v>
      </c>
      <c r="S240" s="28">
        <v>-73.782944444444439</v>
      </c>
      <c r="T240" s="28" t="str">
        <f>_xlfn.CONCAT(COORDENADAS[[#This Row],[G]],"° ",COORDENADAS[[#This Row],[M]],"' ",FIXED(COORDENADAS[[#This Row],[S]],2),""" ",COORDENADAS[[#This Row],[Norte]])</f>
        <v>5° 7' 1,94" N</v>
      </c>
      <c r="U240" s="41">
        <v>5</v>
      </c>
      <c r="V240" s="41">
        <v>7</v>
      </c>
      <c r="W240" s="56">
        <v>1.9441092000010873</v>
      </c>
      <c r="X240" s="23" t="s">
        <v>192</v>
      </c>
      <c r="Y240" s="28" t="str">
        <f>_xlfn.CONCAT(COORDENADAS[[#This Row],[GG]],"° ",COORDENADAS[[#This Row],[MM]],"' ",FIXED(COORDENADAS[[#This Row],[SS]],2),""" ",COORDENADAS[[#This Row],[Weter]])</f>
        <v>73° 46' 58,50" W</v>
      </c>
      <c r="Z240" s="28">
        <v>73</v>
      </c>
      <c r="AA240" s="28">
        <v>46</v>
      </c>
      <c r="AB240" s="28">
        <v>58.504713599975091</v>
      </c>
      <c r="AC240" s="23" t="s">
        <v>193</v>
      </c>
      <c r="AD240" s="23">
        <v>40.6</v>
      </c>
      <c r="AE240" s="23">
        <v>40.700000000000003</v>
      </c>
    </row>
    <row r="241" spans="1:31" x14ac:dyDescent="0.35">
      <c r="A241" s="29" t="s">
        <v>1000</v>
      </c>
      <c r="B241" s="29" t="s">
        <v>1001</v>
      </c>
      <c r="C241" s="21">
        <v>14</v>
      </c>
      <c r="D241" s="21">
        <v>1903</v>
      </c>
      <c r="E241" s="30">
        <v>43460</v>
      </c>
      <c r="F241" s="28" t="s">
        <v>577</v>
      </c>
      <c r="G241" s="28">
        <f>INDEX($C$2:$D$37,MATCH(RESOLUCIONES[[#This Row],[No. Canal]],$C$2:$C$37,0),2)</f>
        <v>473</v>
      </c>
      <c r="I241" s="28" t="s">
        <v>1002</v>
      </c>
      <c r="J241" s="28" t="s">
        <v>304</v>
      </c>
      <c r="K241" s="28" t="str">
        <f t="shared" si="4"/>
        <v>ConfinesSantander</v>
      </c>
      <c r="L241" s="28"/>
      <c r="M241" s="28"/>
      <c r="N241" s="28"/>
      <c r="O241" s="69"/>
      <c r="P241" s="28"/>
      <c r="Q241" s="28" t="s">
        <v>982</v>
      </c>
      <c r="R241" s="28">
        <v>5.036888888888889</v>
      </c>
      <c r="S241" s="28">
        <v>-73.437333333333342</v>
      </c>
      <c r="T241" s="28" t="str">
        <f>_xlfn.CONCAT(COORDENADAS[[#This Row],[G]],"° ",COORDENADAS[[#This Row],[M]],"' ",FIXED(COORDENADAS[[#This Row],[S]],2),""" ",COORDENADAS[[#This Row],[Norte]])</f>
        <v>5° 2' 12,80" N</v>
      </c>
      <c r="U241" s="41">
        <v>5</v>
      </c>
      <c r="V241" s="41">
        <v>2</v>
      </c>
      <c r="W241" s="56">
        <v>12.800000000000297</v>
      </c>
      <c r="X241" s="23" t="s">
        <v>192</v>
      </c>
      <c r="Y241" s="28" t="str">
        <f>_xlfn.CONCAT(COORDENADAS[[#This Row],[GG]],"° ",COORDENADAS[[#This Row],[MM]],"' ",FIXED(COORDENADAS[[#This Row],[SS]],2),""" ",COORDENADAS[[#This Row],[Weter]])</f>
        <v>73° 26' 14,40" W</v>
      </c>
      <c r="Z241" s="28">
        <v>73</v>
      </c>
      <c r="AA241" s="28">
        <v>26</v>
      </c>
      <c r="AB241" s="28">
        <v>14.400000000031188</v>
      </c>
      <c r="AC241" s="23" t="s">
        <v>193</v>
      </c>
      <c r="AD241" s="23">
        <v>48.38</v>
      </c>
      <c r="AE241" s="23">
        <v>0</v>
      </c>
    </row>
    <row r="242" spans="1:31" x14ac:dyDescent="0.35">
      <c r="A242" s="29" t="s">
        <v>1003</v>
      </c>
      <c r="B242" s="29" t="s">
        <v>1004</v>
      </c>
      <c r="C242" s="21">
        <v>14</v>
      </c>
      <c r="D242" s="21">
        <v>1903</v>
      </c>
      <c r="E242" s="30">
        <v>43460</v>
      </c>
      <c r="F242" s="28" t="s">
        <v>577</v>
      </c>
      <c r="G242" s="28">
        <f>INDEX($C$2:$D$37,MATCH(RESOLUCIONES[[#This Row],[No. Canal]],$C$2:$C$37,0),2)</f>
        <v>473</v>
      </c>
      <c r="I242" s="28" t="s">
        <v>1005</v>
      </c>
      <c r="J242" s="28" t="s">
        <v>352</v>
      </c>
      <c r="K242" s="28" t="str">
        <f t="shared" si="4"/>
        <v>ConsacaNariño</v>
      </c>
      <c r="L242" s="28"/>
      <c r="M242" s="28"/>
      <c r="N242" s="28"/>
      <c r="O242" s="69"/>
      <c r="P242" s="28"/>
      <c r="Q242" s="28" t="s">
        <v>985</v>
      </c>
      <c r="R242" s="28">
        <v>5.2643611111111115</v>
      </c>
      <c r="S242" s="28">
        <v>-76.557472222222216</v>
      </c>
      <c r="T242" s="28" t="str">
        <f>_xlfn.CONCAT(COORDENADAS[[#This Row],[G]],"° ",COORDENADAS[[#This Row],[M]],"' ",FIXED(COORDENADAS[[#This Row],[S]],2),""" ",COORDENADAS[[#This Row],[Norte]])</f>
        <v>5° 15' 51,70" N</v>
      </c>
      <c r="U242" s="41">
        <v>5</v>
      </c>
      <c r="V242" s="41">
        <v>15</v>
      </c>
      <c r="W242" s="56">
        <v>51.700000000001367</v>
      </c>
      <c r="X242" s="23" t="s">
        <v>192</v>
      </c>
      <c r="Y242" s="28" t="str">
        <f>_xlfn.CONCAT(COORDENADAS[[#This Row],[GG]],"° ",COORDENADAS[[#This Row],[MM]],"' ",FIXED(COORDENADAS[[#This Row],[SS]],2),""" ",COORDENADAS[[#This Row],[Weter]])</f>
        <v>76° 33' 26,90" W</v>
      </c>
      <c r="Z242" s="28">
        <v>76</v>
      </c>
      <c r="AA242" s="28">
        <v>33</v>
      </c>
      <c r="AB242" s="28">
        <v>26.899999999978785</v>
      </c>
      <c r="AC242" s="23" t="s">
        <v>193</v>
      </c>
      <c r="AD242" s="23">
        <v>34.82</v>
      </c>
      <c r="AE242" s="23">
        <v>0</v>
      </c>
    </row>
    <row r="243" spans="1:31" x14ac:dyDescent="0.35">
      <c r="A243" s="29" t="s">
        <v>1006</v>
      </c>
      <c r="B243" s="29" t="s">
        <v>1007</v>
      </c>
      <c r="C243" s="21">
        <v>14</v>
      </c>
      <c r="D243" s="21">
        <v>2171</v>
      </c>
      <c r="E243" s="31">
        <v>43091</v>
      </c>
      <c r="F243" s="28" t="s">
        <v>590</v>
      </c>
      <c r="G243" s="28">
        <f>INDEX($C$2:$D$37,MATCH(RESOLUCIONES[[#This Row],[No. Canal]],$C$2:$C$37,0),2)</f>
        <v>473</v>
      </c>
      <c r="I243" s="28" t="s">
        <v>1008</v>
      </c>
      <c r="J243" s="28" t="s">
        <v>352</v>
      </c>
      <c r="K243" s="28" t="str">
        <f t="shared" si="4"/>
        <v>ContaderoNariño</v>
      </c>
      <c r="L243" s="28"/>
      <c r="M243" s="28"/>
      <c r="N243" s="28"/>
      <c r="O243" s="69"/>
      <c r="P243" s="28"/>
      <c r="Q243" s="28" t="s">
        <v>988</v>
      </c>
      <c r="R243" s="28">
        <v>6.4637777777777776</v>
      </c>
      <c r="S243" s="28">
        <v>-71.72086111111112</v>
      </c>
      <c r="T243" s="28" t="str">
        <f>_xlfn.CONCAT(COORDENADAS[[#This Row],[G]],"° ",COORDENADAS[[#This Row],[M]],"' ",FIXED(COORDENADAS[[#This Row],[S]],2),""" ",COORDENADAS[[#This Row],[Norte]])</f>
        <v>6° 27' 49,60" N</v>
      </c>
      <c r="U243" s="41">
        <v>6</v>
      </c>
      <c r="V243" s="41">
        <v>27</v>
      </c>
      <c r="W243" s="56">
        <v>49.599999999999397</v>
      </c>
      <c r="X243" s="23" t="s">
        <v>192</v>
      </c>
      <c r="Y243" s="28" t="str">
        <f>_xlfn.CONCAT(COORDENADAS[[#This Row],[GG]],"° ",COORDENADAS[[#This Row],[MM]],"' ",FIXED(COORDENADAS[[#This Row],[SS]],2),""" ",COORDENADAS[[#This Row],[Weter]])</f>
        <v>71° 43' 15,10" W</v>
      </c>
      <c r="Z243" s="28">
        <v>71</v>
      </c>
      <c r="AA243" s="28">
        <v>43</v>
      </c>
      <c r="AB243" s="28">
        <v>15.100000000030578</v>
      </c>
      <c r="AC243" s="23" t="s">
        <v>193</v>
      </c>
      <c r="AD243" s="23">
        <v>34.82</v>
      </c>
      <c r="AE243" s="23">
        <v>0</v>
      </c>
    </row>
    <row r="244" spans="1:31" x14ac:dyDescent="0.35">
      <c r="A244" s="29" t="s">
        <v>1009</v>
      </c>
      <c r="B244" s="29" t="s">
        <v>1010</v>
      </c>
      <c r="C244" s="21">
        <v>14</v>
      </c>
      <c r="D244" s="21">
        <v>1903</v>
      </c>
      <c r="E244" s="30">
        <v>43460</v>
      </c>
      <c r="F244" s="28" t="s">
        <v>577</v>
      </c>
      <c r="G244" s="28">
        <f>INDEX($C$2:$D$37,MATCH(RESOLUCIONES[[#This Row],[No. Canal]],$C$2:$C$37,0),2)</f>
        <v>473</v>
      </c>
      <c r="I244" s="28" t="s">
        <v>1011</v>
      </c>
      <c r="J244" s="28" t="s">
        <v>304</v>
      </c>
      <c r="K244" s="28" t="str">
        <f t="shared" si="4"/>
        <v>ContrataciónSantander</v>
      </c>
      <c r="L244" s="28"/>
      <c r="M244" s="28"/>
      <c r="N244" s="28"/>
      <c r="O244" s="69"/>
      <c r="P244" s="28"/>
      <c r="Q244" s="28" t="s">
        <v>1012</v>
      </c>
      <c r="R244" s="28">
        <v>1.5590555559999999</v>
      </c>
      <c r="S244" s="28">
        <v>-77.313722221999996</v>
      </c>
      <c r="T244" s="28" t="str">
        <f>_xlfn.CONCAT(COORDENADAS[[#This Row],[G]],"° ",COORDENADAS[[#This Row],[M]],"' ",FIXED(COORDENADAS[[#This Row],[S]],2),""" ",COORDENADAS[[#This Row],[Norte]])</f>
        <v>1° 33' 32,60" N</v>
      </c>
      <c r="U244" s="41">
        <v>1</v>
      </c>
      <c r="V244" s="41">
        <v>33</v>
      </c>
      <c r="W244" s="56">
        <v>32.600001599999473</v>
      </c>
      <c r="X244" s="23" t="s">
        <v>192</v>
      </c>
      <c r="Y244" s="28" t="str">
        <f>_xlfn.CONCAT(COORDENADAS[[#This Row],[GG]],"° ",COORDENADAS[[#This Row],[MM]],"' ",FIXED(COORDENADAS[[#This Row],[SS]],2),""" ",COORDENADAS[[#This Row],[Weter]])</f>
        <v>77° 18' 49,40" W</v>
      </c>
      <c r="Z244" s="28">
        <v>77</v>
      </c>
      <c r="AA244" s="28">
        <v>18</v>
      </c>
      <c r="AB244" s="28">
        <v>49.399999199984038</v>
      </c>
      <c r="AC244" s="23" t="s">
        <v>193</v>
      </c>
      <c r="AD244" s="23">
        <v>42.2</v>
      </c>
      <c r="AE244" s="23">
        <v>42.4</v>
      </c>
    </row>
    <row r="245" spans="1:31" x14ac:dyDescent="0.35">
      <c r="A245" s="29" t="s">
        <v>1013</v>
      </c>
      <c r="B245" s="29" t="s">
        <v>1014</v>
      </c>
      <c r="C245" s="21">
        <v>14</v>
      </c>
      <c r="D245" s="21" t="s">
        <v>1015</v>
      </c>
      <c r="E245" s="31">
        <v>40283</v>
      </c>
      <c r="F245" s="28" t="s">
        <v>1016</v>
      </c>
      <c r="G245" s="28">
        <f>INDEX($C$2:$D$37,MATCH(RESOLUCIONES[[#This Row],[No. Canal]],$C$2:$C$37,0),2)</f>
        <v>473</v>
      </c>
      <c r="I245" s="28" t="s">
        <v>1017</v>
      </c>
      <c r="J245" s="28" t="s">
        <v>190</v>
      </c>
      <c r="K245" s="28" t="str">
        <f t="shared" si="4"/>
        <v>ConvenciónNorte de Santander</v>
      </c>
      <c r="L245" s="28"/>
      <c r="M245" s="28"/>
      <c r="N245" s="28"/>
      <c r="O245" s="69"/>
      <c r="P245" s="28"/>
      <c r="Q245" s="28" t="s">
        <v>990</v>
      </c>
      <c r="R245" s="28">
        <v>7.5768055555555556</v>
      </c>
      <c r="S245" s="28">
        <v>-75.397833333333338</v>
      </c>
      <c r="T245" s="28" t="str">
        <f>_xlfn.CONCAT(COORDENADAS[[#This Row],[G]],"° ",COORDENADAS[[#This Row],[M]],"' ",FIXED(COORDENADAS[[#This Row],[S]],2),""" ",COORDENADAS[[#This Row],[Norte]])</f>
        <v>7° 34' 36,50" N</v>
      </c>
      <c r="U245" s="41">
        <v>7</v>
      </c>
      <c r="V245" s="41">
        <v>34</v>
      </c>
      <c r="W245" s="56">
        <v>36.500000000000114</v>
      </c>
      <c r="X245" s="23" t="s">
        <v>192</v>
      </c>
      <c r="Y245" s="28" t="str">
        <f>_xlfn.CONCAT(COORDENADAS[[#This Row],[GG]],"° ",COORDENADAS[[#This Row],[MM]],"' ",FIXED(COORDENADAS[[#This Row],[SS]],2),""" ",COORDENADAS[[#This Row],[Weter]])</f>
        <v>75° 23' 52,20" W</v>
      </c>
      <c r="Z245" s="28">
        <v>75</v>
      </c>
      <c r="AA245" s="28">
        <v>23</v>
      </c>
      <c r="AB245" s="28">
        <v>52.200000000017234</v>
      </c>
      <c r="AC245" s="23" t="s">
        <v>193</v>
      </c>
      <c r="AD245" s="23">
        <v>36.049999999999997</v>
      </c>
      <c r="AE245" s="23">
        <v>0</v>
      </c>
    </row>
    <row r="246" spans="1:31" x14ac:dyDescent="0.35">
      <c r="A246" s="29" t="s">
        <v>1018</v>
      </c>
      <c r="B246" s="29" t="s">
        <v>1019</v>
      </c>
      <c r="C246" s="21">
        <v>41</v>
      </c>
      <c r="D246" s="21">
        <v>1903</v>
      </c>
      <c r="E246" s="30">
        <v>43460</v>
      </c>
      <c r="F246" s="28" t="s">
        <v>577</v>
      </c>
      <c r="G246" s="28">
        <f>INDEX($C$2:$D$37,MATCH(RESOLUCIONES[[#This Row],[No. Canal]],$C$2:$C$37,0),2)</f>
        <v>635</v>
      </c>
      <c r="I246" s="28" t="s">
        <v>1020</v>
      </c>
      <c r="J246" s="28" t="s">
        <v>154</v>
      </c>
      <c r="K246" s="28" t="str">
        <f t="shared" si="4"/>
        <v>CopacabanaAntioquia</v>
      </c>
      <c r="L246" s="28"/>
      <c r="M246" s="28"/>
      <c r="N246" s="28"/>
      <c r="O246" s="69"/>
      <c r="P246" s="28"/>
      <c r="Q246" s="28" t="s">
        <v>993</v>
      </c>
      <c r="R246" s="28">
        <v>7.9966111111111111</v>
      </c>
      <c r="S246" s="28">
        <v>-72.460555555555558</v>
      </c>
      <c r="T246" s="28" t="str">
        <f>_xlfn.CONCAT(COORDENADAS[[#This Row],[G]],"° ",COORDENADAS[[#This Row],[M]],"' ",FIXED(COORDENADAS[[#This Row],[S]],2),""" ",COORDENADAS[[#This Row],[Norte]])</f>
        <v>7° 59' 47,80" N</v>
      </c>
      <c r="U246" s="41">
        <v>7</v>
      </c>
      <c r="V246" s="41">
        <v>59</v>
      </c>
      <c r="W246" s="56">
        <v>47.800000000000196</v>
      </c>
      <c r="X246" s="23" t="s">
        <v>192</v>
      </c>
      <c r="Y246" s="28" t="str">
        <f>_xlfn.CONCAT(COORDENADAS[[#This Row],[GG]],"° ",COORDENADAS[[#This Row],[MM]],"' ",FIXED(COORDENADAS[[#This Row],[SS]],2),""" ",COORDENADAS[[#This Row],[Weter]])</f>
        <v>72° 27' 38,00" W</v>
      </c>
      <c r="Z246" s="28">
        <v>72</v>
      </c>
      <c r="AA246" s="28">
        <v>27</v>
      </c>
      <c r="AB246" s="28">
        <v>38.000000000009734</v>
      </c>
      <c r="AC246" s="23" t="s">
        <v>193</v>
      </c>
      <c r="AD246" s="23">
        <v>50.92</v>
      </c>
      <c r="AE246" s="23">
        <v>0</v>
      </c>
    </row>
    <row r="247" spans="1:31" x14ac:dyDescent="0.35">
      <c r="A247" s="29" t="s">
        <v>1021</v>
      </c>
      <c r="B247" s="29" t="s">
        <v>1022</v>
      </c>
      <c r="C247" s="21">
        <v>14</v>
      </c>
      <c r="D247" s="21">
        <v>1903</v>
      </c>
      <c r="E247" s="30">
        <v>43460</v>
      </c>
      <c r="F247" s="28" t="s">
        <v>577</v>
      </c>
      <c r="G247" s="28">
        <f>INDEX($C$2:$D$37,MATCH(RESOLUCIONES[[#This Row],[No. Canal]],$C$2:$C$37,0),2)</f>
        <v>473</v>
      </c>
      <c r="I247" s="28" t="s">
        <v>1023</v>
      </c>
      <c r="J247" s="28" t="s">
        <v>274</v>
      </c>
      <c r="K247" s="28" t="str">
        <f t="shared" si="4"/>
        <v>CoperBoyaca</v>
      </c>
      <c r="L247" s="28"/>
      <c r="M247" s="28"/>
      <c r="N247" s="28"/>
      <c r="O247" s="69"/>
      <c r="P247" s="28"/>
      <c r="Q247" s="28" t="s">
        <v>1024</v>
      </c>
      <c r="R247" s="28">
        <v>7.9920277779999997</v>
      </c>
      <c r="S247" s="28">
        <v>-72.462194444000005</v>
      </c>
      <c r="T247" s="28" t="str">
        <f>_xlfn.CONCAT(COORDENADAS[[#This Row],[G]],"° ",COORDENADAS[[#This Row],[M]],"' ",FIXED(COORDENADAS[[#This Row],[S]],2),""" ",COORDENADAS[[#This Row],[Norte]])</f>
        <v>7° 59' 31,30" N</v>
      </c>
      <c r="U247" s="41">
        <v>7</v>
      </c>
      <c r="V247" s="41">
        <v>59</v>
      </c>
      <c r="W247" s="56">
        <v>31.300000799999282</v>
      </c>
      <c r="X247" s="23" t="s">
        <v>192</v>
      </c>
      <c r="Y247" s="28" t="str">
        <f>_xlfn.CONCAT(COORDENADAS[[#This Row],[GG]],"° ",COORDENADAS[[#This Row],[MM]],"' ",FIXED(COORDENADAS[[#This Row],[SS]],2),""" ",COORDENADAS[[#This Row],[Weter]])</f>
        <v>72° 27' 43,90" W</v>
      </c>
      <c r="Z247" s="28">
        <v>72</v>
      </c>
      <c r="AA247" s="28">
        <v>27</v>
      </c>
      <c r="AB247" s="28">
        <v>43.899998400017878</v>
      </c>
      <c r="AC247" s="23" t="s">
        <v>193</v>
      </c>
      <c r="AD247" s="23">
        <v>42.8</v>
      </c>
      <c r="AE247" s="23">
        <v>42.9</v>
      </c>
    </row>
    <row r="248" spans="1:31" x14ac:dyDescent="0.35">
      <c r="A248" s="29" t="s">
        <v>1025</v>
      </c>
      <c r="B248" s="29" t="s">
        <v>1026</v>
      </c>
      <c r="C248" s="21">
        <v>43</v>
      </c>
      <c r="D248" s="21">
        <v>2076</v>
      </c>
      <c r="E248" s="31">
        <v>43082</v>
      </c>
      <c r="F248" s="28" t="s">
        <v>646</v>
      </c>
      <c r="G248" s="28">
        <f>INDEX($C$2:$D$37,MATCH(RESOLUCIONES[[#This Row],[No. Canal]],$C$2:$C$37,0),2)</f>
        <v>647</v>
      </c>
      <c r="I248" s="28" t="s">
        <v>1027</v>
      </c>
      <c r="J248" s="28" t="s">
        <v>260</v>
      </c>
      <c r="K248" s="28" t="str">
        <f t="shared" si="4"/>
        <v>CórdobaBolivar</v>
      </c>
      <c r="L248" s="28"/>
      <c r="M248" s="28"/>
      <c r="N248" s="28"/>
      <c r="O248" s="69" t="s">
        <v>1028</v>
      </c>
      <c r="P248" s="28"/>
      <c r="Q248" s="28" t="s">
        <v>1029</v>
      </c>
      <c r="R248" s="28">
        <v>1.177888888888889</v>
      </c>
      <c r="S248" s="28">
        <v>-77.270402777777775</v>
      </c>
      <c r="T248" s="28" t="str">
        <f>_xlfn.CONCAT(COORDENADAS[[#This Row],[G]],"° ",COORDENADAS[[#This Row],[M]],"' ",FIXED(COORDENADAS[[#This Row],[S]],2),""" ",COORDENADAS[[#This Row],[Norte]])</f>
        <v>1° 10' 40,40" N</v>
      </c>
      <c r="U248" s="41">
        <v>1</v>
      </c>
      <c r="V248" s="41">
        <v>10</v>
      </c>
      <c r="W248" s="56">
        <v>40.4</v>
      </c>
      <c r="X248" s="23" t="s">
        <v>192</v>
      </c>
      <c r="Y248" s="28" t="str">
        <f>_xlfn.CONCAT(COORDENADAS[[#This Row],[GG]],"° ",COORDENADAS[[#This Row],[MM]],"' ",FIXED(COORDENADAS[[#This Row],[SS]],2),""" ",COORDENADAS[[#This Row],[Weter]])</f>
        <v>77° 16' 13,45" W</v>
      </c>
      <c r="Z248" s="28">
        <v>77</v>
      </c>
      <c r="AA248" s="28">
        <v>16</v>
      </c>
      <c r="AB248" s="28">
        <v>13.45</v>
      </c>
      <c r="AC248" s="23" t="s">
        <v>193</v>
      </c>
      <c r="AD248" s="23">
        <v>44</v>
      </c>
      <c r="AE248" s="23">
        <v>0</v>
      </c>
    </row>
    <row r="249" spans="1:31" x14ac:dyDescent="0.35">
      <c r="A249" s="29" t="s">
        <v>1030</v>
      </c>
      <c r="B249" s="29" t="s">
        <v>1031</v>
      </c>
      <c r="C249" s="21">
        <v>14</v>
      </c>
      <c r="D249" s="21">
        <v>2076</v>
      </c>
      <c r="E249" s="31">
        <v>43082</v>
      </c>
      <c r="F249" s="28" t="s">
        <v>646</v>
      </c>
      <c r="G249" s="28">
        <f>INDEX($C$2:$D$37,MATCH(RESOLUCIONES[[#This Row],[No. Canal]],$C$2:$C$37,0),2)</f>
        <v>473</v>
      </c>
      <c r="I249" s="28" t="s">
        <v>1027</v>
      </c>
      <c r="J249" s="28" t="s">
        <v>352</v>
      </c>
      <c r="K249" s="28" t="str">
        <f t="shared" si="4"/>
        <v>CórdobaNariño</v>
      </c>
      <c r="L249" s="28"/>
      <c r="M249" s="28"/>
      <c r="N249" s="28"/>
      <c r="O249" s="69" t="s">
        <v>1032</v>
      </c>
      <c r="P249" s="28"/>
      <c r="Q249" s="28" t="s">
        <v>1033</v>
      </c>
      <c r="R249" s="28">
        <v>5.5745388888888883</v>
      </c>
      <c r="S249" s="28">
        <v>-73.351799999999997</v>
      </c>
      <c r="T249" s="28" t="str">
        <f>_xlfn.CONCAT(COORDENADAS[[#This Row],[G]],"° ",COORDENADAS[[#This Row],[M]],"' ",FIXED(COORDENADAS[[#This Row],[S]],2),""" ",COORDENADAS[[#This Row],[Norte]])</f>
        <v>5° 34' 28,34"  N</v>
      </c>
      <c r="U249" s="41">
        <v>5</v>
      </c>
      <c r="V249" s="41">
        <v>34</v>
      </c>
      <c r="W249" s="56">
        <v>28.34</v>
      </c>
      <c r="X249" s="23" t="s">
        <v>1034</v>
      </c>
      <c r="Y249" s="28" t="str">
        <f>_xlfn.CONCAT(COORDENADAS[[#This Row],[GG]],"° ",COORDENADAS[[#This Row],[MM]],"' ",FIXED(COORDENADAS[[#This Row],[SS]],2),""" ",COORDENADAS[[#This Row],[Weter]])</f>
        <v>73° 21' 6,48" W</v>
      </c>
      <c r="Z249" s="28">
        <v>73</v>
      </c>
      <c r="AA249" s="28">
        <v>21</v>
      </c>
      <c r="AB249" s="28">
        <v>6.48</v>
      </c>
      <c r="AC249" s="23" t="s">
        <v>193</v>
      </c>
      <c r="AD249" s="23">
        <v>42.4</v>
      </c>
      <c r="AE249" s="23">
        <v>0</v>
      </c>
    </row>
    <row r="250" spans="1:31" x14ac:dyDescent="0.35">
      <c r="A250" s="29" t="s">
        <v>1035</v>
      </c>
      <c r="B250" s="29" t="s">
        <v>1036</v>
      </c>
      <c r="C250" s="21">
        <v>14</v>
      </c>
      <c r="D250" s="21">
        <v>861</v>
      </c>
      <c r="E250" s="31">
        <v>42286</v>
      </c>
      <c r="F250" s="28" t="s">
        <v>639</v>
      </c>
      <c r="G250" s="28">
        <f>INDEX($C$2:$D$37,MATCH(RESOLUCIONES[[#This Row],[No. Canal]],$C$2:$C$37,0),2)</f>
        <v>473</v>
      </c>
      <c r="I250" s="28" t="s">
        <v>1027</v>
      </c>
      <c r="J250" s="28" t="s">
        <v>401</v>
      </c>
      <c r="K250" s="28" t="str">
        <f t="shared" si="4"/>
        <v>CórdobaQuindio</v>
      </c>
      <c r="L250" s="28"/>
      <c r="M250" s="28"/>
      <c r="N250" s="28"/>
      <c r="O250" s="69"/>
      <c r="P250" s="28"/>
      <c r="Q250" s="28" t="s">
        <v>996</v>
      </c>
      <c r="R250" s="28">
        <v>3.4537777777777778</v>
      </c>
      <c r="S250" s="28">
        <v>-76.5745</v>
      </c>
      <c r="T250" s="28" t="str">
        <f>_xlfn.CONCAT(COORDENADAS[[#This Row],[G]],"° ",COORDENADAS[[#This Row],[M]],"' ",FIXED(COORDENADAS[[#This Row],[S]],2),""" ",COORDENADAS[[#This Row],[Norte]])</f>
        <v>3° 27' 13,60" N</v>
      </c>
      <c r="U250" s="41">
        <v>3</v>
      </c>
      <c r="V250" s="41">
        <v>27</v>
      </c>
      <c r="W250" s="56">
        <v>13.600000000000168</v>
      </c>
      <c r="X250" s="23" t="s">
        <v>192</v>
      </c>
      <c r="Y250" s="28" t="str">
        <f>_xlfn.CONCAT(COORDENADAS[[#This Row],[GG]],"° ",COORDENADAS[[#This Row],[MM]],"' ",FIXED(COORDENADAS[[#This Row],[SS]],2),""" ",COORDENADAS[[#This Row],[Weter]])</f>
        <v>76° 34' 28,20" W</v>
      </c>
      <c r="Z250" s="28">
        <v>76</v>
      </c>
      <c r="AA250" s="28">
        <v>34</v>
      </c>
      <c r="AB250" s="28">
        <v>28.20000000000169</v>
      </c>
      <c r="AC250" s="23" t="s">
        <v>193</v>
      </c>
      <c r="AD250" s="23">
        <v>48.38</v>
      </c>
      <c r="AE250" s="23">
        <v>0</v>
      </c>
    </row>
    <row r="251" spans="1:31" x14ac:dyDescent="0.35">
      <c r="A251" s="29" t="s">
        <v>1037</v>
      </c>
      <c r="B251" s="29" t="s">
        <v>1038</v>
      </c>
      <c r="C251" s="21">
        <v>14</v>
      </c>
      <c r="D251" s="21">
        <v>1903</v>
      </c>
      <c r="E251" s="30">
        <v>43460</v>
      </c>
      <c r="F251" s="28" t="s">
        <v>577</v>
      </c>
      <c r="G251" s="28">
        <f>INDEX($C$2:$D$37,MATCH(RESOLUCIONES[[#This Row],[No. Canal]],$C$2:$C$37,0),2)</f>
        <v>473</v>
      </c>
      <c r="I251" s="28" t="s">
        <v>1039</v>
      </c>
      <c r="J251" s="28" t="s">
        <v>315</v>
      </c>
      <c r="K251" s="28" t="str">
        <f t="shared" si="4"/>
        <v>CorintoCauca</v>
      </c>
      <c r="L251" s="28"/>
      <c r="M251" s="28"/>
      <c r="N251" s="28"/>
      <c r="O251" s="69"/>
      <c r="P251" s="28"/>
      <c r="Q251" s="28" t="s">
        <v>1040</v>
      </c>
      <c r="R251" s="28">
        <v>2.5084166670000001</v>
      </c>
      <c r="S251" s="28">
        <v>-75.770083333000002</v>
      </c>
      <c r="T251" s="28" t="str">
        <f>_xlfn.CONCAT(COORDENADAS[[#This Row],[G]],"° ",COORDENADAS[[#This Row],[M]],"' ",FIXED(COORDENADAS[[#This Row],[S]],2),""" ",COORDENADAS[[#This Row],[Norte]])</f>
        <v>2° 30' 30,30" N</v>
      </c>
      <c r="U251" s="41">
        <v>2</v>
      </c>
      <c r="V251" s="41">
        <v>30</v>
      </c>
      <c r="W251" s="56">
        <v>30.300001200000359</v>
      </c>
      <c r="X251" s="23" t="s">
        <v>192</v>
      </c>
      <c r="Y251" s="28" t="str">
        <f>_xlfn.CONCAT(COORDENADAS[[#This Row],[GG]],"° ",COORDENADAS[[#This Row],[MM]],"' ",FIXED(COORDENADAS[[#This Row],[SS]],2),""" ",COORDENADAS[[#This Row],[Weter]])</f>
        <v>75° 46' 12,30" W</v>
      </c>
      <c r="Z251" s="28">
        <v>75</v>
      </c>
      <c r="AA251" s="28">
        <v>46</v>
      </c>
      <c r="AB251" s="28">
        <v>12.299998800008138</v>
      </c>
      <c r="AC251" s="23" t="s">
        <v>193</v>
      </c>
      <c r="AD251" s="23">
        <v>40.799999999999997</v>
      </c>
      <c r="AE251" s="23">
        <v>40.700000000000003</v>
      </c>
    </row>
    <row r="252" spans="1:31" x14ac:dyDescent="0.35">
      <c r="A252" s="29" t="s">
        <v>191</v>
      </c>
      <c r="B252" s="37" t="str">
        <f t="shared" ref="B252:B283" si="5">A252&amp;"RCN"</f>
        <v>ACEVEDO - CCNPRCN</v>
      </c>
      <c r="C252" s="21">
        <v>15</v>
      </c>
      <c r="D252" s="21">
        <v>1904</v>
      </c>
      <c r="E252" s="30">
        <v>43460</v>
      </c>
      <c r="F252" s="28" t="s">
        <v>1041</v>
      </c>
      <c r="G252" s="28">
        <f>INDEX($C$2:$D$37,MATCH(RESOLUCIONES[[#This Row],[No. Canal]],$C$2:$C$37,0),2)</f>
        <v>479</v>
      </c>
      <c r="I252" s="28" t="s">
        <v>1042</v>
      </c>
      <c r="J252" s="28" t="s">
        <v>304</v>
      </c>
      <c r="K252" s="28" t="str">
        <f t="shared" si="4"/>
        <v>CoromoroSantander</v>
      </c>
      <c r="L252" s="28"/>
      <c r="M252" s="28"/>
      <c r="N252" s="28"/>
      <c r="O252" s="69"/>
      <c r="P252" s="28"/>
      <c r="Q252" s="28" t="s">
        <v>1043</v>
      </c>
      <c r="R252" s="28">
        <v>4.963972222222222</v>
      </c>
      <c r="S252" s="28">
        <v>-73.975250000000003</v>
      </c>
      <c r="T252" s="28" t="str">
        <f>_xlfn.CONCAT(COORDENADAS[[#This Row],[G]],"° ",COORDENADAS[[#This Row],[M]],"' ",FIXED(COORDENADAS[[#This Row],[S]],2),""" ",COORDENADAS[[#This Row],[Norte]])</f>
        <v>4° 57' 50,14" N</v>
      </c>
      <c r="U252" s="41">
        <v>4</v>
      </c>
      <c r="V252" s="41">
        <v>57</v>
      </c>
      <c r="W252" s="56">
        <v>50.141383200000874</v>
      </c>
      <c r="X252" s="23" t="s">
        <v>192</v>
      </c>
      <c r="Y252" s="28" t="str">
        <f>_xlfn.CONCAT(COORDENADAS[[#This Row],[GG]],"° ",COORDENADAS[[#This Row],[MM]],"' ",FIXED(COORDENADAS[[#This Row],[SS]],2),""" ",COORDENADAS[[#This Row],[Weter]])</f>
        <v>73° 58' 31,50" W</v>
      </c>
      <c r="Z252" s="28">
        <v>73</v>
      </c>
      <c r="AA252" s="28">
        <v>58</v>
      </c>
      <c r="AB252" s="28">
        <v>31.500012000004716</v>
      </c>
      <c r="AC252" s="23" t="s">
        <v>193</v>
      </c>
      <c r="AD252" s="23">
        <v>40.6</v>
      </c>
      <c r="AE252" s="23">
        <v>40.700000000000003</v>
      </c>
    </row>
    <row r="253" spans="1:31" x14ac:dyDescent="0.35">
      <c r="A253" s="29" t="s">
        <v>205</v>
      </c>
      <c r="B253" s="37" t="str">
        <f t="shared" si="5"/>
        <v>AGUSTÍN CODAZZI - CCNPRCN</v>
      </c>
      <c r="C253" s="21">
        <v>32</v>
      </c>
      <c r="D253" s="21">
        <v>1904</v>
      </c>
      <c r="E253" s="30">
        <v>43460</v>
      </c>
      <c r="F253" s="28" t="s">
        <v>1041</v>
      </c>
      <c r="G253" s="28">
        <f>INDEX($C$2:$D$37,MATCH(RESOLUCIONES[[#This Row],[No. Canal]],$C$2:$C$37,0),2)</f>
        <v>581</v>
      </c>
      <c r="I253" s="28" t="s">
        <v>1044</v>
      </c>
      <c r="J253" s="28" t="s">
        <v>413</v>
      </c>
      <c r="K253" s="28" t="str">
        <f t="shared" si="4"/>
        <v>CorozalSucre</v>
      </c>
      <c r="L253" s="28"/>
      <c r="M253" s="28"/>
      <c r="N253" s="28"/>
      <c r="O253" s="69"/>
      <c r="P253" s="28"/>
      <c r="Q253" s="28" t="s">
        <v>1045</v>
      </c>
      <c r="R253" s="28">
        <v>8.1684999999999999</v>
      </c>
      <c r="S253" s="28">
        <v>-76.036555555999996</v>
      </c>
      <c r="T253" s="28" t="str">
        <f>_xlfn.CONCAT(COORDENADAS[[#This Row],[G]],"° ",COORDENADAS[[#This Row],[M]],"' ",FIXED(COORDENADAS[[#This Row],[S]],2),""" ",COORDENADAS[[#This Row],[Norte]])</f>
        <v>8° 10' 6,50" N</v>
      </c>
      <c r="U253" s="41">
        <v>8</v>
      </c>
      <c r="V253" s="41">
        <v>10</v>
      </c>
      <c r="W253" s="56">
        <v>6.5015688000024223</v>
      </c>
      <c r="X253" s="23" t="s">
        <v>192</v>
      </c>
      <c r="Y253" s="28" t="str">
        <f>_xlfn.CONCAT(COORDENADAS[[#This Row],[GG]],"° ",COORDENADAS[[#This Row],[MM]],"' ",FIXED(COORDENADAS[[#This Row],[SS]],2),""" ",COORDENADAS[[#This Row],[Weter]])</f>
        <v>76° 2' 11,86" W</v>
      </c>
      <c r="Z253" s="28">
        <v>76</v>
      </c>
      <c r="AA253" s="28">
        <v>2</v>
      </c>
      <c r="AB253" s="28">
        <v>11.855936399995246</v>
      </c>
      <c r="AC253" s="23" t="s">
        <v>193</v>
      </c>
      <c r="AD253" s="23">
        <v>42.3</v>
      </c>
      <c r="AE253" s="23">
        <v>41.8</v>
      </c>
    </row>
    <row r="254" spans="1:31" x14ac:dyDescent="0.35">
      <c r="A254" s="29" t="s">
        <v>212</v>
      </c>
      <c r="B254" s="37" t="str">
        <f t="shared" si="5"/>
        <v>ALGECIRAS - CCNPRCN</v>
      </c>
      <c r="C254" s="21">
        <v>15</v>
      </c>
      <c r="D254" s="21">
        <v>1904</v>
      </c>
      <c r="E254" s="30">
        <v>43460</v>
      </c>
      <c r="F254" s="28" t="s">
        <v>1041</v>
      </c>
      <c r="G254" s="28">
        <f>INDEX($C$2:$D$37,MATCH(RESOLUCIONES[[#This Row],[No. Canal]],$C$2:$C$37,0),2)</f>
        <v>479</v>
      </c>
      <c r="I254" s="28" t="s">
        <v>1046</v>
      </c>
      <c r="J254" s="28" t="s">
        <v>274</v>
      </c>
      <c r="K254" s="28" t="str">
        <f t="shared" si="4"/>
        <v>CorralesBoyaca</v>
      </c>
      <c r="L254" s="28"/>
      <c r="M254" s="28"/>
      <c r="N254" s="28"/>
      <c r="O254" s="69"/>
      <c r="P254" s="28"/>
      <c r="Q254" s="28" t="s">
        <v>1000</v>
      </c>
      <c r="R254" s="28">
        <v>1.9425833333333333</v>
      </c>
      <c r="S254" s="28">
        <v>-75.958138888888897</v>
      </c>
      <c r="T254" s="28" t="str">
        <f>_xlfn.CONCAT(COORDENADAS[[#This Row],[G]],"° ",COORDENADAS[[#This Row],[M]],"' ",FIXED(COORDENADAS[[#This Row],[S]],2),""" ",COORDENADAS[[#This Row],[Norte]])</f>
        <v>1° 56' 33,30" N</v>
      </c>
      <c r="U254" s="41">
        <v>1</v>
      </c>
      <c r="V254" s="41">
        <v>56</v>
      </c>
      <c r="W254" s="56">
        <v>33.299999999999926</v>
      </c>
      <c r="X254" s="23" t="s">
        <v>192</v>
      </c>
      <c r="Y254" s="28" t="str">
        <f>_xlfn.CONCAT(COORDENADAS[[#This Row],[GG]],"° ",COORDENADAS[[#This Row],[MM]],"' ",FIXED(COORDENADAS[[#This Row],[SS]],2),""" ",COORDENADAS[[#This Row],[Weter]])</f>
        <v>75° 57' 29,30" W</v>
      </c>
      <c r="Z254" s="28">
        <v>75</v>
      </c>
      <c r="AA254" s="28">
        <v>57</v>
      </c>
      <c r="AB254" s="28">
        <v>29.300000000028081</v>
      </c>
      <c r="AC254" s="23" t="s">
        <v>193</v>
      </c>
      <c r="AD254" s="23">
        <v>34.82</v>
      </c>
      <c r="AE254" s="23">
        <v>0</v>
      </c>
    </row>
    <row r="255" spans="1:31" x14ac:dyDescent="0.35">
      <c r="A255" s="29" t="s">
        <v>261</v>
      </c>
      <c r="B255" s="37" t="str">
        <f t="shared" si="5"/>
        <v>ANDES - CCNPRCN</v>
      </c>
      <c r="C255" s="21">
        <v>15</v>
      </c>
      <c r="D255" s="21">
        <v>1904</v>
      </c>
      <c r="E255" s="30">
        <v>43460</v>
      </c>
      <c r="F255" s="28" t="s">
        <v>1041</v>
      </c>
      <c r="G255" s="28">
        <f>INDEX($C$2:$D$37,MATCH(RESOLUCIONES[[#This Row],[No. Canal]],$C$2:$C$37,0),2)</f>
        <v>479</v>
      </c>
      <c r="I255" s="28" t="s">
        <v>1047</v>
      </c>
      <c r="J255" s="28" t="s">
        <v>283</v>
      </c>
      <c r="K255" s="28" t="str">
        <f t="shared" si="4"/>
        <v>CotaCundinamarca</v>
      </c>
      <c r="L255" s="28"/>
      <c r="M255" s="28"/>
      <c r="N255" s="28"/>
      <c r="O255" s="69"/>
      <c r="P255" s="28"/>
      <c r="Q255" s="28" t="s">
        <v>1048</v>
      </c>
      <c r="R255" s="28">
        <v>1.9425833333333333</v>
      </c>
      <c r="S255" s="28">
        <v>-75.958111111111108</v>
      </c>
      <c r="T255" s="28" t="str">
        <f>_xlfn.CONCAT(COORDENADAS[[#This Row],[G]],"° ",COORDENADAS[[#This Row],[M]],"' ",FIXED(COORDENADAS[[#This Row],[S]],2),""" ",COORDENADAS[[#This Row],[Norte]])</f>
        <v>1° 56' 33,30" N</v>
      </c>
      <c r="U255" s="41">
        <v>1</v>
      </c>
      <c r="V255" s="41">
        <v>56</v>
      </c>
      <c r="W255" s="56">
        <v>33.299998799999827</v>
      </c>
      <c r="X255" s="23" t="s">
        <v>192</v>
      </c>
      <c r="Y255" s="28" t="str">
        <f>_xlfn.CONCAT(COORDENADAS[[#This Row],[GG]],"° ",COORDENADAS[[#This Row],[MM]],"' ",FIXED(COORDENADAS[[#This Row],[SS]],2),""" ",COORDENADAS[[#This Row],[Weter]])</f>
        <v>75° 57' 29,20" W</v>
      </c>
      <c r="Z255" s="28">
        <v>75</v>
      </c>
      <c r="AA255" s="28">
        <v>57</v>
      </c>
      <c r="AB255" s="28">
        <v>29.199996000015904</v>
      </c>
      <c r="AC255" s="23" t="s">
        <v>193</v>
      </c>
      <c r="AD255" s="23">
        <v>40.799999999999997</v>
      </c>
      <c r="AE255" s="23">
        <v>40.700000000000003</v>
      </c>
    </row>
    <row r="256" spans="1:31" x14ac:dyDescent="0.35">
      <c r="A256" s="29" t="s">
        <v>275</v>
      </c>
      <c r="B256" s="37" t="str">
        <f t="shared" si="5"/>
        <v>ARAUCA - CCNPRCN</v>
      </c>
      <c r="C256" s="21">
        <v>24</v>
      </c>
      <c r="D256" s="21">
        <v>2172</v>
      </c>
      <c r="E256" s="31">
        <v>43091</v>
      </c>
      <c r="F256" s="28" t="s">
        <v>1049</v>
      </c>
      <c r="G256" s="28">
        <f>INDEX($C$2:$D$37,MATCH(RESOLUCIONES[[#This Row],[No. Canal]],$C$2:$C$37,0),2)</f>
        <v>533</v>
      </c>
      <c r="I256" s="28" t="s">
        <v>1050</v>
      </c>
      <c r="J256" s="28" t="s">
        <v>337</v>
      </c>
      <c r="K256" s="28" t="str">
        <f t="shared" si="4"/>
        <v>CotorraCordoba</v>
      </c>
      <c r="L256" s="28"/>
      <c r="M256" s="28"/>
      <c r="N256" s="28"/>
      <c r="O256" s="69"/>
      <c r="P256" s="28"/>
      <c r="Q256" s="28" t="s">
        <v>1003</v>
      </c>
      <c r="R256" s="28">
        <v>7.2963055555555556</v>
      </c>
      <c r="S256" s="28">
        <v>-72.499472222222224</v>
      </c>
      <c r="T256" s="28" t="str">
        <f>_xlfn.CONCAT(COORDENADAS[[#This Row],[G]],"° ",COORDENADAS[[#This Row],[M]],"' ",FIXED(COORDENADAS[[#This Row],[S]],2),""" ",COORDENADAS[[#This Row],[Norte]])</f>
        <v>7° 17' 46,70" N</v>
      </c>
      <c r="U256" s="41">
        <v>7</v>
      </c>
      <c r="V256" s="41">
        <v>17</v>
      </c>
      <c r="W256" s="56">
        <v>46.700000000000188</v>
      </c>
      <c r="X256" s="23" t="s">
        <v>192</v>
      </c>
      <c r="Y256" s="28" t="str">
        <f>_xlfn.CONCAT(COORDENADAS[[#This Row],[GG]],"° ",COORDENADAS[[#This Row],[MM]],"' ",FIXED(COORDENADAS[[#This Row],[SS]],2),""" ",COORDENADAS[[#This Row],[Weter]])</f>
        <v>72° 29' 58,10" W</v>
      </c>
      <c r="Z256" s="28">
        <v>72</v>
      </c>
      <c r="AA256" s="28">
        <v>29</v>
      </c>
      <c r="AB256" s="28">
        <v>58.100000000005124</v>
      </c>
      <c r="AC256" s="23" t="s">
        <v>193</v>
      </c>
      <c r="AD256" s="23">
        <v>34.82</v>
      </c>
      <c r="AE256" s="23">
        <v>0</v>
      </c>
    </row>
    <row r="257" spans="1:31" x14ac:dyDescent="0.35">
      <c r="A257" s="29" t="s">
        <v>295</v>
      </c>
      <c r="B257" s="37" t="str">
        <f t="shared" si="5"/>
        <v>ARAUQUITA - CCNPRCN</v>
      </c>
      <c r="C257" s="21">
        <v>30</v>
      </c>
      <c r="D257" s="21">
        <v>1904</v>
      </c>
      <c r="E257" s="30">
        <v>43460</v>
      </c>
      <c r="F257" s="28" t="s">
        <v>1041</v>
      </c>
      <c r="G257" s="28">
        <f>INDEX($C$2:$D$37,MATCH(RESOLUCIONES[[#This Row],[No. Canal]],$C$2:$C$37,0),2)</f>
        <v>569</v>
      </c>
      <c r="I257" s="28" t="s">
        <v>1051</v>
      </c>
      <c r="J257" s="28" t="s">
        <v>274</v>
      </c>
      <c r="K257" s="28" t="str">
        <f t="shared" ref="K257:K320" si="6">_xlfn.CONCAT(TRIM(I257),TRIM(J257))</f>
        <v>CovarachíaBoyaca</v>
      </c>
      <c r="L257" s="28"/>
      <c r="M257" s="28"/>
      <c r="N257" s="28"/>
      <c r="O257" s="69"/>
      <c r="P257" s="28"/>
      <c r="Q257" s="28" t="s">
        <v>1006</v>
      </c>
      <c r="R257" s="28">
        <v>9.4594999999999985</v>
      </c>
      <c r="S257" s="28">
        <v>-75.432722222222225</v>
      </c>
      <c r="T257" s="28" t="str">
        <f>_xlfn.CONCAT(COORDENADAS[[#This Row],[G]],"° ",COORDENADAS[[#This Row],[M]],"' ",FIXED(COORDENADAS[[#This Row],[S]],2),""" ",COORDENADAS[[#This Row],[Norte]])</f>
        <v>9° 27' 34,20" N</v>
      </c>
      <c r="U257" s="41">
        <v>9</v>
      </c>
      <c r="V257" s="41">
        <v>27</v>
      </c>
      <c r="W257" s="56">
        <v>34.199999999994432</v>
      </c>
      <c r="X257" s="23" t="s">
        <v>192</v>
      </c>
      <c r="Y257" s="28" t="str">
        <f>_xlfn.CONCAT(COORDENADAS[[#This Row],[GG]],"° ",COORDENADAS[[#This Row],[MM]],"' ",FIXED(COORDENADAS[[#This Row],[SS]],2),""" ",COORDENADAS[[#This Row],[Weter]])</f>
        <v>75° 25' 57,80" W</v>
      </c>
      <c r="Z257" s="28">
        <v>75</v>
      </c>
      <c r="AA257" s="28">
        <v>25</v>
      </c>
      <c r="AB257" s="28">
        <v>57.800000000008758</v>
      </c>
      <c r="AC257" s="23" t="s">
        <v>193</v>
      </c>
      <c r="AD257" s="23">
        <v>48.38</v>
      </c>
      <c r="AE257" s="23">
        <v>0</v>
      </c>
    </row>
    <row r="258" spans="1:31" x14ac:dyDescent="0.35">
      <c r="A258" s="29" t="s">
        <v>324</v>
      </c>
      <c r="B258" s="37" t="str">
        <f t="shared" si="5"/>
        <v>ARMENIA - CCNPRCN</v>
      </c>
      <c r="C258" s="21">
        <v>15</v>
      </c>
      <c r="D258" s="21" t="s">
        <v>1052</v>
      </c>
      <c r="E258" s="31">
        <v>40283</v>
      </c>
      <c r="F258" s="28" t="s">
        <v>1053</v>
      </c>
      <c r="G258" s="28">
        <f>INDEX($C$2:$D$37,MATCH(RESOLUCIONES[[#This Row],[No. Canal]],$C$2:$C$37,0),2)</f>
        <v>479</v>
      </c>
      <c r="I258" s="28" t="s">
        <v>1054</v>
      </c>
      <c r="J258" s="28" t="s">
        <v>413</v>
      </c>
      <c r="K258" s="28" t="str">
        <f t="shared" si="6"/>
        <v>CoveñasSucre</v>
      </c>
      <c r="L258" s="28"/>
      <c r="M258" s="28"/>
      <c r="N258" s="28"/>
      <c r="O258" s="69"/>
      <c r="P258" s="28"/>
      <c r="Q258" s="28" t="s">
        <v>1055</v>
      </c>
      <c r="R258" s="28">
        <v>9.458777778</v>
      </c>
      <c r="S258" s="28">
        <v>-75.433944444000005</v>
      </c>
      <c r="T258" s="28" t="str">
        <f>_xlfn.CONCAT(COORDENADAS[[#This Row],[G]],"° ",COORDENADAS[[#This Row],[M]],"' ",FIXED(COORDENADAS[[#This Row],[S]],2),""" ",COORDENADAS[[#This Row],[Norte]])</f>
        <v>9° 27' 31,37" N</v>
      </c>
      <c r="U258" s="41">
        <v>9</v>
      </c>
      <c r="V258" s="41">
        <v>27</v>
      </c>
      <c r="W258" s="56">
        <v>31.374514799996934</v>
      </c>
      <c r="X258" s="23" t="s">
        <v>192</v>
      </c>
      <c r="Y258" s="28" t="str">
        <f>_xlfn.CONCAT(COORDENADAS[[#This Row],[GG]],"° ",COORDENADAS[[#This Row],[MM]],"' ",FIXED(COORDENADAS[[#This Row],[SS]],2),""" ",COORDENADAS[[#This Row],[Weter]])</f>
        <v>75° 25' 57,22" W</v>
      </c>
      <c r="Z258" s="28">
        <v>75</v>
      </c>
      <c r="AA258" s="28">
        <v>25</v>
      </c>
      <c r="AB258" s="28">
        <v>57.224877599975279</v>
      </c>
      <c r="AC258" s="23" t="s">
        <v>193</v>
      </c>
      <c r="AD258" s="23">
        <v>40.6</v>
      </c>
      <c r="AE258" s="23">
        <v>40.700000000000003</v>
      </c>
    </row>
    <row r="259" spans="1:31" x14ac:dyDescent="0.35">
      <c r="A259" s="29" t="s">
        <v>329</v>
      </c>
      <c r="B259" s="37" t="str">
        <f t="shared" si="5"/>
        <v>ATACO - CCNPRCN</v>
      </c>
      <c r="C259" s="21">
        <v>15</v>
      </c>
      <c r="D259" s="21">
        <v>1904</v>
      </c>
      <c r="E259" s="30">
        <v>43460</v>
      </c>
      <c r="F259" s="28" t="s">
        <v>1041</v>
      </c>
      <c r="G259" s="28">
        <f>INDEX($C$2:$D$37,MATCH(RESOLUCIONES[[#This Row],[No. Canal]],$C$2:$C$37,0),2)</f>
        <v>479</v>
      </c>
      <c r="I259" s="28" t="s">
        <v>1056</v>
      </c>
      <c r="J259" s="28" t="s">
        <v>409</v>
      </c>
      <c r="K259" s="28" t="str">
        <f t="shared" si="6"/>
        <v>CoyaimaTolima</v>
      </c>
      <c r="L259" s="28"/>
      <c r="M259" s="28"/>
      <c r="N259" s="28"/>
      <c r="O259" s="69"/>
      <c r="P259" s="28"/>
      <c r="Q259" s="28" t="s">
        <v>1009</v>
      </c>
      <c r="R259" s="28">
        <v>2.9594444444444448</v>
      </c>
      <c r="S259" s="28">
        <v>-76.265555555555551</v>
      </c>
      <c r="T259" s="28" t="str">
        <f>_xlfn.CONCAT(COORDENADAS[[#This Row],[G]],"° ",COORDENADAS[[#This Row],[M]],"' ",FIXED(COORDENADAS[[#This Row],[S]],2),""" ",COORDENADAS[[#This Row],[Norte]])</f>
        <v xml:space="preserve">2° 57' 34,00" </v>
      </c>
      <c r="U259" s="41">
        <v>2</v>
      </c>
      <c r="V259" s="41">
        <v>57</v>
      </c>
      <c r="W259" s="56">
        <v>34.000000000001322</v>
      </c>
      <c r="X259" s="23" t="s">
        <v>1057</v>
      </c>
      <c r="Y259" s="28" t="str">
        <f>_xlfn.CONCAT(COORDENADAS[[#This Row],[GG]],"° ",COORDENADAS[[#This Row],[MM]],"' ",FIXED(COORDENADAS[[#This Row],[SS]],2),""" ",COORDENADAS[[#This Row],[Weter]])</f>
        <v xml:space="preserve">76° 15' 56,00" </v>
      </c>
      <c r="Z259" s="28">
        <v>76</v>
      </c>
      <c r="AA259" s="28">
        <v>15</v>
      </c>
      <c r="AB259" s="28">
        <v>55.999999999983174</v>
      </c>
      <c r="AC259" s="23" t="s">
        <v>1057</v>
      </c>
      <c r="AD259" s="23">
        <v>34.82</v>
      </c>
      <c r="AE259" s="23">
        <v>0</v>
      </c>
    </row>
    <row r="260" spans="1:31" x14ac:dyDescent="0.35">
      <c r="A260" s="29" t="s">
        <v>345</v>
      </c>
      <c r="B260" s="37" t="str">
        <f t="shared" si="5"/>
        <v>BAJO BAUDÓ - CCNPRCN</v>
      </c>
      <c r="C260" s="21">
        <v>15</v>
      </c>
      <c r="D260" s="21">
        <v>1904</v>
      </c>
      <c r="E260" s="30">
        <v>43460</v>
      </c>
      <c r="F260" s="28" t="s">
        <v>1041</v>
      </c>
      <c r="G260" s="28">
        <f>INDEX($C$2:$D$37,MATCH(RESOLUCIONES[[#This Row],[No. Canal]],$C$2:$C$37,0),2)</f>
        <v>479</v>
      </c>
      <c r="I260" s="28" t="s">
        <v>1058</v>
      </c>
      <c r="J260" s="28" t="s">
        <v>204</v>
      </c>
      <c r="K260" s="28" t="str">
        <f t="shared" si="6"/>
        <v>Cravo NorteArauca</v>
      </c>
      <c r="L260" s="28"/>
      <c r="M260" s="28"/>
      <c r="N260" s="28"/>
      <c r="O260" s="69"/>
      <c r="P260" s="28"/>
      <c r="Q260" s="28" t="s">
        <v>1059</v>
      </c>
      <c r="R260" s="28">
        <v>3.4679861110000001</v>
      </c>
      <c r="S260" s="28">
        <v>-76.545888888999997</v>
      </c>
      <c r="T260" s="28" t="str">
        <f>_xlfn.CONCAT(COORDENADAS[[#This Row],[G]],"° ",COORDENADAS[[#This Row],[M]],"' ",FIXED(COORDENADAS[[#This Row],[S]],2),""" ",COORDENADAS[[#This Row],[Norte]])</f>
        <v>3° 28' 1,89" N</v>
      </c>
      <c r="U260" s="41">
        <v>3</v>
      </c>
      <c r="V260" s="41">
        <v>28</v>
      </c>
      <c r="W260" s="56">
        <v>1.8944364000001546</v>
      </c>
      <c r="X260" s="23" t="s">
        <v>192</v>
      </c>
      <c r="Y260" s="28" t="str">
        <f>_xlfn.CONCAT(COORDENADAS[[#This Row],[GG]],"° ",COORDENADAS[[#This Row],[MM]],"' ",FIXED(COORDENADAS[[#This Row],[SS]],2),""" ",COORDENADAS[[#This Row],[Weter]])</f>
        <v>76° 32' 44,27" W</v>
      </c>
      <c r="Z260" s="28">
        <v>76</v>
      </c>
      <c r="AA260" s="28">
        <v>32</v>
      </c>
      <c r="AB260" s="28">
        <v>44.2726403999973</v>
      </c>
      <c r="AC260" s="23" t="s">
        <v>193</v>
      </c>
      <c r="AD260" s="23">
        <v>40.6</v>
      </c>
      <c r="AE260" s="23">
        <v>40.700000000000003</v>
      </c>
    </row>
    <row r="261" spans="1:31" x14ac:dyDescent="0.35">
      <c r="A261" s="29" t="s">
        <v>354</v>
      </c>
      <c r="B261" s="37" t="str">
        <f t="shared" si="5"/>
        <v>BALBOA - CCNPRCN</v>
      </c>
      <c r="C261" s="21">
        <v>22</v>
      </c>
      <c r="D261" s="21">
        <v>1904</v>
      </c>
      <c r="E261" s="30">
        <v>43460</v>
      </c>
      <c r="F261" s="28" t="s">
        <v>1041</v>
      </c>
      <c r="G261" s="28">
        <f>INDEX($C$2:$D$37,MATCH(RESOLUCIONES[[#This Row],[No. Canal]],$C$2:$C$37,0),2)</f>
        <v>521</v>
      </c>
      <c r="I261" s="28" t="s">
        <v>1060</v>
      </c>
      <c r="J261" s="28" t="s">
        <v>352</v>
      </c>
      <c r="K261" s="28" t="str">
        <f t="shared" si="6"/>
        <v>CuaspudNariño</v>
      </c>
      <c r="L261" s="28"/>
      <c r="M261" s="28"/>
      <c r="N261" s="28"/>
      <c r="O261" s="69"/>
      <c r="P261" s="28"/>
      <c r="Q261" s="28" t="s">
        <v>1013</v>
      </c>
      <c r="R261" s="28">
        <v>10.336555555555556</v>
      </c>
      <c r="S261" s="28">
        <v>-75.427666666666667</v>
      </c>
      <c r="T261" s="28" t="str">
        <f>_xlfn.CONCAT(COORDENADAS[[#This Row],[G]],"° ",COORDENADAS[[#This Row],[M]],"' ",FIXED(COORDENADAS[[#This Row],[S]],2),""" ",COORDENADAS[[#This Row],[Norte]])</f>
        <v>10° 20' 10,76" N</v>
      </c>
      <c r="U261" s="41">
        <v>10</v>
      </c>
      <c r="V261" s="41">
        <v>20</v>
      </c>
      <c r="W261" s="56">
        <v>10.759999999999149</v>
      </c>
      <c r="X261" s="23" t="s">
        <v>192</v>
      </c>
      <c r="Y261" s="28" t="str">
        <f>_xlfn.CONCAT(COORDENADAS[[#This Row],[GG]],"° ",COORDENADAS[[#This Row],[MM]],"' ",FIXED(COORDENADAS[[#This Row],[SS]],2),""" ",COORDENADAS[[#This Row],[Weter]])</f>
        <v>75° 25' 39,24" W</v>
      </c>
      <c r="Z261" s="28">
        <v>75</v>
      </c>
      <c r="AA261" s="28">
        <v>25</v>
      </c>
      <c r="AB261" s="28">
        <v>39.240000000040645</v>
      </c>
      <c r="AC261" s="23" t="s">
        <v>193</v>
      </c>
      <c r="AD261" s="23">
        <v>48.38</v>
      </c>
      <c r="AE261" s="23">
        <v>0</v>
      </c>
    </row>
    <row r="262" spans="1:31" x14ac:dyDescent="0.35">
      <c r="A262" s="29" t="s">
        <v>361</v>
      </c>
      <c r="B262" s="37" t="str">
        <f t="shared" si="5"/>
        <v>BAÑADEROS - CCNPRCN</v>
      </c>
      <c r="C262" s="21">
        <v>32</v>
      </c>
      <c r="D262" s="21">
        <v>2312</v>
      </c>
      <c r="E262" s="31">
        <v>41911</v>
      </c>
      <c r="F262" s="28" t="s">
        <v>1061</v>
      </c>
      <c r="G262" s="28">
        <f>INDEX($C$2:$D$37,MATCH(RESOLUCIONES[[#This Row],[No. Canal]],$C$2:$C$37,0),2)</f>
        <v>581</v>
      </c>
      <c r="I262" s="28" t="s">
        <v>1062</v>
      </c>
      <c r="J262" s="28" t="s">
        <v>274</v>
      </c>
      <c r="K262" s="28" t="str">
        <f t="shared" si="6"/>
        <v>CubaráBoyaca</v>
      </c>
      <c r="L262" s="28"/>
      <c r="M262" s="28"/>
      <c r="N262" s="28"/>
      <c r="O262" s="69" t="s">
        <v>1063</v>
      </c>
      <c r="P262" s="28"/>
      <c r="Q262" s="28" t="s">
        <v>1064</v>
      </c>
      <c r="R262" s="28">
        <v>0.82655555555555549</v>
      </c>
      <c r="S262" s="28">
        <v>-77.669305555555567</v>
      </c>
      <c r="T262" s="28" t="str">
        <f>_xlfn.CONCAT(COORDENADAS[[#This Row],[G]],"° ",COORDENADAS[[#This Row],[M]],"' ",FIXED(COORDENADAS[[#This Row],[S]],2),""" ",COORDENADAS[[#This Row],[Norte]])</f>
        <v>0° 49' 35,60"  N</v>
      </c>
      <c r="U262" s="41">
        <v>0</v>
      </c>
      <c r="V262" s="41">
        <v>49</v>
      </c>
      <c r="W262" s="56">
        <v>35.6</v>
      </c>
      <c r="X262" s="23" t="s">
        <v>1034</v>
      </c>
      <c r="Y262" s="28" t="str">
        <f>_xlfn.CONCAT(COORDENADAS[[#This Row],[GG]],"° ",COORDENADAS[[#This Row],[MM]],"' ",FIXED(COORDENADAS[[#This Row],[SS]],2),""" ",COORDENADAS[[#This Row],[Weter]])</f>
        <v>77° 40' 9,50" W</v>
      </c>
      <c r="Z262" s="28">
        <v>77</v>
      </c>
      <c r="AA262" s="28">
        <v>40</v>
      </c>
      <c r="AB262" s="28">
        <v>9.5</v>
      </c>
      <c r="AC262" s="23" t="s">
        <v>193</v>
      </c>
      <c r="AD262" s="23">
        <v>42.7</v>
      </c>
      <c r="AE262" s="23">
        <v>0</v>
      </c>
    </row>
    <row r="263" spans="1:31" x14ac:dyDescent="0.35">
      <c r="A263" s="29" t="s">
        <v>375</v>
      </c>
      <c r="B263" s="37" t="str">
        <f t="shared" si="5"/>
        <v>BARBACOAS - CCNPRCN</v>
      </c>
      <c r="C263" s="21">
        <v>16</v>
      </c>
      <c r="D263" s="21">
        <v>1904</v>
      </c>
      <c r="E263" s="30">
        <v>43460</v>
      </c>
      <c r="F263" s="28" t="s">
        <v>1041</v>
      </c>
      <c r="G263" s="28">
        <f>INDEX($C$2:$D$37,MATCH(RESOLUCIONES[[#This Row],[No. Canal]],$C$2:$C$37,0),2)</f>
        <v>485</v>
      </c>
      <c r="I263" s="28" t="s">
        <v>1065</v>
      </c>
      <c r="J263" s="28" t="s">
        <v>210</v>
      </c>
      <c r="K263" s="28" t="str">
        <f t="shared" si="6"/>
        <v>CubarralMeta</v>
      </c>
      <c r="L263" s="28"/>
      <c r="M263" s="28"/>
      <c r="N263" s="28"/>
      <c r="O263" s="69" t="s">
        <v>1066</v>
      </c>
      <c r="P263" s="28"/>
      <c r="Q263" s="28" t="s">
        <v>1067</v>
      </c>
      <c r="R263" s="28">
        <v>3.8751833333333332</v>
      </c>
      <c r="S263" s="28">
        <v>-77.010052777777773</v>
      </c>
      <c r="T263" s="28" t="str">
        <f>_xlfn.CONCAT(COORDENADAS[[#This Row],[G]],"° ",COORDENADAS[[#This Row],[M]],"' ",FIXED(COORDENADAS[[#This Row],[S]],2),""" ",COORDENADAS[[#This Row],[Norte]])</f>
        <v>3° 52' 30,66" N</v>
      </c>
      <c r="U263" s="41">
        <v>3</v>
      </c>
      <c r="V263" s="41">
        <v>52</v>
      </c>
      <c r="W263" s="56">
        <v>30.66</v>
      </c>
      <c r="X263" s="23" t="s">
        <v>192</v>
      </c>
      <c r="Y263" s="28" t="str">
        <f>_xlfn.CONCAT(COORDENADAS[[#This Row],[GG]],"° ",COORDENADAS[[#This Row],[MM]],"' ",FIXED(COORDENADAS[[#This Row],[SS]],2),""" ",COORDENADAS[[#This Row],[Weter]])</f>
        <v>77° 0' 36,19" W</v>
      </c>
      <c r="Z263" s="28">
        <v>77</v>
      </c>
      <c r="AA263" s="28">
        <v>0</v>
      </c>
      <c r="AB263" s="28">
        <v>36.19</v>
      </c>
      <c r="AC263" s="23" t="s">
        <v>193</v>
      </c>
      <c r="AD263" s="23">
        <v>43.6</v>
      </c>
      <c r="AE263" s="23">
        <v>0</v>
      </c>
    </row>
    <row r="264" spans="1:31" x14ac:dyDescent="0.35">
      <c r="A264" s="29" t="s">
        <v>383</v>
      </c>
      <c r="B264" s="37" t="str">
        <f t="shared" si="5"/>
        <v>BARRANQUILLA - CCNPRCN</v>
      </c>
      <c r="C264" s="21">
        <v>15</v>
      </c>
      <c r="D264" s="21" t="s">
        <v>1052</v>
      </c>
      <c r="E264" s="31">
        <v>40283</v>
      </c>
      <c r="F264" s="28" t="s">
        <v>1053</v>
      </c>
      <c r="G264" s="28">
        <f>INDEX($C$2:$D$37,MATCH(RESOLUCIONES[[#This Row],[No. Canal]],$C$2:$C$37,0),2)</f>
        <v>479</v>
      </c>
      <c r="I264" s="28" t="s">
        <v>1068</v>
      </c>
      <c r="J264" s="28" t="s">
        <v>274</v>
      </c>
      <c r="K264" s="28" t="str">
        <f t="shared" si="6"/>
        <v>CucaitaBoyaca</v>
      </c>
      <c r="L264" s="28"/>
      <c r="M264" s="28"/>
      <c r="N264" s="28"/>
      <c r="O264" s="69"/>
      <c r="P264" s="28"/>
      <c r="Q264" s="28" t="s">
        <v>1018</v>
      </c>
      <c r="R264" s="28">
        <v>5.2141944444444448</v>
      </c>
      <c r="S264" s="28">
        <v>-73.774972222222218</v>
      </c>
      <c r="T264" s="28" t="str">
        <f>_xlfn.CONCAT(COORDENADAS[[#This Row],[G]],"° ",COORDENADAS[[#This Row],[M]],"' ",FIXED(COORDENADAS[[#This Row],[S]],2),""" ",COORDENADAS[[#This Row],[Norte]])</f>
        <v>5° 12' 51,10" N</v>
      </c>
      <c r="U264" s="41">
        <v>5</v>
      </c>
      <c r="V264" s="41">
        <v>12</v>
      </c>
      <c r="W264" s="56">
        <v>51.100000000001231</v>
      </c>
      <c r="X264" s="23" t="s">
        <v>192</v>
      </c>
      <c r="Y264" s="28" t="str">
        <f>_xlfn.CONCAT(COORDENADAS[[#This Row],[GG]],"° ",COORDENADAS[[#This Row],[MM]],"' ",FIXED(COORDENADAS[[#This Row],[SS]],2),""" ",COORDENADAS[[#This Row],[Weter]])</f>
        <v>73° 46' 29,90" W</v>
      </c>
      <c r="Z264" s="28">
        <v>73</v>
      </c>
      <c r="AA264" s="28">
        <v>46</v>
      </c>
      <c r="AB264" s="28">
        <v>29.899999999982853</v>
      </c>
      <c r="AC264" s="23" t="s">
        <v>193</v>
      </c>
      <c r="AD264" s="23">
        <v>37.380000000000003</v>
      </c>
      <c r="AE264" s="23">
        <v>0</v>
      </c>
    </row>
    <row r="265" spans="1:31" x14ac:dyDescent="0.35">
      <c r="A265" s="29" t="s">
        <v>386</v>
      </c>
      <c r="B265" s="37" t="str">
        <f t="shared" si="5"/>
        <v>BELÉN DE UMBRÍA - CCNPRCN</v>
      </c>
      <c r="C265" s="21">
        <v>15</v>
      </c>
      <c r="D265" s="21">
        <v>1904</v>
      </c>
      <c r="E265" s="30">
        <v>43460</v>
      </c>
      <c r="F265" s="28" t="s">
        <v>1041</v>
      </c>
      <c r="G265" s="28">
        <f>INDEX($C$2:$D$37,MATCH(RESOLUCIONES[[#This Row],[No. Canal]],$C$2:$C$37,0),2)</f>
        <v>479</v>
      </c>
      <c r="I265" s="28" t="s">
        <v>1069</v>
      </c>
      <c r="J265" s="28" t="s">
        <v>283</v>
      </c>
      <c r="K265" s="28" t="str">
        <f t="shared" si="6"/>
        <v>CucunubáCundinamarca</v>
      </c>
      <c r="L265" s="28"/>
      <c r="M265" s="28"/>
      <c r="N265" s="28"/>
      <c r="O265" s="69"/>
      <c r="P265" s="28"/>
      <c r="Q265" s="28" t="s">
        <v>1021</v>
      </c>
      <c r="R265" s="28">
        <v>6.3226666666666667</v>
      </c>
      <c r="S265" s="28">
        <v>-76.133916666666678</v>
      </c>
      <c r="T265" s="28" t="str">
        <f>_xlfn.CONCAT(COORDENADAS[[#This Row],[G]],"° ",COORDENADAS[[#This Row],[M]],"' ",FIXED(COORDENADAS[[#This Row],[S]],2),""" ",COORDENADAS[[#This Row],[Norte]])</f>
        <v>6° 19' 21,60" N</v>
      </c>
      <c r="U265" s="41">
        <v>6</v>
      </c>
      <c r="V265" s="41">
        <v>19</v>
      </c>
      <c r="W265" s="56">
        <v>21.600000000000019</v>
      </c>
      <c r="X265" s="23" t="s">
        <v>192</v>
      </c>
      <c r="Y265" s="28" t="str">
        <f>_xlfn.CONCAT(COORDENADAS[[#This Row],[GG]],"° ",COORDENADAS[[#This Row],[MM]],"' ",FIXED(COORDENADAS[[#This Row],[SS]],2),""" ",COORDENADAS[[#This Row],[Weter]])</f>
        <v>76° 8' 2,10" W</v>
      </c>
      <c r="Z265" s="28">
        <v>76</v>
      </c>
      <c r="AA265" s="28">
        <v>8</v>
      </c>
      <c r="AB265" s="28">
        <v>2.1000000000424346</v>
      </c>
      <c r="AC265" s="23" t="s">
        <v>193</v>
      </c>
      <c r="AD265" s="23">
        <v>34.82</v>
      </c>
      <c r="AE265" s="23">
        <v>0</v>
      </c>
    </row>
    <row r="266" spans="1:31" x14ac:dyDescent="0.35">
      <c r="A266" s="29" t="s">
        <v>402</v>
      </c>
      <c r="B266" s="37" t="str">
        <f t="shared" si="5"/>
        <v>BOCAS DE SATINGA - CCNPRCN</v>
      </c>
      <c r="C266" s="21">
        <v>15</v>
      </c>
      <c r="D266" s="21">
        <v>1904</v>
      </c>
      <c r="E266" s="30">
        <v>43460</v>
      </c>
      <c r="F266" s="28" t="s">
        <v>1041</v>
      </c>
      <c r="G266" s="28">
        <f>INDEX($C$2:$D$37,MATCH(RESOLUCIONES[[#This Row],[No. Canal]],$C$2:$C$37,0),2)</f>
        <v>479</v>
      </c>
      <c r="I266" s="28" t="s">
        <v>1070</v>
      </c>
      <c r="J266" s="28" t="s">
        <v>190</v>
      </c>
      <c r="K266" s="28" t="str">
        <f t="shared" si="6"/>
        <v>CúcutaNorte de Santander</v>
      </c>
      <c r="L266" s="28"/>
      <c r="M266" s="28"/>
      <c r="N266" s="28"/>
      <c r="O266" s="69"/>
      <c r="P266" s="28"/>
      <c r="Q266" s="28" t="s">
        <v>1071</v>
      </c>
      <c r="R266" s="28">
        <v>0.42397222200000001</v>
      </c>
      <c r="S266" s="28">
        <v>-76.910805556</v>
      </c>
      <c r="T266" s="28" t="str">
        <f>_xlfn.CONCAT(COORDENADAS[[#This Row],[G]],"° ",COORDENADAS[[#This Row],[M]],"' ",FIXED(COORDENADAS[[#This Row],[S]],2),""" ",COORDENADAS[[#This Row],[Norte]])</f>
        <v>0° 25' 26,30" N</v>
      </c>
      <c r="U266" s="41">
        <v>0</v>
      </c>
      <c r="V266" s="41">
        <v>25</v>
      </c>
      <c r="W266" s="56">
        <v>26.299999199999966</v>
      </c>
      <c r="X266" s="23" t="s">
        <v>192</v>
      </c>
      <c r="Y266" s="28" t="str">
        <f>_xlfn.CONCAT(COORDENADAS[[#This Row],[GG]],"° ",COORDENADAS[[#This Row],[MM]],"' ",FIXED(COORDENADAS[[#This Row],[SS]],2),""" ",COORDENADAS[[#This Row],[Weter]])</f>
        <v>76° 54' 38,90" W</v>
      </c>
      <c r="Z266" s="28">
        <v>76</v>
      </c>
      <c r="AA266" s="28">
        <v>54</v>
      </c>
      <c r="AB266" s="28">
        <v>38.900001599998781</v>
      </c>
      <c r="AC266" s="23" t="s">
        <v>193</v>
      </c>
      <c r="AD266" s="23">
        <v>42.5</v>
      </c>
      <c r="AE266" s="23">
        <v>42.1</v>
      </c>
    </row>
    <row r="267" spans="1:31" x14ac:dyDescent="0.35">
      <c r="A267" s="29" t="s">
        <v>410</v>
      </c>
      <c r="B267" s="37" t="str">
        <f t="shared" si="5"/>
        <v>BOLÍVAR CAUCA - CCNPRCN</v>
      </c>
      <c r="C267" s="21">
        <v>22</v>
      </c>
      <c r="D267" s="21">
        <v>2172</v>
      </c>
      <c r="E267" s="31">
        <v>43091</v>
      </c>
      <c r="F267" s="28" t="s">
        <v>1049</v>
      </c>
      <c r="G267" s="28">
        <f>INDEX($C$2:$D$37,MATCH(RESOLUCIONES[[#This Row],[No. Canal]],$C$2:$C$37,0),2)</f>
        <v>521</v>
      </c>
      <c r="I267" s="28" t="s">
        <v>1072</v>
      </c>
      <c r="J267" s="28" t="s">
        <v>190</v>
      </c>
      <c r="K267" s="28" t="str">
        <f t="shared" si="6"/>
        <v>CucutillaNorte de Santander</v>
      </c>
      <c r="L267" s="28"/>
      <c r="M267" s="28"/>
      <c r="N267" s="28"/>
      <c r="O267" s="69"/>
      <c r="P267" s="28"/>
      <c r="Q267" s="28" t="s">
        <v>1073</v>
      </c>
      <c r="R267" s="28">
        <v>4.6526944444444451</v>
      </c>
      <c r="S267" s="28">
        <v>-76.12022222222221</v>
      </c>
      <c r="T267" s="28" t="str">
        <f>_xlfn.CONCAT(COORDENADAS[[#This Row],[G]],"° ",COORDENADAS[[#This Row],[M]],"' ",FIXED(COORDENADAS[[#This Row],[S]],2),""" ",COORDENADAS[[#This Row],[Norte]])</f>
        <v>4° 39' 9,70" N</v>
      </c>
      <c r="U267" s="41">
        <v>4</v>
      </c>
      <c r="V267" s="41">
        <v>39</v>
      </c>
      <c r="W267" s="56">
        <v>9.6999983999990658</v>
      </c>
      <c r="X267" s="23" t="s">
        <v>192</v>
      </c>
      <c r="Y267" s="28" t="str">
        <f>_xlfn.CONCAT(COORDENADAS[[#This Row],[GG]],"° ",COORDENADAS[[#This Row],[MM]],"' ",FIXED(COORDENADAS[[#This Row],[SS]],2),""" ",COORDENADAS[[#This Row],[Weter]])</f>
        <v>76° 7' 12,80" W</v>
      </c>
      <c r="Z267" s="28">
        <v>76</v>
      </c>
      <c r="AA267" s="28">
        <v>7</v>
      </c>
      <c r="AB267" s="28">
        <v>12.799992000008153</v>
      </c>
      <c r="AC267" s="23" t="s">
        <v>193</v>
      </c>
      <c r="AD267" s="23">
        <v>40.6</v>
      </c>
      <c r="AE267" s="23">
        <v>40.700000000000003</v>
      </c>
    </row>
    <row r="268" spans="1:31" x14ac:dyDescent="0.35">
      <c r="A268" s="29" t="s">
        <v>417</v>
      </c>
      <c r="B268" s="37" t="str">
        <f t="shared" si="5"/>
        <v>BOSCONIA - CCNPRCN</v>
      </c>
      <c r="C268" s="21">
        <v>38</v>
      </c>
      <c r="D268" s="21">
        <v>1904</v>
      </c>
      <c r="E268" s="30">
        <v>43460</v>
      </c>
      <c r="F268" s="28" t="s">
        <v>1041</v>
      </c>
      <c r="G268" s="28">
        <f>INDEX($C$2:$D$37,MATCH(RESOLUCIONES[[#This Row],[No. Canal]],$C$2:$C$37,0),2)</f>
        <v>617</v>
      </c>
      <c r="I268" s="28" t="s">
        <v>1074</v>
      </c>
      <c r="J268" s="28" t="s">
        <v>274</v>
      </c>
      <c r="K268" s="28" t="str">
        <f t="shared" si="6"/>
        <v>CuítivaBoyaca</v>
      </c>
      <c r="L268" s="28"/>
      <c r="M268" s="28"/>
      <c r="N268" s="28"/>
      <c r="O268" s="69"/>
      <c r="P268" s="28"/>
      <c r="Q268" s="28" t="s">
        <v>1025</v>
      </c>
      <c r="R268" s="28">
        <v>5.6924166666666673</v>
      </c>
      <c r="S268" s="28">
        <v>-73.656305555555562</v>
      </c>
      <c r="T268" s="28" t="str">
        <f>_xlfn.CONCAT(COORDENADAS[[#This Row],[G]],"° ",COORDENADAS[[#This Row],[M]],"' ",FIXED(COORDENADAS[[#This Row],[S]],2),""" ",COORDENADAS[[#This Row],[Norte]])</f>
        <v>5° 41' 32,82" N</v>
      </c>
      <c r="U268" s="41">
        <v>5</v>
      </c>
      <c r="V268" s="41">
        <v>41</v>
      </c>
      <c r="W268" s="56">
        <v>32.819999999999979</v>
      </c>
      <c r="X268" s="23" t="s">
        <v>192</v>
      </c>
      <c r="Y268" s="28" t="str">
        <f>_xlfn.CONCAT(COORDENADAS[[#This Row],[GG]],"° ",COORDENADAS[[#This Row],[MM]],"' ",FIXED(COORDENADAS[[#This Row],[SS]],2),""" ",COORDENADAS[[#This Row],[Weter]])</f>
        <v>73° 39' 22,11" W</v>
      </c>
      <c r="Z268" s="28">
        <v>73</v>
      </c>
      <c r="AA268" s="28">
        <v>39</v>
      </c>
      <c r="AB268" s="28">
        <v>22.110000000012555</v>
      </c>
      <c r="AC268" s="23" t="s">
        <v>193</v>
      </c>
      <c r="AD268" s="23">
        <v>51.16</v>
      </c>
      <c r="AE268" s="23">
        <v>0</v>
      </c>
    </row>
    <row r="269" spans="1:31" x14ac:dyDescent="0.35">
      <c r="A269" s="29" t="s">
        <v>425</v>
      </c>
      <c r="B269" s="37" t="str">
        <f t="shared" si="5"/>
        <v>BUENAVISTA - CCNPRCN</v>
      </c>
      <c r="C269" s="21">
        <v>15</v>
      </c>
      <c r="D269" s="21">
        <v>2312</v>
      </c>
      <c r="E269" s="31">
        <v>41911</v>
      </c>
      <c r="F269" s="28" t="s">
        <v>1061</v>
      </c>
      <c r="G269" s="28">
        <f>INDEX($C$2:$D$37,MATCH(RESOLUCIONES[[#This Row],[No. Canal]],$C$2:$C$37,0),2)</f>
        <v>479</v>
      </c>
      <c r="I269" s="28" t="s">
        <v>1075</v>
      </c>
      <c r="J269" s="28" t="s">
        <v>210</v>
      </c>
      <c r="K269" s="28" t="str">
        <f t="shared" si="6"/>
        <v>CumaralMeta</v>
      </c>
      <c r="L269" s="28"/>
      <c r="M269" s="28"/>
      <c r="N269" s="28"/>
      <c r="O269" s="69"/>
      <c r="P269" s="28"/>
      <c r="Q269" s="28" t="s">
        <v>1076</v>
      </c>
      <c r="R269" s="57">
        <v>5.8737777777777787</v>
      </c>
      <c r="S269" s="57">
        <v>-73.602611111111102</v>
      </c>
      <c r="T269" s="28" t="str">
        <f>_xlfn.CONCAT(COORDENADAS[[#This Row],[G]],"° ",COORDENADAS[[#This Row],[M]],"' ",FIXED(COORDENADAS[[#This Row],[S]],2),""" ",COORDENADAS[[#This Row],[Norte]])</f>
        <v>5° 37' 57,26" N</v>
      </c>
      <c r="U269" s="41">
        <v>5</v>
      </c>
      <c r="V269" s="41">
        <v>37</v>
      </c>
      <c r="W269" s="56">
        <v>57.257299200001377</v>
      </c>
      <c r="X269" s="23" t="s">
        <v>192</v>
      </c>
      <c r="Y269" s="28" t="str">
        <f>_xlfn.CONCAT(COORDENADAS[[#This Row],[GG]],"° ",COORDENADAS[[#This Row],[MM]],"' ",FIXED(COORDENADAS[[#This Row],[SS]],2),""" ",COORDENADAS[[#This Row],[Weter]])</f>
        <v>73° 30' 50,53" W</v>
      </c>
      <c r="Z269" s="28">
        <v>73</v>
      </c>
      <c r="AA269" s="28">
        <v>30</v>
      </c>
      <c r="AB269" s="28">
        <v>50.526500400002305</v>
      </c>
      <c r="AC269" s="23" t="s">
        <v>193</v>
      </c>
      <c r="AD269" s="23">
        <v>42.8</v>
      </c>
      <c r="AE269" s="23">
        <v>42.7</v>
      </c>
    </row>
    <row r="270" spans="1:31" x14ac:dyDescent="0.35">
      <c r="A270" s="29" t="s">
        <v>435</v>
      </c>
      <c r="B270" s="37" t="str">
        <f t="shared" si="5"/>
        <v>BUESACO - CCNPRCN</v>
      </c>
      <c r="C270" s="21">
        <v>16</v>
      </c>
      <c r="D270" s="21">
        <v>1904</v>
      </c>
      <c r="E270" s="30">
        <v>43460</v>
      </c>
      <c r="F270" s="28" t="s">
        <v>1041</v>
      </c>
      <c r="G270" s="28">
        <f>INDEX($C$2:$D$37,MATCH(RESOLUCIONES[[#This Row],[No. Canal]],$C$2:$C$37,0),2)</f>
        <v>485</v>
      </c>
      <c r="I270" s="28" t="s">
        <v>1077</v>
      </c>
      <c r="J270" s="28" t="s">
        <v>428</v>
      </c>
      <c r="K270" s="28" t="str">
        <f t="shared" si="6"/>
        <v>CumariboVichada</v>
      </c>
      <c r="L270" s="28"/>
      <c r="M270" s="28"/>
      <c r="N270" s="28"/>
      <c r="O270" s="69"/>
      <c r="P270" s="28"/>
      <c r="Q270" s="28" t="s">
        <v>1030</v>
      </c>
      <c r="R270" s="28">
        <v>5.3768333333333329</v>
      </c>
      <c r="S270" s="28">
        <v>-72.388652777777779</v>
      </c>
      <c r="T270" s="28" t="str">
        <f>_xlfn.CONCAT(COORDENADAS[[#This Row],[G]],"° ",COORDENADAS[[#This Row],[M]],"' ",FIXED(COORDENADAS[[#This Row],[S]],2),""" ",COORDENADAS[[#This Row],[Norte]])</f>
        <v>5° 22' 36,60" N</v>
      </c>
      <c r="U270" s="41">
        <v>5</v>
      </c>
      <c r="V270" s="41">
        <v>22</v>
      </c>
      <c r="W270" s="41">
        <v>36.599999999998566</v>
      </c>
      <c r="X270" s="23" t="s">
        <v>192</v>
      </c>
      <c r="Y270" s="28" t="str">
        <f>_xlfn.CONCAT(COORDENADAS[[#This Row],[GG]],"° ",COORDENADAS[[#This Row],[MM]],"' ",FIXED(COORDENADAS[[#This Row],[SS]],2),""" ",COORDENADAS[[#This Row],[Weter]])</f>
        <v>72° 23' 19,15" W</v>
      </c>
      <c r="Z270" s="28">
        <v>72</v>
      </c>
      <c r="AA270" s="28">
        <v>23</v>
      </c>
      <c r="AB270" s="28">
        <v>19.150000000002954</v>
      </c>
      <c r="AC270" s="23" t="s">
        <v>193</v>
      </c>
      <c r="AD270" s="23">
        <v>48.38</v>
      </c>
      <c r="AE270" s="23">
        <v>0</v>
      </c>
    </row>
    <row r="271" spans="1:31" x14ac:dyDescent="0.35">
      <c r="A271" s="29" t="s">
        <v>439</v>
      </c>
      <c r="B271" s="37" t="str">
        <f t="shared" si="5"/>
        <v>CAJAMARCA - CCNPRCN</v>
      </c>
      <c r="C271" s="21">
        <v>15</v>
      </c>
      <c r="D271" s="21">
        <v>1904</v>
      </c>
      <c r="E271" s="30">
        <v>43460</v>
      </c>
      <c r="F271" s="28" t="s">
        <v>1041</v>
      </c>
      <c r="G271" s="28">
        <f>INDEX($C$2:$D$37,MATCH(RESOLUCIONES[[#This Row],[No. Canal]],$C$2:$C$37,0),2)</f>
        <v>479</v>
      </c>
      <c r="I271" s="28" t="s">
        <v>1078</v>
      </c>
      <c r="J271" s="28" t="s">
        <v>352</v>
      </c>
      <c r="K271" s="28" t="str">
        <f t="shared" si="6"/>
        <v>CumbalNariño</v>
      </c>
      <c r="L271" s="28"/>
      <c r="M271" s="28"/>
      <c r="N271" s="28"/>
      <c r="O271" s="69"/>
      <c r="P271" s="28"/>
      <c r="Q271" s="28" t="s">
        <v>1079</v>
      </c>
      <c r="R271" s="28">
        <v>5.3510277779999997</v>
      </c>
      <c r="S271" s="28">
        <v>-72.423416666999998</v>
      </c>
      <c r="T271" s="28" t="str">
        <f>_xlfn.CONCAT(COORDENADAS[[#This Row],[G]],"° ",COORDENADAS[[#This Row],[M]],"' ",FIXED(COORDENADAS[[#This Row],[S]],2),""" ",COORDENADAS[[#This Row],[Norte]])</f>
        <v>5° 21' 3,96" N</v>
      </c>
      <c r="U271" s="41">
        <v>5</v>
      </c>
      <c r="V271" s="41">
        <v>21</v>
      </c>
      <c r="W271" s="41">
        <v>3.9620555999997809</v>
      </c>
      <c r="X271" s="23" t="s">
        <v>192</v>
      </c>
      <c r="Y271" s="28" t="str">
        <f>_xlfn.CONCAT(COORDENADAS[[#This Row],[GG]],"° ",COORDENADAS[[#This Row],[MM]],"' ",FIXED(COORDENADAS[[#This Row],[SS]],2),""" ",COORDENADAS[[#This Row],[Weter]])</f>
        <v>72° 25' 25,26" W</v>
      </c>
      <c r="Z271" s="28">
        <v>72</v>
      </c>
      <c r="AA271" s="28">
        <v>25</v>
      </c>
      <c r="AB271" s="28">
        <v>25.258612800024526</v>
      </c>
      <c r="AC271" s="23" t="s">
        <v>193</v>
      </c>
      <c r="AD271" s="23">
        <v>40.6</v>
      </c>
      <c r="AE271" s="23">
        <v>40.700000000000003</v>
      </c>
    </row>
    <row r="272" spans="1:31" x14ac:dyDescent="0.35">
      <c r="A272" s="29" t="s">
        <v>446</v>
      </c>
      <c r="B272" s="37" t="str">
        <f t="shared" si="5"/>
        <v>CAMPANARIO - CCNPRCN</v>
      </c>
      <c r="C272" s="21">
        <v>15</v>
      </c>
      <c r="D272" s="21">
        <v>864</v>
      </c>
      <c r="E272" s="31">
        <v>42286</v>
      </c>
      <c r="F272" s="28" t="s">
        <v>1080</v>
      </c>
      <c r="G272" s="28">
        <f>INDEX($C$2:$D$37,MATCH(RESOLUCIONES[[#This Row],[No. Canal]],$C$2:$C$37,0),2)</f>
        <v>479</v>
      </c>
      <c r="I272" s="28" t="s">
        <v>1081</v>
      </c>
      <c r="J272" s="28" t="s">
        <v>352</v>
      </c>
      <c r="K272" s="28" t="str">
        <f t="shared" si="6"/>
        <v>CumbitaraNariño</v>
      </c>
      <c r="L272" s="28"/>
      <c r="M272" s="28"/>
      <c r="N272" s="28"/>
      <c r="O272" s="69"/>
      <c r="P272" s="28"/>
      <c r="Q272" s="28" t="s">
        <v>1035</v>
      </c>
      <c r="R272" s="28">
        <v>3.5709166666666663</v>
      </c>
      <c r="S272" s="28">
        <v>-76.492555555555555</v>
      </c>
      <c r="T272" s="28" t="str">
        <f>_xlfn.CONCAT(COORDENADAS[[#This Row],[G]],"° ",COORDENADAS[[#This Row],[M]],"' ",FIXED(COORDENADAS[[#This Row],[S]],2),""" ",COORDENADAS[[#This Row],[Norte]])</f>
        <v>3° 34' 15,30" N</v>
      </c>
      <c r="U272" s="41">
        <v>3</v>
      </c>
      <c r="V272" s="41">
        <v>34</v>
      </c>
      <c r="W272" s="41">
        <v>15.299999999998715</v>
      </c>
      <c r="X272" s="23" t="s">
        <v>192</v>
      </c>
      <c r="Y272" s="28" t="str">
        <f>_xlfn.CONCAT(COORDENADAS[[#This Row],[GG]],"° ",COORDENADAS[[#This Row],[MM]],"' ",FIXED(COORDENADAS[[#This Row],[SS]],2),""" ",COORDENADAS[[#This Row],[Weter]])</f>
        <v>76° 29' 33,20" W</v>
      </c>
      <c r="Z272" s="28">
        <v>76</v>
      </c>
      <c r="AA272" s="28">
        <v>29</v>
      </c>
      <c r="AB272" s="28">
        <v>33.199999999997075</v>
      </c>
      <c r="AC272" s="23" t="s">
        <v>193</v>
      </c>
      <c r="AD272" s="23">
        <v>48.38</v>
      </c>
      <c r="AE272" s="23">
        <v>0</v>
      </c>
    </row>
    <row r="273" spans="1:31" x14ac:dyDescent="0.35">
      <c r="A273" s="29" t="s">
        <v>448</v>
      </c>
      <c r="B273" s="37" t="str">
        <f t="shared" si="5"/>
        <v>CAÑASGORDAS - CCNPRCN</v>
      </c>
      <c r="C273" s="21">
        <v>15</v>
      </c>
      <c r="D273" s="21">
        <v>1904</v>
      </c>
      <c r="E273" s="30">
        <v>43460</v>
      </c>
      <c r="F273" s="28" t="s">
        <v>1041</v>
      </c>
      <c r="G273" s="28">
        <f>INDEX($C$2:$D$37,MATCH(RESOLUCIONES[[#This Row],[No. Canal]],$C$2:$C$37,0),2)</f>
        <v>479</v>
      </c>
      <c r="I273" s="28" t="s">
        <v>1082</v>
      </c>
      <c r="J273" s="28" t="s">
        <v>409</v>
      </c>
      <c r="K273" s="28" t="str">
        <f t="shared" si="6"/>
        <v>CundayTolima</v>
      </c>
      <c r="L273" s="28"/>
      <c r="M273" s="28"/>
      <c r="N273" s="28"/>
      <c r="O273" s="69"/>
      <c r="P273" s="28"/>
      <c r="Q273" s="28" t="s">
        <v>1037</v>
      </c>
      <c r="R273" s="28">
        <v>5.0335444444444439</v>
      </c>
      <c r="S273" s="28">
        <v>-74.007091666666668</v>
      </c>
      <c r="T273" s="28" t="str">
        <f>_xlfn.CONCAT(COORDENADAS[[#This Row],[G]],"° ",COORDENADAS[[#This Row],[M]],"' ",FIXED(COORDENADAS[[#This Row],[S]],2),""" ",COORDENADAS[[#This Row],[Norte]])</f>
        <v>5° 1' 59,56" N</v>
      </c>
      <c r="U273" s="41">
        <v>5</v>
      </c>
      <c r="V273" s="41">
        <v>1</v>
      </c>
      <c r="W273" s="41">
        <v>59.56</v>
      </c>
      <c r="X273" s="23" t="s">
        <v>192</v>
      </c>
      <c r="Y273" s="28" t="str">
        <f>_xlfn.CONCAT(COORDENADAS[[#This Row],[GG]],"° ",COORDENADAS[[#This Row],[MM]],"' ",FIXED(COORDENADAS[[#This Row],[SS]],2),""" ",COORDENADAS[[#This Row],[Weter]])</f>
        <v>74° 0' 27,19" W</v>
      </c>
      <c r="Z273" s="28">
        <v>74</v>
      </c>
      <c r="AA273" s="28">
        <v>0</v>
      </c>
      <c r="AB273" s="28">
        <v>27.189999999990278</v>
      </c>
      <c r="AC273" s="23" t="s">
        <v>193</v>
      </c>
      <c r="AD273" s="23">
        <v>34.82</v>
      </c>
      <c r="AE273" s="23">
        <v>0</v>
      </c>
    </row>
    <row r="274" spans="1:31" x14ac:dyDescent="0.35">
      <c r="A274" s="29" t="s">
        <v>452</v>
      </c>
      <c r="B274" s="37" t="str">
        <f t="shared" si="5"/>
        <v>CAREPA - CCNPRCN</v>
      </c>
      <c r="C274" s="21">
        <v>24</v>
      </c>
      <c r="D274" s="21">
        <v>2075</v>
      </c>
      <c r="E274" s="31">
        <v>43082</v>
      </c>
      <c r="F274" s="28" t="s">
        <v>1083</v>
      </c>
      <c r="G274" s="28">
        <f>INDEX($C$2:$D$37,MATCH(RESOLUCIONES[[#This Row],[No. Canal]],$C$2:$C$37,0),2)</f>
        <v>533</v>
      </c>
      <c r="I274" s="28" t="s">
        <v>1084</v>
      </c>
      <c r="J274" s="28" t="s">
        <v>294</v>
      </c>
      <c r="K274" s="28" t="str">
        <f t="shared" si="6"/>
        <v>CurilloCaqueta</v>
      </c>
      <c r="L274" s="28"/>
      <c r="M274" s="28"/>
      <c r="N274" s="28"/>
      <c r="O274" s="69" t="s">
        <v>1085</v>
      </c>
      <c r="P274" s="28"/>
      <c r="Q274" s="28" t="s">
        <v>1086</v>
      </c>
      <c r="R274" s="28">
        <v>3.4678333333333335</v>
      </c>
      <c r="S274" s="28">
        <v>-76.545361111111106</v>
      </c>
      <c r="T274" s="28" t="str">
        <f>_xlfn.CONCAT(COORDENADAS[[#This Row],[G]],"° ",COORDENADAS[[#This Row],[M]],"' ",FIXED(COORDENADAS[[#This Row],[S]],2),""" ",COORDENADAS[[#This Row],[Norte]])</f>
        <v>3° 28' 4,20" N</v>
      </c>
      <c r="U274" s="41">
        <v>3</v>
      </c>
      <c r="V274" s="41">
        <v>28</v>
      </c>
      <c r="W274" s="41">
        <v>4.2</v>
      </c>
      <c r="X274" s="23" t="s">
        <v>192</v>
      </c>
      <c r="Y274" s="28" t="str">
        <f>_xlfn.CONCAT(COORDENADAS[[#This Row],[GG]],"° ",COORDENADAS[[#This Row],[MM]],"' ",FIXED(COORDENADAS[[#This Row],[SS]],2),""" ",COORDENADAS[[#This Row],[Weter]])</f>
        <v>76° 32' 43,30" W</v>
      </c>
      <c r="Z274" s="28">
        <v>76</v>
      </c>
      <c r="AA274" s="28">
        <v>32</v>
      </c>
      <c r="AB274" s="28">
        <v>43.3</v>
      </c>
      <c r="AC274" s="23" t="s">
        <v>193</v>
      </c>
      <c r="AD274" s="23">
        <v>41.8</v>
      </c>
      <c r="AE274" s="23">
        <v>0</v>
      </c>
    </row>
    <row r="275" spans="1:31" x14ac:dyDescent="0.35">
      <c r="A275" s="29" t="s">
        <v>621</v>
      </c>
      <c r="B275" s="37" t="str">
        <f t="shared" si="5"/>
        <v>LA CASTELLANA - CCNPRCN</v>
      </c>
      <c r="C275" s="21">
        <v>42</v>
      </c>
      <c r="D275" s="21" t="s">
        <v>1052</v>
      </c>
      <c r="E275" s="31">
        <v>40283</v>
      </c>
      <c r="F275" s="28" t="s">
        <v>1053</v>
      </c>
      <c r="G275" s="28">
        <f>INDEX($C$2:$D$37,MATCH(RESOLUCIONES[[#This Row],[No. Canal]],$C$2:$C$37,0),2)</f>
        <v>641</v>
      </c>
      <c r="I275" s="28" t="s">
        <v>1087</v>
      </c>
      <c r="J275" s="28" t="s">
        <v>304</v>
      </c>
      <c r="K275" s="28" t="str">
        <f t="shared" si="6"/>
        <v>CuritíSantander</v>
      </c>
      <c r="L275" s="28"/>
      <c r="M275" s="28"/>
      <c r="N275" s="28"/>
      <c r="O275" s="69"/>
      <c r="P275" s="28"/>
      <c r="Q275" s="28" t="s">
        <v>49</v>
      </c>
      <c r="R275" s="28">
        <v>4.7275777777777783</v>
      </c>
      <c r="S275" s="28">
        <v>-74.080458333333326</v>
      </c>
      <c r="T275" s="28" t="str">
        <f>_xlfn.CONCAT(COORDENADAS[[#This Row],[G]],"° ",COORDENADAS[[#This Row],[M]],"' ",FIXED(COORDENADAS[[#This Row],[S]],2),""" ",COORDENADAS[[#This Row],[Norte]])</f>
        <v>4° 43' 39,28" N</v>
      </c>
      <c r="U275" s="41">
        <v>4</v>
      </c>
      <c r="V275" s="41">
        <v>43</v>
      </c>
      <c r="W275" s="41">
        <v>39.28</v>
      </c>
      <c r="X275" s="23" t="s">
        <v>192</v>
      </c>
      <c r="Y275" s="28" t="str">
        <f>_xlfn.CONCAT(COORDENADAS[[#This Row],[GG]],"° ",COORDENADAS[[#This Row],[MM]],"' ",FIXED(COORDENADAS[[#This Row],[SS]],2),""" ",COORDENADAS[[#This Row],[Weter]])</f>
        <v>74° 4' 49,65" W</v>
      </c>
      <c r="Z275" s="28">
        <v>74</v>
      </c>
      <c r="AA275" s="28">
        <v>4</v>
      </c>
      <c r="AB275" s="28">
        <v>49.65</v>
      </c>
      <c r="AC275" s="23" t="s">
        <v>193</v>
      </c>
      <c r="AD275" s="23">
        <v>0</v>
      </c>
      <c r="AE275" s="23">
        <v>0</v>
      </c>
    </row>
    <row r="276" spans="1:31" x14ac:dyDescent="0.35">
      <c r="A276" s="29" t="s">
        <v>457</v>
      </c>
      <c r="B276" s="37" t="str">
        <f t="shared" si="5"/>
        <v>CERRO ALEGRE - CCNPRCN</v>
      </c>
      <c r="C276" s="21">
        <v>32</v>
      </c>
      <c r="D276" s="21">
        <v>2312</v>
      </c>
      <c r="E276" s="31">
        <v>41911</v>
      </c>
      <c r="F276" s="28" t="s">
        <v>1061</v>
      </c>
      <c r="G276" s="28">
        <f>INDEX($C$2:$D$37,MATCH(RESOLUCIONES[[#This Row],[No. Canal]],$C$2:$C$37,0),2)</f>
        <v>581</v>
      </c>
      <c r="I276" s="28" t="s">
        <v>1088</v>
      </c>
      <c r="J276" s="28" t="s">
        <v>293</v>
      </c>
      <c r="K276" s="28" t="str">
        <f t="shared" si="6"/>
        <v>CurumaníCesar</v>
      </c>
      <c r="L276" s="28"/>
      <c r="M276" s="28"/>
      <c r="N276" s="28"/>
      <c r="O276" s="69"/>
      <c r="P276" s="28"/>
      <c r="Q276" s="28" t="s">
        <v>50</v>
      </c>
      <c r="R276" s="28" t="s">
        <v>66</v>
      </c>
      <c r="S276" s="28" t="s">
        <v>66</v>
      </c>
      <c r="T276" s="28" t="s">
        <v>66</v>
      </c>
      <c r="U276" s="41"/>
      <c r="V276" s="41"/>
      <c r="W276" s="41"/>
      <c r="X276" s="23"/>
      <c r="Y276" s="28" t="s">
        <v>66</v>
      </c>
      <c r="Z276" s="28"/>
      <c r="AA276" s="28"/>
      <c r="AB276" s="28"/>
      <c r="AC276" s="23"/>
      <c r="AD276" s="23" t="s">
        <v>66</v>
      </c>
      <c r="AE276" s="23" t="s">
        <v>66</v>
      </c>
    </row>
    <row r="277" spans="1:31" x14ac:dyDescent="0.35">
      <c r="A277" s="29" t="s">
        <v>459</v>
      </c>
      <c r="B277" s="37" t="str">
        <f t="shared" si="5"/>
        <v>CERRO AZUL - CCNPRCN</v>
      </c>
      <c r="C277" s="21">
        <v>44</v>
      </c>
      <c r="D277" s="21">
        <v>864</v>
      </c>
      <c r="E277" s="31">
        <v>42286</v>
      </c>
      <c r="F277" s="28" t="s">
        <v>1080</v>
      </c>
      <c r="G277" s="28">
        <f>INDEX($C$2:$D$37,MATCH(RESOLUCIONES[[#This Row],[No. Canal]],$C$2:$C$37,0),2)</f>
        <v>653</v>
      </c>
      <c r="I277" s="28" t="s">
        <v>1089</v>
      </c>
      <c r="J277" s="28" t="s">
        <v>154</v>
      </c>
      <c r="K277" s="28" t="str">
        <f t="shared" si="6"/>
        <v>DabeibaAntioquia</v>
      </c>
      <c r="L277" s="28"/>
      <c r="M277" s="28"/>
      <c r="N277" s="28"/>
      <c r="O277" s="69" t="s">
        <v>1090</v>
      </c>
      <c r="P277" s="28"/>
      <c r="Q277" s="28" t="s">
        <v>1091</v>
      </c>
      <c r="R277" s="28">
        <v>7.0583722222222223</v>
      </c>
      <c r="S277" s="28">
        <v>-73.853794444444432</v>
      </c>
      <c r="T277" s="28" t="str">
        <f>_xlfn.CONCAT(COORDENADAS[[#This Row],[G]],"° ",COORDENADAS[[#This Row],[M]],"' ",FIXED(COORDENADAS[[#This Row],[S]],2),""" ",COORDENADAS[[#This Row],[Norte]])</f>
        <v>7° 3' 30,20" N</v>
      </c>
      <c r="U277" s="41">
        <v>7</v>
      </c>
      <c r="V277" s="41">
        <v>3</v>
      </c>
      <c r="W277" s="41">
        <v>30.2</v>
      </c>
      <c r="X277" s="23" t="s">
        <v>192</v>
      </c>
      <c r="Y277" s="28" t="str">
        <f>_xlfn.CONCAT(COORDENADAS[[#This Row],[GG]],"° ",COORDENADAS[[#This Row],[MM]],"' ",FIXED(COORDENADAS[[#This Row],[SS]],2),""" ",COORDENADAS[[#This Row],[Weter]])</f>
        <v>73° 51' 13,60" W</v>
      </c>
      <c r="Z277" s="28">
        <v>73</v>
      </c>
      <c r="AA277" s="28">
        <v>51</v>
      </c>
      <c r="AB277" s="28">
        <v>13.6</v>
      </c>
      <c r="AC277" s="23" t="s">
        <v>193</v>
      </c>
      <c r="AD277" s="23">
        <v>43</v>
      </c>
      <c r="AE277" s="23">
        <v>0</v>
      </c>
    </row>
    <row r="278" spans="1:31" x14ac:dyDescent="0.35">
      <c r="A278" s="29" t="s">
        <v>467</v>
      </c>
      <c r="B278" s="37" t="str">
        <f t="shared" si="5"/>
        <v>CERRO DE ORO - CCNPRCN</v>
      </c>
      <c r="C278" s="21">
        <v>42</v>
      </c>
      <c r="D278" s="21">
        <v>864</v>
      </c>
      <c r="E278" s="31">
        <v>42286</v>
      </c>
      <c r="F278" s="28" t="s">
        <v>1080</v>
      </c>
      <c r="G278" s="28">
        <f>INDEX($C$2:$D$37,MATCH(RESOLUCIONES[[#This Row],[No. Canal]],$C$2:$C$37,0),2)</f>
        <v>641</v>
      </c>
      <c r="I278" s="28" t="s">
        <v>1092</v>
      </c>
      <c r="J278" s="28" t="s">
        <v>381</v>
      </c>
      <c r="K278" s="28" t="str">
        <f t="shared" si="6"/>
        <v>DaguaValle del Cauca</v>
      </c>
      <c r="L278" s="28"/>
      <c r="M278" s="28"/>
      <c r="N278" s="28"/>
      <c r="O278" s="28"/>
      <c r="P278" s="28"/>
      <c r="Q278" s="28"/>
      <c r="R278" s="28"/>
      <c r="S278" s="28"/>
      <c r="T278" s="28"/>
      <c r="U278" s="41"/>
      <c r="V278" s="41"/>
      <c r="W278" s="41"/>
      <c r="X278" s="28"/>
      <c r="Y278" s="28"/>
      <c r="Z278" s="28"/>
      <c r="AA278" s="28"/>
      <c r="AB278" s="28"/>
      <c r="AC278" s="28"/>
      <c r="AD278" s="28"/>
    </row>
    <row r="279" spans="1:31" x14ac:dyDescent="0.35">
      <c r="A279" s="29" t="s">
        <v>471</v>
      </c>
      <c r="B279" s="37" t="str">
        <f t="shared" si="5"/>
        <v>CERRO NEIVA - CCNPRCN</v>
      </c>
      <c r="C279" s="21">
        <v>22</v>
      </c>
      <c r="D279" s="21">
        <v>2312</v>
      </c>
      <c r="E279" s="31">
        <v>41911</v>
      </c>
      <c r="F279" s="28" t="s">
        <v>1061</v>
      </c>
      <c r="G279" s="28">
        <f>INDEX($C$2:$D$37,MATCH(RESOLUCIONES[[#This Row],[No. Canal]],$C$2:$C$37,0),2)</f>
        <v>521</v>
      </c>
      <c r="I279" s="28" t="s">
        <v>1093</v>
      </c>
      <c r="J279" s="28" t="s">
        <v>369</v>
      </c>
      <c r="K279" s="28" t="str">
        <f t="shared" si="6"/>
        <v>DibullaLa Guajira</v>
      </c>
      <c r="L279" s="28"/>
      <c r="M279" s="28"/>
      <c r="N279" s="28"/>
      <c r="O279" s="28"/>
      <c r="P279" s="28"/>
      <c r="Q279" s="28"/>
      <c r="R279" s="28"/>
      <c r="S279" s="28"/>
      <c r="T279" s="28"/>
      <c r="U279" s="41"/>
      <c r="V279" s="41"/>
      <c r="W279" s="41"/>
      <c r="X279" s="28"/>
      <c r="Y279" s="28"/>
      <c r="Z279" s="28"/>
      <c r="AA279" s="28"/>
      <c r="AB279" s="28"/>
      <c r="AC279" s="28"/>
      <c r="AD279" s="28"/>
    </row>
    <row r="280" spans="1:31" x14ac:dyDescent="0.35">
      <c r="A280" s="29" t="s">
        <v>492</v>
      </c>
      <c r="B280" s="37" t="str">
        <f t="shared" si="5"/>
        <v>CHUCURÍ - CCNPRCN</v>
      </c>
      <c r="C280" s="21">
        <v>15</v>
      </c>
      <c r="D280" s="21">
        <v>1904</v>
      </c>
      <c r="E280" s="30">
        <v>43460</v>
      </c>
      <c r="F280" s="28" t="s">
        <v>1041</v>
      </c>
      <c r="G280" s="28">
        <f>INDEX($C$2:$D$37,MATCH(RESOLUCIONES[[#This Row],[No. Canal]],$C$2:$C$37,0),2)</f>
        <v>479</v>
      </c>
      <c r="I280" s="28" t="s">
        <v>1094</v>
      </c>
      <c r="J280" s="28" t="s">
        <v>369</v>
      </c>
      <c r="K280" s="28" t="str">
        <f t="shared" si="6"/>
        <v>DistracciónLa Guajira</v>
      </c>
      <c r="L280" s="28"/>
      <c r="M280" s="28"/>
      <c r="N280" s="28"/>
      <c r="O280" s="28"/>
      <c r="P280" s="28"/>
      <c r="Q280" s="28"/>
      <c r="R280" s="28"/>
      <c r="S280" s="28"/>
      <c r="T280" s="28"/>
      <c r="U280" s="41"/>
      <c r="V280" s="41"/>
      <c r="W280" s="41"/>
      <c r="X280" s="28"/>
      <c r="Y280" s="28"/>
      <c r="Z280" s="28"/>
      <c r="AA280" s="28"/>
      <c r="AB280" s="28"/>
      <c r="AC280" s="28"/>
      <c r="AD280" s="28"/>
    </row>
    <row r="281" spans="1:31" x14ac:dyDescent="0.35">
      <c r="A281" s="29" t="s">
        <v>494</v>
      </c>
      <c r="B281" s="37" t="str">
        <f t="shared" si="5"/>
        <v>CIUDAD BOLÍVAR - CCNPRCN</v>
      </c>
      <c r="C281" s="21">
        <v>15</v>
      </c>
      <c r="D281" s="21">
        <v>1904</v>
      </c>
      <c r="E281" s="30">
        <v>43460</v>
      </c>
      <c r="F281" s="28" t="s">
        <v>1041</v>
      </c>
      <c r="G281" s="28">
        <f>INDEX($C$2:$D$37,MATCH(RESOLUCIONES[[#This Row],[No. Canal]],$C$2:$C$37,0),2)</f>
        <v>479</v>
      </c>
      <c r="I281" s="28" t="s">
        <v>1095</v>
      </c>
      <c r="J281" s="28" t="s">
        <v>409</v>
      </c>
      <c r="K281" s="28" t="str">
        <f t="shared" si="6"/>
        <v>DoloresTolima</v>
      </c>
      <c r="L281" s="28"/>
      <c r="M281" s="28"/>
      <c r="N281" s="28"/>
      <c r="O281" s="28"/>
      <c r="P281" s="28"/>
      <c r="Q281" s="28"/>
      <c r="R281" s="28"/>
      <c r="S281" s="28"/>
      <c r="T281" s="28"/>
      <c r="U281" s="41"/>
      <c r="V281" s="41"/>
      <c r="W281" s="41"/>
      <c r="X281" s="28"/>
      <c r="Y281" s="28"/>
      <c r="Z281" s="28"/>
      <c r="AA281" s="28"/>
      <c r="AB281" s="28"/>
      <c r="AC281" s="28"/>
      <c r="AD281" s="28"/>
    </row>
    <row r="282" spans="1:31" x14ac:dyDescent="0.35">
      <c r="A282" s="29" t="s">
        <v>496</v>
      </c>
      <c r="B282" s="37" t="str">
        <f t="shared" si="5"/>
        <v>CONCORDIA - CCNPRCN</v>
      </c>
      <c r="C282" s="21">
        <v>28</v>
      </c>
      <c r="D282" s="21">
        <v>1904</v>
      </c>
      <c r="E282" s="30">
        <v>43460</v>
      </c>
      <c r="F282" s="28" t="s">
        <v>1041</v>
      </c>
      <c r="G282" s="28">
        <f>INDEX($C$2:$D$37,MATCH(RESOLUCIONES[[#This Row],[No. Canal]],$C$2:$C$37,0),2)</f>
        <v>557</v>
      </c>
      <c r="I282" s="28" t="s">
        <v>1096</v>
      </c>
      <c r="J282" s="28" t="s">
        <v>154</v>
      </c>
      <c r="K282" s="28" t="str">
        <f t="shared" si="6"/>
        <v>Don MatíasAntioquia</v>
      </c>
      <c r="L282" s="28"/>
      <c r="M282" s="28"/>
      <c r="N282" s="28"/>
      <c r="O282" s="28"/>
      <c r="P282" s="28"/>
      <c r="Q282" s="28"/>
      <c r="R282" s="28"/>
      <c r="S282" s="28"/>
      <c r="T282" s="28"/>
      <c r="U282" s="41"/>
      <c r="V282" s="41"/>
      <c r="W282" s="41"/>
      <c r="X282" s="28"/>
      <c r="Y282" s="28"/>
      <c r="Z282" s="28"/>
      <c r="AA282" s="28"/>
      <c r="AB282" s="28"/>
      <c r="AC282" s="28"/>
      <c r="AD282" s="28"/>
    </row>
    <row r="283" spans="1:31" x14ac:dyDescent="0.35">
      <c r="A283" s="29" t="s">
        <v>497</v>
      </c>
      <c r="B283" s="37" t="str">
        <f t="shared" si="5"/>
        <v>CONVENCIÓN - CCNPRCN</v>
      </c>
      <c r="C283" s="21">
        <v>24</v>
      </c>
      <c r="D283" s="21">
        <v>1904</v>
      </c>
      <c r="E283" s="30">
        <v>43460</v>
      </c>
      <c r="F283" s="28" t="s">
        <v>1041</v>
      </c>
      <c r="G283" s="28">
        <f>INDEX($C$2:$D$37,MATCH(RESOLUCIONES[[#This Row],[No. Canal]],$C$2:$C$37,0),2)</f>
        <v>533</v>
      </c>
      <c r="I283" s="28" t="s">
        <v>1097</v>
      </c>
      <c r="J283" s="28" t="s">
        <v>405</v>
      </c>
      <c r="K283" s="28" t="str">
        <f t="shared" si="6"/>
        <v>DosquebradasRisaralda</v>
      </c>
      <c r="L283" s="28"/>
      <c r="M283" s="28"/>
      <c r="N283" s="28"/>
      <c r="O283" s="28"/>
      <c r="P283" s="28"/>
      <c r="Q283" s="28"/>
      <c r="R283" s="28"/>
      <c r="S283" s="28"/>
      <c r="T283" s="28"/>
      <c r="U283" s="41"/>
      <c r="V283" s="41"/>
      <c r="W283" s="41"/>
      <c r="X283" s="28"/>
      <c r="Y283" s="28"/>
      <c r="Z283" s="28"/>
      <c r="AA283" s="28"/>
      <c r="AB283" s="28"/>
      <c r="AC283" s="28"/>
      <c r="AD283" s="28"/>
    </row>
    <row r="284" spans="1:31" x14ac:dyDescent="0.35">
      <c r="A284" s="29" t="s">
        <v>498</v>
      </c>
      <c r="B284" s="37" t="str">
        <f t="shared" ref="B284:B315" si="7">A284&amp;"RCN"</f>
        <v>CRISTO REY - CCNPRCN</v>
      </c>
      <c r="C284" s="21">
        <v>15</v>
      </c>
      <c r="D284" s="21" t="s">
        <v>1052</v>
      </c>
      <c r="E284" s="31">
        <v>40283</v>
      </c>
      <c r="F284" s="28" t="s">
        <v>1053</v>
      </c>
      <c r="G284" s="28">
        <f>INDEX($C$2:$D$37,MATCH(RESOLUCIONES[[#This Row],[No. Canal]],$C$2:$C$37,0),2)</f>
        <v>479</v>
      </c>
      <c r="I284" s="28" t="s">
        <v>1098</v>
      </c>
      <c r="J284" s="28" t="s">
        <v>274</v>
      </c>
      <c r="K284" s="28" t="str">
        <f t="shared" si="6"/>
        <v>DuitamaBoyaca</v>
      </c>
      <c r="L284" s="28"/>
      <c r="M284" s="28"/>
      <c r="N284" s="28"/>
      <c r="O284" s="28"/>
      <c r="P284" s="28"/>
      <c r="Q284" s="28"/>
      <c r="R284" s="28"/>
      <c r="S284" s="28"/>
      <c r="T284" s="28"/>
      <c r="U284" s="41"/>
      <c r="V284" s="41"/>
      <c r="W284" s="41"/>
      <c r="X284" s="28"/>
      <c r="Y284" s="28"/>
      <c r="Z284" s="28"/>
      <c r="AA284" s="28"/>
      <c r="AB284" s="28"/>
      <c r="AC284" s="28"/>
      <c r="AD284" s="28"/>
    </row>
    <row r="285" spans="1:31" x14ac:dyDescent="0.35">
      <c r="A285" s="29" t="s">
        <v>504</v>
      </c>
      <c r="B285" s="37" t="str">
        <f t="shared" si="7"/>
        <v>CURUMANÍ - CCNPRCN</v>
      </c>
      <c r="C285" s="21">
        <v>22</v>
      </c>
      <c r="D285" s="21">
        <v>2075</v>
      </c>
      <c r="E285" s="31">
        <v>43082</v>
      </c>
      <c r="F285" s="28" t="s">
        <v>1083</v>
      </c>
      <c r="G285" s="28">
        <f>INDEX($C$2:$D$37,MATCH(RESOLUCIONES[[#This Row],[No. Canal]],$C$2:$C$37,0),2)</f>
        <v>521</v>
      </c>
      <c r="I285" s="28" t="s">
        <v>1099</v>
      </c>
      <c r="J285" s="28" t="s">
        <v>190</v>
      </c>
      <c r="K285" s="28" t="str">
        <f t="shared" si="6"/>
        <v>DuraniaNorte de Santander</v>
      </c>
      <c r="L285" s="28"/>
      <c r="M285" s="28"/>
      <c r="N285" s="28"/>
      <c r="O285" s="28"/>
      <c r="P285" s="28"/>
      <c r="Q285" s="28"/>
      <c r="R285" s="28"/>
      <c r="S285" s="28"/>
      <c r="T285" s="28"/>
      <c r="U285" s="41"/>
      <c r="V285" s="41"/>
      <c r="W285" s="41"/>
      <c r="X285" s="28"/>
      <c r="Y285" s="28"/>
      <c r="Z285" s="28"/>
      <c r="AA285" s="28"/>
      <c r="AB285" s="28"/>
      <c r="AC285" s="28"/>
      <c r="AD285" s="28"/>
    </row>
    <row r="286" spans="1:31" x14ac:dyDescent="0.35">
      <c r="A286" s="29" t="s">
        <v>506</v>
      </c>
      <c r="B286" s="37" t="str">
        <f t="shared" si="7"/>
        <v>DABEIBA - CCNPRCN</v>
      </c>
      <c r="C286" s="21">
        <v>15</v>
      </c>
      <c r="D286" s="21">
        <v>1904</v>
      </c>
      <c r="E286" s="30">
        <v>43460</v>
      </c>
      <c r="F286" s="28" t="s">
        <v>1041</v>
      </c>
      <c r="G286" s="28">
        <f>INDEX($C$2:$D$37,MATCH(RESOLUCIONES[[#This Row],[No. Canal]],$C$2:$C$37,0),2)</f>
        <v>479</v>
      </c>
      <c r="I286" s="28" t="s">
        <v>1100</v>
      </c>
      <c r="J286" s="28" t="s">
        <v>154</v>
      </c>
      <c r="K286" s="28" t="str">
        <f t="shared" si="6"/>
        <v>EbéjicoAntioquia</v>
      </c>
      <c r="L286" s="28"/>
      <c r="M286" s="28"/>
      <c r="N286" s="28"/>
      <c r="O286" s="28"/>
      <c r="P286" s="28"/>
      <c r="Q286" s="28"/>
      <c r="R286" s="28"/>
      <c r="S286" s="28"/>
      <c r="T286" s="28"/>
      <c r="U286" s="41"/>
      <c r="V286" s="41"/>
      <c r="W286" s="41"/>
      <c r="X286" s="28"/>
      <c r="Y286" s="28"/>
      <c r="Z286" s="28"/>
      <c r="AA286" s="28"/>
      <c r="AB286" s="28"/>
      <c r="AC286" s="28"/>
      <c r="AD286" s="28"/>
    </row>
    <row r="287" spans="1:31" x14ac:dyDescent="0.35">
      <c r="A287" s="29" t="s">
        <v>508</v>
      </c>
      <c r="B287" s="37" t="str">
        <f t="shared" si="7"/>
        <v>DAGUA - CCNPRCN</v>
      </c>
      <c r="C287" s="21">
        <v>15</v>
      </c>
      <c r="D287" s="21">
        <v>1904</v>
      </c>
      <c r="E287" s="30">
        <v>43460</v>
      </c>
      <c r="F287" s="28" t="s">
        <v>1041</v>
      </c>
      <c r="G287" s="28">
        <f>INDEX($C$2:$D$37,MATCH(RESOLUCIONES[[#This Row],[No. Canal]],$C$2:$C$37,0),2)</f>
        <v>479</v>
      </c>
      <c r="I287" s="28" t="s">
        <v>1101</v>
      </c>
      <c r="J287" s="28" t="s">
        <v>381</v>
      </c>
      <c r="K287" s="28" t="str">
        <f t="shared" si="6"/>
        <v>El ÁguilaValle del Cauca</v>
      </c>
      <c r="L287" s="28"/>
      <c r="M287" s="28"/>
      <c r="N287" s="28"/>
      <c r="O287" s="28"/>
      <c r="P287" s="28"/>
      <c r="Q287" s="28"/>
      <c r="R287" s="28"/>
      <c r="S287" s="28"/>
      <c r="T287" s="28"/>
      <c r="U287" s="41"/>
      <c r="V287" s="41"/>
      <c r="W287" s="41"/>
      <c r="X287" s="28"/>
      <c r="Y287" s="28"/>
      <c r="Z287" s="28"/>
      <c r="AA287" s="28"/>
      <c r="AB287" s="28"/>
      <c r="AC287" s="28"/>
      <c r="AD287" s="28"/>
    </row>
    <row r="288" spans="1:31" x14ac:dyDescent="0.35">
      <c r="A288" s="29" t="s">
        <v>517</v>
      </c>
      <c r="B288" s="37" t="str">
        <f t="shared" si="7"/>
        <v>EL CARMEN - CCNPRCN</v>
      </c>
      <c r="C288" s="21">
        <v>47</v>
      </c>
      <c r="D288" s="21">
        <v>1904</v>
      </c>
      <c r="E288" s="30">
        <v>43460</v>
      </c>
      <c r="F288" s="28" t="s">
        <v>1041</v>
      </c>
      <c r="G288" s="28">
        <f>INDEX($C$2:$D$37,MATCH(RESOLUCIONES[[#This Row],[No. Canal]],$C$2:$C$37,0),2)</f>
        <v>671</v>
      </c>
      <c r="I288" s="28" t="s">
        <v>1102</v>
      </c>
      <c r="J288" s="28" t="s">
        <v>154</v>
      </c>
      <c r="K288" s="28" t="str">
        <f t="shared" si="6"/>
        <v>El BagreAntioquia</v>
      </c>
      <c r="L288" s="28"/>
      <c r="M288" s="28"/>
      <c r="N288" s="28"/>
      <c r="O288" s="28"/>
      <c r="P288" s="28"/>
      <c r="Q288" s="28"/>
      <c r="R288" s="28"/>
      <c r="S288" s="28"/>
      <c r="T288" s="28"/>
      <c r="U288" s="41"/>
      <c r="V288" s="41"/>
      <c r="W288" s="41"/>
      <c r="X288" s="28"/>
      <c r="Y288" s="28"/>
      <c r="Z288" s="28"/>
      <c r="AA288" s="28"/>
      <c r="AB288" s="28"/>
      <c r="AC288" s="28"/>
      <c r="AD288" s="28"/>
    </row>
    <row r="289" spans="1:30" x14ac:dyDescent="0.35">
      <c r="A289" s="29" t="s">
        <v>519</v>
      </c>
      <c r="B289" s="37" t="str">
        <f t="shared" si="7"/>
        <v>EL COPEY - CCNPRCN</v>
      </c>
      <c r="C289" s="21">
        <v>45</v>
      </c>
      <c r="D289" s="21">
        <v>1904</v>
      </c>
      <c r="E289" s="30">
        <v>43460</v>
      </c>
      <c r="F289" s="28" t="s">
        <v>1041</v>
      </c>
      <c r="G289" s="28">
        <f>INDEX($C$2:$D$37,MATCH(RESOLUCIONES[[#This Row],[No. Canal]],$C$2:$C$37,0),2)</f>
        <v>659</v>
      </c>
      <c r="I289" s="28" t="s">
        <v>1103</v>
      </c>
      <c r="J289" s="28" t="s">
        <v>382</v>
      </c>
      <c r="K289" s="28" t="str">
        <f t="shared" si="6"/>
        <v>El BancoMagdalena</v>
      </c>
      <c r="L289" s="28"/>
      <c r="M289" s="28"/>
      <c r="N289" s="28"/>
      <c r="O289" s="28"/>
      <c r="P289" s="28"/>
      <c r="Q289" s="28"/>
      <c r="R289" s="28"/>
      <c r="S289" s="28"/>
      <c r="T289" s="28"/>
      <c r="U289" s="41"/>
      <c r="V289" s="41"/>
      <c r="W289" s="41"/>
      <c r="X289" s="28"/>
      <c r="Y289" s="28"/>
      <c r="Z289" s="28"/>
      <c r="AA289" s="28"/>
      <c r="AB289" s="28"/>
      <c r="AC289" s="28"/>
      <c r="AD289" s="28"/>
    </row>
    <row r="290" spans="1:30" x14ac:dyDescent="0.35">
      <c r="A290" s="29" t="s">
        <v>521</v>
      </c>
      <c r="B290" s="37" t="str">
        <f t="shared" si="7"/>
        <v>EL DELEITE - CCNPRCN</v>
      </c>
      <c r="C290" s="21">
        <v>15</v>
      </c>
      <c r="D290" s="21">
        <v>864</v>
      </c>
      <c r="E290" s="31">
        <v>42286</v>
      </c>
      <c r="F290" s="28" t="s">
        <v>1080</v>
      </c>
      <c r="G290" s="28">
        <f>INDEX($C$2:$D$37,MATCH(RESOLUCIONES[[#This Row],[No. Canal]],$C$2:$C$37,0),2)</f>
        <v>479</v>
      </c>
      <c r="I290" s="28" t="s">
        <v>1104</v>
      </c>
      <c r="J290" s="28" t="s">
        <v>381</v>
      </c>
      <c r="K290" s="28" t="str">
        <f t="shared" si="6"/>
        <v>El CairoValle del Cauca</v>
      </c>
      <c r="L290" s="28"/>
      <c r="M290" s="28"/>
      <c r="N290" s="28"/>
      <c r="O290" s="28"/>
      <c r="P290" s="28"/>
      <c r="Q290" s="28"/>
      <c r="R290" s="28"/>
      <c r="S290" s="28"/>
      <c r="T290" s="28"/>
      <c r="U290" s="41"/>
      <c r="V290" s="41"/>
      <c r="W290" s="41"/>
      <c r="X290" s="28"/>
      <c r="Y290" s="28"/>
      <c r="Z290" s="28"/>
      <c r="AA290" s="28"/>
      <c r="AB290" s="28"/>
      <c r="AC290" s="28"/>
      <c r="AD290" s="28"/>
    </row>
    <row r="291" spans="1:30" x14ac:dyDescent="0.35">
      <c r="A291" s="29" t="s">
        <v>523</v>
      </c>
      <c r="B291" s="37" t="str">
        <f t="shared" si="7"/>
        <v>EL DONCELLO - CCNPRCN</v>
      </c>
      <c r="C291" s="21">
        <v>15</v>
      </c>
      <c r="D291" s="21">
        <v>2075</v>
      </c>
      <c r="E291" s="31">
        <v>43082</v>
      </c>
      <c r="F291" s="28" t="s">
        <v>1083</v>
      </c>
      <c r="G291" s="28">
        <f>INDEX($C$2:$D$37,MATCH(RESOLUCIONES[[#This Row],[No. Canal]],$C$2:$C$37,0),2)</f>
        <v>479</v>
      </c>
      <c r="I291" s="28" t="s">
        <v>1105</v>
      </c>
      <c r="J291" s="28" t="s">
        <v>210</v>
      </c>
      <c r="K291" s="28" t="str">
        <f t="shared" si="6"/>
        <v>El CalvarioMeta</v>
      </c>
      <c r="L291" s="28"/>
      <c r="M291" s="28"/>
      <c r="N291" s="28"/>
      <c r="O291" s="28"/>
      <c r="P291" s="28"/>
      <c r="Q291" s="28"/>
      <c r="R291" s="28"/>
      <c r="S291" s="28"/>
      <c r="T291" s="28"/>
      <c r="U291" s="41"/>
      <c r="V291" s="41"/>
      <c r="W291" s="41"/>
      <c r="X291" s="28"/>
      <c r="Y291" s="28"/>
      <c r="Z291" s="28"/>
      <c r="AA291" s="28"/>
      <c r="AB291" s="28"/>
      <c r="AC291" s="28"/>
      <c r="AD291" s="28"/>
    </row>
    <row r="292" spans="1:30" x14ac:dyDescent="0.35">
      <c r="A292" s="29" t="s">
        <v>525</v>
      </c>
      <c r="B292" s="37" t="str">
        <f t="shared" si="7"/>
        <v>EL NUDO - CCNPRCN</v>
      </c>
      <c r="C292" s="21">
        <v>15</v>
      </c>
      <c r="D292" s="21" t="s">
        <v>1052</v>
      </c>
      <c r="E292" s="31">
        <v>40283</v>
      </c>
      <c r="F292" s="28" t="s">
        <v>1053</v>
      </c>
      <c r="G292" s="28">
        <f>INDEX($C$2:$D$37,MATCH(RESOLUCIONES[[#This Row],[No. Canal]],$C$2:$C$37,0),2)</f>
        <v>479</v>
      </c>
      <c r="I292" s="28" t="s">
        <v>1106</v>
      </c>
      <c r="J292" s="28" t="s">
        <v>230</v>
      </c>
      <c r="K292" s="28" t="str">
        <f t="shared" si="6"/>
        <v>El Cantón del San PabloChoco</v>
      </c>
      <c r="L292" s="28"/>
      <c r="M292" s="28"/>
      <c r="N292" s="28"/>
      <c r="O292" s="28"/>
      <c r="P292" s="28"/>
      <c r="Q292" s="28"/>
      <c r="R292" s="28"/>
      <c r="S292" s="28"/>
      <c r="T292" s="28"/>
      <c r="U292" s="41"/>
      <c r="V292" s="41"/>
      <c r="W292" s="41"/>
      <c r="X292" s="28"/>
      <c r="Y292" s="28"/>
      <c r="Z292" s="28"/>
      <c r="AA292" s="28"/>
      <c r="AB292" s="28"/>
      <c r="AC292" s="28"/>
      <c r="AD292" s="28"/>
    </row>
    <row r="293" spans="1:30" x14ac:dyDescent="0.35">
      <c r="A293" s="29" t="s">
        <v>528</v>
      </c>
      <c r="B293" s="37" t="str">
        <f t="shared" si="7"/>
        <v>EL RAMO - CCNPRCN</v>
      </c>
      <c r="C293" s="21">
        <v>32</v>
      </c>
      <c r="D293" s="21">
        <v>1360</v>
      </c>
      <c r="E293" s="31">
        <v>42577</v>
      </c>
      <c r="F293" s="28" t="s">
        <v>1107</v>
      </c>
      <c r="G293" s="28">
        <f>INDEX($C$2:$D$37,MATCH(RESOLUCIONES[[#This Row],[No. Canal]],$C$2:$C$37,0),2)</f>
        <v>581</v>
      </c>
      <c r="I293" s="28" t="s">
        <v>1108</v>
      </c>
      <c r="J293" s="28" t="s">
        <v>190</v>
      </c>
      <c r="K293" s="28" t="str">
        <f t="shared" si="6"/>
        <v>El CarmenNorte de Santander</v>
      </c>
      <c r="L293" s="28"/>
      <c r="M293" s="28"/>
      <c r="N293" s="28"/>
      <c r="O293" s="28"/>
      <c r="P293" s="28"/>
      <c r="Q293" s="28"/>
      <c r="R293" s="28"/>
      <c r="S293" s="28"/>
      <c r="T293" s="28"/>
      <c r="U293" s="41"/>
      <c r="V293" s="41"/>
      <c r="W293" s="41"/>
      <c r="X293" s="28"/>
      <c r="Y293" s="28"/>
      <c r="Z293" s="28"/>
      <c r="AA293" s="28"/>
      <c r="AB293" s="28"/>
      <c r="AC293" s="28"/>
      <c r="AD293" s="28"/>
    </row>
    <row r="294" spans="1:30" x14ac:dyDescent="0.35">
      <c r="A294" s="29" t="s">
        <v>530</v>
      </c>
      <c r="B294" s="37" t="str">
        <f t="shared" si="7"/>
        <v>EL RECREO - CCNPRCN</v>
      </c>
      <c r="C294" s="21">
        <v>42</v>
      </c>
      <c r="D294" s="21">
        <v>864</v>
      </c>
      <c r="E294" s="31">
        <v>42286</v>
      </c>
      <c r="F294" s="28" t="s">
        <v>1080</v>
      </c>
      <c r="G294" s="28">
        <f>INDEX($C$2:$D$37,MATCH(RESOLUCIONES[[#This Row],[No. Canal]],$C$2:$C$37,0),2)</f>
        <v>641</v>
      </c>
      <c r="I294" s="28" t="s">
        <v>1109</v>
      </c>
      <c r="J294" s="28" t="s">
        <v>230</v>
      </c>
      <c r="K294" s="28" t="str">
        <f t="shared" si="6"/>
        <v>El Carmen de AtratoChoco</v>
      </c>
      <c r="L294" s="28"/>
      <c r="M294" s="28"/>
      <c r="N294" s="28"/>
      <c r="O294" s="28"/>
      <c r="P294" s="28"/>
      <c r="Q294" s="28"/>
      <c r="R294" s="28"/>
      <c r="S294" s="28"/>
      <c r="T294" s="28"/>
      <c r="U294" s="41"/>
      <c r="V294" s="41"/>
      <c r="W294" s="41"/>
      <c r="X294" s="28"/>
      <c r="Y294" s="28"/>
      <c r="Z294" s="28"/>
      <c r="AA294" s="28"/>
      <c r="AB294" s="28"/>
      <c r="AC294" s="28"/>
      <c r="AD294" s="28"/>
    </row>
    <row r="295" spans="1:30" x14ac:dyDescent="0.35">
      <c r="A295" s="29" t="s">
        <v>536</v>
      </c>
      <c r="B295" s="37" t="str">
        <f t="shared" si="7"/>
        <v>EL TAMBO - CCNPRCN</v>
      </c>
      <c r="C295" s="21">
        <v>16</v>
      </c>
      <c r="D295" s="21">
        <v>1904</v>
      </c>
      <c r="E295" s="30">
        <v>43460</v>
      </c>
      <c r="F295" s="28" t="s">
        <v>1041</v>
      </c>
      <c r="G295" s="28">
        <f>INDEX($C$2:$D$37,MATCH(RESOLUCIONES[[#This Row],[No. Canal]],$C$2:$C$37,0),2)</f>
        <v>485</v>
      </c>
      <c r="I295" s="28" t="s">
        <v>1110</v>
      </c>
      <c r="J295" s="28" t="s">
        <v>260</v>
      </c>
      <c r="K295" s="28" t="str">
        <f t="shared" si="6"/>
        <v>El Carmen de BolívarBolivar</v>
      </c>
      <c r="L295" s="28"/>
      <c r="M295" s="28"/>
      <c r="N295" s="28"/>
      <c r="O295" s="28"/>
      <c r="P295" s="28"/>
      <c r="Q295" s="28"/>
      <c r="R295" s="28"/>
      <c r="S295" s="28"/>
      <c r="T295" s="28"/>
      <c r="U295" s="41"/>
      <c r="V295" s="41"/>
      <c r="W295" s="41"/>
      <c r="X295" s="28"/>
      <c r="Y295" s="28"/>
      <c r="Z295" s="28"/>
      <c r="AA295" s="28"/>
      <c r="AB295" s="28"/>
      <c r="AC295" s="28"/>
      <c r="AD295" s="28"/>
    </row>
    <row r="296" spans="1:30" x14ac:dyDescent="0.35">
      <c r="A296" s="29" t="s">
        <v>539</v>
      </c>
      <c r="B296" s="37" t="str">
        <f t="shared" si="7"/>
        <v>FLORENCIA - CCNPRCN</v>
      </c>
      <c r="C296" s="21">
        <v>15</v>
      </c>
      <c r="D296" s="21">
        <v>2075</v>
      </c>
      <c r="E296" s="31">
        <v>43082</v>
      </c>
      <c r="F296" s="28" t="s">
        <v>1083</v>
      </c>
      <c r="G296" s="28">
        <f>INDEX($C$2:$D$37,MATCH(RESOLUCIONES[[#This Row],[No. Canal]],$C$2:$C$37,0),2)</f>
        <v>479</v>
      </c>
      <c r="I296" s="28" t="s">
        <v>1111</v>
      </c>
      <c r="J296" s="28" t="s">
        <v>304</v>
      </c>
      <c r="K296" s="28" t="str">
        <f t="shared" si="6"/>
        <v>El Carmen de ChucuríSantander</v>
      </c>
      <c r="L296" s="28"/>
      <c r="M296" s="28"/>
      <c r="N296" s="28"/>
      <c r="O296" s="28"/>
      <c r="P296" s="28"/>
      <c r="Q296" s="28"/>
      <c r="R296" s="28"/>
      <c r="S296" s="28"/>
      <c r="T296" s="28"/>
      <c r="U296" s="41"/>
      <c r="V296" s="41"/>
      <c r="W296" s="41"/>
      <c r="X296" s="28"/>
      <c r="Y296" s="28"/>
      <c r="Z296" s="28"/>
      <c r="AA296" s="28"/>
      <c r="AB296" s="28"/>
      <c r="AC296" s="28"/>
      <c r="AD296" s="28"/>
    </row>
    <row r="297" spans="1:30" x14ac:dyDescent="0.35">
      <c r="A297" s="29" t="s">
        <v>541</v>
      </c>
      <c r="B297" s="37" t="str">
        <f t="shared" si="7"/>
        <v>FREDONIA - CCNPRCN</v>
      </c>
      <c r="C297" s="21">
        <v>15</v>
      </c>
      <c r="D297" s="21">
        <v>1904</v>
      </c>
      <c r="E297" s="30">
        <v>43460</v>
      </c>
      <c r="F297" s="28" t="s">
        <v>1041</v>
      </c>
      <c r="G297" s="28">
        <f>INDEX($C$2:$D$37,MATCH(RESOLUCIONES[[#This Row],[No. Canal]],$C$2:$C$37,0),2)</f>
        <v>479</v>
      </c>
      <c r="I297" s="28" t="s">
        <v>1112</v>
      </c>
      <c r="J297" s="28" t="s">
        <v>154</v>
      </c>
      <c r="K297" s="28" t="str">
        <f t="shared" si="6"/>
        <v>El Carmen de ViboralAntioquia</v>
      </c>
      <c r="L297" s="28"/>
      <c r="M297" s="28"/>
      <c r="N297" s="28"/>
      <c r="O297" s="28"/>
      <c r="P297" s="28"/>
      <c r="Q297" s="28"/>
      <c r="R297" s="28"/>
      <c r="S297" s="28"/>
      <c r="T297" s="28"/>
      <c r="U297" s="41"/>
      <c r="V297" s="41"/>
      <c r="W297" s="41"/>
      <c r="X297" s="28"/>
      <c r="Y297" s="28"/>
      <c r="Z297" s="28"/>
      <c r="AA297" s="28"/>
      <c r="AB297" s="28"/>
      <c r="AC297" s="28"/>
      <c r="AD297" s="28"/>
    </row>
    <row r="298" spans="1:30" x14ac:dyDescent="0.35">
      <c r="A298" s="29" t="s">
        <v>544</v>
      </c>
      <c r="B298" s="37" t="str">
        <f t="shared" si="7"/>
        <v>FRONTINO - CCNPRCN</v>
      </c>
      <c r="C298" s="21">
        <v>15</v>
      </c>
      <c r="D298" s="21">
        <v>1904</v>
      </c>
      <c r="E298" s="30">
        <v>43460</v>
      </c>
      <c r="F298" s="28" t="s">
        <v>1041</v>
      </c>
      <c r="G298" s="28">
        <f>INDEX($C$2:$D$37,MATCH(RESOLUCIONES[[#This Row],[No. Canal]],$C$2:$C$37,0),2)</f>
        <v>479</v>
      </c>
      <c r="I298" s="28" t="s">
        <v>1113</v>
      </c>
      <c r="J298" s="28" t="s">
        <v>210</v>
      </c>
      <c r="K298" s="28" t="str">
        <f t="shared" si="6"/>
        <v>El CastilloMeta</v>
      </c>
      <c r="L298" s="28"/>
      <c r="M298" s="28"/>
      <c r="N298" s="28"/>
      <c r="O298" s="28"/>
      <c r="P298" s="28"/>
      <c r="Q298" s="28"/>
      <c r="R298" s="28"/>
      <c r="S298" s="28"/>
      <c r="T298" s="28"/>
      <c r="U298" s="41"/>
      <c r="V298" s="41"/>
      <c r="W298" s="41"/>
      <c r="X298" s="28"/>
      <c r="Y298" s="28"/>
      <c r="Z298" s="28"/>
      <c r="AA298" s="28"/>
      <c r="AB298" s="28"/>
      <c r="AC298" s="28"/>
      <c r="AD298" s="28"/>
    </row>
    <row r="299" spans="1:30" x14ac:dyDescent="0.35">
      <c r="A299" s="29" t="s">
        <v>551</v>
      </c>
      <c r="B299" s="37" t="str">
        <f t="shared" si="7"/>
        <v>GALERAS - CCNPRCN</v>
      </c>
      <c r="C299" s="21">
        <v>16</v>
      </c>
      <c r="D299" s="21">
        <v>2312</v>
      </c>
      <c r="E299" s="31">
        <v>41911</v>
      </c>
      <c r="F299" s="28" t="s">
        <v>1061</v>
      </c>
      <c r="G299" s="28">
        <f>INDEX($C$2:$D$37,MATCH(RESOLUCIONES[[#This Row],[No. Canal]],$C$2:$C$37,0),2)</f>
        <v>485</v>
      </c>
      <c r="I299" s="28" t="s">
        <v>1114</v>
      </c>
      <c r="J299" s="28" t="s">
        <v>381</v>
      </c>
      <c r="K299" s="28" t="str">
        <f t="shared" si="6"/>
        <v>El CerritoValle del Cauca</v>
      </c>
      <c r="L299" s="28"/>
      <c r="M299" s="28"/>
      <c r="N299" s="28"/>
      <c r="O299" s="28"/>
      <c r="P299" s="28"/>
      <c r="Q299" s="28"/>
      <c r="R299" s="28"/>
      <c r="S299" s="28"/>
      <c r="T299" s="28"/>
      <c r="U299" s="41"/>
      <c r="V299" s="41"/>
      <c r="W299" s="41"/>
      <c r="X299" s="28"/>
      <c r="Y299" s="28"/>
      <c r="Z299" s="28"/>
      <c r="AA299" s="28"/>
      <c r="AB299" s="28"/>
      <c r="AC299" s="28"/>
      <c r="AD299" s="28"/>
    </row>
    <row r="300" spans="1:30" x14ac:dyDescent="0.35">
      <c r="A300" s="29" t="s">
        <v>555</v>
      </c>
      <c r="B300" s="37" t="str">
        <f t="shared" si="7"/>
        <v>GARZÓN 2 - CCNPRCN</v>
      </c>
      <c r="C300" s="21">
        <v>15</v>
      </c>
      <c r="D300" s="21">
        <v>2172</v>
      </c>
      <c r="E300" s="31">
        <v>43091</v>
      </c>
      <c r="F300" s="28" t="s">
        <v>1049</v>
      </c>
      <c r="G300" s="28">
        <f>INDEX($C$2:$D$37,MATCH(RESOLUCIONES[[#This Row],[No. Canal]],$C$2:$C$37,0),2)</f>
        <v>479</v>
      </c>
      <c r="I300" s="28" t="s">
        <v>1115</v>
      </c>
      <c r="J300" s="28" t="s">
        <v>352</v>
      </c>
      <c r="K300" s="28" t="str">
        <f t="shared" si="6"/>
        <v>El CharcoNariño</v>
      </c>
      <c r="L300" s="28"/>
      <c r="M300" s="28"/>
      <c r="N300" s="28"/>
      <c r="O300" s="28"/>
      <c r="P300" s="28"/>
      <c r="Q300" s="28"/>
      <c r="R300" s="28"/>
      <c r="S300" s="28"/>
      <c r="T300" s="28"/>
      <c r="U300" s="41"/>
      <c r="V300" s="41"/>
      <c r="W300" s="41"/>
      <c r="X300" s="28"/>
      <c r="Y300" s="28"/>
      <c r="Z300" s="28"/>
      <c r="AA300" s="28"/>
      <c r="AB300" s="28"/>
      <c r="AC300" s="28"/>
      <c r="AD300" s="28"/>
    </row>
    <row r="301" spans="1:30" x14ac:dyDescent="0.35">
      <c r="A301" s="29" t="s">
        <v>557</v>
      </c>
      <c r="B301" s="37" t="str">
        <f t="shared" si="7"/>
        <v>GIGANTE - CCNPRCN</v>
      </c>
      <c r="C301" s="21">
        <v>15</v>
      </c>
      <c r="D301" s="21">
        <v>1904</v>
      </c>
      <c r="E301" s="30">
        <v>43460</v>
      </c>
      <c r="F301" s="28" t="s">
        <v>1041</v>
      </c>
      <c r="G301" s="28">
        <f>INDEX($C$2:$D$37,MATCH(RESOLUCIONES[[#This Row],[No. Canal]],$C$2:$C$37,0),2)</f>
        <v>479</v>
      </c>
      <c r="I301" s="28" t="s">
        <v>1116</v>
      </c>
      <c r="J301" s="28" t="s">
        <v>274</v>
      </c>
      <c r="K301" s="28" t="str">
        <f t="shared" si="6"/>
        <v>El CocuyBoyaca</v>
      </c>
      <c r="L301" s="28"/>
      <c r="M301" s="28"/>
      <c r="N301" s="28"/>
      <c r="O301" s="28"/>
      <c r="P301" s="28"/>
      <c r="Q301" s="28"/>
      <c r="R301" s="28"/>
      <c r="S301" s="28"/>
      <c r="T301" s="28"/>
      <c r="U301" s="41"/>
      <c r="V301" s="41"/>
      <c r="W301" s="41"/>
      <c r="X301" s="28"/>
      <c r="Y301" s="28"/>
      <c r="Z301" s="28"/>
      <c r="AA301" s="28"/>
      <c r="AB301" s="28"/>
      <c r="AC301" s="28"/>
      <c r="AD301" s="28"/>
    </row>
    <row r="302" spans="1:30" x14ac:dyDescent="0.35">
      <c r="A302" s="29" t="s">
        <v>559</v>
      </c>
      <c r="B302" s="37" t="str">
        <f t="shared" si="7"/>
        <v>GUADUAS - CCNPRCN</v>
      </c>
      <c r="C302" s="21">
        <v>15</v>
      </c>
      <c r="D302" s="21">
        <v>1904</v>
      </c>
      <c r="E302" s="30">
        <v>43460</v>
      </c>
      <c r="F302" s="28" t="s">
        <v>1041</v>
      </c>
      <c r="G302" s="28">
        <f>INDEX($C$2:$D$37,MATCH(RESOLUCIONES[[#This Row],[No. Canal]],$C$2:$C$37,0),2)</f>
        <v>479</v>
      </c>
      <c r="I302" s="28" t="s">
        <v>1117</v>
      </c>
      <c r="J302" s="28" t="s">
        <v>283</v>
      </c>
      <c r="K302" s="28" t="str">
        <f t="shared" si="6"/>
        <v>El ColegioCundinamarca</v>
      </c>
      <c r="L302" s="28"/>
      <c r="M302" s="28"/>
      <c r="N302" s="28"/>
      <c r="O302" s="28"/>
      <c r="P302" s="28"/>
      <c r="Q302" s="28"/>
      <c r="R302" s="28"/>
      <c r="S302" s="28"/>
      <c r="T302" s="28"/>
      <c r="U302" s="41"/>
      <c r="V302" s="41"/>
      <c r="W302" s="41"/>
      <c r="X302" s="28"/>
      <c r="Y302" s="28"/>
      <c r="Z302" s="28"/>
      <c r="AA302" s="28"/>
      <c r="AB302" s="28"/>
      <c r="AC302" s="28"/>
      <c r="AD302" s="28"/>
    </row>
    <row r="303" spans="1:30" x14ac:dyDescent="0.35">
      <c r="A303" s="29" t="s">
        <v>564</v>
      </c>
      <c r="B303" s="37" t="str">
        <f t="shared" si="7"/>
        <v>GUARNE - CCNPRCN</v>
      </c>
      <c r="C303" s="21">
        <v>15</v>
      </c>
      <c r="D303" s="21">
        <v>2172</v>
      </c>
      <c r="E303" s="31">
        <v>43091</v>
      </c>
      <c r="F303" s="28" t="s">
        <v>1049</v>
      </c>
      <c r="G303" s="28">
        <f>INDEX($C$2:$D$37,MATCH(RESOLUCIONES[[#This Row],[No. Canal]],$C$2:$C$37,0),2)</f>
        <v>479</v>
      </c>
      <c r="I303" s="28" t="s">
        <v>1118</v>
      </c>
      <c r="J303" s="28" t="s">
        <v>293</v>
      </c>
      <c r="K303" s="28" t="str">
        <f t="shared" si="6"/>
        <v>El CopeyCesar</v>
      </c>
      <c r="L303" s="28"/>
      <c r="M303" s="28"/>
      <c r="N303" s="28"/>
      <c r="O303" s="28"/>
      <c r="P303" s="28"/>
      <c r="Q303" s="28"/>
      <c r="R303" s="28"/>
      <c r="S303" s="28"/>
      <c r="T303" s="28"/>
      <c r="U303" s="41"/>
      <c r="V303" s="41"/>
      <c r="W303" s="41"/>
      <c r="X303" s="28"/>
      <c r="Y303" s="28"/>
      <c r="Z303" s="28"/>
      <c r="AA303" s="28"/>
      <c r="AB303" s="28"/>
      <c r="AC303" s="28"/>
      <c r="AD303" s="28"/>
    </row>
    <row r="304" spans="1:30" x14ac:dyDescent="0.35">
      <c r="A304" s="29" t="s">
        <v>566</v>
      </c>
      <c r="B304" s="37" t="str">
        <f t="shared" si="7"/>
        <v>HONDA - CCNPRCN</v>
      </c>
      <c r="C304" s="21">
        <v>15</v>
      </c>
      <c r="D304" s="21">
        <v>1904</v>
      </c>
      <c r="E304" s="30">
        <v>43460</v>
      </c>
      <c r="F304" s="28" t="s">
        <v>1041</v>
      </c>
      <c r="G304" s="28">
        <f>INDEX($C$2:$D$37,MATCH(RESOLUCIONES[[#This Row],[No. Canal]],$C$2:$C$37,0),2)</f>
        <v>479</v>
      </c>
      <c r="I304" s="28" t="s">
        <v>1119</v>
      </c>
      <c r="J304" s="28" t="s">
        <v>294</v>
      </c>
      <c r="K304" s="28" t="str">
        <f t="shared" si="6"/>
        <v>El DoncelloCaqueta</v>
      </c>
      <c r="L304" s="28"/>
      <c r="M304" s="28"/>
      <c r="N304" s="28"/>
      <c r="O304" s="28"/>
      <c r="P304" s="28"/>
      <c r="Q304" s="28"/>
      <c r="R304" s="28"/>
      <c r="S304" s="28"/>
      <c r="T304" s="28"/>
      <c r="U304" s="41"/>
      <c r="V304" s="41"/>
      <c r="W304" s="41"/>
      <c r="X304" s="28"/>
      <c r="Y304" s="28"/>
      <c r="Z304" s="28"/>
      <c r="AA304" s="28"/>
      <c r="AB304" s="28"/>
      <c r="AC304" s="28"/>
      <c r="AD304" s="28"/>
    </row>
    <row r="305" spans="1:30" x14ac:dyDescent="0.35">
      <c r="A305" s="29" t="s">
        <v>733</v>
      </c>
      <c r="B305" s="37" t="str">
        <f t="shared" si="7"/>
        <v>PAÉZ-INZÁ - CCNPRCN</v>
      </c>
      <c r="C305" s="21">
        <v>15</v>
      </c>
      <c r="D305" s="21">
        <v>2172</v>
      </c>
      <c r="E305" s="31">
        <v>43091</v>
      </c>
      <c r="F305" s="28" t="s">
        <v>1049</v>
      </c>
      <c r="G305" s="28">
        <f>INDEX($C$2:$D$37,MATCH(RESOLUCIONES[[#This Row],[No. Canal]],$C$2:$C$37,0),2)</f>
        <v>479</v>
      </c>
      <c r="I305" s="28" t="s">
        <v>1120</v>
      </c>
      <c r="J305" s="28" t="s">
        <v>210</v>
      </c>
      <c r="K305" s="28" t="str">
        <f t="shared" si="6"/>
        <v>El DoradoMeta</v>
      </c>
      <c r="L305" s="28"/>
      <c r="M305" s="28"/>
      <c r="N305" s="28"/>
      <c r="O305" s="28"/>
      <c r="P305" s="28"/>
      <c r="Q305" s="28"/>
      <c r="R305" s="28"/>
      <c r="S305" s="28"/>
      <c r="T305" s="28"/>
      <c r="U305" s="41"/>
      <c r="V305" s="41"/>
      <c r="W305" s="41"/>
      <c r="X305" s="28"/>
      <c r="Y305" s="28"/>
      <c r="Z305" s="28"/>
      <c r="AA305" s="28"/>
      <c r="AB305" s="28"/>
      <c r="AC305" s="28"/>
      <c r="AD305" s="28"/>
    </row>
    <row r="306" spans="1:30" x14ac:dyDescent="0.35">
      <c r="A306" s="29" t="s">
        <v>575</v>
      </c>
      <c r="B306" s="37" t="str">
        <f t="shared" si="7"/>
        <v>ISTMINA - CCNPRCN</v>
      </c>
      <c r="C306" s="21">
        <v>15</v>
      </c>
      <c r="D306" s="21">
        <v>1435</v>
      </c>
      <c r="E306" s="31">
        <v>42963</v>
      </c>
      <c r="F306" s="28" t="s">
        <v>1121</v>
      </c>
      <c r="G306" s="28">
        <f>INDEX($C$2:$D$37,MATCH(RESOLUCIONES[[#This Row],[No. Canal]],$C$2:$C$37,0),2)</f>
        <v>479</v>
      </c>
      <c r="I306" s="28" t="s">
        <v>1122</v>
      </c>
      <c r="J306" s="28" t="s">
        <v>381</v>
      </c>
      <c r="K306" s="28" t="str">
        <f t="shared" si="6"/>
        <v>El DovioValle del Cauca</v>
      </c>
      <c r="L306" s="28"/>
      <c r="M306" s="28"/>
      <c r="N306" s="28"/>
      <c r="O306" s="28"/>
      <c r="P306" s="28"/>
      <c r="Q306" s="28"/>
      <c r="R306" s="28"/>
      <c r="S306" s="28"/>
      <c r="T306" s="28"/>
      <c r="U306" s="41"/>
      <c r="V306" s="41"/>
      <c r="W306" s="41"/>
      <c r="X306" s="28"/>
      <c r="Y306" s="28"/>
      <c r="Z306" s="28"/>
      <c r="AA306" s="28"/>
      <c r="AB306" s="28"/>
      <c r="AC306" s="28"/>
      <c r="AD306" s="28"/>
    </row>
    <row r="307" spans="1:30" x14ac:dyDescent="0.35">
      <c r="A307" s="29" t="s">
        <v>585</v>
      </c>
      <c r="B307" s="37" t="str">
        <f t="shared" si="7"/>
        <v>ITUANGO - CCNPRCN</v>
      </c>
      <c r="C307" s="21">
        <v>15</v>
      </c>
      <c r="D307" s="21">
        <v>1904</v>
      </c>
      <c r="E307" s="30">
        <v>43460</v>
      </c>
      <c r="F307" s="28" t="s">
        <v>1041</v>
      </c>
      <c r="G307" s="28">
        <f>INDEX($C$2:$D$37,MATCH(RESOLUCIONES[[#This Row],[No. Canal]],$C$2:$C$37,0),2)</f>
        <v>479</v>
      </c>
      <c r="I307" s="28" t="s">
        <v>1123</v>
      </c>
      <c r="J307" s="28" t="s">
        <v>155</v>
      </c>
      <c r="K307" s="28" t="str">
        <f t="shared" si="6"/>
        <v>El EncantoAmazonas</v>
      </c>
      <c r="L307" s="28"/>
      <c r="M307" s="28"/>
      <c r="N307" s="28"/>
      <c r="O307" s="28"/>
      <c r="P307" s="28"/>
      <c r="Q307" s="28"/>
      <c r="R307" s="28"/>
      <c r="S307" s="28"/>
      <c r="T307" s="28"/>
      <c r="U307" s="41"/>
      <c r="V307" s="41"/>
      <c r="W307" s="41"/>
      <c r="X307" s="28"/>
      <c r="Y307" s="28"/>
      <c r="Z307" s="28"/>
      <c r="AA307" s="28"/>
      <c r="AB307" s="28"/>
      <c r="AC307" s="28"/>
      <c r="AD307" s="28"/>
    </row>
    <row r="308" spans="1:30" x14ac:dyDescent="0.35">
      <c r="A308" s="33" t="s">
        <v>594</v>
      </c>
      <c r="B308" s="37" t="str">
        <f t="shared" si="7"/>
        <v>JURISDICCIONES - CCNPRCN</v>
      </c>
      <c r="C308" s="21">
        <v>45</v>
      </c>
      <c r="D308" s="21">
        <v>2075</v>
      </c>
      <c r="E308" s="31">
        <v>43082</v>
      </c>
      <c r="F308" s="28" t="s">
        <v>1083</v>
      </c>
      <c r="G308" s="28">
        <f>INDEX($C$2:$D$37,MATCH(RESOLUCIONES[[#This Row],[No. Canal]],$C$2:$C$37,0),2)</f>
        <v>659</v>
      </c>
      <c r="I308" s="28" t="s">
        <v>1124</v>
      </c>
      <c r="J308" s="28" t="s">
        <v>274</v>
      </c>
      <c r="K308" s="28" t="str">
        <f t="shared" si="6"/>
        <v>El EspinoBoyaca</v>
      </c>
      <c r="L308" s="28"/>
      <c r="M308" s="28"/>
      <c r="N308" s="28"/>
      <c r="O308" s="28"/>
      <c r="P308" s="28"/>
      <c r="Q308" s="28"/>
      <c r="R308" s="28"/>
      <c r="S308" s="28"/>
      <c r="T308" s="28"/>
      <c r="U308" s="41"/>
      <c r="V308" s="41"/>
      <c r="W308" s="41"/>
      <c r="X308" s="28"/>
      <c r="Y308" s="28"/>
      <c r="Z308" s="28"/>
      <c r="AA308" s="28"/>
      <c r="AB308" s="28"/>
      <c r="AC308" s="28"/>
      <c r="AD308" s="28"/>
    </row>
    <row r="309" spans="1:30" x14ac:dyDescent="0.35">
      <c r="A309" s="29" t="s">
        <v>609</v>
      </c>
      <c r="B309" s="37" t="str">
        <f t="shared" si="7"/>
        <v>LA BARRA - CCNPRCN</v>
      </c>
      <c r="C309" s="21">
        <v>15</v>
      </c>
      <c r="D309" s="21">
        <v>2312</v>
      </c>
      <c r="E309" s="31">
        <v>41911</v>
      </c>
      <c r="F309" s="28" t="s">
        <v>1061</v>
      </c>
      <c r="G309" s="28">
        <f>INDEX($C$2:$D$37,MATCH(RESOLUCIONES[[#This Row],[No. Canal]],$C$2:$C$37,0),2)</f>
        <v>479</v>
      </c>
      <c r="I309" s="28" t="s">
        <v>1125</v>
      </c>
      <c r="J309" s="28" t="s">
        <v>304</v>
      </c>
      <c r="K309" s="28" t="str">
        <f t="shared" si="6"/>
        <v>El GuacamayoSantander</v>
      </c>
      <c r="L309" s="28"/>
      <c r="M309" s="28"/>
      <c r="N309" s="28"/>
      <c r="O309" s="28"/>
      <c r="P309" s="28"/>
      <c r="Q309" s="28"/>
      <c r="R309" s="28"/>
      <c r="S309" s="28"/>
      <c r="T309" s="28"/>
      <c r="U309" s="41"/>
      <c r="V309" s="41"/>
      <c r="W309" s="41"/>
      <c r="X309" s="28"/>
      <c r="Y309" s="28"/>
      <c r="Z309" s="28"/>
      <c r="AA309" s="28"/>
      <c r="AB309" s="28"/>
      <c r="AC309" s="28"/>
      <c r="AD309" s="28"/>
    </row>
    <row r="310" spans="1:30" x14ac:dyDescent="0.35">
      <c r="A310" s="29" t="s">
        <v>613</v>
      </c>
      <c r="B310" s="37" t="str">
        <f t="shared" si="7"/>
        <v>LA CALERA - CCNPRCN</v>
      </c>
      <c r="C310" s="21">
        <v>15</v>
      </c>
      <c r="D310" s="21">
        <v>1904</v>
      </c>
      <c r="E310" s="30">
        <v>43460</v>
      </c>
      <c r="F310" s="28" t="s">
        <v>1041</v>
      </c>
      <c r="G310" s="28">
        <f>INDEX($C$2:$D$37,MATCH(RESOLUCIONES[[#This Row],[No. Canal]],$C$2:$C$37,0),2)</f>
        <v>479</v>
      </c>
      <c r="I310" s="28" t="s">
        <v>1126</v>
      </c>
      <c r="J310" s="28" t="s">
        <v>260</v>
      </c>
      <c r="K310" s="28" t="str">
        <f t="shared" si="6"/>
        <v>El GuamoBolivar</v>
      </c>
      <c r="L310" s="28"/>
      <c r="M310" s="28"/>
      <c r="N310" s="28"/>
      <c r="O310" s="28"/>
      <c r="P310" s="28"/>
      <c r="Q310" s="28"/>
      <c r="R310" s="28"/>
      <c r="S310" s="28"/>
      <c r="T310" s="28"/>
      <c r="U310" s="41"/>
      <c r="V310" s="41"/>
      <c r="W310" s="41"/>
      <c r="X310" s="28"/>
      <c r="Y310" s="28"/>
      <c r="Z310" s="28"/>
      <c r="AA310" s="28"/>
      <c r="AB310" s="28"/>
      <c r="AC310" s="28"/>
      <c r="AD310" s="28"/>
    </row>
    <row r="311" spans="1:30" x14ac:dyDescent="0.35">
      <c r="A311" s="34" t="s">
        <v>626</v>
      </c>
      <c r="B311" s="37" t="str">
        <f t="shared" si="7"/>
        <v>LA FLORA - CCNPRCN</v>
      </c>
      <c r="C311" s="21">
        <v>15</v>
      </c>
      <c r="D311" s="21">
        <v>1904</v>
      </c>
      <c r="E311" s="30">
        <v>43460</v>
      </c>
      <c r="F311" s="28" t="s">
        <v>1041</v>
      </c>
      <c r="G311" s="28">
        <f>INDEX($C$2:$D$37,MATCH(RESOLUCIONES[[#This Row],[No. Canal]],$C$2:$C$37,0),2)</f>
        <v>479</v>
      </c>
      <c r="I311" s="28" t="s">
        <v>1127</v>
      </c>
      <c r="J311" s="28" t="s">
        <v>230</v>
      </c>
      <c r="K311" s="28" t="str">
        <f t="shared" si="6"/>
        <v>El Litoral del San JuanChoco</v>
      </c>
      <c r="L311" s="28"/>
      <c r="M311" s="28"/>
      <c r="N311" s="28"/>
      <c r="O311" s="28"/>
      <c r="P311" s="28"/>
      <c r="Q311" s="28"/>
      <c r="R311" s="28"/>
      <c r="S311" s="28"/>
      <c r="T311" s="28"/>
      <c r="U311" s="41"/>
      <c r="V311" s="41"/>
      <c r="W311" s="41"/>
      <c r="X311" s="28"/>
      <c r="Y311" s="28"/>
      <c r="Z311" s="28"/>
      <c r="AA311" s="28"/>
      <c r="AB311" s="28"/>
      <c r="AC311" s="28"/>
      <c r="AD311" s="28"/>
    </row>
    <row r="312" spans="1:30" x14ac:dyDescent="0.35">
      <c r="A312" s="29" t="s">
        <v>629</v>
      </c>
      <c r="B312" s="37" t="str">
        <f t="shared" si="7"/>
        <v>LA HORMIGA - CCNPRCN</v>
      </c>
      <c r="C312" s="21">
        <v>16</v>
      </c>
      <c r="D312" s="21">
        <v>2172</v>
      </c>
      <c r="E312" s="31">
        <v>43091</v>
      </c>
      <c r="F312" s="28" t="s">
        <v>1049</v>
      </c>
      <c r="G312" s="28">
        <f>INDEX($C$2:$D$37,MATCH(RESOLUCIONES[[#This Row],[No. Canal]],$C$2:$C$37,0),2)</f>
        <v>485</v>
      </c>
      <c r="I312" s="28" t="s">
        <v>1128</v>
      </c>
      <c r="J312" s="28" t="s">
        <v>369</v>
      </c>
      <c r="K312" s="28" t="str">
        <f t="shared" si="6"/>
        <v>El MolinoLa Guajira</v>
      </c>
      <c r="L312" s="28"/>
      <c r="M312" s="28"/>
      <c r="N312" s="28"/>
      <c r="O312" s="28"/>
      <c r="P312" s="28"/>
      <c r="Q312" s="28"/>
      <c r="R312" s="28"/>
      <c r="S312" s="28"/>
      <c r="T312" s="28"/>
      <c r="U312" s="41"/>
      <c r="V312" s="41"/>
      <c r="W312" s="41"/>
      <c r="X312" s="28"/>
      <c r="Y312" s="28"/>
      <c r="Z312" s="28"/>
      <c r="AA312" s="28"/>
      <c r="AB312" s="28"/>
      <c r="AC312" s="28"/>
      <c r="AD312" s="28"/>
    </row>
    <row r="313" spans="1:30" x14ac:dyDescent="0.35">
      <c r="A313" s="29" t="s">
        <v>632</v>
      </c>
      <c r="B313" s="37" t="str">
        <f t="shared" si="7"/>
        <v>LA JAGUA DE IBIRICO - CCNPRCN</v>
      </c>
      <c r="C313" s="21">
        <v>32</v>
      </c>
      <c r="D313" s="21">
        <v>1904</v>
      </c>
      <c r="E313" s="30">
        <v>43460</v>
      </c>
      <c r="F313" s="28" t="s">
        <v>1041</v>
      </c>
      <c r="G313" s="28">
        <f>INDEX($C$2:$D$37,MATCH(RESOLUCIONES[[#This Row],[No. Canal]],$C$2:$C$37,0),2)</f>
        <v>581</v>
      </c>
      <c r="I313" s="28" t="s">
        <v>1129</v>
      </c>
      <c r="J313" s="28" t="s">
        <v>293</v>
      </c>
      <c r="K313" s="28" t="str">
        <f t="shared" si="6"/>
        <v>El PasoCesar</v>
      </c>
      <c r="L313" s="28"/>
      <c r="M313" s="28"/>
      <c r="N313" s="28"/>
      <c r="O313" s="28"/>
      <c r="P313" s="28"/>
      <c r="Q313" s="28"/>
      <c r="R313" s="28"/>
      <c r="S313" s="28"/>
      <c r="T313" s="28"/>
      <c r="U313" s="41"/>
      <c r="V313" s="41"/>
      <c r="W313" s="41"/>
      <c r="X313" s="28"/>
      <c r="Y313" s="28"/>
      <c r="Z313" s="28"/>
      <c r="AA313" s="28"/>
      <c r="AB313" s="28"/>
      <c r="AC313" s="28"/>
      <c r="AD313" s="28"/>
    </row>
    <row r="314" spans="1:30" x14ac:dyDescent="0.35">
      <c r="A314" s="29" t="s">
        <v>634</v>
      </c>
      <c r="B314" s="37" t="str">
        <f t="shared" si="7"/>
        <v>LA LOMA - CCNPRCN</v>
      </c>
      <c r="C314" s="21">
        <v>25</v>
      </c>
      <c r="D314" s="21">
        <v>1360</v>
      </c>
      <c r="E314" s="31">
        <v>42577</v>
      </c>
      <c r="F314" s="28" t="s">
        <v>1107</v>
      </c>
      <c r="G314" s="28">
        <f>INDEX($C$2:$D$37,MATCH(RESOLUCIONES[[#This Row],[No. Canal]],$C$2:$C$37,0),2)</f>
        <v>539</v>
      </c>
      <c r="I314" s="28" t="s">
        <v>1130</v>
      </c>
      <c r="J314" s="28" t="s">
        <v>294</v>
      </c>
      <c r="K314" s="28" t="str">
        <f t="shared" si="6"/>
        <v>El PaujilCaqueta</v>
      </c>
      <c r="L314" s="28"/>
      <c r="M314" s="28"/>
      <c r="N314" s="28"/>
      <c r="O314" s="28"/>
      <c r="P314" s="28"/>
      <c r="Q314" s="28"/>
      <c r="R314" s="28"/>
      <c r="S314" s="28"/>
      <c r="T314" s="28"/>
      <c r="U314" s="41"/>
      <c r="V314" s="41"/>
      <c r="W314" s="41"/>
      <c r="X314" s="28"/>
      <c r="Y314" s="28"/>
      <c r="Z314" s="28"/>
      <c r="AA314" s="28"/>
      <c r="AB314" s="28"/>
      <c r="AC314" s="28"/>
      <c r="AD314" s="28"/>
    </row>
    <row r="315" spans="1:30" x14ac:dyDescent="0.35">
      <c r="A315" s="29" t="s">
        <v>637</v>
      </c>
      <c r="B315" s="37" t="str">
        <f t="shared" si="7"/>
        <v>LA MONTAÑITA - CCNPRCN</v>
      </c>
      <c r="C315" s="21">
        <v>15</v>
      </c>
      <c r="D315" s="21">
        <v>1904</v>
      </c>
      <c r="E315" s="30">
        <v>43460</v>
      </c>
      <c r="F315" s="28" t="s">
        <v>1041</v>
      </c>
      <c r="G315" s="28">
        <f>INDEX($C$2:$D$37,MATCH(RESOLUCIONES[[#This Row],[No. Canal]],$C$2:$C$37,0),2)</f>
        <v>479</v>
      </c>
      <c r="I315" s="28" t="s">
        <v>1131</v>
      </c>
      <c r="J315" s="28" t="s">
        <v>352</v>
      </c>
      <c r="K315" s="28" t="str">
        <f t="shared" si="6"/>
        <v>El PeñolNariño</v>
      </c>
      <c r="L315" s="28"/>
      <c r="M315" s="28"/>
      <c r="N315" s="28"/>
      <c r="O315" s="28"/>
      <c r="P315" s="28"/>
      <c r="Q315" s="28"/>
      <c r="R315" s="28"/>
      <c r="S315" s="28"/>
      <c r="T315" s="28"/>
      <c r="U315" s="41"/>
      <c r="V315" s="41"/>
      <c r="W315" s="41"/>
      <c r="X315" s="28"/>
      <c r="Y315" s="28"/>
      <c r="Z315" s="28"/>
      <c r="AA315" s="28"/>
      <c r="AB315" s="28"/>
      <c r="AC315" s="28"/>
      <c r="AD315" s="28"/>
    </row>
    <row r="316" spans="1:30" x14ac:dyDescent="0.35">
      <c r="A316" s="29" t="s">
        <v>641</v>
      </c>
      <c r="B316" s="37" t="str">
        <f t="shared" ref="B316:B347" si="8">A316&amp;"RCN"</f>
        <v>LA PALMA - CCNPRCN</v>
      </c>
      <c r="C316" s="21">
        <v>15</v>
      </c>
      <c r="D316" s="21" t="s">
        <v>1052</v>
      </c>
      <c r="E316" s="31">
        <v>40283</v>
      </c>
      <c r="F316" s="28" t="s">
        <v>1053</v>
      </c>
      <c r="G316" s="28">
        <f>INDEX($C$2:$D$37,MATCH(RESOLUCIONES[[#This Row],[No. Canal]],$C$2:$C$37,0),2)</f>
        <v>479</v>
      </c>
      <c r="I316" s="28" t="s">
        <v>1132</v>
      </c>
      <c r="J316" s="28" t="s">
        <v>260</v>
      </c>
      <c r="K316" s="28" t="str">
        <f t="shared" si="6"/>
        <v>El PeñónBolivar</v>
      </c>
      <c r="L316" s="28"/>
      <c r="M316" s="28"/>
      <c r="N316" s="28"/>
      <c r="O316" s="28"/>
      <c r="P316" s="28"/>
      <c r="Q316" s="28"/>
      <c r="R316" s="28"/>
      <c r="S316" s="28"/>
      <c r="T316" s="28"/>
      <c r="U316" s="41"/>
      <c r="V316" s="41"/>
      <c r="W316" s="41"/>
      <c r="X316" s="28"/>
      <c r="Y316" s="28"/>
      <c r="Z316" s="28"/>
      <c r="AA316" s="28"/>
      <c r="AB316" s="28"/>
      <c r="AC316" s="28"/>
      <c r="AD316" s="28"/>
    </row>
    <row r="317" spans="1:30" x14ac:dyDescent="0.35">
      <c r="A317" s="29" t="s">
        <v>644</v>
      </c>
      <c r="B317" s="37" t="str">
        <f t="shared" si="8"/>
        <v>LA PITA - CCNPRCN</v>
      </c>
      <c r="C317" s="21">
        <v>15</v>
      </c>
      <c r="D317" s="21">
        <v>2312</v>
      </c>
      <c r="E317" s="31">
        <v>41911</v>
      </c>
      <c r="F317" s="28" t="s">
        <v>1061</v>
      </c>
      <c r="G317" s="28">
        <f>INDEX($C$2:$D$37,MATCH(RESOLUCIONES[[#This Row],[No. Canal]],$C$2:$C$37,0),2)</f>
        <v>479</v>
      </c>
      <c r="I317" s="28" t="s">
        <v>1132</v>
      </c>
      <c r="J317" s="28" t="s">
        <v>283</v>
      </c>
      <c r="K317" s="28" t="str">
        <f t="shared" si="6"/>
        <v>El PeñónCundinamarca</v>
      </c>
      <c r="L317" s="28"/>
      <c r="M317" s="28"/>
      <c r="N317" s="28"/>
      <c r="O317" s="28"/>
      <c r="P317" s="28"/>
      <c r="Q317" s="28"/>
      <c r="R317" s="28"/>
      <c r="S317" s="28"/>
      <c r="T317" s="28"/>
      <c r="U317" s="41"/>
      <c r="V317" s="41"/>
      <c r="W317" s="41"/>
      <c r="X317" s="28"/>
      <c r="Y317" s="28"/>
      <c r="Z317" s="28"/>
      <c r="AA317" s="28"/>
      <c r="AB317" s="28"/>
      <c r="AC317" s="28"/>
      <c r="AD317" s="28"/>
    </row>
    <row r="318" spans="1:30" x14ac:dyDescent="0.35">
      <c r="A318" s="29" t="s">
        <v>650</v>
      </c>
      <c r="B318" s="37" t="str">
        <f t="shared" si="8"/>
        <v>LA PLATA - CCNPRCN</v>
      </c>
      <c r="C318" s="21">
        <v>15</v>
      </c>
      <c r="D318" s="21">
        <v>1904</v>
      </c>
      <c r="E318" s="30">
        <v>43460</v>
      </c>
      <c r="F318" s="28" t="s">
        <v>1041</v>
      </c>
      <c r="G318" s="28">
        <f>INDEX($C$2:$D$37,MATCH(RESOLUCIONES[[#This Row],[No. Canal]],$C$2:$C$37,0),2)</f>
        <v>479</v>
      </c>
      <c r="I318" s="28" t="s">
        <v>1132</v>
      </c>
      <c r="J318" s="28" t="s">
        <v>304</v>
      </c>
      <c r="K318" s="28" t="str">
        <f t="shared" si="6"/>
        <v>El PeñónSantander</v>
      </c>
      <c r="L318" s="28"/>
      <c r="M318" s="28"/>
      <c r="N318" s="28"/>
      <c r="O318" s="28"/>
      <c r="P318" s="28"/>
      <c r="Q318" s="28"/>
      <c r="R318" s="28"/>
      <c r="S318" s="28"/>
      <c r="T318" s="28"/>
      <c r="U318" s="41"/>
      <c r="V318" s="41"/>
      <c r="W318" s="41"/>
      <c r="X318" s="28"/>
      <c r="Y318" s="28"/>
      <c r="Z318" s="28"/>
      <c r="AA318" s="28"/>
      <c r="AB318" s="28"/>
      <c r="AC318" s="28"/>
      <c r="AD318" s="28"/>
    </row>
    <row r="319" spans="1:30" x14ac:dyDescent="0.35">
      <c r="A319" s="29" t="s">
        <v>652</v>
      </c>
      <c r="B319" s="37" t="str">
        <f t="shared" si="8"/>
        <v>LA POPA - CCNPRCN</v>
      </c>
      <c r="C319" s="21">
        <v>15</v>
      </c>
      <c r="D319" s="21" t="s">
        <v>1052</v>
      </c>
      <c r="E319" s="31">
        <v>40283</v>
      </c>
      <c r="F319" s="28" t="s">
        <v>1053</v>
      </c>
      <c r="G319" s="28">
        <f>INDEX($C$2:$D$37,MATCH(RESOLUCIONES[[#This Row],[No. Canal]],$C$2:$C$37,0),2)</f>
        <v>479</v>
      </c>
      <c r="I319" s="28" t="s">
        <v>1133</v>
      </c>
      <c r="J319" s="28" t="s">
        <v>382</v>
      </c>
      <c r="K319" s="28" t="str">
        <f t="shared" si="6"/>
        <v>El PiñonMagdalena</v>
      </c>
      <c r="L319" s="28"/>
      <c r="M319" s="28"/>
      <c r="N319" s="28"/>
      <c r="O319" s="28"/>
      <c r="P319" s="28"/>
      <c r="Q319" s="28"/>
      <c r="R319" s="28"/>
      <c r="S319" s="28"/>
      <c r="T319" s="28"/>
      <c r="U319" s="41"/>
      <c r="V319" s="41"/>
      <c r="W319" s="41"/>
      <c r="X319" s="28"/>
      <c r="Y319" s="28"/>
      <c r="Z319" s="28"/>
      <c r="AA319" s="28"/>
      <c r="AB319" s="28"/>
      <c r="AC319" s="28"/>
      <c r="AD319" s="28"/>
    </row>
    <row r="320" spans="1:30" x14ac:dyDescent="0.35">
      <c r="A320" s="29" t="s">
        <v>660</v>
      </c>
      <c r="B320" s="37" t="str">
        <f t="shared" si="8"/>
        <v>LA VEGA - CCNPRCN</v>
      </c>
      <c r="C320" s="21">
        <v>22</v>
      </c>
      <c r="D320" s="21">
        <v>1904</v>
      </c>
      <c r="E320" s="30">
        <v>43460</v>
      </c>
      <c r="F320" s="28" t="s">
        <v>1041</v>
      </c>
      <c r="G320" s="28">
        <f>INDEX($C$2:$D$37,MATCH(RESOLUCIONES[[#This Row],[No. Canal]],$C$2:$C$37,0),2)</f>
        <v>521</v>
      </c>
      <c r="I320" s="28" t="s">
        <v>1134</v>
      </c>
      <c r="J320" s="28" t="s">
        <v>304</v>
      </c>
      <c r="K320" s="28" t="str">
        <f t="shared" si="6"/>
        <v>El PlayónSantander</v>
      </c>
      <c r="L320" s="28"/>
      <c r="M320" s="28"/>
      <c r="N320" s="28"/>
      <c r="O320" s="28"/>
      <c r="P320" s="28"/>
      <c r="Q320" s="28"/>
      <c r="R320" s="28"/>
      <c r="S320" s="28"/>
      <c r="T320" s="28"/>
      <c r="U320" s="41"/>
      <c r="V320" s="41"/>
      <c r="W320" s="41"/>
      <c r="X320" s="28"/>
      <c r="Y320" s="28"/>
      <c r="Z320" s="28"/>
      <c r="AA320" s="28"/>
      <c r="AB320" s="28"/>
      <c r="AC320" s="28"/>
      <c r="AD320" s="28"/>
    </row>
    <row r="321" spans="1:30" x14ac:dyDescent="0.35">
      <c r="A321" s="29" t="s">
        <v>663</v>
      </c>
      <c r="B321" s="37" t="str">
        <f t="shared" si="8"/>
        <v>LAGUNASECA - CCNPRCN</v>
      </c>
      <c r="C321" s="21">
        <v>15</v>
      </c>
      <c r="D321" s="21">
        <v>2312</v>
      </c>
      <c r="E321" s="31">
        <v>41911</v>
      </c>
      <c r="F321" s="28" t="s">
        <v>1061</v>
      </c>
      <c r="G321" s="28">
        <f>INDEX($C$2:$D$37,MATCH(RESOLUCIONES[[#This Row],[No. Canal]],$C$2:$C$37,0),2)</f>
        <v>479</v>
      </c>
      <c r="I321" s="28" t="s">
        <v>1135</v>
      </c>
      <c r="J321" s="28" t="s">
        <v>382</v>
      </c>
      <c r="K321" s="28" t="str">
        <f t="shared" ref="K321:K384" si="9">_xlfn.CONCAT(TRIM(I321),TRIM(J321))</f>
        <v>El ReténMagdalena</v>
      </c>
      <c r="L321" s="28"/>
      <c r="M321" s="28"/>
      <c r="N321" s="28"/>
      <c r="O321" s="28"/>
      <c r="P321" s="28"/>
      <c r="Q321" s="28"/>
      <c r="R321" s="28"/>
      <c r="S321" s="28"/>
      <c r="T321" s="28"/>
      <c r="U321" s="41"/>
      <c r="V321" s="41"/>
      <c r="W321" s="41"/>
      <c r="X321" s="28"/>
      <c r="Y321" s="28"/>
      <c r="Z321" s="28"/>
      <c r="AA321" s="28"/>
      <c r="AB321" s="28"/>
      <c r="AC321" s="28"/>
      <c r="AD321" s="28"/>
    </row>
    <row r="322" spans="1:30" x14ac:dyDescent="0.35">
      <c r="A322" s="29" t="s">
        <v>666</v>
      </c>
      <c r="B322" s="37" t="str">
        <f t="shared" si="8"/>
        <v>LAS NUBES - CCNPRCN</v>
      </c>
      <c r="C322" s="21">
        <v>15</v>
      </c>
      <c r="D322" s="21">
        <v>2172</v>
      </c>
      <c r="E322" s="31">
        <v>43091</v>
      </c>
      <c r="F322" s="28" t="s">
        <v>1049</v>
      </c>
      <c r="G322" s="28">
        <f>INDEX($C$2:$D$37,MATCH(RESOLUCIONES[[#This Row],[No. Canal]],$C$2:$C$37,0),2)</f>
        <v>479</v>
      </c>
      <c r="I322" s="28" t="s">
        <v>1136</v>
      </c>
      <c r="J322" s="28" t="s">
        <v>360</v>
      </c>
      <c r="K322" s="28" t="str">
        <f t="shared" si="9"/>
        <v>El RetornoGuaviare</v>
      </c>
      <c r="L322" s="28"/>
      <c r="M322" s="28"/>
      <c r="N322" s="28"/>
      <c r="O322" s="28"/>
      <c r="P322" s="28"/>
      <c r="Q322" s="28"/>
      <c r="R322" s="28"/>
      <c r="S322" s="28"/>
      <c r="T322" s="28"/>
      <c r="U322" s="41"/>
      <c r="V322" s="41"/>
      <c r="W322" s="41"/>
      <c r="X322" s="28"/>
      <c r="Y322" s="28"/>
      <c r="Z322" s="28"/>
      <c r="AA322" s="28"/>
      <c r="AB322" s="28"/>
      <c r="AC322" s="28"/>
      <c r="AD322" s="28"/>
    </row>
    <row r="323" spans="1:30" x14ac:dyDescent="0.35">
      <c r="A323" s="29" t="s">
        <v>669</v>
      </c>
      <c r="B323" s="37" t="str">
        <f t="shared" si="8"/>
        <v>LEBRIJA - CCNPRCN</v>
      </c>
      <c r="C323" s="21">
        <v>15</v>
      </c>
      <c r="D323" s="21" t="s">
        <v>1052</v>
      </c>
      <c r="E323" s="31">
        <v>40283</v>
      </c>
      <c r="F323" s="28" t="s">
        <v>1053</v>
      </c>
      <c r="G323" s="28">
        <f>INDEX($C$2:$D$37,MATCH(RESOLUCIONES[[#This Row],[No. Canal]],$C$2:$C$37,0),2)</f>
        <v>479</v>
      </c>
      <c r="I323" s="28" t="s">
        <v>1137</v>
      </c>
      <c r="J323" s="28" t="s">
        <v>413</v>
      </c>
      <c r="K323" s="28" t="str">
        <f t="shared" si="9"/>
        <v>El RobleSucre</v>
      </c>
      <c r="L323" s="28"/>
      <c r="M323" s="28"/>
      <c r="N323" s="28"/>
      <c r="O323" s="28"/>
      <c r="P323" s="28"/>
      <c r="Q323" s="28"/>
      <c r="R323" s="28"/>
      <c r="S323" s="28"/>
      <c r="T323" s="28"/>
      <c r="U323" s="41"/>
      <c r="V323" s="41"/>
      <c r="W323" s="41"/>
      <c r="X323" s="28"/>
      <c r="Y323" s="28"/>
      <c r="Z323" s="28"/>
      <c r="AA323" s="28"/>
      <c r="AB323" s="28"/>
      <c r="AC323" s="28"/>
      <c r="AD323" s="28"/>
    </row>
    <row r="324" spans="1:30" x14ac:dyDescent="0.35">
      <c r="A324" s="29" t="s">
        <v>674</v>
      </c>
      <c r="B324" s="37" t="str">
        <f t="shared" si="8"/>
        <v>LETICIA - CCNPRCN</v>
      </c>
      <c r="C324" s="21">
        <v>22</v>
      </c>
      <c r="D324" s="21">
        <v>1904</v>
      </c>
      <c r="E324" s="30">
        <v>43460</v>
      </c>
      <c r="F324" s="28" t="s">
        <v>1041</v>
      </c>
      <c r="G324" s="28">
        <f>INDEX($C$2:$D$37,MATCH(RESOLUCIONES[[#This Row],[No. Canal]],$C$2:$C$37,0),2)</f>
        <v>521</v>
      </c>
      <c r="I324" s="28" t="s">
        <v>1138</v>
      </c>
      <c r="J324" s="28" t="s">
        <v>283</v>
      </c>
      <c r="K324" s="28" t="str">
        <f t="shared" si="9"/>
        <v>El RosalCundinamarca</v>
      </c>
      <c r="L324" s="28"/>
      <c r="M324" s="28"/>
      <c r="N324" s="28"/>
      <c r="O324" s="28"/>
      <c r="P324" s="28"/>
      <c r="Q324" s="28"/>
      <c r="R324" s="28"/>
      <c r="S324" s="28"/>
      <c r="T324" s="28"/>
      <c r="U324" s="41"/>
      <c r="V324" s="41"/>
      <c r="W324" s="41"/>
      <c r="X324" s="28"/>
      <c r="Y324" s="28"/>
      <c r="Z324" s="28"/>
      <c r="AA324" s="28"/>
      <c r="AB324" s="28"/>
      <c r="AC324" s="28"/>
      <c r="AD324" s="28"/>
    </row>
    <row r="325" spans="1:30" x14ac:dyDescent="0.35">
      <c r="A325" s="29" t="s">
        <v>680</v>
      </c>
      <c r="B325" s="37" t="str">
        <f t="shared" si="8"/>
        <v>LÓPEZ DE MICAY - CCNPRCN</v>
      </c>
      <c r="C325" s="21">
        <v>22</v>
      </c>
      <c r="D325" s="21">
        <v>1904</v>
      </c>
      <c r="E325" s="30">
        <v>43460</v>
      </c>
      <c r="F325" s="28" t="s">
        <v>1041</v>
      </c>
      <c r="G325" s="28">
        <f>INDEX($C$2:$D$37,MATCH(RESOLUCIONES[[#This Row],[No. Canal]],$C$2:$C$37,0),2)</f>
        <v>521</v>
      </c>
      <c r="I325" s="28" t="s">
        <v>1139</v>
      </c>
      <c r="J325" s="28" t="s">
        <v>352</v>
      </c>
      <c r="K325" s="28" t="str">
        <f t="shared" si="9"/>
        <v>El RosarioNariño</v>
      </c>
      <c r="L325" s="28"/>
      <c r="M325" s="28"/>
      <c r="N325" s="28"/>
      <c r="O325" s="28"/>
      <c r="P325" s="28"/>
      <c r="Q325" s="28"/>
      <c r="R325" s="28"/>
      <c r="S325" s="28"/>
      <c r="T325" s="28"/>
      <c r="U325" s="41"/>
      <c r="V325" s="41"/>
      <c r="W325" s="41"/>
      <c r="X325" s="28"/>
      <c r="Y325" s="28"/>
      <c r="Z325" s="28"/>
      <c r="AA325" s="28"/>
      <c r="AB325" s="28"/>
      <c r="AC325" s="28"/>
      <c r="AD325" s="28"/>
    </row>
    <row r="326" spans="1:30" x14ac:dyDescent="0.35">
      <c r="A326" s="29" t="s">
        <v>689</v>
      </c>
      <c r="B326" s="37" t="str">
        <f t="shared" si="8"/>
        <v>LURUACO - CCNPRCN</v>
      </c>
      <c r="C326" s="21">
        <v>32</v>
      </c>
      <c r="D326" s="21">
        <v>1904</v>
      </c>
      <c r="E326" s="30">
        <v>43460</v>
      </c>
      <c r="F326" s="28" t="s">
        <v>1041</v>
      </c>
      <c r="G326" s="28">
        <f>INDEX($C$2:$D$37,MATCH(RESOLUCIONES[[#This Row],[No. Canal]],$C$2:$C$37,0),2)</f>
        <v>581</v>
      </c>
      <c r="I326" s="28" t="s">
        <v>1140</v>
      </c>
      <c r="J326" s="28" t="s">
        <v>154</v>
      </c>
      <c r="K326" s="28" t="str">
        <f t="shared" si="9"/>
        <v>El SantuarioAntioquia</v>
      </c>
      <c r="L326" s="28"/>
      <c r="M326" s="28"/>
      <c r="N326" s="28"/>
      <c r="O326" s="28"/>
      <c r="P326" s="28"/>
      <c r="Q326" s="28"/>
      <c r="R326" s="28"/>
      <c r="S326" s="28"/>
      <c r="T326" s="28"/>
      <c r="U326" s="41"/>
      <c r="V326" s="41"/>
      <c r="W326" s="41"/>
      <c r="X326" s="28"/>
      <c r="Y326" s="28"/>
      <c r="Z326" s="28"/>
      <c r="AA326" s="28"/>
      <c r="AB326" s="28"/>
      <c r="AC326" s="28"/>
      <c r="AD326" s="28"/>
    </row>
    <row r="327" spans="1:30" x14ac:dyDescent="0.35">
      <c r="A327" s="29" t="s">
        <v>692</v>
      </c>
      <c r="B327" s="37" t="str">
        <f t="shared" si="8"/>
        <v>MÁLAGA - CCNPRCN</v>
      </c>
      <c r="C327" s="21">
        <v>15</v>
      </c>
      <c r="D327" s="21">
        <v>1904</v>
      </c>
      <c r="E327" s="30">
        <v>43460</v>
      </c>
      <c r="F327" s="28" t="s">
        <v>1041</v>
      </c>
      <c r="G327" s="28">
        <f>INDEX($C$2:$D$37,MATCH(RESOLUCIONES[[#This Row],[No. Canal]],$C$2:$C$37,0),2)</f>
        <v>479</v>
      </c>
      <c r="I327" s="28" t="s">
        <v>1141</v>
      </c>
      <c r="J327" s="28" t="s">
        <v>352</v>
      </c>
      <c r="K327" s="28" t="str">
        <f t="shared" si="9"/>
        <v>El Tablón de GómezNariño</v>
      </c>
      <c r="L327" s="28"/>
      <c r="M327" s="28"/>
      <c r="N327" s="28"/>
      <c r="O327" s="28"/>
      <c r="P327" s="28"/>
      <c r="Q327" s="28"/>
      <c r="R327" s="28"/>
      <c r="S327" s="28"/>
      <c r="T327" s="28"/>
      <c r="U327" s="41"/>
      <c r="V327" s="41"/>
      <c r="W327" s="41"/>
      <c r="X327" s="28"/>
      <c r="Y327" s="28"/>
      <c r="Z327" s="28"/>
      <c r="AA327" s="28"/>
      <c r="AB327" s="28"/>
      <c r="AC327" s="28"/>
      <c r="AD327" s="28"/>
    </row>
    <row r="328" spans="1:30" x14ac:dyDescent="0.35">
      <c r="A328" s="29" t="s">
        <v>698</v>
      </c>
      <c r="B328" s="37" t="str">
        <f t="shared" si="8"/>
        <v>MANJUÍ - CCNPRCN</v>
      </c>
      <c r="C328" s="21">
        <v>15</v>
      </c>
      <c r="D328" s="21">
        <v>2312</v>
      </c>
      <c r="E328" s="31">
        <v>41911</v>
      </c>
      <c r="F328" s="28" t="s">
        <v>1061</v>
      </c>
      <c r="G328" s="28">
        <f>INDEX($C$2:$D$37,MATCH(RESOLUCIONES[[#This Row],[No. Canal]],$C$2:$C$37,0),2)</f>
        <v>479</v>
      </c>
      <c r="I328" s="28" t="s">
        <v>1142</v>
      </c>
      <c r="J328" s="28" t="s">
        <v>315</v>
      </c>
      <c r="K328" s="28" t="str">
        <f t="shared" si="9"/>
        <v>El TamboCauca</v>
      </c>
      <c r="L328" s="28"/>
      <c r="M328" s="28"/>
      <c r="N328" s="28"/>
      <c r="O328" s="28"/>
      <c r="P328" s="28"/>
      <c r="Q328" s="28"/>
      <c r="R328" s="28"/>
      <c r="S328" s="28"/>
      <c r="T328" s="28"/>
      <c r="U328" s="41"/>
      <c r="V328" s="41"/>
      <c r="W328" s="41"/>
      <c r="X328" s="28"/>
      <c r="Y328" s="28"/>
      <c r="Z328" s="28"/>
      <c r="AA328" s="28"/>
      <c r="AB328" s="28"/>
      <c r="AC328" s="28"/>
      <c r="AD328" s="28"/>
    </row>
    <row r="329" spans="1:30" x14ac:dyDescent="0.35">
      <c r="A329" s="29" t="s">
        <v>705</v>
      </c>
      <c r="B329" s="37" t="str">
        <f t="shared" si="8"/>
        <v>MANZANARES - CCNPRCN</v>
      </c>
      <c r="C329" s="21">
        <v>27</v>
      </c>
      <c r="D329" s="21">
        <v>1904</v>
      </c>
      <c r="E329" s="30">
        <v>43460</v>
      </c>
      <c r="F329" s="28" t="s">
        <v>1041</v>
      </c>
      <c r="G329" s="28">
        <f>INDEX($C$2:$D$37,MATCH(RESOLUCIONES[[#This Row],[No. Canal]],$C$2:$C$37,0),2)</f>
        <v>551</v>
      </c>
      <c r="I329" s="28" t="s">
        <v>1142</v>
      </c>
      <c r="J329" s="28" t="s">
        <v>352</v>
      </c>
      <c r="K329" s="28" t="str">
        <f t="shared" si="9"/>
        <v>El TamboNariño</v>
      </c>
      <c r="L329" s="28"/>
      <c r="M329" s="28"/>
      <c r="N329" s="28"/>
      <c r="O329" s="28"/>
      <c r="P329" s="28"/>
      <c r="Q329" s="28"/>
      <c r="R329" s="28"/>
      <c r="S329" s="28"/>
      <c r="T329" s="28"/>
      <c r="U329" s="41"/>
      <c r="V329" s="41"/>
      <c r="W329" s="41"/>
      <c r="X329" s="28"/>
      <c r="Y329" s="28"/>
      <c r="Z329" s="28"/>
      <c r="AA329" s="28"/>
      <c r="AB329" s="28"/>
      <c r="AC329" s="28"/>
      <c r="AD329" s="28"/>
    </row>
    <row r="330" spans="1:30" x14ac:dyDescent="0.35">
      <c r="A330" s="29" t="s">
        <v>711</v>
      </c>
      <c r="B330" s="37" t="str">
        <f t="shared" si="8"/>
        <v>MARTINICA - CCNPRCN</v>
      </c>
      <c r="C330" s="21">
        <v>22</v>
      </c>
      <c r="D330" s="21">
        <v>2312</v>
      </c>
      <c r="E330" s="31">
        <v>41911</v>
      </c>
      <c r="F330" s="28" t="s">
        <v>1061</v>
      </c>
      <c r="G330" s="28">
        <f>INDEX($C$2:$D$37,MATCH(RESOLUCIONES[[#This Row],[No. Canal]],$C$2:$C$37,0),2)</f>
        <v>521</v>
      </c>
      <c r="I330" s="28" t="s">
        <v>1143</v>
      </c>
      <c r="J330" s="28" t="s">
        <v>190</v>
      </c>
      <c r="K330" s="28" t="str">
        <f t="shared" si="9"/>
        <v>El TarraNorte de Santander</v>
      </c>
      <c r="L330" s="28"/>
      <c r="M330" s="28"/>
      <c r="N330" s="28"/>
      <c r="O330" s="28"/>
      <c r="P330" s="28"/>
      <c r="Q330" s="28"/>
      <c r="R330" s="28"/>
      <c r="S330" s="28"/>
      <c r="T330" s="28"/>
      <c r="U330" s="41"/>
      <c r="V330" s="41"/>
      <c r="W330" s="41"/>
      <c r="X330" s="28"/>
      <c r="Y330" s="28"/>
      <c r="Z330" s="28"/>
      <c r="AA330" s="28"/>
      <c r="AB330" s="28"/>
      <c r="AC330" s="28"/>
      <c r="AD330" s="28"/>
    </row>
    <row r="331" spans="1:30" x14ac:dyDescent="0.35">
      <c r="A331" s="29" t="s">
        <v>719</v>
      </c>
      <c r="B331" s="37" t="str">
        <f t="shared" si="8"/>
        <v>MITÚ - CCNPRCN</v>
      </c>
      <c r="C331" s="21">
        <v>22</v>
      </c>
      <c r="D331" s="21">
        <v>1904</v>
      </c>
      <c r="E331" s="30">
        <v>43460</v>
      </c>
      <c r="F331" s="28" t="s">
        <v>1041</v>
      </c>
      <c r="G331" s="28">
        <f>INDEX($C$2:$D$37,MATCH(RESOLUCIONES[[#This Row],[No. Canal]],$C$2:$C$37,0),2)</f>
        <v>521</v>
      </c>
      <c r="I331" s="28" t="s">
        <v>1144</v>
      </c>
      <c r="J331" s="28" t="s">
        <v>190</v>
      </c>
      <c r="K331" s="28" t="str">
        <f t="shared" si="9"/>
        <v>El ZuliaNorte de Santander</v>
      </c>
      <c r="L331" s="28"/>
      <c r="M331" s="28"/>
      <c r="N331" s="28"/>
      <c r="O331" s="28"/>
      <c r="P331" s="28"/>
      <c r="Q331" s="28"/>
      <c r="R331" s="28"/>
      <c r="S331" s="28"/>
      <c r="T331" s="28"/>
      <c r="U331" s="41"/>
      <c r="V331" s="41"/>
      <c r="W331" s="41"/>
      <c r="X331" s="28"/>
      <c r="Y331" s="28"/>
      <c r="Z331" s="28"/>
      <c r="AA331" s="28"/>
      <c r="AB331" s="28"/>
      <c r="AC331" s="28"/>
      <c r="AD331" s="28"/>
    </row>
    <row r="332" spans="1:30" x14ac:dyDescent="0.35">
      <c r="A332" s="29" t="s">
        <v>723</v>
      </c>
      <c r="B332" s="37" t="str">
        <f t="shared" si="8"/>
        <v>MOCOA - CCNPRCN</v>
      </c>
      <c r="C332" s="21">
        <v>16</v>
      </c>
      <c r="D332" s="21">
        <v>2075</v>
      </c>
      <c r="E332" s="31">
        <v>43082</v>
      </c>
      <c r="F332" s="28" t="s">
        <v>1083</v>
      </c>
      <c r="G332" s="28">
        <f>INDEX($C$2:$D$37,MATCH(RESOLUCIONES[[#This Row],[No. Canal]],$C$2:$C$37,0),2)</f>
        <v>485</v>
      </c>
      <c r="I332" s="28" t="s">
        <v>1145</v>
      </c>
      <c r="J332" s="28" t="s">
        <v>245</v>
      </c>
      <c r="K332" s="28" t="str">
        <f t="shared" si="9"/>
        <v>ElíasHuila</v>
      </c>
      <c r="L332" s="28"/>
      <c r="M332" s="28"/>
      <c r="N332" s="28"/>
      <c r="O332" s="28"/>
      <c r="P332" s="28"/>
      <c r="Q332" s="28"/>
      <c r="R332" s="28"/>
      <c r="S332" s="28"/>
      <c r="T332" s="28"/>
      <c r="U332" s="41"/>
      <c r="V332" s="41"/>
      <c r="W332" s="41"/>
      <c r="X332" s="28"/>
      <c r="Y332" s="28"/>
      <c r="Z332" s="28"/>
      <c r="AA332" s="28"/>
      <c r="AB332" s="28"/>
      <c r="AC332" s="28"/>
      <c r="AD332" s="28"/>
    </row>
    <row r="333" spans="1:30" x14ac:dyDescent="0.35">
      <c r="A333" s="29" t="s">
        <v>726</v>
      </c>
      <c r="B333" s="37" t="str">
        <f t="shared" si="8"/>
        <v>MONIQUIRÁ - CCNPRCN</v>
      </c>
      <c r="C333" s="21">
        <v>42</v>
      </c>
      <c r="D333" s="21">
        <v>2172</v>
      </c>
      <c r="E333" s="31">
        <v>43091</v>
      </c>
      <c r="F333" s="28" t="s">
        <v>1049</v>
      </c>
      <c r="G333" s="28">
        <f>INDEX($C$2:$D$37,MATCH(RESOLUCIONES[[#This Row],[No. Canal]],$C$2:$C$37,0),2)</f>
        <v>641</v>
      </c>
      <c r="I333" s="28" t="s">
        <v>1146</v>
      </c>
      <c r="J333" s="28" t="s">
        <v>304</v>
      </c>
      <c r="K333" s="28" t="str">
        <f t="shared" si="9"/>
        <v>EncinoSantander</v>
      </c>
      <c r="L333" s="28"/>
      <c r="M333" s="28"/>
      <c r="N333" s="28"/>
      <c r="O333" s="28"/>
      <c r="P333" s="28"/>
      <c r="Q333" s="28"/>
      <c r="R333" s="28"/>
      <c r="S333" s="28"/>
      <c r="T333" s="28"/>
      <c r="U333" s="41"/>
      <c r="V333" s="41"/>
      <c r="W333" s="41"/>
      <c r="X333" s="28"/>
      <c r="Y333" s="28"/>
      <c r="Z333" s="28"/>
      <c r="AA333" s="28"/>
      <c r="AB333" s="28"/>
      <c r="AC333" s="28"/>
      <c r="AD333" s="28"/>
    </row>
    <row r="334" spans="1:30" x14ac:dyDescent="0.35">
      <c r="A334" s="29" t="s">
        <v>740</v>
      </c>
      <c r="B334" s="37" t="str">
        <f t="shared" si="8"/>
        <v>MOÑITOS - CCNPRCN</v>
      </c>
      <c r="C334" s="21">
        <v>15</v>
      </c>
      <c r="D334" s="21">
        <v>1904</v>
      </c>
      <c r="E334" s="30">
        <v>43460</v>
      </c>
      <c r="F334" s="28" t="s">
        <v>1041</v>
      </c>
      <c r="G334" s="28">
        <f>INDEX($C$2:$D$37,MATCH(RESOLUCIONES[[#This Row],[No. Canal]],$C$2:$C$37,0),2)</f>
        <v>479</v>
      </c>
      <c r="I334" s="28" t="s">
        <v>1147</v>
      </c>
      <c r="J334" s="28" t="s">
        <v>304</v>
      </c>
      <c r="K334" s="28" t="str">
        <f t="shared" si="9"/>
        <v>EncisoSantander</v>
      </c>
      <c r="L334" s="28"/>
      <c r="M334" s="28"/>
      <c r="N334" s="28"/>
      <c r="O334" s="28"/>
      <c r="P334" s="28"/>
      <c r="Q334" s="28"/>
      <c r="R334" s="28"/>
      <c r="S334" s="28"/>
      <c r="T334" s="28"/>
      <c r="U334" s="41"/>
      <c r="V334" s="41"/>
      <c r="W334" s="41"/>
      <c r="X334" s="28"/>
      <c r="Y334" s="28"/>
      <c r="Z334" s="28"/>
      <c r="AA334" s="28"/>
      <c r="AB334" s="28"/>
      <c r="AC334" s="28"/>
      <c r="AD334" s="28"/>
    </row>
    <row r="335" spans="1:30" x14ac:dyDescent="0.35">
      <c r="A335" s="29" t="s">
        <v>743</v>
      </c>
      <c r="B335" s="37" t="str">
        <f t="shared" si="8"/>
        <v>MUNCHIQUE - CCNPRCN</v>
      </c>
      <c r="C335" s="21">
        <v>22</v>
      </c>
      <c r="D335" s="21">
        <v>864</v>
      </c>
      <c r="E335" s="31">
        <v>42286</v>
      </c>
      <c r="F335" s="28" t="s">
        <v>1080</v>
      </c>
      <c r="G335" s="28">
        <f>INDEX($C$2:$D$37,MATCH(RESOLUCIONES[[#This Row],[No. Canal]],$C$2:$C$37,0),2)</f>
        <v>521</v>
      </c>
      <c r="I335" s="28" t="s">
        <v>1148</v>
      </c>
      <c r="J335" s="28" t="s">
        <v>154</v>
      </c>
      <c r="K335" s="28" t="str">
        <f t="shared" si="9"/>
        <v>EntrerriosAntioquia</v>
      </c>
      <c r="L335" s="28"/>
      <c r="M335" s="28"/>
      <c r="N335" s="28"/>
      <c r="O335" s="28"/>
      <c r="P335" s="28"/>
      <c r="Q335" s="28"/>
      <c r="R335" s="28"/>
      <c r="S335" s="28"/>
      <c r="T335" s="28"/>
      <c r="U335" s="41"/>
      <c r="V335" s="41"/>
      <c r="W335" s="41"/>
      <c r="X335" s="28"/>
      <c r="Y335" s="28"/>
      <c r="Z335" s="28"/>
      <c r="AA335" s="28"/>
      <c r="AB335" s="28"/>
      <c r="AC335" s="28"/>
      <c r="AD335" s="28"/>
    </row>
    <row r="336" spans="1:30" x14ac:dyDescent="0.35">
      <c r="A336" s="29" t="s">
        <v>749</v>
      </c>
      <c r="B336" s="37" t="str">
        <f t="shared" si="8"/>
        <v>NECOCLÍ - CCNPRCN</v>
      </c>
      <c r="C336" s="21">
        <v>24</v>
      </c>
      <c r="D336" s="21">
        <v>1904</v>
      </c>
      <c r="E336" s="30">
        <v>43460</v>
      </c>
      <c r="F336" s="28" t="s">
        <v>1041</v>
      </c>
      <c r="G336" s="28">
        <f>INDEX($C$2:$D$37,MATCH(RESOLUCIONES[[#This Row],[No. Canal]],$C$2:$C$37,0),2)</f>
        <v>533</v>
      </c>
      <c r="I336" s="28" t="s">
        <v>1149</v>
      </c>
      <c r="J336" s="28" t="s">
        <v>154</v>
      </c>
      <c r="K336" s="28" t="str">
        <f t="shared" si="9"/>
        <v>EnvigadoAntioquia</v>
      </c>
      <c r="L336" s="28"/>
      <c r="M336" s="28"/>
      <c r="N336" s="28"/>
      <c r="O336" s="28"/>
      <c r="P336" s="28"/>
      <c r="Q336" s="28"/>
      <c r="R336" s="28"/>
      <c r="S336" s="28"/>
      <c r="T336" s="28"/>
      <c r="U336" s="41"/>
      <c r="V336" s="41"/>
      <c r="W336" s="41"/>
      <c r="X336" s="28"/>
      <c r="Y336" s="28"/>
      <c r="Z336" s="28"/>
      <c r="AA336" s="28"/>
      <c r="AB336" s="28"/>
      <c r="AC336" s="28"/>
      <c r="AD336" s="28"/>
    </row>
    <row r="337" spans="1:30" x14ac:dyDescent="0.35">
      <c r="A337" s="29" t="s">
        <v>763</v>
      </c>
      <c r="B337" s="37" t="str">
        <f t="shared" si="8"/>
        <v>OCAÑA - CCNPRCN</v>
      </c>
      <c r="C337" s="21">
        <v>15</v>
      </c>
      <c r="D337" s="21">
        <v>1904</v>
      </c>
      <c r="E337" s="30">
        <v>43460</v>
      </c>
      <c r="F337" s="28" t="s">
        <v>1041</v>
      </c>
      <c r="G337" s="28">
        <f>INDEX($C$2:$D$37,MATCH(RESOLUCIONES[[#This Row],[No. Canal]],$C$2:$C$37,0),2)</f>
        <v>479</v>
      </c>
      <c r="I337" s="28" t="s">
        <v>1150</v>
      </c>
      <c r="J337" s="28" t="s">
        <v>409</v>
      </c>
      <c r="K337" s="28" t="str">
        <f t="shared" si="9"/>
        <v>EspinalTolima</v>
      </c>
      <c r="L337" s="28"/>
      <c r="M337" s="28"/>
      <c r="N337" s="28"/>
      <c r="O337" s="28"/>
      <c r="P337" s="28"/>
      <c r="Q337" s="28"/>
      <c r="R337" s="28"/>
      <c r="S337" s="28"/>
      <c r="T337" s="28"/>
      <c r="U337" s="41"/>
      <c r="V337" s="41"/>
      <c r="W337" s="41"/>
      <c r="X337" s="28"/>
      <c r="Y337" s="28"/>
      <c r="Z337" s="28"/>
      <c r="AA337" s="28"/>
      <c r="AB337" s="28"/>
      <c r="AC337" s="28"/>
      <c r="AD337" s="28"/>
    </row>
    <row r="338" spans="1:30" x14ac:dyDescent="0.35">
      <c r="A338" s="29" t="s">
        <v>767</v>
      </c>
      <c r="B338" s="37" t="str">
        <f t="shared" si="8"/>
        <v>ORITO - CCNPRCN</v>
      </c>
      <c r="C338" s="21">
        <v>16</v>
      </c>
      <c r="D338" s="21">
        <v>1904</v>
      </c>
      <c r="E338" s="30">
        <v>43460</v>
      </c>
      <c r="F338" s="28" t="s">
        <v>1041</v>
      </c>
      <c r="G338" s="28">
        <f>INDEX($C$2:$D$37,MATCH(RESOLUCIONES[[#This Row],[No. Canal]],$C$2:$C$37,0),2)</f>
        <v>485</v>
      </c>
      <c r="I338" s="28" t="s">
        <v>1151</v>
      </c>
      <c r="J338" s="28" t="s">
        <v>283</v>
      </c>
      <c r="K338" s="28" t="str">
        <f t="shared" si="9"/>
        <v>FacatativáCundinamarca</v>
      </c>
      <c r="L338" s="28"/>
      <c r="M338" s="28"/>
      <c r="N338" s="28"/>
      <c r="O338" s="28"/>
      <c r="P338" s="28"/>
      <c r="Q338" s="28"/>
      <c r="R338" s="28"/>
      <c r="S338" s="28"/>
      <c r="T338" s="28"/>
      <c r="U338" s="41"/>
      <c r="V338" s="41"/>
      <c r="W338" s="41"/>
      <c r="X338" s="28"/>
      <c r="Y338" s="28"/>
      <c r="Z338" s="28"/>
      <c r="AA338" s="28"/>
      <c r="AB338" s="28"/>
      <c r="AC338" s="28"/>
      <c r="AD338" s="28"/>
    </row>
    <row r="339" spans="1:30" x14ac:dyDescent="0.35">
      <c r="A339" s="29" t="s">
        <v>776</v>
      </c>
      <c r="B339" s="37" t="str">
        <f t="shared" si="8"/>
        <v>PACHO - CCNPRCN</v>
      </c>
      <c r="C339" s="21">
        <v>15</v>
      </c>
      <c r="D339" s="21">
        <v>1904</v>
      </c>
      <c r="E339" s="30">
        <v>43460</v>
      </c>
      <c r="F339" s="28" t="s">
        <v>1041</v>
      </c>
      <c r="G339" s="28">
        <f>INDEX($C$2:$D$37,MATCH(RESOLUCIONES[[#This Row],[No. Canal]],$C$2:$C$37,0),2)</f>
        <v>479</v>
      </c>
      <c r="I339" s="28" t="s">
        <v>1152</v>
      </c>
      <c r="J339" s="28" t="s">
        <v>409</v>
      </c>
      <c r="K339" s="28" t="str">
        <f t="shared" si="9"/>
        <v>FalanTolima</v>
      </c>
      <c r="L339" s="28"/>
      <c r="M339" s="28"/>
      <c r="N339" s="28"/>
      <c r="O339" s="28"/>
      <c r="P339" s="28"/>
      <c r="Q339" s="28"/>
      <c r="R339" s="28"/>
      <c r="S339" s="28"/>
      <c r="T339" s="28"/>
      <c r="U339" s="41"/>
      <c r="V339" s="41"/>
      <c r="W339" s="41"/>
      <c r="X339" s="28"/>
      <c r="Y339" s="28"/>
      <c r="Z339" s="28"/>
      <c r="AA339" s="28"/>
      <c r="AB339" s="28"/>
      <c r="AC339" s="28"/>
      <c r="AD339" s="28"/>
    </row>
    <row r="340" spans="1:30" x14ac:dyDescent="0.35">
      <c r="A340" s="29" t="s">
        <v>779</v>
      </c>
      <c r="B340" s="37" t="str">
        <f t="shared" si="8"/>
        <v>PADRE AMAYA - CCNPRCN</v>
      </c>
      <c r="C340" s="21">
        <v>15</v>
      </c>
      <c r="D340" s="21">
        <v>864</v>
      </c>
      <c r="E340" s="31">
        <v>42286</v>
      </c>
      <c r="F340" s="28" t="s">
        <v>1080</v>
      </c>
      <c r="G340" s="28">
        <f>INDEX($C$2:$D$37,MATCH(RESOLUCIONES[[#This Row],[No. Canal]],$C$2:$C$37,0),2)</f>
        <v>479</v>
      </c>
      <c r="I340" s="28" t="s">
        <v>1153</v>
      </c>
      <c r="J340" s="28" t="s">
        <v>284</v>
      </c>
      <c r="K340" s="28" t="str">
        <f t="shared" si="9"/>
        <v>FiladelfiaCaldas</v>
      </c>
      <c r="L340" s="28"/>
      <c r="M340" s="28"/>
      <c r="N340" s="28"/>
      <c r="O340" s="28"/>
      <c r="P340" s="28"/>
      <c r="Q340" s="28"/>
      <c r="R340" s="28"/>
      <c r="S340" s="28"/>
      <c r="T340" s="28"/>
      <c r="U340" s="41"/>
      <c r="V340" s="41"/>
      <c r="W340" s="41"/>
      <c r="X340" s="28"/>
      <c r="Y340" s="28"/>
      <c r="Z340" s="28"/>
      <c r="AA340" s="28"/>
      <c r="AB340" s="28"/>
      <c r="AC340" s="28"/>
      <c r="AD340" s="28"/>
    </row>
    <row r="341" spans="1:30" x14ac:dyDescent="0.35">
      <c r="A341" s="29" t="s">
        <v>790</v>
      </c>
      <c r="B341" s="37" t="str">
        <f t="shared" si="8"/>
        <v>PAMPLONA - CCNPRCN</v>
      </c>
      <c r="C341" s="21">
        <v>15</v>
      </c>
      <c r="D341" s="21">
        <v>2172</v>
      </c>
      <c r="E341" s="31">
        <v>43091</v>
      </c>
      <c r="F341" s="28" t="s">
        <v>1049</v>
      </c>
      <c r="G341" s="28">
        <f>INDEX($C$2:$D$37,MATCH(RESOLUCIONES[[#This Row],[No. Canal]],$C$2:$C$37,0),2)</f>
        <v>479</v>
      </c>
      <c r="I341" s="28" t="s">
        <v>1154</v>
      </c>
      <c r="J341" s="28" t="s">
        <v>401</v>
      </c>
      <c r="K341" s="28" t="str">
        <f t="shared" si="9"/>
        <v>FilandiaQuindio</v>
      </c>
      <c r="L341" s="28"/>
      <c r="M341" s="28"/>
      <c r="N341" s="28"/>
      <c r="O341" s="28"/>
      <c r="P341" s="28"/>
      <c r="Q341" s="28"/>
      <c r="R341" s="28"/>
      <c r="S341" s="28"/>
      <c r="T341" s="28"/>
      <c r="U341" s="41"/>
      <c r="V341" s="41"/>
      <c r="W341" s="41"/>
      <c r="X341" s="28"/>
      <c r="Y341" s="28"/>
      <c r="Z341" s="28"/>
      <c r="AA341" s="28"/>
      <c r="AB341" s="28"/>
      <c r="AC341" s="28"/>
      <c r="AD341" s="28"/>
    </row>
    <row r="342" spans="1:30" x14ac:dyDescent="0.35">
      <c r="A342" s="29" t="s">
        <v>793</v>
      </c>
      <c r="B342" s="37" t="str">
        <f t="shared" si="8"/>
        <v>PAZ DE ARIPORO - CCNPRCN</v>
      </c>
      <c r="C342" s="21">
        <v>15</v>
      </c>
      <c r="D342" s="21">
        <v>1904</v>
      </c>
      <c r="E342" s="30">
        <v>43460</v>
      </c>
      <c r="F342" s="28" t="s">
        <v>1041</v>
      </c>
      <c r="G342" s="28">
        <f>INDEX($C$2:$D$37,MATCH(RESOLUCIONES[[#This Row],[No. Canal]],$C$2:$C$37,0),2)</f>
        <v>479</v>
      </c>
      <c r="I342" s="28" t="s">
        <v>1155</v>
      </c>
      <c r="J342" s="28" t="s">
        <v>274</v>
      </c>
      <c r="K342" s="28" t="str">
        <f t="shared" si="9"/>
        <v>FiravitobaBoyaca</v>
      </c>
      <c r="L342" s="28"/>
      <c r="M342" s="28"/>
      <c r="N342" s="28"/>
      <c r="O342" s="28"/>
      <c r="P342" s="28"/>
      <c r="Q342" s="28"/>
      <c r="R342" s="28"/>
      <c r="S342" s="28"/>
      <c r="T342" s="28"/>
      <c r="U342" s="41"/>
      <c r="V342" s="41"/>
      <c r="W342" s="41"/>
      <c r="X342" s="28"/>
      <c r="Y342" s="28"/>
      <c r="Z342" s="28"/>
      <c r="AA342" s="28"/>
      <c r="AB342" s="28"/>
      <c r="AC342" s="28"/>
      <c r="AD342" s="28"/>
    </row>
    <row r="343" spans="1:30" x14ac:dyDescent="0.35">
      <c r="A343" s="29" t="s">
        <v>796</v>
      </c>
      <c r="B343" s="37" t="str">
        <f t="shared" si="8"/>
        <v>PENSILVANIA - CCNPRCN</v>
      </c>
      <c r="C343" s="21">
        <v>15</v>
      </c>
      <c r="D343" s="21">
        <v>1904</v>
      </c>
      <c r="E343" s="30">
        <v>43460</v>
      </c>
      <c r="F343" s="28" t="s">
        <v>1041</v>
      </c>
      <c r="G343" s="28">
        <f>INDEX($C$2:$D$37,MATCH(RESOLUCIONES[[#This Row],[No. Canal]],$C$2:$C$37,0),2)</f>
        <v>479</v>
      </c>
      <c r="I343" s="28" t="s">
        <v>1156</v>
      </c>
      <c r="J343" s="28" t="s">
        <v>409</v>
      </c>
      <c r="K343" s="28" t="str">
        <f t="shared" si="9"/>
        <v>FlandesTolima</v>
      </c>
      <c r="L343" s="28"/>
      <c r="M343" s="28"/>
      <c r="N343" s="28"/>
      <c r="O343" s="28"/>
      <c r="P343" s="28"/>
      <c r="Q343" s="28"/>
      <c r="R343" s="28"/>
      <c r="S343" s="28"/>
      <c r="T343" s="28"/>
      <c r="U343" s="41"/>
      <c r="V343" s="41"/>
      <c r="W343" s="41"/>
      <c r="X343" s="28"/>
      <c r="Y343" s="28"/>
      <c r="Z343" s="28"/>
      <c r="AA343" s="28"/>
      <c r="AB343" s="28"/>
      <c r="AC343" s="28"/>
      <c r="AD343" s="28"/>
    </row>
    <row r="344" spans="1:30" x14ac:dyDescent="0.35">
      <c r="A344" s="29" t="s">
        <v>477</v>
      </c>
      <c r="B344" s="37" t="str">
        <f t="shared" si="8"/>
        <v>CERRO PESCA - CCNPRCN</v>
      </c>
      <c r="C344" s="21">
        <v>15</v>
      </c>
      <c r="D344" s="21">
        <v>2075</v>
      </c>
      <c r="E344" s="31">
        <v>43082</v>
      </c>
      <c r="F344" s="28" t="s">
        <v>1083</v>
      </c>
      <c r="G344" s="28">
        <f>INDEX($C$2:$D$37,MATCH(RESOLUCIONES[[#This Row],[No. Canal]],$C$2:$C$37,0),2)</f>
        <v>479</v>
      </c>
      <c r="I344" s="28" t="s">
        <v>1157</v>
      </c>
      <c r="J344" s="28" t="s">
        <v>294</v>
      </c>
      <c r="K344" s="28" t="str">
        <f t="shared" si="9"/>
        <v>FlorenciaCaqueta</v>
      </c>
      <c r="L344" s="28"/>
      <c r="M344" s="28"/>
      <c r="N344" s="28"/>
      <c r="O344" s="28"/>
      <c r="P344" s="28"/>
      <c r="Q344" s="28"/>
      <c r="R344" s="28"/>
      <c r="S344" s="28"/>
      <c r="T344" s="28"/>
      <c r="U344" s="41"/>
      <c r="V344" s="41"/>
      <c r="W344" s="41"/>
      <c r="X344" s="28"/>
      <c r="Y344" s="28"/>
      <c r="Z344" s="28"/>
      <c r="AA344" s="28"/>
      <c r="AB344" s="28"/>
      <c r="AC344" s="28"/>
      <c r="AD344" s="28"/>
    </row>
    <row r="345" spans="1:30" x14ac:dyDescent="0.35">
      <c r="A345" s="29" t="s">
        <v>799</v>
      </c>
      <c r="B345" s="37" t="str">
        <f t="shared" si="8"/>
        <v>PIEDECUESTA - CCNPRCN</v>
      </c>
      <c r="C345" s="21">
        <v>22</v>
      </c>
      <c r="D345" s="21">
        <v>1904</v>
      </c>
      <c r="E345" s="30">
        <v>43460</v>
      </c>
      <c r="F345" s="28" t="s">
        <v>1041</v>
      </c>
      <c r="G345" s="28">
        <f>INDEX($C$2:$D$37,MATCH(RESOLUCIONES[[#This Row],[No. Canal]],$C$2:$C$37,0),2)</f>
        <v>521</v>
      </c>
      <c r="I345" s="28" t="s">
        <v>1157</v>
      </c>
      <c r="J345" s="28" t="s">
        <v>315</v>
      </c>
      <c r="K345" s="28" t="str">
        <f t="shared" si="9"/>
        <v>FlorenciaCauca</v>
      </c>
      <c r="L345" s="28"/>
      <c r="M345" s="28"/>
      <c r="N345" s="28"/>
      <c r="O345" s="28"/>
      <c r="P345" s="28"/>
      <c r="Q345" s="28"/>
      <c r="R345" s="28"/>
      <c r="S345" s="28"/>
      <c r="T345" s="28"/>
      <c r="U345" s="41"/>
      <c r="V345" s="41"/>
      <c r="W345" s="41"/>
      <c r="X345" s="28"/>
      <c r="Y345" s="28"/>
      <c r="Z345" s="28"/>
      <c r="AA345" s="28"/>
      <c r="AB345" s="28"/>
      <c r="AC345" s="28"/>
      <c r="AD345" s="28"/>
    </row>
    <row r="346" spans="1:30" x14ac:dyDescent="0.35">
      <c r="A346" s="29" t="s">
        <v>805</v>
      </c>
      <c r="B346" s="37" t="str">
        <f t="shared" si="8"/>
        <v>PLANADAS - CCNPRCN</v>
      </c>
      <c r="C346" s="21">
        <v>15</v>
      </c>
      <c r="D346" s="21">
        <v>1904</v>
      </c>
      <c r="E346" s="30">
        <v>43460</v>
      </c>
      <c r="F346" s="28" t="s">
        <v>1041</v>
      </c>
      <c r="G346" s="28">
        <f>INDEX($C$2:$D$37,MATCH(RESOLUCIONES[[#This Row],[No. Canal]],$C$2:$C$37,0),2)</f>
        <v>479</v>
      </c>
      <c r="I346" s="28" t="s">
        <v>1158</v>
      </c>
      <c r="J346" s="28" t="s">
        <v>274</v>
      </c>
      <c r="K346" s="28" t="str">
        <f t="shared" si="9"/>
        <v>FlorestaBoyaca</v>
      </c>
      <c r="L346" s="28"/>
      <c r="M346" s="28"/>
      <c r="N346" s="28"/>
      <c r="O346" s="28"/>
      <c r="P346" s="28"/>
      <c r="Q346" s="28"/>
      <c r="R346" s="28"/>
      <c r="S346" s="28"/>
      <c r="T346" s="28"/>
      <c r="U346" s="41"/>
      <c r="V346" s="41"/>
      <c r="W346" s="41"/>
      <c r="X346" s="28"/>
      <c r="Y346" s="28"/>
      <c r="Z346" s="28"/>
      <c r="AA346" s="28"/>
      <c r="AB346" s="28"/>
      <c r="AC346" s="28"/>
      <c r="AD346" s="28"/>
    </row>
    <row r="347" spans="1:30" x14ac:dyDescent="0.35">
      <c r="A347" s="29" t="s">
        <v>811</v>
      </c>
      <c r="B347" s="37" t="str">
        <f t="shared" si="8"/>
        <v>PROVIDENCIA - CCNPRCN</v>
      </c>
      <c r="C347" s="21">
        <v>25</v>
      </c>
      <c r="D347" s="21">
        <v>1904</v>
      </c>
      <c r="E347" s="30">
        <v>43460</v>
      </c>
      <c r="F347" s="28" t="s">
        <v>1041</v>
      </c>
      <c r="G347" s="28">
        <f>INDEX($C$2:$D$37,MATCH(RESOLUCIONES[[#This Row],[No. Canal]],$C$2:$C$37,0),2)</f>
        <v>539</v>
      </c>
      <c r="I347" s="28" t="s">
        <v>1159</v>
      </c>
      <c r="J347" s="28" t="s">
        <v>304</v>
      </c>
      <c r="K347" s="28" t="str">
        <f t="shared" si="9"/>
        <v>FloriánSantander</v>
      </c>
      <c r="L347" s="28"/>
      <c r="M347" s="28"/>
      <c r="N347" s="28"/>
      <c r="O347" s="28"/>
      <c r="P347" s="28"/>
      <c r="Q347" s="28"/>
      <c r="R347" s="28"/>
      <c r="S347" s="28"/>
      <c r="T347" s="28"/>
      <c r="U347" s="41"/>
      <c r="V347" s="41"/>
      <c r="W347" s="41"/>
      <c r="X347" s="28"/>
      <c r="Y347" s="28"/>
      <c r="Z347" s="28"/>
      <c r="AA347" s="28"/>
      <c r="AB347" s="28"/>
      <c r="AC347" s="28"/>
      <c r="AD347" s="28"/>
    </row>
    <row r="348" spans="1:30" x14ac:dyDescent="0.35">
      <c r="A348" s="29" t="s">
        <v>820</v>
      </c>
      <c r="B348" s="37" t="str">
        <f t="shared" ref="B348:B379" si="10">A348&amp;"RCN"</f>
        <v>PUERTO CARREÑO - CCNPRCN</v>
      </c>
      <c r="C348" s="21">
        <v>24</v>
      </c>
      <c r="D348" s="21">
        <v>1904</v>
      </c>
      <c r="E348" s="30">
        <v>43460</v>
      </c>
      <c r="F348" s="28" t="s">
        <v>1041</v>
      </c>
      <c r="G348" s="28">
        <f>INDEX($C$2:$D$37,MATCH(RESOLUCIONES[[#This Row],[No. Canal]],$C$2:$C$37,0),2)</f>
        <v>533</v>
      </c>
      <c r="I348" s="28" t="s">
        <v>1160</v>
      </c>
      <c r="J348" s="28" t="s">
        <v>381</v>
      </c>
      <c r="K348" s="28" t="str">
        <f t="shared" si="9"/>
        <v>FloridaValle del Cauca</v>
      </c>
      <c r="L348" s="28"/>
      <c r="M348" s="28"/>
      <c r="N348" s="28"/>
      <c r="O348" s="28"/>
      <c r="P348" s="28"/>
      <c r="Q348" s="28"/>
      <c r="R348" s="28"/>
      <c r="S348" s="28"/>
      <c r="T348" s="28"/>
      <c r="U348" s="41"/>
      <c r="V348" s="41"/>
      <c r="W348" s="41"/>
      <c r="X348" s="28"/>
      <c r="Y348" s="28"/>
      <c r="Z348" s="28"/>
      <c r="AA348" s="28"/>
      <c r="AB348" s="28"/>
      <c r="AC348" s="28"/>
      <c r="AD348" s="28"/>
    </row>
    <row r="349" spans="1:30" x14ac:dyDescent="0.35">
      <c r="A349" s="29" t="s">
        <v>829</v>
      </c>
      <c r="B349" s="37" t="str">
        <f t="shared" si="10"/>
        <v>PUERTO INÍRIDA - CCNPRCN</v>
      </c>
      <c r="C349" s="21">
        <v>24</v>
      </c>
      <c r="D349" s="21">
        <v>1904</v>
      </c>
      <c r="E349" s="30">
        <v>43460</v>
      </c>
      <c r="F349" s="28" t="s">
        <v>1041</v>
      </c>
      <c r="G349" s="28">
        <f>INDEX($C$2:$D$37,MATCH(RESOLUCIONES[[#This Row],[No. Canal]],$C$2:$C$37,0),2)</f>
        <v>533</v>
      </c>
      <c r="I349" s="28" t="s">
        <v>1161</v>
      </c>
      <c r="J349" s="28" t="s">
        <v>304</v>
      </c>
      <c r="K349" s="28" t="str">
        <f t="shared" si="9"/>
        <v>FloridablancaSantander</v>
      </c>
      <c r="L349" s="28"/>
      <c r="M349" s="28"/>
      <c r="N349" s="28"/>
      <c r="O349" s="28"/>
      <c r="P349" s="28"/>
      <c r="Q349" s="28"/>
      <c r="R349" s="28"/>
      <c r="S349" s="28"/>
      <c r="T349" s="28"/>
      <c r="U349" s="41"/>
      <c r="V349" s="41"/>
      <c r="W349" s="41"/>
      <c r="X349" s="28"/>
      <c r="Y349" s="28"/>
      <c r="Z349" s="28"/>
      <c r="AA349" s="28"/>
      <c r="AB349" s="28"/>
      <c r="AC349" s="28"/>
      <c r="AD349" s="28"/>
    </row>
    <row r="350" spans="1:30" x14ac:dyDescent="0.35">
      <c r="A350" s="29" t="s">
        <v>835</v>
      </c>
      <c r="B350" s="37" t="str">
        <f t="shared" si="10"/>
        <v>PUERTO LEGUÍZAMO - CCNPRCN</v>
      </c>
      <c r="C350" s="21">
        <v>16</v>
      </c>
      <c r="D350" s="21">
        <v>1904</v>
      </c>
      <c r="E350" s="30">
        <v>43460</v>
      </c>
      <c r="F350" s="28" t="s">
        <v>1041</v>
      </c>
      <c r="G350" s="28">
        <f>INDEX($C$2:$D$37,MATCH(RESOLUCIONES[[#This Row],[No. Canal]],$C$2:$C$37,0),2)</f>
        <v>485</v>
      </c>
      <c r="I350" s="28" t="s">
        <v>1162</v>
      </c>
      <c r="J350" s="28" t="s">
        <v>283</v>
      </c>
      <c r="K350" s="28" t="str">
        <f t="shared" si="9"/>
        <v>FomequeCundinamarca</v>
      </c>
      <c r="L350" s="28"/>
      <c r="M350" s="28"/>
      <c r="N350" s="28"/>
      <c r="O350" s="28"/>
      <c r="P350" s="28"/>
      <c r="Q350" s="28"/>
      <c r="R350" s="28"/>
      <c r="S350" s="28"/>
      <c r="T350" s="28"/>
      <c r="U350" s="41"/>
      <c r="V350" s="41"/>
      <c r="W350" s="41"/>
      <c r="X350" s="28"/>
      <c r="Y350" s="28"/>
      <c r="Z350" s="28"/>
      <c r="AA350" s="28"/>
      <c r="AB350" s="28"/>
      <c r="AC350" s="28"/>
      <c r="AD350" s="28"/>
    </row>
    <row r="351" spans="1:30" x14ac:dyDescent="0.35">
      <c r="A351" s="29" t="s">
        <v>841</v>
      </c>
      <c r="B351" s="37" t="str">
        <f t="shared" si="10"/>
        <v>PUERTO LIBERTADOR - CCNPRCN</v>
      </c>
      <c r="C351" s="21">
        <v>42</v>
      </c>
      <c r="D351" s="21">
        <v>1904</v>
      </c>
      <c r="E351" s="30">
        <v>43460</v>
      </c>
      <c r="F351" s="28" t="s">
        <v>1041</v>
      </c>
      <c r="G351" s="28">
        <f>INDEX($C$2:$D$37,MATCH(RESOLUCIONES[[#This Row],[No. Canal]],$C$2:$C$37,0),2)</f>
        <v>641</v>
      </c>
      <c r="I351" s="28" t="s">
        <v>1163</v>
      </c>
      <c r="J351" s="28" t="s">
        <v>369</v>
      </c>
      <c r="K351" s="28" t="str">
        <f t="shared" si="9"/>
        <v>FonsecaLa Guajira</v>
      </c>
      <c r="L351" s="28"/>
      <c r="M351" s="28"/>
      <c r="N351" s="28"/>
      <c r="O351" s="28"/>
      <c r="P351" s="28"/>
      <c r="Q351" s="28"/>
      <c r="R351" s="28"/>
      <c r="S351" s="28"/>
      <c r="T351" s="28"/>
      <c r="U351" s="41"/>
      <c r="V351" s="41"/>
      <c r="W351" s="41"/>
      <c r="X351" s="28"/>
      <c r="Y351" s="28"/>
      <c r="Z351" s="28"/>
      <c r="AA351" s="28"/>
      <c r="AB351" s="28"/>
      <c r="AC351" s="28"/>
      <c r="AD351" s="28"/>
    </row>
    <row r="352" spans="1:30" x14ac:dyDescent="0.35">
      <c r="A352" s="29" t="s">
        <v>847</v>
      </c>
      <c r="B352" s="37" t="str">
        <f t="shared" si="10"/>
        <v>QUIBDÓ - CCNPRCN</v>
      </c>
      <c r="C352" s="21">
        <v>15</v>
      </c>
      <c r="D352" s="21">
        <v>1435</v>
      </c>
      <c r="E352" s="31">
        <v>42963</v>
      </c>
      <c r="F352" s="28" t="s">
        <v>1121</v>
      </c>
      <c r="G352" s="28">
        <f>INDEX($C$2:$D$37,MATCH(RESOLUCIONES[[#This Row],[No. Canal]],$C$2:$C$37,0),2)</f>
        <v>479</v>
      </c>
      <c r="I352" s="28" t="s">
        <v>1164</v>
      </c>
      <c r="J352" s="28" t="s">
        <v>204</v>
      </c>
      <c r="K352" s="28" t="str">
        <f t="shared" si="9"/>
        <v>FortulArauca</v>
      </c>
      <c r="L352" s="28"/>
      <c r="M352" s="28"/>
      <c r="N352" s="28"/>
      <c r="O352" s="28"/>
      <c r="P352" s="28"/>
      <c r="Q352" s="28"/>
      <c r="R352" s="28"/>
      <c r="S352" s="28"/>
      <c r="T352" s="28"/>
      <c r="U352" s="41"/>
      <c r="V352" s="41"/>
      <c r="W352" s="41"/>
      <c r="X352" s="28"/>
      <c r="Y352" s="28"/>
      <c r="Z352" s="28"/>
      <c r="AA352" s="28"/>
      <c r="AB352" s="28"/>
      <c r="AC352" s="28"/>
      <c r="AD352" s="28"/>
    </row>
    <row r="353" spans="1:30" x14ac:dyDescent="0.35">
      <c r="A353" s="29" t="s">
        <v>853</v>
      </c>
      <c r="B353" s="37" t="str">
        <f t="shared" si="10"/>
        <v>RIOBLANCO - CCNPRCN</v>
      </c>
      <c r="C353" s="21">
        <v>15</v>
      </c>
      <c r="D353" s="21">
        <v>1904</v>
      </c>
      <c r="E353" s="30">
        <v>43460</v>
      </c>
      <c r="F353" s="28" t="s">
        <v>1041</v>
      </c>
      <c r="G353" s="28">
        <f>INDEX($C$2:$D$37,MATCH(RESOLUCIONES[[#This Row],[No. Canal]],$C$2:$C$37,0),2)</f>
        <v>479</v>
      </c>
      <c r="I353" s="28" t="s">
        <v>1165</v>
      </c>
      <c r="J353" s="28" t="s">
        <v>283</v>
      </c>
      <c r="K353" s="28" t="str">
        <f t="shared" si="9"/>
        <v>FoscaCundinamarca</v>
      </c>
      <c r="L353" s="28"/>
      <c r="M353" s="28"/>
      <c r="N353" s="28"/>
      <c r="O353" s="28"/>
      <c r="P353" s="28"/>
      <c r="Q353" s="28"/>
      <c r="R353" s="28"/>
      <c r="S353" s="28"/>
      <c r="T353" s="28"/>
      <c r="U353" s="41"/>
      <c r="V353" s="41"/>
      <c r="W353" s="41"/>
      <c r="X353" s="28"/>
      <c r="Y353" s="28"/>
      <c r="Z353" s="28"/>
      <c r="AA353" s="28"/>
      <c r="AB353" s="28"/>
      <c r="AC353" s="28"/>
      <c r="AD353" s="28"/>
    </row>
    <row r="354" spans="1:30" x14ac:dyDescent="0.35">
      <c r="A354" s="29" t="s">
        <v>856</v>
      </c>
      <c r="B354" s="37" t="str">
        <f t="shared" si="10"/>
        <v>RODADERO - CCNPRCN</v>
      </c>
      <c r="C354" s="21">
        <v>15</v>
      </c>
      <c r="D354" s="21">
        <v>864</v>
      </c>
      <c r="E354" s="31">
        <v>42286</v>
      </c>
      <c r="F354" s="28" t="s">
        <v>1080</v>
      </c>
      <c r="G354" s="28">
        <f>INDEX($C$2:$D$37,MATCH(RESOLUCIONES[[#This Row],[No. Canal]],$C$2:$C$37,0),2)</f>
        <v>479</v>
      </c>
      <c r="I354" s="28" t="s">
        <v>1166</v>
      </c>
      <c r="J354" s="28" t="s">
        <v>352</v>
      </c>
      <c r="K354" s="28" t="str">
        <f t="shared" si="9"/>
        <v>Francisco PizarroNariño</v>
      </c>
      <c r="L354" s="28"/>
      <c r="M354" s="28"/>
      <c r="N354" s="28"/>
      <c r="O354" s="28"/>
      <c r="P354" s="28"/>
      <c r="Q354" s="28"/>
      <c r="R354" s="28"/>
      <c r="S354" s="28"/>
      <c r="T354" s="28"/>
      <c r="U354" s="41"/>
      <c r="V354" s="41"/>
      <c r="W354" s="41"/>
      <c r="X354" s="28"/>
      <c r="Y354" s="28"/>
      <c r="Z354" s="28"/>
      <c r="AA354" s="28"/>
      <c r="AB354" s="28"/>
      <c r="AC354" s="28"/>
      <c r="AD354" s="28"/>
    </row>
    <row r="355" spans="1:30" x14ac:dyDescent="0.35">
      <c r="A355" s="29" t="s">
        <v>859</v>
      </c>
      <c r="B355" s="37" t="str">
        <f t="shared" si="10"/>
        <v>ROVIRA - CCNPRCN</v>
      </c>
      <c r="C355" s="21">
        <v>15</v>
      </c>
      <c r="D355" s="21">
        <v>1904</v>
      </c>
      <c r="E355" s="30">
        <v>43460</v>
      </c>
      <c r="F355" s="28" t="s">
        <v>1041</v>
      </c>
      <c r="G355" s="28">
        <f>INDEX($C$2:$D$37,MATCH(RESOLUCIONES[[#This Row],[No. Canal]],$C$2:$C$37,0),2)</f>
        <v>479</v>
      </c>
      <c r="I355" s="28" t="s">
        <v>1167</v>
      </c>
      <c r="J355" s="28" t="s">
        <v>154</v>
      </c>
      <c r="K355" s="28" t="str">
        <f t="shared" si="9"/>
        <v>FredoniaAntioquia</v>
      </c>
      <c r="L355" s="28"/>
      <c r="M355" s="28"/>
      <c r="N355" s="28"/>
      <c r="O355" s="28"/>
      <c r="P355" s="28"/>
      <c r="Q355" s="28"/>
      <c r="R355" s="28"/>
      <c r="S355" s="28"/>
      <c r="T355" s="28"/>
      <c r="U355" s="41"/>
      <c r="V355" s="41"/>
      <c r="W355" s="41"/>
      <c r="X355" s="28"/>
      <c r="Y355" s="28"/>
      <c r="Z355" s="28"/>
      <c r="AA355" s="28"/>
      <c r="AB355" s="28"/>
      <c r="AC355" s="28"/>
      <c r="AD355" s="28"/>
    </row>
    <row r="356" spans="1:30" x14ac:dyDescent="0.35">
      <c r="A356" s="29" t="s">
        <v>862</v>
      </c>
      <c r="B356" s="37" t="str">
        <f t="shared" si="10"/>
        <v>SABOYÁ - CCNPRCN</v>
      </c>
      <c r="C356" s="21">
        <v>42</v>
      </c>
      <c r="D356" s="21">
        <v>2075</v>
      </c>
      <c r="E356" s="31">
        <v>43091</v>
      </c>
      <c r="F356" s="28" t="s">
        <v>1168</v>
      </c>
      <c r="G356" s="28">
        <f>INDEX($C$2:$D$37,MATCH(RESOLUCIONES[[#This Row],[No. Canal]],$C$2:$C$37,0),2)</f>
        <v>641</v>
      </c>
      <c r="I356" s="28" t="s">
        <v>1169</v>
      </c>
      <c r="J356" s="28" t="s">
        <v>409</v>
      </c>
      <c r="K356" s="28" t="str">
        <f t="shared" si="9"/>
        <v>FresnoTolima</v>
      </c>
      <c r="L356" s="28"/>
      <c r="M356" s="28"/>
      <c r="N356" s="28"/>
      <c r="O356" s="28"/>
      <c r="P356" s="28"/>
      <c r="Q356" s="28"/>
      <c r="R356" s="28"/>
      <c r="S356" s="28"/>
      <c r="T356" s="28"/>
      <c r="U356" s="41"/>
      <c r="V356" s="41"/>
      <c r="W356" s="41"/>
      <c r="X356" s="28"/>
      <c r="Y356" s="28"/>
      <c r="Z356" s="28"/>
      <c r="AA356" s="28"/>
      <c r="AB356" s="28"/>
      <c r="AC356" s="28"/>
      <c r="AD356" s="28"/>
    </row>
    <row r="357" spans="1:30" x14ac:dyDescent="0.35">
      <c r="A357" s="29" t="s">
        <v>868</v>
      </c>
      <c r="B357" s="37" t="str">
        <f t="shared" si="10"/>
        <v>SALAMINA - CCNPRCN</v>
      </c>
      <c r="C357" s="21">
        <v>15</v>
      </c>
      <c r="D357" s="21">
        <v>1904</v>
      </c>
      <c r="E357" s="30">
        <v>43460</v>
      </c>
      <c r="F357" s="28" t="s">
        <v>1041</v>
      </c>
      <c r="G357" s="28">
        <f>INDEX($C$2:$D$37,MATCH(RESOLUCIONES[[#This Row],[No. Canal]],$C$2:$C$37,0),2)</f>
        <v>479</v>
      </c>
      <c r="I357" s="28" t="s">
        <v>1170</v>
      </c>
      <c r="J357" s="28" t="s">
        <v>154</v>
      </c>
      <c r="K357" s="28" t="str">
        <f t="shared" si="9"/>
        <v>FrontinoAntioquia</v>
      </c>
      <c r="L357" s="28"/>
      <c r="M357" s="28"/>
      <c r="N357" s="28"/>
      <c r="O357" s="28"/>
      <c r="P357" s="28"/>
      <c r="Q357" s="28"/>
      <c r="R357" s="28"/>
      <c r="S357" s="28"/>
      <c r="T357" s="28"/>
      <c r="U357" s="41"/>
      <c r="V357" s="41"/>
      <c r="W357" s="41"/>
      <c r="X357" s="28"/>
      <c r="Y357" s="28"/>
      <c r="Z357" s="28"/>
      <c r="AA357" s="28"/>
      <c r="AB357" s="28"/>
      <c r="AC357" s="28"/>
      <c r="AD357" s="28"/>
    </row>
    <row r="358" spans="1:30" x14ac:dyDescent="0.35">
      <c r="A358" s="29" t="s">
        <v>871</v>
      </c>
      <c r="B358" s="37" t="str">
        <f t="shared" si="10"/>
        <v>SALGAR - CCNPRCN</v>
      </c>
      <c r="C358" s="21">
        <v>15</v>
      </c>
      <c r="D358" s="21">
        <v>1904</v>
      </c>
      <c r="E358" s="30">
        <v>43460</v>
      </c>
      <c r="F358" s="28" t="s">
        <v>1041</v>
      </c>
      <c r="G358" s="28">
        <f>INDEX($C$2:$D$37,MATCH(RESOLUCIONES[[#This Row],[No. Canal]],$C$2:$C$37,0),2)</f>
        <v>479</v>
      </c>
      <c r="I358" s="28" t="s">
        <v>1171</v>
      </c>
      <c r="J358" s="28" t="s">
        <v>210</v>
      </c>
      <c r="K358" s="28" t="str">
        <f t="shared" si="9"/>
        <v>Fuente de OroMeta</v>
      </c>
      <c r="L358" s="28"/>
      <c r="M358" s="28"/>
      <c r="N358" s="28"/>
      <c r="O358" s="28"/>
      <c r="P358" s="28"/>
      <c r="Q358" s="28"/>
      <c r="R358" s="28"/>
      <c r="S358" s="28"/>
      <c r="T358" s="28"/>
      <c r="U358" s="41"/>
      <c r="V358" s="41"/>
      <c r="W358" s="41"/>
      <c r="X358" s="28"/>
      <c r="Y358" s="28"/>
      <c r="Z358" s="28"/>
      <c r="AA358" s="28"/>
      <c r="AB358" s="28"/>
      <c r="AC358" s="28"/>
      <c r="AD358" s="28"/>
    </row>
    <row r="359" spans="1:30" x14ac:dyDescent="0.35">
      <c r="A359" s="29" t="s">
        <v>880</v>
      </c>
      <c r="B359" s="37" t="str">
        <f t="shared" si="10"/>
        <v>SAMANIEGO - CCNPRCN</v>
      </c>
      <c r="C359" s="21">
        <v>16</v>
      </c>
      <c r="D359" s="21">
        <v>2172</v>
      </c>
      <c r="E359" s="31">
        <v>43091</v>
      </c>
      <c r="F359" s="28" t="s">
        <v>1049</v>
      </c>
      <c r="G359" s="28">
        <f>INDEX($C$2:$D$37,MATCH(RESOLUCIONES[[#This Row],[No. Canal]],$C$2:$C$37,0),2)</f>
        <v>485</v>
      </c>
      <c r="I359" s="28" t="s">
        <v>1172</v>
      </c>
      <c r="J359" s="28" t="s">
        <v>382</v>
      </c>
      <c r="K359" s="28" t="str">
        <f t="shared" si="9"/>
        <v>FundaciónMagdalena</v>
      </c>
      <c r="L359" s="28"/>
      <c r="M359" s="28"/>
      <c r="N359" s="28"/>
      <c r="O359" s="28"/>
      <c r="P359" s="28"/>
      <c r="Q359" s="28"/>
      <c r="R359" s="28"/>
      <c r="S359" s="28"/>
      <c r="T359" s="28"/>
      <c r="U359" s="41"/>
      <c r="V359" s="41"/>
      <c r="W359" s="41"/>
      <c r="X359" s="28"/>
      <c r="Y359" s="28"/>
      <c r="Z359" s="28"/>
      <c r="AA359" s="28"/>
      <c r="AB359" s="28"/>
      <c r="AC359" s="28"/>
      <c r="AD359" s="28"/>
    </row>
    <row r="360" spans="1:30" x14ac:dyDescent="0.35">
      <c r="A360" s="29" t="s">
        <v>886</v>
      </c>
      <c r="B360" s="37" t="str">
        <f t="shared" si="10"/>
        <v>SAN AGUSTÍN - CCNPRCN</v>
      </c>
      <c r="C360" s="21">
        <v>15</v>
      </c>
      <c r="D360" s="21">
        <v>2075</v>
      </c>
      <c r="E360" s="31">
        <v>43082</v>
      </c>
      <c r="F360" s="28" t="s">
        <v>1083</v>
      </c>
      <c r="G360" s="28">
        <f>INDEX($C$2:$D$37,MATCH(RESOLUCIONES[[#This Row],[No. Canal]],$C$2:$C$37,0),2)</f>
        <v>479</v>
      </c>
      <c r="I360" s="28" t="s">
        <v>1173</v>
      </c>
      <c r="J360" s="28" t="s">
        <v>352</v>
      </c>
      <c r="K360" s="28" t="str">
        <f t="shared" si="9"/>
        <v>FunesNariño</v>
      </c>
      <c r="L360" s="28"/>
      <c r="M360" s="28"/>
      <c r="N360" s="28"/>
      <c r="O360" s="28"/>
      <c r="P360" s="28"/>
      <c r="Q360" s="28"/>
      <c r="R360" s="28"/>
      <c r="S360" s="28"/>
      <c r="T360" s="28"/>
      <c r="U360" s="41"/>
      <c r="V360" s="41"/>
      <c r="W360" s="41"/>
      <c r="X360" s="28"/>
      <c r="Y360" s="28"/>
      <c r="Z360" s="28"/>
      <c r="AA360" s="28"/>
      <c r="AB360" s="28"/>
      <c r="AC360" s="28"/>
      <c r="AD360" s="28"/>
    </row>
    <row r="361" spans="1:30" x14ac:dyDescent="0.35">
      <c r="A361" s="29" t="s">
        <v>889</v>
      </c>
      <c r="B361" s="37" t="str">
        <f t="shared" si="10"/>
        <v>SAN CARLOS - CCNPRCN</v>
      </c>
      <c r="C361" s="21">
        <v>15</v>
      </c>
      <c r="D361" s="21">
        <v>1904</v>
      </c>
      <c r="E361" s="30">
        <v>43460</v>
      </c>
      <c r="F361" s="28" t="s">
        <v>1041</v>
      </c>
      <c r="G361" s="28">
        <f>INDEX($C$2:$D$37,MATCH(RESOLUCIONES[[#This Row],[No. Canal]],$C$2:$C$37,0),2)</f>
        <v>479</v>
      </c>
      <c r="I361" s="28" t="s">
        <v>1174</v>
      </c>
      <c r="J361" s="28" t="s">
        <v>283</v>
      </c>
      <c r="K361" s="28" t="str">
        <f t="shared" si="9"/>
        <v>FunzaCundinamarca</v>
      </c>
      <c r="L361" s="28"/>
      <c r="M361" s="28"/>
      <c r="N361" s="28"/>
      <c r="O361" s="28"/>
      <c r="P361" s="28"/>
      <c r="Q361" s="28"/>
      <c r="R361" s="28"/>
      <c r="S361" s="28"/>
      <c r="T361" s="28"/>
      <c r="U361" s="41"/>
      <c r="V361" s="41"/>
      <c r="W361" s="41"/>
      <c r="X361" s="28"/>
      <c r="Y361" s="28"/>
      <c r="Z361" s="28"/>
      <c r="AA361" s="28"/>
      <c r="AB361" s="28"/>
      <c r="AC361" s="28"/>
      <c r="AD361" s="28"/>
    </row>
    <row r="362" spans="1:30" x14ac:dyDescent="0.35">
      <c r="A362" s="29" t="s">
        <v>892</v>
      </c>
      <c r="B362" s="37" t="str">
        <f t="shared" si="10"/>
        <v>SAN GIL - CCNPRCN</v>
      </c>
      <c r="C362" s="21">
        <v>45</v>
      </c>
      <c r="D362" s="21">
        <v>1904</v>
      </c>
      <c r="E362" s="30">
        <v>43460</v>
      </c>
      <c r="F362" s="28" t="s">
        <v>1041</v>
      </c>
      <c r="G362" s="28">
        <f>INDEX($C$2:$D$37,MATCH(RESOLUCIONES[[#This Row],[No. Canal]],$C$2:$C$37,0),2)</f>
        <v>659</v>
      </c>
      <c r="I362" s="28" t="s">
        <v>1175</v>
      </c>
      <c r="J362" s="28" t="s">
        <v>283</v>
      </c>
      <c r="K362" s="28" t="str">
        <f t="shared" si="9"/>
        <v>FúqueneCundinamarca</v>
      </c>
      <c r="L362" s="28"/>
      <c r="M362" s="28"/>
      <c r="N362" s="28"/>
      <c r="O362" s="28"/>
      <c r="P362" s="28"/>
      <c r="Q362" s="28"/>
      <c r="R362" s="28"/>
      <c r="S362" s="28"/>
      <c r="T362" s="28"/>
      <c r="U362" s="41"/>
      <c r="V362" s="41"/>
      <c r="W362" s="41"/>
      <c r="X362" s="28"/>
      <c r="Y362" s="28"/>
      <c r="Z362" s="28"/>
      <c r="AA362" s="28"/>
      <c r="AB362" s="28"/>
      <c r="AC362" s="28"/>
      <c r="AD362" s="28"/>
    </row>
    <row r="363" spans="1:30" x14ac:dyDescent="0.35">
      <c r="A363" s="29" t="s">
        <v>898</v>
      </c>
      <c r="B363" s="37" t="str">
        <f t="shared" si="10"/>
        <v>SAN JOSÉ - CCNPRCN</v>
      </c>
      <c r="C363" s="21">
        <v>15</v>
      </c>
      <c r="D363" s="21">
        <v>2172</v>
      </c>
      <c r="E363" s="31">
        <v>43091</v>
      </c>
      <c r="F363" s="28" t="s">
        <v>1049</v>
      </c>
      <c r="G363" s="28">
        <f>INDEX($C$2:$D$37,MATCH(RESOLUCIONES[[#This Row],[No. Canal]],$C$2:$C$37,0),2)</f>
        <v>479</v>
      </c>
      <c r="I363" s="28" t="s">
        <v>1176</v>
      </c>
      <c r="J363" s="28" t="s">
        <v>283</v>
      </c>
      <c r="K363" s="28" t="str">
        <f t="shared" si="9"/>
        <v>FusagasugáCundinamarca</v>
      </c>
      <c r="L363" s="28"/>
      <c r="M363" s="28"/>
      <c r="N363" s="28"/>
      <c r="O363" s="28"/>
      <c r="P363" s="28"/>
      <c r="Q363" s="28"/>
      <c r="R363" s="28"/>
      <c r="S363" s="28"/>
      <c r="T363" s="28"/>
      <c r="U363" s="41"/>
      <c r="V363" s="41"/>
      <c r="W363" s="41"/>
      <c r="X363" s="28"/>
      <c r="Y363" s="28"/>
      <c r="Z363" s="28"/>
      <c r="AA363" s="28"/>
      <c r="AB363" s="28"/>
      <c r="AC363" s="28"/>
      <c r="AD363" s="28"/>
    </row>
    <row r="364" spans="1:30" x14ac:dyDescent="0.35">
      <c r="A364" s="29" t="s">
        <v>904</v>
      </c>
      <c r="B364" s="37" t="str">
        <f t="shared" si="10"/>
        <v>SAN JUAN DE URABÁ - CCNPRCN</v>
      </c>
      <c r="C364" s="21">
        <v>32</v>
      </c>
      <c r="D364" s="21">
        <v>1904</v>
      </c>
      <c r="E364" s="30">
        <v>43460</v>
      </c>
      <c r="F364" s="28" t="s">
        <v>1041</v>
      </c>
      <c r="G364" s="28">
        <f>INDEX($C$2:$D$37,MATCH(RESOLUCIONES[[#This Row],[No. Canal]],$C$2:$C$37,0),2)</f>
        <v>581</v>
      </c>
      <c r="I364" s="28" t="s">
        <v>1177</v>
      </c>
      <c r="J364" s="28" t="s">
        <v>283</v>
      </c>
      <c r="K364" s="28" t="str">
        <f t="shared" si="9"/>
        <v>GachalaCundinamarca</v>
      </c>
      <c r="L364" s="28"/>
      <c r="M364" s="28"/>
      <c r="N364" s="28"/>
      <c r="O364" s="28"/>
      <c r="P364" s="28"/>
      <c r="Q364" s="28"/>
      <c r="R364" s="28"/>
      <c r="S364" s="28"/>
      <c r="T364" s="28"/>
      <c r="U364" s="41"/>
      <c r="V364" s="41"/>
      <c r="W364" s="41"/>
      <c r="X364" s="28"/>
      <c r="Y364" s="28"/>
      <c r="Z364" s="28"/>
      <c r="AA364" s="28"/>
      <c r="AB364" s="28"/>
      <c r="AC364" s="28"/>
      <c r="AD364" s="28"/>
    </row>
    <row r="365" spans="1:30" x14ac:dyDescent="0.35">
      <c r="A365" s="29" t="s">
        <v>907</v>
      </c>
      <c r="B365" s="37" t="str">
        <f t="shared" si="10"/>
        <v>SAN JUAN DEL CESAR - CCNPRCN</v>
      </c>
      <c r="C365" s="21">
        <v>15</v>
      </c>
      <c r="D365" s="21">
        <v>1904</v>
      </c>
      <c r="E365" s="30">
        <v>43460</v>
      </c>
      <c r="F365" s="28" t="s">
        <v>1041</v>
      </c>
      <c r="G365" s="28">
        <f>INDEX($C$2:$D$37,MATCH(RESOLUCIONES[[#This Row],[No. Canal]],$C$2:$C$37,0),2)</f>
        <v>479</v>
      </c>
      <c r="I365" s="28" t="s">
        <v>1178</v>
      </c>
      <c r="J365" s="28" t="s">
        <v>283</v>
      </c>
      <c r="K365" s="28" t="str">
        <f t="shared" si="9"/>
        <v>GachancipáCundinamarca</v>
      </c>
      <c r="L365" s="28"/>
      <c r="M365" s="28"/>
      <c r="N365" s="28"/>
      <c r="O365" s="28"/>
      <c r="P365" s="28"/>
      <c r="Q365" s="28"/>
      <c r="R365" s="28"/>
      <c r="S365" s="28"/>
      <c r="T365" s="28"/>
      <c r="U365" s="41"/>
      <c r="V365" s="41"/>
      <c r="W365" s="41"/>
      <c r="X365" s="28"/>
      <c r="Y365" s="28"/>
      <c r="Z365" s="28"/>
      <c r="AA365" s="28"/>
      <c r="AB365" s="28"/>
      <c r="AC365" s="28"/>
      <c r="AD365" s="28"/>
    </row>
    <row r="366" spans="1:30" x14ac:dyDescent="0.35">
      <c r="A366" s="29" t="s">
        <v>916</v>
      </c>
      <c r="B366" s="37" t="str">
        <f t="shared" si="10"/>
        <v>SAN PABLO - CCNPRCN</v>
      </c>
      <c r="C366" s="21">
        <v>16</v>
      </c>
      <c r="D366" s="21">
        <v>1904</v>
      </c>
      <c r="E366" s="30">
        <v>43460</v>
      </c>
      <c r="F366" s="28" t="s">
        <v>1041</v>
      </c>
      <c r="G366" s="28">
        <f>INDEX($C$2:$D$37,MATCH(RESOLUCIONES[[#This Row],[No. Canal]],$C$2:$C$37,0),2)</f>
        <v>485</v>
      </c>
      <c r="I366" s="28" t="s">
        <v>1179</v>
      </c>
      <c r="J366" s="28" t="s">
        <v>274</v>
      </c>
      <c r="K366" s="28" t="str">
        <f t="shared" si="9"/>
        <v>GachantiváBoyaca</v>
      </c>
      <c r="L366" s="28"/>
      <c r="M366" s="28"/>
      <c r="N366" s="28"/>
      <c r="O366" s="28"/>
      <c r="P366" s="28"/>
      <c r="Q366" s="28"/>
      <c r="R366" s="28"/>
      <c r="S366" s="28"/>
      <c r="T366" s="28"/>
      <c r="U366" s="41"/>
      <c r="V366" s="41"/>
      <c r="W366" s="41"/>
      <c r="X366" s="28"/>
      <c r="Y366" s="28"/>
      <c r="Z366" s="28"/>
      <c r="AA366" s="28"/>
      <c r="AB366" s="28"/>
      <c r="AC366" s="28"/>
      <c r="AD366" s="28"/>
    </row>
    <row r="367" spans="1:30" x14ac:dyDescent="0.35">
      <c r="A367" s="29" t="s">
        <v>920</v>
      </c>
      <c r="B367" s="37" t="str">
        <f t="shared" si="10"/>
        <v>SAN PEDRO DE URABÁ - CCNPRCN</v>
      </c>
      <c r="C367" s="21">
        <v>15</v>
      </c>
      <c r="D367" s="21">
        <v>1904</v>
      </c>
      <c r="E367" s="30">
        <v>43460</v>
      </c>
      <c r="F367" s="28" t="s">
        <v>1041</v>
      </c>
      <c r="G367" s="28">
        <f>INDEX($C$2:$D$37,MATCH(RESOLUCIONES[[#This Row],[No. Canal]],$C$2:$C$37,0),2)</f>
        <v>479</v>
      </c>
      <c r="I367" s="28" t="s">
        <v>1180</v>
      </c>
      <c r="J367" s="28" t="s">
        <v>283</v>
      </c>
      <c r="K367" s="28" t="str">
        <f t="shared" si="9"/>
        <v>GachetáCundinamarca</v>
      </c>
      <c r="L367" s="28"/>
      <c r="M367" s="28"/>
      <c r="N367" s="28"/>
      <c r="O367" s="28"/>
      <c r="P367" s="28"/>
      <c r="Q367" s="28"/>
      <c r="R367" s="28"/>
      <c r="S367" s="28"/>
      <c r="T367" s="28"/>
      <c r="U367" s="41"/>
      <c r="V367" s="41"/>
      <c r="W367" s="41"/>
      <c r="X367" s="28"/>
      <c r="Y367" s="28"/>
      <c r="Z367" s="28"/>
      <c r="AA367" s="28"/>
      <c r="AB367" s="28"/>
      <c r="AC367" s="28"/>
      <c r="AD367" s="28"/>
    </row>
    <row r="368" spans="1:30" x14ac:dyDescent="0.35">
      <c r="A368" s="29" t="s">
        <v>923</v>
      </c>
      <c r="B368" s="37" t="str">
        <f t="shared" si="10"/>
        <v>SAN RAFAEL - CCNPRCN</v>
      </c>
      <c r="C368" s="21">
        <v>15</v>
      </c>
      <c r="D368" s="21">
        <v>1904</v>
      </c>
      <c r="E368" s="30">
        <v>43460</v>
      </c>
      <c r="F368" s="28" t="s">
        <v>1041</v>
      </c>
      <c r="G368" s="28">
        <f>INDEX($C$2:$D$37,MATCH(RESOLUCIONES[[#This Row],[No. Canal]],$C$2:$C$37,0),2)</f>
        <v>479</v>
      </c>
      <c r="I368" s="28" t="s">
        <v>1181</v>
      </c>
      <c r="J368" s="28" t="s">
        <v>304</v>
      </c>
      <c r="K368" s="28" t="str">
        <f t="shared" si="9"/>
        <v>GalánSantander</v>
      </c>
      <c r="L368" s="28"/>
      <c r="M368" s="28"/>
      <c r="N368" s="28"/>
      <c r="O368" s="28"/>
      <c r="P368" s="28"/>
      <c r="Q368" s="28"/>
      <c r="R368" s="28"/>
      <c r="S368" s="28"/>
      <c r="T368" s="28"/>
      <c r="U368" s="41"/>
      <c r="V368" s="41"/>
      <c r="W368" s="41"/>
      <c r="X368" s="28"/>
      <c r="Y368" s="28"/>
      <c r="Z368" s="28"/>
      <c r="AA368" s="28"/>
      <c r="AB368" s="28"/>
      <c r="AC368" s="28"/>
      <c r="AD368" s="28"/>
    </row>
    <row r="369" spans="1:30" x14ac:dyDescent="0.35">
      <c r="A369" s="21" t="s">
        <v>926</v>
      </c>
      <c r="B369" s="37" t="str">
        <f t="shared" si="10"/>
        <v>SAN ROQUE - CCNPRCN</v>
      </c>
      <c r="C369" s="21">
        <v>15</v>
      </c>
      <c r="D369" s="21">
        <v>1649</v>
      </c>
      <c r="E369" s="30">
        <v>44379</v>
      </c>
      <c r="F369" s="28" t="s">
        <v>1182</v>
      </c>
      <c r="G369" s="28">
        <f>INDEX($C$2:$D$37,MATCH(RESOLUCIONES[[#This Row],[No. Canal]],$C$2:$C$37,0),2)</f>
        <v>479</v>
      </c>
      <c r="I369" s="28" t="s">
        <v>1183</v>
      </c>
      <c r="J369" s="28" t="s">
        <v>231</v>
      </c>
      <c r="K369" s="28" t="str">
        <f t="shared" si="9"/>
        <v>GalapaAtlantico</v>
      </c>
      <c r="L369" s="28"/>
      <c r="M369" s="28"/>
      <c r="N369" s="28"/>
      <c r="O369" s="28"/>
      <c r="P369" s="28"/>
      <c r="Q369" s="28"/>
      <c r="R369" s="28"/>
      <c r="S369" s="28"/>
      <c r="T369" s="28"/>
      <c r="U369" s="41"/>
      <c r="V369" s="41"/>
      <c r="W369" s="41"/>
      <c r="X369" s="28"/>
      <c r="Y369" s="28"/>
      <c r="Z369" s="28"/>
      <c r="AA369" s="28"/>
      <c r="AB369" s="28"/>
      <c r="AC369" s="28"/>
      <c r="AD369" s="28"/>
    </row>
    <row r="370" spans="1:30" x14ac:dyDescent="0.35">
      <c r="A370" s="29" t="s">
        <v>930</v>
      </c>
      <c r="B370" s="37" t="str">
        <f t="shared" si="10"/>
        <v>SAN VICENTE - CCNPRCN</v>
      </c>
      <c r="C370" s="21">
        <v>15</v>
      </c>
      <c r="D370" s="21">
        <v>1904</v>
      </c>
      <c r="E370" s="30">
        <v>43460</v>
      </c>
      <c r="F370" s="28" t="s">
        <v>1041</v>
      </c>
      <c r="G370" s="28">
        <f>INDEX($C$2:$D$37,MATCH(RESOLUCIONES[[#This Row],[No. Canal]],$C$2:$C$37,0),2)</f>
        <v>479</v>
      </c>
      <c r="I370" s="28" t="s">
        <v>1184</v>
      </c>
      <c r="J370" s="28" t="s">
        <v>413</v>
      </c>
      <c r="K370" s="28" t="str">
        <f t="shared" si="9"/>
        <v>GalerasSucre</v>
      </c>
      <c r="L370" s="28"/>
      <c r="M370" s="28"/>
      <c r="N370" s="28"/>
      <c r="O370" s="28"/>
      <c r="P370" s="28"/>
      <c r="Q370" s="28"/>
      <c r="R370" s="28"/>
      <c r="S370" s="28"/>
      <c r="T370" s="28"/>
      <c r="U370" s="41"/>
      <c r="V370" s="41"/>
      <c r="W370" s="41"/>
      <c r="X370" s="28"/>
      <c r="Y370" s="28"/>
      <c r="Z370" s="28"/>
      <c r="AA370" s="28"/>
      <c r="AB370" s="28"/>
      <c r="AC370" s="28"/>
      <c r="AD370" s="28"/>
    </row>
    <row r="371" spans="1:30" x14ac:dyDescent="0.35">
      <c r="A371" s="29" t="s">
        <v>537</v>
      </c>
      <c r="B371" s="37" t="str">
        <f t="shared" si="10"/>
        <v>FERRER - CCNPRCN</v>
      </c>
      <c r="C371" s="21">
        <v>15</v>
      </c>
      <c r="D371" s="21">
        <v>1904</v>
      </c>
      <c r="E371" s="30">
        <v>43460</v>
      </c>
      <c r="F371" s="28" t="s">
        <v>1041</v>
      </c>
      <c r="G371" s="28">
        <f>INDEX($C$2:$D$37,MATCH(RESOLUCIONES[[#This Row],[No. Canal]],$C$2:$C$37,0),2)</f>
        <v>479</v>
      </c>
      <c r="I371" s="28" t="s">
        <v>1185</v>
      </c>
      <c r="J371" s="28" t="s">
        <v>283</v>
      </c>
      <c r="K371" s="28" t="str">
        <f t="shared" si="9"/>
        <v>GamaCundinamarca</v>
      </c>
      <c r="L371" s="28"/>
      <c r="M371" s="28"/>
      <c r="N371" s="28"/>
      <c r="O371" s="28"/>
      <c r="P371" s="28"/>
      <c r="Q371" s="28"/>
      <c r="R371" s="28"/>
      <c r="S371" s="28"/>
      <c r="T371" s="28"/>
      <c r="U371" s="41"/>
      <c r="V371" s="41"/>
      <c r="W371" s="41"/>
      <c r="X371" s="28"/>
      <c r="Y371" s="28"/>
      <c r="Z371" s="28"/>
      <c r="AA371" s="28"/>
      <c r="AB371" s="28"/>
      <c r="AC371" s="28"/>
      <c r="AD371" s="28"/>
    </row>
    <row r="372" spans="1:30" x14ac:dyDescent="0.35">
      <c r="A372" s="29" t="s">
        <v>936</v>
      </c>
      <c r="B372" s="37" t="str">
        <f t="shared" si="10"/>
        <v>SANDONÁ - CCNPRCN</v>
      </c>
      <c r="C372" s="21">
        <v>16</v>
      </c>
      <c r="D372" s="21">
        <v>1904</v>
      </c>
      <c r="E372" s="30">
        <v>43460</v>
      </c>
      <c r="F372" s="28" t="s">
        <v>1041</v>
      </c>
      <c r="G372" s="28">
        <f>INDEX($C$2:$D$37,MATCH(RESOLUCIONES[[#This Row],[No. Canal]],$C$2:$C$37,0),2)</f>
        <v>485</v>
      </c>
      <c r="I372" s="28" t="s">
        <v>1186</v>
      </c>
      <c r="J372" s="28" t="s">
        <v>293</v>
      </c>
      <c r="K372" s="28" t="str">
        <f t="shared" si="9"/>
        <v>GamarraCesar</v>
      </c>
      <c r="L372" s="28"/>
      <c r="M372" s="28"/>
      <c r="N372" s="28"/>
      <c r="O372" s="28"/>
      <c r="P372" s="28"/>
      <c r="Q372" s="28"/>
      <c r="R372" s="28"/>
      <c r="S372" s="28"/>
      <c r="T372" s="28"/>
      <c r="U372" s="41"/>
      <c r="V372" s="41"/>
      <c r="W372" s="41"/>
      <c r="X372" s="28"/>
      <c r="Y372" s="28"/>
      <c r="Z372" s="28"/>
      <c r="AA372" s="28"/>
      <c r="AB372" s="28"/>
      <c r="AC372" s="28"/>
      <c r="AD372" s="28"/>
    </row>
    <row r="373" spans="1:30" x14ac:dyDescent="0.35">
      <c r="A373" s="29" t="s">
        <v>939</v>
      </c>
      <c r="B373" s="37" t="str">
        <f t="shared" si="10"/>
        <v>SANTA LIBRADA - CCNPRCN</v>
      </c>
      <c r="C373" s="21">
        <v>15</v>
      </c>
      <c r="D373" s="21">
        <v>22</v>
      </c>
      <c r="E373" s="31">
        <v>40283</v>
      </c>
      <c r="F373" s="28" t="s">
        <v>1187</v>
      </c>
      <c r="G373" s="28">
        <f>INDEX($C$2:$D$37,MATCH(RESOLUCIONES[[#This Row],[No. Canal]],$C$2:$C$37,0),2)</f>
        <v>479</v>
      </c>
      <c r="I373" s="28" t="s">
        <v>1188</v>
      </c>
      <c r="J373" s="28" t="s">
        <v>304</v>
      </c>
      <c r="K373" s="28" t="str">
        <f t="shared" si="9"/>
        <v>GambitaSantander</v>
      </c>
      <c r="L373" s="28"/>
      <c r="M373" s="28"/>
      <c r="N373" s="28"/>
      <c r="O373" s="28"/>
      <c r="P373" s="28"/>
      <c r="Q373" s="28"/>
      <c r="R373" s="28"/>
      <c r="S373" s="28"/>
      <c r="T373" s="28"/>
      <c r="U373" s="41"/>
      <c r="V373" s="41"/>
      <c r="W373" s="41"/>
      <c r="X373" s="28"/>
      <c r="Y373" s="28"/>
      <c r="Z373" s="28"/>
      <c r="AA373" s="28"/>
      <c r="AB373" s="28"/>
      <c r="AC373" s="28"/>
      <c r="AD373" s="28"/>
    </row>
    <row r="374" spans="1:30" x14ac:dyDescent="0.35">
      <c r="A374" s="29" t="s">
        <v>943</v>
      </c>
      <c r="B374" s="37" t="str">
        <f t="shared" si="10"/>
        <v>SANTA MARTA - CCNPRCN</v>
      </c>
      <c r="C374" s="21">
        <v>15</v>
      </c>
      <c r="D374" s="21" t="s">
        <v>1052</v>
      </c>
      <c r="E374" s="31">
        <v>40283</v>
      </c>
      <c r="F374" s="28" t="s">
        <v>1053</v>
      </c>
      <c r="G374" s="28">
        <f>INDEX($C$2:$D$37,MATCH(RESOLUCIONES[[#This Row],[No. Canal]],$C$2:$C$37,0),2)</f>
        <v>479</v>
      </c>
      <c r="I374" s="28" t="s">
        <v>1189</v>
      </c>
      <c r="J374" s="28" t="s">
        <v>274</v>
      </c>
      <c r="K374" s="28" t="str">
        <f t="shared" si="9"/>
        <v>GamezaBoyaca</v>
      </c>
      <c r="L374" s="28"/>
      <c r="M374" s="28"/>
      <c r="N374" s="28"/>
      <c r="O374" s="28"/>
      <c r="P374" s="28"/>
      <c r="Q374" s="28"/>
      <c r="R374" s="28"/>
      <c r="S374" s="28"/>
      <c r="T374" s="28"/>
      <c r="U374" s="41"/>
      <c r="V374" s="41"/>
      <c r="W374" s="41"/>
      <c r="X374" s="28"/>
      <c r="Y374" s="28"/>
      <c r="Z374" s="28"/>
      <c r="AA374" s="28"/>
      <c r="AB374" s="28"/>
      <c r="AC374" s="28"/>
      <c r="AD374" s="28"/>
    </row>
    <row r="375" spans="1:30" x14ac:dyDescent="0.35">
      <c r="A375" s="29" t="s">
        <v>946</v>
      </c>
      <c r="B375" s="37" t="str">
        <f t="shared" si="10"/>
        <v>SANTUARIO - CCNPRCN</v>
      </c>
      <c r="C375" s="21">
        <v>27</v>
      </c>
      <c r="D375" s="21">
        <v>1904</v>
      </c>
      <c r="E375" s="30">
        <v>43460</v>
      </c>
      <c r="F375" s="28" t="s">
        <v>1041</v>
      </c>
      <c r="G375" s="28">
        <f>INDEX($C$2:$D$37,MATCH(RESOLUCIONES[[#This Row],[No. Canal]],$C$2:$C$37,0),2)</f>
        <v>551</v>
      </c>
      <c r="I375" s="28" t="s">
        <v>1190</v>
      </c>
      <c r="J375" s="28" t="s">
        <v>274</v>
      </c>
      <c r="K375" s="28" t="str">
        <f t="shared" si="9"/>
        <v>GaragoaBoyaca</v>
      </c>
      <c r="L375" s="28"/>
      <c r="M375" s="28"/>
      <c r="N375" s="28"/>
      <c r="O375" s="28"/>
      <c r="P375" s="28"/>
      <c r="Q375" s="28"/>
      <c r="R375" s="28"/>
      <c r="S375" s="28"/>
      <c r="T375" s="28"/>
      <c r="U375" s="41"/>
      <c r="V375" s="41"/>
      <c r="W375" s="41"/>
      <c r="X375" s="28"/>
      <c r="Y375" s="28"/>
      <c r="Z375" s="28"/>
      <c r="AA375" s="28"/>
      <c r="AB375" s="28"/>
      <c r="AC375" s="28"/>
      <c r="AD375" s="28"/>
    </row>
    <row r="376" spans="1:30" x14ac:dyDescent="0.35">
      <c r="A376" s="29" t="s">
        <v>949</v>
      </c>
      <c r="B376" s="37" t="str">
        <f t="shared" si="10"/>
        <v>SARAVENA - CCNPRCN</v>
      </c>
      <c r="C376" s="21">
        <v>24</v>
      </c>
      <c r="D376" s="21">
        <v>1904</v>
      </c>
      <c r="E376" s="30">
        <v>43460</v>
      </c>
      <c r="F376" s="28" t="s">
        <v>1041</v>
      </c>
      <c r="G376" s="28">
        <f>INDEX($C$2:$D$37,MATCH(RESOLUCIONES[[#This Row],[No. Canal]],$C$2:$C$37,0),2)</f>
        <v>533</v>
      </c>
      <c r="I376" s="28" t="s">
        <v>1191</v>
      </c>
      <c r="J376" s="28" t="s">
        <v>245</v>
      </c>
      <c r="K376" s="28" t="str">
        <f t="shared" si="9"/>
        <v>GarzónHuila</v>
      </c>
      <c r="L376" s="28"/>
      <c r="M376" s="28"/>
      <c r="N376" s="28"/>
      <c r="O376" s="28"/>
      <c r="P376" s="28"/>
      <c r="Q376" s="28"/>
      <c r="R376" s="28"/>
      <c r="S376" s="28"/>
      <c r="T376" s="28"/>
      <c r="U376" s="41"/>
      <c r="V376" s="41"/>
      <c r="W376" s="41"/>
      <c r="X376" s="28"/>
      <c r="Y376" s="28"/>
      <c r="Z376" s="28"/>
      <c r="AA376" s="28"/>
      <c r="AB376" s="28"/>
      <c r="AC376" s="28"/>
      <c r="AD376" s="28"/>
    </row>
    <row r="377" spans="1:30" x14ac:dyDescent="0.35">
      <c r="A377" s="29" t="s">
        <v>953</v>
      </c>
      <c r="B377" s="37" t="str">
        <f t="shared" si="10"/>
        <v>SARDINATA - CCNPRCN</v>
      </c>
      <c r="C377" s="21">
        <v>15</v>
      </c>
      <c r="D377" s="21">
        <v>1904</v>
      </c>
      <c r="E377" s="30">
        <v>43460</v>
      </c>
      <c r="F377" s="28" t="s">
        <v>1041</v>
      </c>
      <c r="G377" s="28">
        <f>INDEX($C$2:$D$37,MATCH(RESOLUCIONES[[#This Row],[No. Canal]],$C$2:$C$37,0),2)</f>
        <v>479</v>
      </c>
      <c r="I377" s="28" t="s">
        <v>1192</v>
      </c>
      <c r="J377" s="28" t="s">
        <v>401</v>
      </c>
      <c r="K377" s="28" t="str">
        <f t="shared" si="9"/>
        <v>GénovaQuindio</v>
      </c>
      <c r="L377" s="28"/>
      <c r="M377" s="28"/>
      <c r="N377" s="28"/>
      <c r="O377" s="28"/>
      <c r="P377" s="28"/>
      <c r="Q377" s="28"/>
      <c r="R377" s="28"/>
      <c r="S377" s="28"/>
      <c r="T377" s="28"/>
      <c r="U377" s="41"/>
      <c r="V377" s="41"/>
      <c r="W377" s="41"/>
      <c r="X377" s="28"/>
      <c r="Y377" s="28"/>
      <c r="Z377" s="28"/>
      <c r="AA377" s="28"/>
      <c r="AB377" s="28"/>
      <c r="AC377" s="28"/>
      <c r="AD377" s="28"/>
    </row>
    <row r="378" spans="1:30" x14ac:dyDescent="0.35">
      <c r="A378" s="29" t="s">
        <v>956</v>
      </c>
      <c r="B378" s="37" t="str">
        <f t="shared" si="10"/>
        <v>SEMINARIO - CCNPRCN</v>
      </c>
      <c r="C378" s="21">
        <v>15</v>
      </c>
      <c r="D378" s="21" t="s">
        <v>1052</v>
      </c>
      <c r="E378" s="31">
        <v>40283</v>
      </c>
      <c r="F378" s="28" t="s">
        <v>1053</v>
      </c>
      <c r="G378" s="28">
        <f>INDEX($C$2:$D$37,MATCH(RESOLUCIONES[[#This Row],[No. Canal]],$C$2:$C$37,0),2)</f>
        <v>479</v>
      </c>
      <c r="I378" s="28" t="s">
        <v>1193</v>
      </c>
      <c r="J378" s="28" t="s">
        <v>245</v>
      </c>
      <c r="K378" s="28" t="str">
        <f t="shared" si="9"/>
        <v>GiganteHuila</v>
      </c>
      <c r="L378" s="28"/>
      <c r="M378" s="28"/>
      <c r="N378" s="28"/>
      <c r="O378" s="28"/>
      <c r="P378" s="28"/>
      <c r="Q378" s="28"/>
      <c r="R378" s="28"/>
      <c r="S378" s="28"/>
      <c r="T378" s="28"/>
      <c r="U378" s="41"/>
      <c r="V378" s="41"/>
      <c r="W378" s="41"/>
      <c r="X378" s="28"/>
      <c r="Y378" s="28"/>
      <c r="Z378" s="28"/>
      <c r="AA378" s="28"/>
      <c r="AB378" s="28"/>
      <c r="AC378" s="28"/>
      <c r="AD378" s="28"/>
    </row>
    <row r="379" spans="1:30" x14ac:dyDescent="0.35">
      <c r="A379" s="29" t="s">
        <v>397</v>
      </c>
      <c r="B379" s="37" t="str">
        <f t="shared" si="10"/>
        <v>BERLÍN - CCNPRCN</v>
      </c>
      <c r="C379" s="21">
        <v>49</v>
      </c>
      <c r="D379" s="21">
        <v>2172</v>
      </c>
      <c r="E379" s="31">
        <v>43091</v>
      </c>
      <c r="F379" s="28" t="s">
        <v>1049</v>
      </c>
      <c r="G379" s="28">
        <f>INDEX($C$2:$D$37,MATCH(RESOLUCIONES[[#This Row],[No. Canal]],$C$2:$C$37,0),2)</f>
        <v>683</v>
      </c>
      <c r="I379" s="28" t="s">
        <v>1194</v>
      </c>
      <c r="J379" s="28" t="s">
        <v>381</v>
      </c>
      <c r="K379" s="28" t="str">
        <f t="shared" si="9"/>
        <v>GinebraValle del Cauca</v>
      </c>
      <c r="L379" s="28"/>
      <c r="M379" s="28"/>
      <c r="N379" s="28"/>
      <c r="O379" s="28"/>
      <c r="P379" s="28"/>
      <c r="Q379" s="28"/>
      <c r="R379" s="28"/>
      <c r="S379" s="28"/>
      <c r="T379" s="28"/>
      <c r="U379" s="41"/>
      <c r="V379" s="41"/>
      <c r="W379" s="41"/>
      <c r="X379" s="28"/>
      <c r="Y379" s="28"/>
      <c r="Z379" s="28"/>
      <c r="AA379" s="28"/>
      <c r="AB379" s="28"/>
      <c r="AC379" s="28"/>
      <c r="AD379" s="28"/>
    </row>
    <row r="380" spans="1:30" x14ac:dyDescent="0.35">
      <c r="A380" s="29" t="s">
        <v>962</v>
      </c>
      <c r="B380" s="37" t="str">
        <f t="shared" ref="B380:B402" si="11">A380&amp;"RCN"</f>
        <v>SILVIA - CCNPRCN</v>
      </c>
      <c r="C380" s="21">
        <v>25</v>
      </c>
      <c r="D380" s="21">
        <v>781</v>
      </c>
      <c r="E380" s="21">
        <v>2019</v>
      </c>
      <c r="F380" s="28" t="s">
        <v>1195</v>
      </c>
      <c r="G380" s="28">
        <f>INDEX($C$2:$D$37,MATCH(RESOLUCIONES[[#This Row],[No. Canal]],$C$2:$C$37,0),2)</f>
        <v>539</v>
      </c>
      <c r="I380" s="28" t="s">
        <v>1196</v>
      </c>
      <c r="J380" s="28" t="s">
        <v>154</v>
      </c>
      <c r="K380" s="28" t="str">
        <f t="shared" si="9"/>
        <v>GiraldoAntioquia</v>
      </c>
      <c r="L380" s="28"/>
      <c r="M380" s="28"/>
      <c r="N380" s="28"/>
      <c r="O380" s="28"/>
      <c r="P380" s="28"/>
      <c r="Q380" s="28"/>
      <c r="R380" s="28"/>
      <c r="S380" s="28"/>
      <c r="T380" s="28"/>
      <c r="U380" s="41"/>
      <c r="V380" s="41"/>
      <c r="W380" s="41"/>
      <c r="X380" s="28"/>
      <c r="Y380" s="28"/>
      <c r="Z380" s="28"/>
      <c r="AA380" s="28"/>
      <c r="AB380" s="28"/>
      <c r="AC380" s="28"/>
      <c r="AD380" s="28"/>
    </row>
    <row r="381" spans="1:30" x14ac:dyDescent="0.35">
      <c r="A381" s="29" t="s">
        <v>965</v>
      </c>
      <c r="B381" s="37" t="str">
        <f t="shared" si="11"/>
        <v>SOATÁ - CCNPRCN</v>
      </c>
      <c r="C381" s="21">
        <v>15</v>
      </c>
      <c r="D381" s="21">
        <v>1904</v>
      </c>
      <c r="E381" s="30">
        <v>43460</v>
      </c>
      <c r="F381" s="28" t="s">
        <v>1041</v>
      </c>
      <c r="G381" s="28">
        <f>INDEX($C$2:$D$37,MATCH(RESOLUCIONES[[#This Row],[No. Canal]],$C$2:$C$37,0),2)</f>
        <v>479</v>
      </c>
      <c r="I381" s="28" t="s">
        <v>1197</v>
      </c>
      <c r="J381" s="28" t="s">
        <v>283</v>
      </c>
      <c r="K381" s="28" t="str">
        <f t="shared" si="9"/>
        <v>GirardotCundinamarca</v>
      </c>
      <c r="L381" s="28"/>
      <c r="M381" s="28"/>
      <c r="N381" s="28"/>
      <c r="O381" s="28"/>
      <c r="P381" s="28"/>
      <c r="Q381" s="28"/>
      <c r="R381" s="28"/>
      <c r="S381" s="28"/>
      <c r="T381" s="28"/>
      <c r="U381" s="41"/>
      <c r="V381" s="41"/>
      <c r="W381" s="41"/>
      <c r="X381" s="28"/>
      <c r="Y381" s="28"/>
      <c r="Z381" s="28"/>
      <c r="AA381" s="28"/>
      <c r="AB381" s="28"/>
      <c r="AC381" s="28"/>
      <c r="AD381" s="28"/>
    </row>
    <row r="382" spans="1:30" x14ac:dyDescent="0.35">
      <c r="A382" s="29" t="s">
        <v>968</v>
      </c>
      <c r="B382" s="37" t="str">
        <f t="shared" si="11"/>
        <v>SOCORRO - CCNPRCN</v>
      </c>
      <c r="C382" s="21">
        <v>45</v>
      </c>
      <c r="D382" s="21">
        <v>1904</v>
      </c>
      <c r="E382" s="30">
        <v>43460</v>
      </c>
      <c r="F382" s="28" t="s">
        <v>1041</v>
      </c>
      <c r="G382" s="28">
        <f>INDEX($C$2:$D$37,MATCH(RESOLUCIONES[[#This Row],[No. Canal]],$C$2:$C$37,0),2)</f>
        <v>659</v>
      </c>
      <c r="I382" s="28" t="s">
        <v>1198</v>
      </c>
      <c r="J382" s="28" t="s">
        <v>154</v>
      </c>
      <c r="K382" s="28" t="str">
        <f t="shared" si="9"/>
        <v>GirardotaAntioquia</v>
      </c>
      <c r="L382" s="28"/>
      <c r="M382" s="28"/>
      <c r="N382" s="28"/>
      <c r="O382" s="28"/>
      <c r="P382" s="28"/>
      <c r="Q382" s="28"/>
      <c r="R382" s="28"/>
      <c r="S382" s="28"/>
      <c r="T382" s="28"/>
      <c r="U382" s="41"/>
      <c r="V382" s="41"/>
      <c r="W382" s="41"/>
      <c r="X382" s="28"/>
      <c r="Y382" s="28"/>
      <c r="Z382" s="28"/>
      <c r="AA382" s="28"/>
      <c r="AB382" s="28"/>
      <c r="AC382" s="28"/>
      <c r="AD382" s="28"/>
    </row>
    <row r="383" spans="1:30" x14ac:dyDescent="0.35">
      <c r="A383" s="29" t="s">
        <v>972</v>
      </c>
      <c r="B383" s="37" t="str">
        <f t="shared" si="11"/>
        <v>SONSÓN - CCNPRCN</v>
      </c>
      <c r="C383" s="21">
        <v>15</v>
      </c>
      <c r="D383" s="21">
        <v>1904</v>
      </c>
      <c r="E383" s="30">
        <v>43460</v>
      </c>
      <c r="F383" s="28" t="s">
        <v>1041</v>
      </c>
      <c r="G383" s="28">
        <f>INDEX($C$2:$D$37,MATCH(RESOLUCIONES[[#This Row],[No. Canal]],$C$2:$C$37,0),2)</f>
        <v>479</v>
      </c>
      <c r="I383" s="28" t="s">
        <v>1199</v>
      </c>
      <c r="J383" s="28" t="s">
        <v>304</v>
      </c>
      <c r="K383" s="28" t="str">
        <f t="shared" si="9"/>
        <v>GirónSantander</v>
      </c>
      <c r="L383" s="28"/>
      <c r="M383" s="28"/>
      <c r="N383" s="28"/>
      <c r="O383" s="28"/>
      <c r="P383" s="28"/>
      <c r="Q383" s="28"/>
      <c r="R383" s="28"/>
      <c r="S383" s="28"/>
      <c r="T383" s="28"/>
      <c r="U383" s="41"/>
      <c r="V383" s="41"/>
      <c r="W383" s="41"/>
      <c r="X383" s="28"/>
      <c r="Y383" s="28"/>
      <c r="Z383" s="28"/>
      <c r="AA383" s="28"/>
      <c r="AB383" s="28"/>
      <c r="AC383" s="28"/>
      <c r="AD383" s="28"/>
    </row>
    <row r="384" spans="1:30" x14ac:dyDescent="0.35">
      <c r="A384" s="29" t="s">
        <v>975</v>
      </c>
      <c r="B384" s="37" t="str">
        <f t="shared" si="11"/>
        <v>SUÁREZ - CCNPRCN</v>
      </c>
      <c r="C384" s="21">
        <v>15</v>
      </c>
      <c r="D384" s="21">
        <v>1904</v>
      </c>
      <c r="E384" s="30">
        <v>43460</v>
      </c>
      <c r="F384" s="28" t="s">
        <v>1041</v>
      </c>
      <c r="G384" s="28">
        <f>INDEX($C$2:$D$37,MATCH(RESOLUCIONES[[#This Row],[No. Canal]],$C$2:$C$37,0),2)</f>
        <v>479</v>
      </c>
      <c r="I384" s="28" t="s">
        <v>1200</v>
      </c>
      <c r="J384" s="28" t="s">
        <v>154</v>
      </c>
      <c r="K384" s="28" t="str">
        <f t="shared" si="9"/>
        <v>Gómez PlataAntioquia</v>
      </c>
      <c r="L384" s="28"/>
      <c r="M384" s="28"/>
      <c r="N384" s="28"/>
      <c r="O384" s="28"/>
      <c r="P384" s="28"/>
      <c r="Q384" s="28"/>
      <c r="R384" s="28"/>
      <c r="S384" s="28"/>
      <c r="T384" s="28"/>
      <c r="U384" s="41"/>
      <c r="V384" s="41"/>
      <c r="W384" s="41"/>
      <c r="X384" s="28"/>
      <c r="Y384" s="28"/>
      <c r="Z384" s="28"/>
      <c r="AA384" s="28"/>
      <c r="AB384" s="28"/>
      <c r="AC384" s="28"/>
      <c r="AD384" s="28"/>
    </row>
    <row r="385" spans="1:30" x14ac:dyDescent="0.35">
      <c r="A385" s="29" t="s">
        <v>978</v>
      </c>
      <c r="B385" s="37" t="str">
        <f t="shared" si="11"/>
        <v>SUBA - CCNPRCN</v>
      </c>
      <c r="C385" s="21">
        <v>15</v>
      </c>
      <c r="D385" s="21" t="s">
        <v>1052</v>
      </c>
      <c r="E385" s="31">
        <v>40283</v>
      </c>
      <c r="F385" s="28" t="s">
        <v>1053</v>
      </c>
      <c r="G385" s="28">
        <f>INDEX($C$2:$D$37,MATCH(RESOLUCIONES[[#This Row],[No. Canal]],$C$2:$C$37,0),2)</f>
        <v>479</v>
      </c>
      <c r="I385" s="28" t="s">
        <v>1201</v>
      </c>
      <c r="J385" s="28" t="s">
        <v>293</v>
      </c>
      <c r="K385" s="28" t="str">
        <f t="shared" ref="K385:K448" si="12">_xlfn.CONCAT(TRIM(I385),TRIM(J385))</f>
        <v>GonzálezCesar</v>
      </c>
      <c r="L385" s="28"/>
      <c r="M385" s="28"/>
      <c r="N385" s="28"/>
      <c r="O385" s="28"/>
      <c r="P385" s="28"/>
      <c r="Q385" s="28"/>
      <c r="R385" s="28"/>
      <c r="S385" s="28"/>
      <c r="T385" s="28"/>
      <c r="U385" s="41"/>
      <c r="V385" s="41"/>
      <c r="W385" s="41"/>
      <c r="X385" s="28"/>
      <c r="Y385" s="28"/>
      <c r="Z385" s="28"/>
      <c r="AA385" s="28"/>
      <c r="AB385" s="28"/>
      <c r="AC385" s="28"/>
      <c r="AD385" s="28"/>
    </row>
    <row r="386" spans="1:30" x14ac:dyDescent="0.35">
      <c r="A386" s="29" t="s">
        <v>982</v>
      </c>
      <c r="B386" s="37" t="str">
        <f t="shared" si="11"/>
        <v>SUTATENZA - CCNPRCN</v>
      </c>
      <c r="C386" s="21">
        <v>15</v>
      </c>
      <c r="D386" s="21">
        <v>2172</v>
      </c>
      <c r="E386" s="31">
        <v>43091</v>
      </c>
      <c r="F386" s="28" t="s">
        <v>1049</v>
      </c>
      <c r="G386" s="28">
        <f>INDEX($C$2:$D$37,MATCH(RESOLUCIONES[[#This Row],[No. Canal]],$C$2:$C$37,0),2)</f>
        <v>479</v>
      </c>
      <c r="I386" s="28" t="s">
        <v>1202</v>
      </c>
      <c r="J386" s="28" t="s">
        <v>190</v>
      </c>
      <c r="K386" s="28" t="str">
        <f t="shared" si="12"/>
        <v>GramaloteNorte de Santander</v>
      </c>
      <c r="L386" s="28"/>
      <c r="M386" s="28"/>
      <c r="N386" s="28"/>
      <c r="O386" s="28"/>
      <c r="P386" s="28"/>
      <c r="Q386" s="28"/>
      <c r="R386" s="28"/>
      <c r="S386" s="28"/>
      <c r="T386" s="28"/>
      <c r="U386" s="41"/>
      <c r="V386" s="41"/>
      <c r="W386" s="41"/>
      <c r="X386" s="28"/>
      <c r="Y386" s="28"/>
      <c r="Z386" s="28"/>
      <c r="AA386" s="28"/>
      <c r="AB386" s="28"/>
      <c r="AC386" s="28"/>
      <c r="AD386" s="28"/>
    </row>
    <row r="387" spans="1:30" x14ac:dyDescent="0.35">
      <c r="A387" s="29" t="s">
        <v>985</v>
      </c>
      <c r="B387" s="37" t="str">
        <f t="shared" si="11"/>
        <v>TADÓ - CCNPRCN</v>
      </c>
      <c r="C387" s="21">
        <v>15</v>
      </c>
      <c r="D387" s="21">
        <v>1904</v>
      </c>
      <c r="E387" s="30">
        <v>43460</v>
      </c>
      <c r="F387" s="28" t="s">
        <v>1041</v>
      </c>
      <c r="G387" s="28">
        <f>INDEX($C$2:$D$37,MATCH(RESOLUCIONES[[#This Row],[No. Canal]],$C$2:$C$37,0),2)</f>
        <v>479</v>
      </c>
      <c r="I387" s="28" t="s">
        <v>1203</v>
      </c>
      <c r="J387" s="28" t="s">
        <v>154</v>
      </c>
      <c r="K387" s="28" t="str">
        <f t="shared" si="12"/>
        <v>GranadaAntioquia</v>
      </c>
      <c r="L387" s="28"/>
      <c r="M387" s="28"/>
      <c r="N387" s="28"/>
      <c r="O387" s="28"/>
      <c r="P387" s="28"/>
      <c r="Q387" s="28"/>
      <c r="R387" s="28"/>
      <c r="S387" s="28"/>
      <c r="T387" s="28"/>
      <c r="U387" s="41"/>
      <c r="V387" s="41"/>
      <c r="W387" s="41"/>
      <c r="X387" s="28"/>
      <c r="Y387" s="28"/>
      <c r="Z387" s="28"/>
      <c r="AA387" s="28"/>
      <c r="AB387" s="28"/>
      <c r="AC387" s="28"/>
      <c r="AD387" s="28"/>
    </row>
    <row r="388" spans="1:30" x14ac:dyDescent="0.35">
      <c r="A388" s="29" t="s">
        <v>988</v>
      </c>
      <c r="B388" s="37" t="str">
        <f t="shared" si="11"/>
        <v>TAME - CCNPRCN</v>
      </c>
      <c r="C388" s="21">
        <v>15</v>
      </c>
      <c r="D388" s="21">
        <v>1904</v>
      </c>
      <c r="E388" s="30">
        <v>43460</v>
      </c>
      <c r="F388" s="28" t="s">
        <v>1041</v>
      </c>
      <c r="G388" s="28">
        <f>INDEX($C$2:$D$37,MATCH(RESOLUCIONES[[#This Row],[No. Canal]],$C$2:$C$37,0),2)</f>
        <v>479</v>
      </c>
      <c r="I388" s="28" t="s">
        <v>1203</v>
      </c>
      <c r="J388" s="28" t="s">
        <v>283</v>
      </c>
      <c r="K388" s="28" t="str">
        <f t="shared" si="12"/>
        <v>GranadaCundinamarca</v>
      </c>
      <c r="L388" s="28"/>
      <c r="M388" s="28"/>
      <c r="N388" s="28"/>
      <c r="O388" s="28"/>
      <c r="P388" s="28"/>
      <c r="Q388" s="28"/>
      <c r="R388" s="28"/>
      <c r="S388" s="28"/>
      <c r="T388" s="28"/>
      <c r="U388" s="41"/>
      <c r="V388" s="41"/>
      <c r="W388" s="41"/>
      <c r="X388" s="28"/>
      <c r="Y388" s="28"/>
      <c r="Z388" s="28"/>
      <c r="AA388" s="28"/>
      <c r="AB388" s="28"/>
      <c r="AC388" s="28"/>
      <c r="AD388" s="28"/>
    </row>
    <row r="389" spans="1:30" x14ac:dyDescent="0.35">
      <c r="A389" s="29" t="s">
        <v>990</v>
      </c>
      <c r="B389" s="37" t="str">
        <f t="shared" si="11"/>
        <v>TARAZÁ - CCNPRCN</v>
      </c>
      <c r="C389" s="21">
        <v>25</v>
      </c>
      <c r="D389" s="21">
        <v>1904</v>
      </c>
      <c r="E389" s="30">
        <v>43460</v>
      </c>
      <c r="F389" s="28" t="s">
        <v>1041</v>
      </c>
      <c r="G389" s="28">
        <f>INDEX($C$2:$D$37,MATCH(RESOLUCIONES[[#This Row],[No. Canal]],$C$2:$C$37,0),2)</f>
        <v>539</v>
      </c>
      <c r="I389" s="28" t="s">
        <v>1203</v>
      </c>
      <c r="J389" s="28" t="s">
        <v>210</v>
      </c>
      <c r="K389" s="28" t="str">
        <f t="shared" si="12"/>
        <v>GranadaMeta</v>
      </c>
      <c r="L389" s="28"/>
      <c r="M389" s="28"/>
      <c r="N389" s="28"/>
      <c r="O389" s="28"/>
      <c r="P389" s="28"/>
      <c r="Q389" s="28"/>
      <c r="R389" s="28"/>
      <c r="S389" s="28"/>
      <c r="T389" s="28"/>
      <c r="U389" s="41"/>
      <c r="V389" s="41"/>
      <c r="W389" s="41"/>
      <c r="X389" s="28"/>
      <c r="Y389" s="28"/>
      <c r="Z389" s="28"/>
      <c r="AA389" s="28"/>
      <c r="AB389" s="28"/>
      <c r="AC389" s="28"/>
      <c r="AD389" s="28"/>
    </row>
    <row r="390" spans="1:30" x14ac:dyDescent="0.35">
      <c r="A390" s="29" t="s">
        <v>993</v>
      </c>
      <c r="B390" s="37" t="str">
        <f t="shared" si="11"/>
        <v>TASAJERO - CCNPRCN</v>
      </c>
      <c r="C390" s="21">
        <v>39</v>
      </c>
      <c r="D390" s="21">
        <v>130</v>
      </c>
      <c r="E390" s="31">
        <v>42062</v>
      </c>
      <c r="F390" s="28" t="s">
        <v>1204</v>
      </c>
      <c r="G390" s="28">
        <f>INDEX($C$2:$D$37,MATCH(RESOLUCIONES[[#This Row],[No. Canal]],$C$2:$C$37,0),2)</f>
        <v>623</v>
      </c>
      <c r="I390" s="28" t="s">
        <v>1205</v>
      </c>
      <c r="J390" s="28" t="s">
        <v>304</v>
      </c>
      <c r="K390" s="28" t="str">
        <f t="shared" si="12"/>
        <v>GuacaSantander</v>
      </c>
      <c r="L390" s="28"/>
      <c r="M390" s="28"/>
      <c r="N390" s="28"/>
      <c r="O390" s="28"/>
      <c r="P390" s="28"/>
      <c r="Q390" s="28"/>
      <c r="R390" s="28"/>
      <c r="S390" s="28"/>
      <c r="T390" s="28"/>
      <c r="U390" s="41"/>
      <c r="V390" s="41"/>
      <c r="W390" s="41"/>
      <c r="X390" s="28"/>
      <c r="Y390" s="28"/>
      <c r="Z390" s="28"/>
      <c r="AA390" s="28"/>
      <c r="AB390" s="28"/>
      <c r="AC390" s="28"/>
      <c r="AD390" s="28"/>
    </row>
    <row r="391" spans="1:30" x14ac:dyDescent="0.35">
      <c r="A391" s="29" t="s">
        <v>996</v>
      </c>
      <c r="B391" s="37" t="str">
        <f t="shared" si="11"/>
        <v>TERRÓN COLORADO - CCNPRCN</v>
      </c>
      <c r="C391" s="21">
        <v>15</v>
      </c>
      <c r="D391" s="21">
        <v>864</v>
      </c>
      <c r="E391" s="31">
        <v>42286</v>
      </c>
      <c r="F391" s="28" t="s">
        <v>1080</v>
      </c>
      <c r="G391" s="28">
        <f>INDEX($C$2:$D$37,MATCH(RESOLUCIONES[[#This Row],[No. Canal]],$C$2:$C$37,0),2)</f>
        <v>479</v>
      </c>
      <c r="I391" s="28" t="s">
        <v>1206</v>
      </c>
      <c r="J391" s="28" t="s">
        <v>274</v>
      </c>
      <c r="K391" s="28" t="str">
        <f t="shared" si="12"/>
        <v>GuacamayasBoyaca</v>
      </c>
      <c r="L391" s="28"/>
      <c r="M391" s="28"/>
      <c r="N391" s="28"/>
      <c r="O391" s="28"/>
      <c r="P391" s="28"/>
      <c r="Q391" s="28"/>
      <c r="R391" s="28"/>
      <c r="S391" s="28"/>
      <c r="T391" s="28"/>
      <c r="U391" s="41"/>
      <c r="V391" s="41"/>
      <c r="W391" s="41"/>
      <c r="X391" s="28"/>
      <c r="Y391" s="28"/>
      <c r="Z391" s="28"/>
      <c r="AA391" s="28"/>
      <c r="AB391" s="28"/>
      <c r="AC391" s="28"/>
      <c r="AD391" s="28"/>
    </row>
    <row r="392" spans="1:30" x14ac:dyDescent="0.35">
      <c r="A392" s="29" t="s">
        <v>1000</v>
      </c>
      <c r="B392" s="37" t="str">
        <f t="shared" si="11"/>
        <v>TIMANÁ - CCNPRCN</v>
      </c>
      <c r="C392" s="21">
        <v>15</v>
      </c>
      <c r="D392" s="21">
        <v>1904</v>
      </c>
      <c r="E392" s="30">
        <v>43460</v>
      </c>
      <c r="F392" s="28" t="s">
        <v>1041</v>
      </c>
      <c r="G392" s="28">
        <f>INDEX($C$2:$D$37,MATCH(RESOLUCIONES[[#This Row],[No. Canal]],$C$2:$C$37,0),2)</f>
        <v>479</v>
      </c>
      <c r="I392" s="28" t="s">
        <v>1207</v>
      </c>
      <c r="J392" s="28" t="s">
        <v>381</v>
      </c>
      <c r="K392" s="28" t="str">
        <f t="shared" si="12"/>
        <v>GuacaríValle del Cauca</v>
      </c>
      <c r="L392" s="28"/>
      <c r="M392" s="28"/>
      <c r="N392" s="28"/>
      <c r="O392" s="28"/>
      <c r="P392" s="28"/>
      <c r="Q392" s="28"/>
      <c r="R392" s="28"/>
      <c r="S392" s="28"/>
      <c r="T392" s="28"/>
      <c r="U392" s="41"/>
      <c r="V392" s="41"/>
      <c r="W392" s="41"/>
      <c r="X392" s="28"/>
      <c r="Y392" s="28"/>
      <c r="Z392" s="28"/>
      <c r="AA392" s="28"/>
      <c r="AB392" s="28"/>
      <c r="AC392" s="28"/>
      <c r="AD392" s="28"/>
    </row>
    <row r="393" spans="1:30" x14ac:dyDescent="0.35">
      <c r="A393" s="29" t="s">
        <v>1003</v>
      </c>
      <c r="B393" s="37" t="str">
        <f t="shared" si="11"/>
        <v>TOLEDO - CCNPRCN</v>
      </c>
      <c r="C393" s="21">
        <v>30</v>
      </c>
      <c r="D393" s="21">
        <v>1904</v>
      </c>
      <c r="E393" s="30">
        <v>43460</v>
      </c>
      <c r="F393" s="28" t="s">
        <v>1041</v>
      </c>
      <c r="G393" s="28">
        <f>INDEX($C$2:$D$37,MATCH(RESOLUCIONES[[#This Row],[No. Canal]],$C$2:$C$37,0),2)</f>
        <v>569</v>
      </c>
      <c r="I393" s="28" t="s">
        <v>1208</v>
      </c>
      <c r="J393" s="28" t="s">
        <v>315</v>
      </c>
      <c r="K393" s="28" t="str">
        <f t="shared" si="12"/>
        <v>GuachenéCauca</v>
      </c>
      <c r="L393" s="28"/>
      <c r="M393" s="28"/>
      <c r="N393" s="28"/>
      <c r="O393" s="28"/>
      <c r="P393" s="28"/>
      <c r="Q393" s="28"/>
      <c r="R393" s="28"/>
      <c r="S393" s="28"/>
      <c r="T393" s="28"/>
      <c r="U393" s="41"/>
      <c r="V393" s="41"/>
      <c r="W393" s="41"/>
      <c r="X393" s="28"/>
      <c r="Y393" s="28"/>
      <c r="Z393" s="28"/>
      <c r="AA393" s="28"/>
      <c r="AB393" s="28"/>
      <c r="AC393" s="28"/>
      <c r="AD393" s="28"/>
    </row>
    <row r="394" spans="1:30" x14ac:dyDescent="0.35">
      <c r="A394" s="29" t="s">
        <v>1006</v>
      </c>
      <c r="B394" s="37" t="str">
        <f t="shared" si="11"/>
        <v>TOLUVIEJO - CCNPRCN</v>
      </c>
      <c r="C394" s="21">
        <v>15</v>
      </c>
      <c r="D394" s="21">
        <v>2172</v>
      </c>
      <c r="E394" s="31">
        <v>43091</v>
      </c>
      <c r="F394" s="28" t="s">
        <v>1049</v>
      </c>
      <c r="G394" s="28">
        <f>INDEX($C$2:$D$37,MATCH(RESOLUCIONES[[#This Row],[No. Canal]],$C$2:$C$37,0),2)</f>
        <v>479</v>
      </c>
      <c r="I394" s="28" t="s">
        <v>1209</v>
      </c>
      <c r="J394" s="28" t="s">
        <v>283</v>
      </c>
      <c r="K394" s="28" t="str">
        <f t="shared" si="12"/>
        <v>GuachetáCundinamarca</v>
      </c>
      <c r="L394" s="28"/>
      <c r="M394" s="28"/>
      <c r="N394" s="28"/>
      <c r="O394" s="28"/>
      <c r="P394" s="28"/>
      <c r="Q394" s="28"/>
      <c r="R394" s="28"/>
      <c r="S394" s="28"/>
      <c r="T394" s="28"/>
      <c r="U394" s="41"/>
      <c r="V394" s="41"/>
      <c r="W394" s="41"/>
      <c r="X394" s="28"/>
      <c r="Y394" s="28"/>
      <c r="Z394" s="28"/>
      <c r="AA394" s="28"/>
      <c r="AB394" s="28"/>
      <c r="AC394" s="28"/>
      <c r="AD394" s="28"/>
    </row>
    <row r="395" spans="1:30" x14ac:dyDescent="0.35">
      <c r="A395" s="29" t="s">
        <v>1009</v>
      </c>
      <c r="B395" s="37" t="str">
        <f t="shared" si="11"/>
        <v>TORIBÍO - CCNPRCN</v>
      </c>
      <c r="C395" s="21">
        <v>15</v>
      </c>
      <c r="D395" s="21">
        <v>1904</v>
      </c>
      <c r="E395" s="30">
        <v>43460</v>
      </c>
      <c r="F395" s="28" t="s">
        <v>1041</v>
      </c>
      <c r="G395" s="28">
        <f>INDEX($C$2:$D$37,MATCH(RESOLUCIONES[[#This Row],[No. Canal]],$C$2:$C$37,0),2)</f>
        <v>479</v>
      </c>
      <c r="I395" s="28" t="s">
        <v>1210</v>
      </c>
      <c r="J395" s="28" t="s">
        <v>352</v>
      </c>
      <c r="K395" s="28" t="str">
        <f t="shared" si="12"/>
        <v>GuachucalNariño</v>
      </c>
      <c r="L395" s="28"/>
      <c r="M395" s="28"/>
      <c r="N395" s="28"/>
      <c r="O395" s="28"/>
      <c r="P395" s="28"/>
      <c r="Q395" s="28"/>
      <c r="R395" s="28"/>
      <c r="S395" s="28"/>
      <c r="T395" s="28"/>
      <c r="U395" s="41"/>
      <c r="V395" s="41"/>
      <c r="W395" s="41"/>
      <c r="X395" s="28"/>
      <c r="Y395" s="28"/>
      <c r="Z395" s="28"/>
      <c r="AA395" s="28"/>
      <c r="AB395" s="28"/>
      <c r="AC395" s="28"/>
      <c r="AD395" s="28"/>
    </row>
    <row r="396" spans="1:30" x14ac:dyDescent="0.35">
      <c r="A396" s="29" t="s">
        <v>1013</v>
      </c>
      <c r="B396" s="37" t="str">
        <f t="shared" si="11"/>
        <v>TURBACO - CCNPRCN</v>
      </c>
      <c r="C396" s="21">
        <v>15</v>
      </c>
      <c r="D396" s="21" t="s">
        <v>1052</v>
      </c>
      <c r="E396" s="31">
        <v>40283</v>
      </c>
      <c r="F396" s="28" t="s">
        <v>1053</v>
      </c>
      <c r="G396" s="28">
        <f>INDEX($C$2:$D$37,MATCH(RESOLUCIONES[[#This Row],[No. Canal]],$C$2:$C$37,0),2)</f>
        <v>479</v>
      </c>
      <c r="I396" s="28" t="s">
        <v>1211</v>
      </c>
      <c r="J396" s="28" t="s">
        <v>381</v>
      </c>
      <c r="K396" s="28" t="str">
        <f t="shared" si="12"/>
        <v>Guadalajara de BugaValle del Cauca</v>
      </c>
      <c r="L396" s="28"/>
      <c r="M396" s="28"/>
      <c r="N396" s="28"/>
      <c r="O396" s="28"/>
      <c r="P396" s="28"/>
      <c r="Q396" s="28"/>
      <c r="R396" s="28"/>
      <c r="S396" s="28"/>
      <c r="T396" s="28"/>
      <c r="U396" s="41"/>
      <c r="V396" s="41"/>
      <c r="W396" s="41"/>
      <c r="X396" s="28"/>
      <c r="Y396" s="28"/>
      <c r="Z396" s="28"/>
      <c r="AA396" s="28"/>
      <c r="AB396" s="28"/>
      <c r="AC396" s="28"/>
      <c r="AD396" s="28"/>
    </row>
    <row r="397" spans="1:30" x14ac:dyDescent="0.35">
      <c r="A397" s="29" t="s">
        <v>1018</v>
      </c>
      <c r="B397" s="37" t="str">
        <f t="shared" si="11"/>
        <v>UBATÉ - CCNPRCN</v>
      </c>
      <c r="C397" s="21">
        <v>44</v>
      </c>
      <c r="D397" s="21">
        <v>1904</v>
      </c>
      <c r="E397" s="30">
        <v>43460</v>
      </c>
      <c r="F397" s="28" t="s">
        <v>1041</v>
      </c>
      <c r="G397" s="28">
        <f>INDEX($C$2:$D$37,MATCH(RESOLUCIONES[[#This Row],[No. Canal]],$C$2:$C$37,0),2)</f>
        <v>653</v>
      </c>
      <c r="I397" s="28" t="s">
        <v>1212</v>
      </c>
      <c r="J397" s="28" t="s">
        <v>154</v>
      </c>
      <c r="K397" s="28" t="str">
        <f t="shared" si="12"/>
        <v>GuadalupeAntioquia</v>
      </c>
      <c r="L397" s="28"/>
      <c r="M397" s="28"/>
      <c r="N397" s="28"/>
      <c r="O397" s="28"/>
      <c r="P397" s="28"/>
      <c r="Q397" s="28"/>
      <c r="R397" s="28"/>
      <c r="S397" s="28"/>
      <c r="T397" s="28"/>
      <c r="U397" s="41"/>
      <c r="V397" s="41"/>
      <c r="W397" s="41"/>
      <c r="X397" s="28"/>
      <c r="Y397" s="28"/>
      <c r="Z397" s="28"/>
      <c r="AA397" s="28"/>
      <c r="AB397" s="28"/>
      <c r="AC397" s="28"/>
      <c r="AD397" s="28"/>
    </row>
    <row r="398" spans="1:30" x14ac:dyDescent="0.35">
      <c r="A398" s="29" t="s">
        <v>1021</v>
      </c>
      <c r="B398" s="37" t="str">
        <f t="shared" si="11"/>
        <v>URRAO - CCNPRCN</v>
      </c>
      <c r="C398" s="21">
        <v>15</v>
      </c>
      <c r="D398" s="21">
        <v>1904</v>
      </c>
      <c r="E398" s="30">
        <v>43460</v>
      </c>
      <c r="F398" s="28" t="s">
        <v>1041</v>
      </c>
      <c r="G398" s="28">
        <f>INDEX($C$2:$D$37,MATCH(RESOLUCIONES[[#This Row],[No. Canal]],$C$2:$C$37,0),2)</f>
        <v>479</v>
      </c>
      <c r="I398" s="28" t="s">
        <v>1212</v>
      </c>
      <c r="J398" s="28" t="s">
        <v>245</v>
      </c>
      <c r="K398" s="28" t="str">
        <f t="shared" si="12"/>
        <v>GuadalupeHuila</v>
      </c>
      <c r="L398" s="28"/>
      <c r="M398" s="28"/>
      <c r="N398" s="28"/>
      <c r="O398" s="28"/>
      <c r="P398" s="28"/>
      <c r="Q398" s="28"/>
      <c r="R398" s="28"/>
      <c r="S398" s="28"/>
      <c r="T398" s="28"/>
      <c r="U398" s="41"/>
      <c r="V398" s="41"/>
      <c r="W398" s="41"/>
      <c r="X398" s="28"/>
      <c r="Y398" s="28"/>
      <c r="Z398" s="28"/>
      <c r="AA398" s="28"/>
      <c r="AB398" s="28"/>
      <c r="AC398" s="28"/>
      <c r="AD398" s="28"/>
    </row>
    <row r="399" spans="1:30" x14ac:dyDescent="0.35">
      <c r="A399" s="29" t="s">
        <v>1025</v>
      </c>
      <c r="B399" s="37" t="str">
        <f t="shared" si="11"/>
        <v>VILLA DE LEYVA - CCNPRCN</v>
      </c>
      <c r="C399" s="21">
        <v>46</v>
      </c>
      <c r="D399" s="21">
        <v>2075</v>
      </c>
      <c r="E399" s="31">
        <v>43082</v>
      </c>
      <c r="F399" s="28" t="s">
        <v>1083</v>
      </c>
      <c r="G399" s="28">
        <f>INDEX($C$2:$D$37,MATCH(RESOLUCIONES[[#This Row],[No. Canal]],$C$2:$C$37,0),2)</f>
        <v>665</v>
      </c>
      <c r="I399" s="28" t="s">
        <v>1212</v>
      </c>
      <c r="J399" s="28" t="s">
        <v>304</v>
      </c>
      <c r="K399" s="28" t="str">
        <f t="shared" si="12"/>
        <v>GuadalupeSantander</v>
      </c>
      <c r="L399" s="28"/>
      <c r="M399" s="28"/>
      <c r="N399" s="28"/>
      <c r="O399" s="28"/>
      <c r="P399" s="28"/>
      <c r="Q399" s="28"/>
      <c r="R399" s="28"/>
      <c r="S399" s="28"/>
      <c r="T399" s="28"/>
      <c r="U399" s="41"/>
      <c r="V399" s="41"/>
      <c r="W399" s="41"/>
      <c r="X399" s="28"/>
      <c r="Y399" s="28"/>
      <c r="Z399" s="28"/>
      <c r="AA399" s="28"/>
      <c r="AB399" s="28"/>
      <c r="AC399" s="28"/>
      <c r="AD399" s="28"/>
    </row>
    <row r="400" spans="1:30" x14ac:dyDescent="0.35">
      <c r="A400" s="29" t="s">
        <v>1030</v>
      </c>
      <c r="B400" s="37" t="str">
        <f t="shared" si="11"/>
        <v>YOPAL - CCNPRCN</v>
      </c>
      <c r="C400" s="21">
        <v>15</v>
      </c>
      <c r="D400" s="21">
        <v>2075</v>
      </c>
      <c r="E400" s="31">
        <v>43082</v>
      </c>
      <c r="F400" s="28" t="s">
        <v>1083</v>
      </c>
      <c r="G400" s="28">
        <f>INDEX($C$2:$D$37,MATCH(RESOLUCIONES[[#This Row],[No. Canal]],$C$2:$C$37,0),2)</f>
        <v>479</v>
      </c>
      <c r="I400" s="28" t="s">
        <v>1213</v>
      </c>
      <c r="J400" s="28" t="s">
        <v>283</v>
      </c>
      <c r="K400" s="28" t="str">
        <f t="shared" si="12"/>
        <v>GuaduasCundinamarca</v>
      </c>
      <c r="L400" s="28"/>
      <c r="M400" s="28"/>
      <c r="N400" s="28"/>
      <c r="O400" s="28"/>
      <c r="P400" s="28"/>
      <c r="Q400" s="28"/>
      <c r="R400" s="28"/>
      <c r="S400" s="28"/>
      <c r="T400" s="28"/>
      <c r="U400" s="41"/>
      <c r="V400" s="41"/>
      <c r="W400" s="41"/>
      <c r="X400" s="28"/>
      <c r="Y400" s="28"/>
      <c r="Z400" s="28"/>
      <c r="AA400" s="28"/>
      <c r="AB400" s="28"/>
      <c r="AC400" s="28"/>
      <c r="AD400" s="28"/>
    </row>
    <row r="401" spans="1:30" x14ac:dyDescent="0.35">
      <c r="A401" s="29" t="s">
        <v>1035</v>
      </c>
      <c r="B401" s="37" t="str">
        <f t="shared" si="11"/>
        <v>YUMBO - CCNPRCN</v>
      </c>
      <c r="C401" s="21">
        <v>15</v>
      </c>
      <c r="D401" s="21">
        <v>864</v>
      </c>
      <c r="E401" s="31">
        <v>42286</v>
      </c>
      <c r="F401" s="28" t="s">
        <v>1080</v>
      </c>
      <c r="G401" s="28">
        <f>INDEX($C$2:$D$37,MATCH(RESOLUCIONES[[#This Row],[No. Canal]],$C$2:$C$37,0),2)</f>
        <v>479</v>
      </c>
      <c r="I401" s="28" t="s">
        <v>1214</v>
      </c>
      <c r="J401" s="28" t="s">
        <v>352</v>
      </c>
      <c r="K401" s="28" t="str">
        <f t="shared" si="12"/>
        <v>GuaitarillaNariño</v>
      </c>
      <c r="L401" s="28"/>
      <c r="M401" s="28"/>
      <c r="N401" s="28"/>
      <c r="O401" s="28"/>
      <c r="P401" s="28"/>
      <c r="Q401" s="28"/>
      <c r="R401" s="28"/>
      <c r="S401" s="28"/>
      <c r="T401" s="28"/>
      <c r="U401" s="41"/>
      <c r="V401" s="41"/>
      <c r="W401" s="41"/>
      <c r="X401" s="28"/>
      <c r="Y401" s="28"/>
      <c r="Z401" s="28"/>
      <c r="AA401" s="28"/>
      <c r="AB401" s="28"/>
      <c r="AC401" s="28"/>
      <c r="AD401" s="28"/>
    </row>
    <row r="402" spans="1:30" x14ac:dyDescent="0.35">
      <c r="A402" s="29" t="s">
        <v>1037</v>
      </c>
      <c r="B402" s="37" t="str">
        <f t="shared" si="11"/>
        <v>ZIPAQUIRÁ - CCNPRCN</v>
      </c>
      <c r="C402" s="21">
        <v>15</v>
      </c>
      <c r="D402" s="21">
        <v>1904</v>
      </c>
      <c r="E402" s="30">
        <v>43460</v>
      </c>
      <c r="F402" s="28" t="s">
        <v>1041</v>
      </c>
      <c r="G402" s="28">
        <f>INDEX($C$2:$D$37,MATCH(RESOLUCIONES[[#This Row],[No. Canal]],$C$2:$C$37,0),2)</f>
        <v>479</v>
      </c>
      <c r="I402" s="28" t="s">
        <v>1215</v>
      </c>
      <c r="J402" s="28" t="s">
        <v>352</v>
      </c>
      <c r="K402" s="28" t="str">
        <f t="shared" si="12"/>
        <v>GualmatánNariño</v>
      </c>
      <c r="L402" s="28"/>
      <c r="M402" s="28"/>
      <c r="N402" s="28"/>
      <c r="O402" s="28"/>
      <c r="P402" s="28"/>
      <c r="Q402" s="28"/>
      <c r="R402" s="28"/>
      <c r="S402" s="28"/>
      <c r="T402" s="28"/>
      <c r="U402" s="41"/>
      <c r="V402" s="41"/>
      <c r="W402" s="41"/>
      <c r="X402" s="28"/>
      <c r="Y402" s="28"/>
      <c r="Z402" s="28"/>
      <c r="AA402" s="28"/>
      <c r="AB402" s="28"/>
      <c r="AC402" s="28"/>
      <c r="AD402" s="28"/>
    </row>
    <row r="403" spans="1:30" x14ac:dyDescent="0.35">
      <c r="A403" s="28" t="s">
        <v>1216</v>
      </c>
      <c r="B403" s="28" t="s">
        <v>1217</v>
      </c>
      <c r="C403" s="21">
        <v>16</v>
      </c>
      <c r="D403" s="28" t="s">
        <v>1218</v>
      </c>
      <c r="E403" s="30">
        <v>40975</v>
      </c>
      <c r="F403" s="28" t="s">
        <v>1219</v>
      </c>
      <c r="G403" s="28">
        <f>INDEX($C$2:$D$37,MATCH(RESOLUCIONES[[#This Row],[No. Canal]],$C$2:$C$37,0),2)</f>
        <v>485</v>
      </c>
      <c r="I403" s="28" t="s">
        <v>1220</v>
      </c>
      <c r="J403" s="28" t="s">
        <v>382</v>
      </c>
      <c r="K403" s="28" t="str">
        <f t="shared" si="12"/>
        <v>GuamalMagdalena</v>
      </c>
      <c r="L403" s="28"/>
      <c r="M403" s="28"/>
      <c r="N403" s="28"/>
      <c r="O403" s="28"/>
      <c r="P403" s="28"/>
      <c r="Q403" s="28"/>
      <c r="R403" s="28"/>
      <c r="S403" s="28"/>
      <c r="T403" s="28"/>
      <c r="U403" s="41"/>
      <c r="V403" s="41"/>
      <c r="W403" s="41"/>
      <c r="X403" s="28"/>
      <c r="Y403" s="28"/>
      <c r="Z403" s="28"/>
      <c r="AA403" s="28"/>
      <c r="AB403" s="28"/>
      <c r="AC403" s="28"/>
      <c r="AD403" s="28"/>
    </row>
    <row r="404" spans="1:30" x14ac:dyDescent="0.35">
      <c r="A404" s="28" t="s">
        <v>1221</v>
      </c>
      <c r="B404" s="28" t="s">
        <v>1222</v>
      </c>
      <c r="C404" s="22">
        <v>16</v>
      </c>
      <c r="D404" s="28">
        <v>132</v>
      </c>
      <c r="E404" s="30">
        <v>42062</v>
      </c>
      <c r="F404" s="28" t="s">
        <v>1223</v>
      </c>
      <c r="G404" s="28">
        <f>INDEX($C$2:$D$37,MATCH(RESOLUCIONES[[#This Row],[No. Canal]],$C$2:$C$37,0),2)</f>
        <v>485</v>
      </c>
      <c r="I404" s="28" t="s">
        <v>1220</v>
      </c>
      <c r="J404" s="28" t="s">
        <v>210</v>
      </c>
      <c r="K404" s="28" t="str">
        <f t="shared" si="12"/>
        <v>GuamalMeta</v>
      </c>
      <c r="L404" s="28"/>
      <c r="M404" s="28"/>
      <c r="N404" s="28"/>
      <c r="O404" s="28"/>
      <c r="P404" s="28"/>
      <c r="Q404" s="28"/>
      <c r="R404" s="28"/>
      <c r="S404" s="28"/>
      <c r="T404" s="28"/>
      <c r="U404" s="41"/>
      <c r="V404" s="41"/>
      <c r="W404" s="41"/>
      <c r="X404" s="28"/>
      <c r="Y404" s="28"/>
      <c r="Z404" s="28"/>
      <c r="AA404" s="28"/>
      <c r="AB404" s="28"/>
      <c r="AC404" s="28"/>
      <c r="AD404" s="28"/>
    </row>
    <row r="405" spans="1:30" x14ac:dyDescent="0.35">
      <c r="A405" s="28" t="s">
        <v>1224</v>
      </c>
      <c r="B405" s="28" t="s">
        <v>1225</v>
      </c>
      <c r="C405" s="21">
        <v>26</v>
      </c>
      <c r="D405" s="28">
        <v>1984</v>
      </c>
      <c r="E405" s="30">
        <v>43462</v>
      </c>
      <c r="F405" s="28" t="s">
        <v>1226</v>
      </c>
      <c r="G405" s="28">
        <f>INDEX($C$2:$D$37,MATCH(RESOLUCIONES[[#This Row],[No. Canal]],$C$2:$C$37,0),2)</f>
        <v>545</v>
      </c>
      <c r="I405" s="28" t="s">
        <v>1227</v>
      </c>
      <c r="J405" s="28" t="s">
        <v>409</v>
      </c>
      <c r="K405" s="28" t="str">
        <f t="shared" si="12"/>
        <v>GuamoTolima</v>
      </c>
      <c r="L405" s="28"/>
      <c r="M405" s="28"/>
      <c r="N405" s="28"/>
      <c r="O405" s="28"/>
      <c r="P405" s="28"/>
      <c r="Q405" s="28"/>
      <c r="R405" s="28"/>
      <c r="S405" s="28"/>
      <c r="T405" s="28"/>
      <c r="U405" s="41"/>
      <c r="V405" s="41"/>
      <c r="W405" s="41"/>
      <c r="X405" s="28"/>
      <c r="Y405" s="28"/>
      <c r="Z405" s="28"/>
      <c r="AA405" s="28"/>
      <c r="AB405" s="28"/>
      <c r="AC405" s="28"/>
      <c r="AD405" s="28"/>
    </row>
    <row r="406" spans="1:30" x14ac:dyDescent="0.35">
      <c r="A406" s="28" t="s">
        <v>1228</v>
      </c>
      <c r="B406" s="28" t="s">
        <v>1229</v>
      </c>
      <c r="C406" s="21">
        <v>22</v>
      </c>
      <c r="D406" s="28">
        <v>1984</v>
      </c>
      <c r="E406" s="30">
        <v>43462</v>
      </c>
      <c r="F406" s="28" t="s">
        <v>1226</v>
      </c>
      <c r="G406" s="28">
        <f>INDEX($C$2:$D$37,MATCH(RESOLUCIONES[[#This Row],[No. Canal]],$C$2:$C$37,0),2)</f>
        <v>521</v>
      </c>
      <c r="I406" s="28" t="s">
        <v>1230</v>
      </c>
      <c r="J406" s="28" t="s">
        <v>315</v>
      </c>
      <c r="K406" s="28" t="str">
        <f t="shared" si="12"/>
        <v>GuapiCauca</v>
      </c>
      <c r="L406" s="28"/>
      <c r="M406" s="28"/>
      <c r="N406" s="28"/>
      <c r="O406" s="28"/>
      <c r="P406" s="28"/>
      <c r="Q406" s="28"/>
      <c r="R406" s="28"/>
      <c r="S406" s="28"/>
      <c r="T406" s="28"/>
      <c r="U406" s="41"/>
      <c r="V406" s="41"/>
      <c r="W406" s="41"/>
      <c r="X406" s="28"/>
      <c r="Y406" s="28"/>
      <c r="Z406" s="28"/>
      <c r="AA406" s="28"/>
      <c r="AB406" s="28"/>
      <c r="AC406" s="28"/>
      <c r="AD406" s="28"/>
    </row>
    <row r="407" spans="1:30" x14ac:dyDescent="0.35">
      <c r="A407" s="28" t="s">
        <v>1231</v>
      </c>
      <c r="B407" s="28" t="s">
        <v>1232</v>
      </c>
      <c r="C407" s="21">
        <v>16</v>
      </c>
      <c r="D407" s="28">
        <v>1984</v>
      </c>
      <c r="E407" s="30">
        <v>43462</v>
      </c>
      <c r="F407" s="28" t="s">
        <v>1226</v>
      </c>
      <c r="G407" s="28">
        <f>INDEX($C$2:$D$37,MATCH(RESOLUCIONES[[#This Row],[No. Canal]],$C$2:$C$37,0),2)</f>
        <v>485</v>
      </c>
      <c r="I407" s="28" t="s">
        <v>1233</v>
      </c>
      <c r="J407" s="28" t="s">
        <v>304</v>
      </c>
      <c r="K407" s="28" t="str">
        <f t="shared" si="12"/>
        <v>GuapotáSantander</v>
      </c>
      <c r="L407" s="28"/>
      <c r="M407" s="28"/>
      <c r="N407" s="28"/>
      <c r="O407" s="28"/>
      <c r="P407" s="28"/>
      <c r="Q407" s="28"/>
      <c r="R407" s="28"/>
      <c r="S407" s="28"/>
      <c r="T407" s="28"/>
      <c r="U407" s="41"/>
      <c r="V407" s="41"/>
      <c r="W407" s="41"/>
      <c r="X407" s="28"/>
      <c r="Y407" s="28"/>
      <c r="Z407" s="28"/>
      <c r="AA407" s="28"/>
      <c r="AB407" s="28"/>
      <c r="AC407" s="28"/>
      <c r="AD407" s="28"/>
    </row>
    <row r="408" spans="1:30" x14ac:dyDescent="0.35">
      <c r="A408" s="28" t="s">
        <v>1234</v>
      </c>
      <c r="B408" s="28" t="s">
        <v>1235</v>
      </c>
      <c r="C408" s="22">
        <v>33</v>
      </c>
      <c r="D408" s="28">
        <v>1590</v>
      </c>
      <c r="E408" s="30">
        <v>42986</v>
      </c>
      <c r="F408" s="28" t="s">
        <v>1236</v>
      </c>
      <c r="G408" s="28">
        <f>INDEX($C$2:$D$37,MATCH(RESOLUCIONES[[#This Row],[No. Canal]],$C$2:$C$37,0),2)</f>
        <v>587</v>
      </c>
      <c r="I408" s="28" t="s">
        <v>1237</v>
      </c>
      <c r="J408" s="28" t="s">
        <v>413</v>
      </c>
      <c r="K408" s="28" t="str">
        <f t="shared" si="12"/>
        <v>GuarandaSucre</v>
      </c>
      <c r="L408" s="28"/>
      <c r="M408" s="28"/>
      <c r="N408" s="28"/>
      <c r="O408" s="28"/>
      <c r="P408" s="28"/>
      <c r="Q408" s="28"/>
      <c r="R408" s="28"/>
      <c r="S408" s="28"/>
      <c r="T408" s="28"/>
      <c r="U408" s="41"/>
      <c r="V408" s="41"/>
      <c r="W408" s="41"/>
      <c r="X408" s="28"/>
      <c r="Y408" s="28"/>
      <c r="Z408" s="28"/>
      <c r="AA408" s="28"/>
      <c r="AB408" s="28"/>
      <c r="AC408" s="28"/>
      <c r="AD408" s="28"/>
    </row>
    <row r="409" spans="1:30" x14ac:dyDescent="0.35">
      <c r="A409" s="28" t="s">
        <v>1238</v>
      </c>
      <c r="B409" s="28" t="s">
        <v>1239</v>
      </c>
      <c r="C409" s="21">
        <v>38</v>
      </c>
      <c r="D409" s="28">
        <v>1984</v>
      </c>
      <c r="E409" s="30">
        <v>43462</v>
      </c>
      <c r="F409" s="28" t="s">
        <v>1226</v>
      </c>
      <c r="G409" s="28">
        <f>INDEX($C$2:$D$37,MATCH(RESOLUCIONES[[#This Row],[No. Canal]],$C$2:$C$37,0),2)</f>
        <v>617</v>
      </c>
      <c r="I409" s="28" t="s">
        <v>1240</v>
      </c>
      <c r="J409" s="28" t="s">
        <v>154</v>
      </c>
      <c r="K409" s="28" t="str">
        <f t="shared" si="12"/>
        <v>GuarneAntioquia</v>
      </c>
      <c r="L409" s="28"/>
      <c r="M409" s="28"/>
      <c r="N409" s="28"/>
      <c r="O409" s="28"/>
      <c r="P409" s="28"/>
      <c r="Q409" s="28"/>
      <c r="R409" s="28"/>
      <c r="S409" s="28"/>
      <c r="T409" s="28"/>
      <c r="U409" s="41"/>
      <c r="V409" s="41"/>
      <c r="W409" s="41"/>
      <c r="X409" s="28"/>
      <c r="Y409" s="28"/>
      <c r="Z409" s="28"/>
      <c r="AA409" s="28"/>
      <c r="AB409" s="28"/>
      <c r="AC409" s="28"/>
      <c r="AD409" s="28"/>
    </row>
    <row r="410" spans="1:30" x14ac:dyDescent="0.35">
      <c r="A410" s="28" t="s">
        <v>406</v>
      </c>
      <c r="B410" s="28" t="s">
        <v>1241</v>
      </c>
      <c r="C410" s="21">
        <v>18</v>
      </c>
      <c r="D410" s="28">
        <v>1984</v>
      </c>
      <c r="E410" s="30">
        <v>43462</v>
      </c>
      <c r="F410" s="28" t="s">
        <v>1226</v>
      </c>
      <c r="G410" s="28">
        <f>INDEX($C$2:$D$37,MATCH(RESOLUCIONES[[#This Row],[No. Canal]],$C$2:$C$37,0),2)</f>
        <v>497</v>
      </c>
      <c r="I410" s="28" t="s">
        <v>1242</v>
      </c>
      <c r="J410" s="28" t="s">
        <v>283</v>
      </c>
      <c r="K410" s="28" t="str">
        <f t="shared" si="12"/>
        <v>GuascaCundinamarca</v>
      </c>
      <c r="L410" s="28"/>
      <c r="M410" s="28"/>
      <c r="N410" s="28"/>
      <c r="O410" s="28"/>
      <c r="P410" s="28"/>
      <c r="Q410" s="28"/>
      <c r="R410" s="28"/>
      <c r="S410" s="28"/>
      <c r="T410" s="28"/>
      <c r="U410" s="41"/>
      <c r="V410" s="41"/>
      <c r="W410" s="41"/>
      <c r="X410" s="28"/>
      <c r="Y410" s="28"/>
      <c r="Z410" s="28"/>
      <c r="AA410" s="28"/>
      <c r="AB410" s="28"/>
      <c r="AC410" s="28"/>
      <c r="AD410" s="28"/>
    </row>
    <row r="411" spans="1:30" x14ac:dyDescent="0.35">
      <c r="A411" s="28" t="s">
        <v>1243</v>
      </c>
      <c r="B411" s="28" t="s">
        <v>1244</v>
      </c>
      <c r="C411" s="21">
        <v>16</v>
      </c>
      <c r="D411" s="28">
        <v>1984</v>
      </c>
      <c r="E411" s="30">
        <v>43462</v>
      </c>
      <c r="F411" s="28" t="s">
        <v>1226</v>
      </c>
      <c r="G411" s="28">
        <f>INDEX($C$2:$D$37,MATCH(RESOLUCIONES[[#This Row],[No. Canal]],$C$2:$C$37,0),2)</f>
        <v>485</v>
      </c>
      <c r="I411" s="28" t="s">
        <v>1245</v>
      </c>
      <c r="J411" s="28" t="s">
        <v>154</v>
      </c>
      <c r="K411" s="28" t="str">
        <f t="shared" si="12"/>
        <v>GuatapéAntioquia</v>
      </c>
      <c r="L411" s="28"/>
      <c r="M411" s="28"/>
      <c r="N411" s="28"/>
      <c r="O411" s="28"/>
      <c r="P411" s="28"/>
      <c r="Q411" s="28"/>
      <c r="R411" s="28"/>
      <c r="S411" s="28"/>
      <c r="T411" s="28"/>
      <c r="U411" s="41"/>
      <c r="V411" s="41"/>
      <c r="W411" s="41"/>
      <c r="X411" s="28"/>
      <c r="Y411" s="28"/>
      <c r="Z411" s="28"/>
      <c r="AA411" s="28"/>
      <c r="AB411" s="28"/>
      <c r="AC411" s="28"/>
      <c r="AD411" s="28"/>
    </row>
    <row r="412" spans="1:30" x14ac:dyDescent="0.35">
      <c r="A412" s="28" t="s">
        <v>1246</v>
      </c>
      <c r="B412" s="28" t="s">
        <v>1247</v>
      </c>
      <c r="C412" s="22">
        <v>16</v>
      </c>
      <c r="D412" s="28">
        <v>1399</v>
      </c>
      <c r="E412" s="30">
        <v>42956</v>
      </c>
      <c r="F412" s="28" t="s">
        <v>1248</v>
      </c>
      <c r="G412" s="28">
        <f>INDEX($C$2:$D$37,MATCH(RESOLUCIONES[[#This Row],[No. Canal]],$C$2:$C$37,0),2)</f>
        <v>485</v>
      </c>
      <c r="I412" s="28" t="s">
        <v>1249</v>
      </c>
      <c r="J412" s="28" t="s">
        <v>283</v>
      </c>
      <c r="K412" s="28" t="str">
        <f t="shared" si="12"/>
        <v>GuataquíCundinamarca</v>
      </c>
      <c r="L412" s="28"/>
      <c r="M412" s="28"/>
      <c r="N412" s="28"/>
      <c r="O412" s="28"/>
      <c r="P412" s="28"/>
      <c r="Q412" s="28"/>
      <c r="R412" s="28"/>
      <c r="S412" s="28"/>
      <c r="T412" s="28"/>
      <c r="U412" s="41"/>
      <c r="V412" s="41"/>
      <c r="W412" s="41"/>
      <c r="X412" s="28"/>
      <c r="Y412" s="28"/>
      <c r="Z412" s="28"/>
      <c r="AA412" s="28"/>
      <c r="AB412" s="28"/>
      <c r="AC412" s="28"/>
      <c r="AD412" s="28"/>
    </row>
    <row r="413" spans="1:30" x14ac:dyDescent="0.35">
      <c r="A413" s="28" t="s">
        <v>1250</v>
      </c>
      <c r="B413" s="28" t="s">
        <v>1251</v>
      </c>
      <c r="C413" s="22">
        <v>18</v>
      </c>
      <c r="D413" s="28">
        <v>1590</v>
      </c>
      <c r="E413" s="30">
        <v>42986</v>
      </c>
      <c r="F413" s="28" t="s">
        <v>1236</v>
      </c>
      <c r="G413" s="28">
        <f>INDEX($C$2:$D$37,MATCH(RESOLUCIONES[[#This Row],[No. Canal]],$C$2:$C$37,0),2)</f>
        <v>497</v>
      </c>
      <c r="I413" s="28" t="s">
        <v>1252</v>
      </c>
      <c r="J413" s="28" t="s">
        <v>283</v>
      </c>
      <c r="K413" s="28" t="str">
        <f t="shared" si="12"/>
        <v>GuatavitaCundinamarca</v>
      </c>
      <c r="L413" s="28"/>
      <c r="M413" s="28"/>
      <c r="N413" s="28"/>
      <c r="O413" s="28"/>
      <c r="P413" s="28"/>
      <c r="Q413" s="28"/>
      <c r="R413" s="28"/>
      <c r="S413" s="28"/>
      <c r="T413" s="28"/>
      <c r="U413" s="41"/>
      <c r="V413" s="41"/>
      <c r="W413" s="41"/>
      <c r="X413" s="28"/>
      <c r="Y413" s="28"/>
      <c r="Z413" s="28"/>
      <c r="AA413" s="28"/>
      <c r="AB413" s="28"/>
      <c r="AC413" s="28"/>
      <c r="AD413" s="28"/>
    </row>
    <row r="414" spans="1:30" x14ac:dyDescent="0.35">
      <c r="A414" s="28" t="s">
        <v>1253</v>
      </c>
      <c r="B414" s="28" t="s">
        <v>1254</v>
      </c>
      <c r="C414" s="21">
        <v>22</v>
      </c>
      <c r="D414" s="28">
        <v>412</v>
      </c>
      <c r="E414" s="30">
        <v>43889</v>
      </c>
      <c r="F414" s="28" t="s">
        <v>1255</v>
      </c>
      <c r="G414" s="28">
        <f>INDEX($C$2:$D$37,MATCH(RESOLUCIONES[[#This Row],[No. Canal]],$C$2:$C$37,0),2)</f>
        <v>521</v>
      </c>
      <c r="I414" s="28" t="s">
        <v>1256</v>
      </c>
      <c r="J414" s="28" t="s">
        <v>274</v>
      </c>
      <c r="K414" s="28" t="str">
        <f t="shared" si="12"/>
        <v>GuatequeBoyaca</v>
      </c>
      <c r="L414" s="28"/>
      <c r="M414" s="28"/>
      <c r="N414" s="28"/>
      <c r="O414" s="28"/>
      <c r="P414" s="28"/>
      <c r="Q414" s="28"/>
      <c r="R414" s="28"/>
      <c r="S414" s="28"/>
      <c r="T414" s="28"/>
      <c r="U414" s="41"/>
      <c r="V414" s="41"/>
      <c r="W414" s="41"/>
      <c r="X414" s="28"/>
      <c r="Y414" s="28"/>
      <c r="Z414" s="28"/>
      <c r="AA414" s="28"/>
      <c r="AB414" s="28"/>
      <c r="AC414" s="28"/>
      <c r="AD414" s="28"/>
    </row>
    <row r="415" spans="1:30" x14ac:dyDescent="0.35">
      <c r="A415" s="28" t="s">
        <v>1257</v>
      </c>
      <c r="B415" s="28" t="s">
        <v>1258</v>
      </c>
      <c r="C415" s="21">
        <v>16</v>
      </c>
      <c r="D415" s="28" t="s">
        <v>1218</v>
      </c>
      <c r="E415" s="30">
        <v>40975</v>
      </c>
      <c r="F415" s="28" t="s">
        <v>1219</v>
      </c>
      <c r="G415" s="28">
        <f>INDEX($C$2:$D$37,MATCH(RESOLUCIONES[[#This Row],[No. Canal]],$C$2:$C$37,0),2)</f>
        <v>485</v>
      </c>
      <c r="I415" s="28" t="s">
        <v>1259</v>
      </c>
      <c r="J415" s="28" t="s">
        <v>405</v>
      </c>
      <c r="K415" s="28" t="str">
        <f t="shared" si="12"/>
        <v>GuáticaRisaralda</v>
      </c>
      <c r="L415" s="28"/>
      <c r="M415" s="28"/>
      <c r="N415" s="28"/>
      <c r="O415" s="28"/>
      <c r="P415" s="28"/>
      <c r="Q415" s="28"/>
      <c r="R415" s="28"/>
      <c r="S415" s="28"/>
      <c r="T415" s="28"/>
      <c r="U415" s="41"/>
      <c r="V415" s="41"/>
      <c r="W415" s="41"/>
      <c r="X415" s="28"/>
      <c r="Y415" s="28"/>
      <c r="Z415" s="28"/>
      <c r="AA415" s="28"/>
      <c r="AB415" s="28"/>
      <c r="AC415" s="28"/>
      <c r="AD415" s="28"/>
    </row>
    <row r="416" spans="1:30" x14ac:dyDescent="0.35">
      <c r="A416" s="28" t="s">
        <v>1260</v>
      </c>
      <c r="B416" s="28" t="s">
        <v>1261</v>
      </c>
      <c r="C416" s="22">
        <v>16</v>
      </c>
      <c r="D416" s="28">
        <v>1590</v>
      </c>
      <c r="E416" s="30">
        <v>42986</v>
      </c>
      <c r="F416" s="28" t="s">
        <v>1236</v>
      </c>
      <c r="G416" s="28">
        <f>INDEX($C$2:$D$37,MATCH(RESOLUCIONES[[#This Row],[No. Canal]],$C$2:$C$37,0),2)</f>
        <v>485</v>
      </c>
      <c r="I416" s="28" t="s">
        <v>1262</v>
      </c>
      <c r="J416" s="28" t="s">
        <v>304</v>
      </c>
      <c r="K416" s="28" t="str">
        <f t="shared" si="12"/>
        <v>GuavatáSantander</v>
      </c>
      <c r="L416" s="28"/>
      <c r="M416" s="28"/>
      <c r="N416" s="28"/>
      <c r="O416" s="28"/>
      <c r="P416" s="28"/>
      <c r="Q416" s="28"/>
      <c r="R416" s="28"/>
      <c r="S416" s="28"/>
      <c r="T416" s="28"/>
      <c r="U416" s="41"/>
      <c r="V416" s="41"/>
      <c r="W416" s="41"/>
      <c r="X416" s="28"/>
      <c r="Y416" s="28"/>
      <c r="Z416" s="28"/>
      <c r="AA416" s="28"/>
      <c r="AB416" s="28"/>
      <c r="AC416" s="28"/>
      <c r="AD416" s="28"/>
    </row>
    <row r="417" spans="1:30" x14ac:dyDescent="0.35">
      <c r="A417" s="28" t="s">
        <v>1263</v>
      </c>
      <c r="B417" s="28" t="s">
        <v>1264</v>
      </c>
      <c r="C417" s="22">
        <v>28</v>
      </c>
      <c r="D417" s="28">
        <v>1590</v>
      </c>
      <c r="E417" s="30">
        <v>42986</v>
      </c>
      <c r="F417" s="28" t="s">
        <v>1236</v>
      </c>
      <c r="G417" s="28">
        <f>INDEX($C$2:$D$37,MATCH(RESOLUCIONES[[#This Row],[No. Canal]],$C$2:$C$37,0),2)</f>
        <v>557</v>
      </c>
      <c r="I417" s="28" t="s">
        <v>1265</v>
      </c>
      <c r="J417" s="28" t="s">
        <v>283</v>
      </c>
      <c r="K417" s="28" t="str">
        <f t="shared" si="12"/>
        <v>Guayabal de SiquimaCundinamarca</v>
      </c>
      <c r="L417" s="28"/>
      <c r="M417" s="28"/>
      <c r="N417" s="28"/>
      <c r="O417" s="28"/>
      <c r="P417" s="28"/>
      <c r="Q417" s="28"/>
      <c r="R417" s="28"/>
      <c r="S417" s="28"/>
      <c r="T417" s="28"/>
      <c r="U417" s="41"/>
      <c r="V417" s="41"/>
      <c r="W417" s="41"/>
      <c r="X417" s="28"/>
      <c r="Y417" s="28"/>
      <c r="Z417" s="28"/>
      <c r="AA417" s="28"/>
      <c r="AB417" s="28"/>
      <c r="AC417" s="28"/>
      <c r="AD417" s="28"/>
    </row>
    <row r="418" spans="1:30" x14ac:dyDescent="0.35">
      <c r="A418" s="28" t="s">
        <v>1266</v>
      </c>
      <c r="B418" s="28" t="s">
        <v>1267</v>
      </c>
      <c r="C418" s="21">
        <v>16</v>
      </c>
      <c r="D418" s="28">
        <v>1046</v>
      </c>
      <c r="E418" s="30">
        <v>44005</v>
      </c>
      <c r="F418" s="28" t="s">
        <v>1268</v>
      </c>
      <c r="G418" s="28">
        <f>INDEX($C$2:$D$37,MATCH(RESOLUCIONES[[#This Row],[No. Canal]],$C$2:$C$37,0),2)</f>
        <v>485</v>
      </c>
      <c r="I418" s="28" t="s">
        <v>1269</v>
      </c>
      <c r="J418" s="28" t="s">
        <v>283</v>
      </c>
      <c r="K418" s="28" t="str">
        <f t="shared" si="12"/>
        <v>GuayabetalCundinamarca</v>
      </c>
      <c r="L418" s="28"/>
      <c r="M418" s="28"/>
      <c r="N418" s="28"/>
      <c r="O418" s="28"/>
      <c r="P418" s="28"/>
      <c r="Q418" s="28"/>
      <c r="R418" s="28"/>
      <c r="S418" s="28"/>
      <c r="T418" s="28"/>
      <c r="U418" s="41"/>
      <c r="V418" s="41"/>
      <c r="W418" s="41"/>
      <c r="X418" s="28"/>
      <c r="Y418" s="28"/>
      <c r="Z418" s="28"/>
      <c r="AA418" s="28"/>
      <c r="AB418" s="28"/>
      <c r="AC418" s="28"/>
      <c r="AD418" s="28"/>
    </row>
    <row r="419" spans="1:30" x14ac:dyDescent="0.35">
      <c r="A419" s="28" t="s">
        <v>1270</v>
      </c>
      <c r="B419" s="28" t="s">
        <v>1271</v>
      </c>
      <c r="C419" s="21">
        <v>16</v>
      </c>
      <c r="D419" s="28">
        <v>1046</v>
      </c>
      <c r="E419" s="30">
        <v>44005</v>
      </c>
      <c r="F419" s="28" t="s">
        <v>1268</v>
      </c>
      <c r="G419" s="28">
        <f>INDEX($C$2:$D$37,MATCH(RESOLUCIONES[[#This Row],[No. Canal]],$C$2:$C$37,0),2)</f>
        <v>485</v>
      </c>
      <c r="I419" s="28" t="s">
        <v>1272</v>
      </c>
      <c r="J419" s="28" t="s">
        <v>274</v>
      </c>
      <c r="K419" s="28" t="str">
        <f t="shared" si="12"/>
        <v>GuayatáBoyaca</v>
      </c>
      <c r="L419" s="28"/>
      <c r="M419" s="28"/>
      <c r="N419" s="28"/>
      <c r="O419" s="28"/>
      <c r="P419" s="28"/>
      <c r="Q419" s="28"/>
      <c r="R419" s="28"/>
      <c r="S419" s="28"/>
      <c r="T419" s="28"/>
      <c r="U419" s="41"/>
      <c r="V419" s="41"/>
      <c r="W419" s="41"/>
      <c r="X419" s="28"/>
      <c r="Y419" s="28"/>
      <c r="Z419" s="28"/>
      <c r="AA419" s="28"/>
      <c r="AB419" s="28"/>
      <c r="AC419" s="28"/>
      <c r="AD419" s="28"/>
    </row>
    <row r="420" spans="1:30" x14ac:dyDescent="0.35">
      <c r="A420" s="28" t="s">
        <v>1273</v>
      </c>
      <c r="B420" s="28" t="s">
        <v>1274</v>
      </c>
      <c r="C420" s="21">
        <v>36</v>
      </c>
      <c r="D420" s="28">
        <v>1984</v>
      </c>
      <c r="E420" s="30">
        <v>43462</v>
      </c>
      <c r="F420" s="28" t="s">
        <v>1226</v>
      </c>
      <c r="G420" s="28">
        <f>INDEX($C$2:$D$37,MATCH(RESOLUCIONES[[#This Row],[No. Canal]],$C$2:$C$37,0),2)</f>
        <v>605</v>
      </c>
      <c r="I420" s="28" t="s">
        <v>1275</v>
      </c>
      <c r="J420" s="28" t="s">
        <v>304</v>
      </c>
      <c r="K420" s="28" t="str">
        <f t="shared" si="12"/>
        <v>GüepsaSantander</v>
      </c>
      <c r="L420" s="28"/>
      <c r="M420" s="28"/>
      <c r="N420" s="28"/>
      <c r="O420" s="28"/>
      <c r="P420" s="28"/>
      <c r="Q420" s="28"/>
      <c r="R420" s="28"/>
      <c r="S420" s="28"/>
      <c r="T420" s="28"/>
      <c r="U420" s="41"/>
      <c r="V420" s="41"/>
      <c r="W420" s="41"/>
      <c r="X420" s="28"/>
      <c r="Y420" s="28"/>
      <c r="Z420" s="28"/>
      <c r="AA420" s="28"/>
      <c r="AB420" s="28"/>
      <c r="AC420" s="28"/>
      <c r="AD420" s="28"/>
    </row>
    <row r="421" spans="1:30" x14ac:dyDescent="0.35">
      <c r="A421" s="28" t="s">
        <v>1276</v>
      </c>
      <c r="B421" s="28" t="s">
        <v>1277</v>
      </c>
      <c r="C421" s="21">
        <v>16</v>
      </c>
      <c r="D421" s="28">
        <v>2960</v>
      </c>
      <c r="E421" s="30">
        <v>43777</v>
      </c>
      <c r="F421" s="28" t="s">
        <v>1278</v>
      </c>
      <c r="G421" s="28">
        <f>INDEX($C$2:$D$37,MATCH(RESOLUCIONES[[#This Row],[No. Canal]],$C$2:$C$37,0),2)</f>
        <v>485</v>
      </c>
      <c r="I421" s="28" t="s">
        <v>1279</v>
      </c>
      <c r="J421" s="28" t="s">
        <v>274</v>
      </c>
      <c r="K421" s="28" t="str">
        <f t="shared" si="12"/>
        <v>GüicánBoyaca</v>
      </c>
      <c r="L421" s="28"/>
      <c r="M421" s="28"/>
      <c r="N421" s="28"/>
      <c r="O421" s="28"/>
      <c r="P421" s="28"/>
      <c r="Q421" s="28"/>
      <c r="R421" s="28"/>
      <c r="S421" s="28"/>
      <c r="T421" s="28"/>
      <c r="U421" s="41"/>
      <c r="V421" s="41"/>
      <c r="W421" s="41"/>
      <c r="X421" s="28"/>
      <c r="Y421" s="28"/>
      <c r="Z421" s="28"/>
      <c r="AA421" s="28"/>
      <c r="AB421" s="28"/>
      <c r="AC421" s="28"/>
      <c r="AD421" s="28"/>
    </row>
    <row r="422" spans="1:30" x14ac:dyDescent="0.35">
      <c r="A422" s="28" t="s">
        <v>1280</v>
      </c>
      <c r="B422" s="28" t="s">
        <v>1281</v>
      </c>
      <c r="C422" s="21">
        <v>16</v>
      </c>
      <c r="D422" s="28">
        <v>2960</v>
      </c>
      <c r="E422" s="30">
        <v>43777</v>
      </c>
      <c r="F422" s="28" t="s">
        <v>1278</v>
      </c>
      <c r="G422" s="28">
        <f>INDEX($C$2:$D$37,MATCH(RESOLUCIONES[[#This Row],[No. Canal]],$C$2:$C$37,0),2)</f>
        <v>485</v>
      </c>
      <c r="I422" s="28" t="s">
        <v>1282</v>
      </c>
      <c r="J422" s="28" t="s">
        <v>283</v>
      </c>
      <c r="K422" s="28" t="str">
        <f t="shared" si="12"/>
        <v>GutiérrezCundinamarca</v>
      </c>
      <c r="L422" s="28"/>
      <c r="M422" s="28"/>
      <c r="N422" s="28"/>
      <c r="O422" s="28"/>
      <c r="P422" s="28"/>
      <c r="Q422" s="28"/>
      <c r="R422" s="28"/>
      <c r="S422" s="28"/>
      <c r="T422" s="28"/>
      <c r="U422" s="41"/>
      <c r="V422" s="41"/>
      <c r="W422" s="41"/>
      <c r="X422" s="28"/>
      <c r="Y422" s="28"/>
      <c r="Z422" s="28"/>
      <c r="AA422" s="28"/>
      <c r="AB422" s="28"/>
      <c r="AC422" s="28"/>
      <c r="AD422" s="28"/>
    </row>
    <row r="423" spans="1:30" x14ac:dyDescent="0.35">
      <c r="A423" s="28" t="s">
        <v>1283</v>
      </c>
      <c r="B423" s="28" t="s">
        <v>1284</v>
      </c>
      <c r="C423" s="21">
        <v>16</v>
      </c>
      <c r="D423" s="28" t="s">
        <v>1218</v>
      </c>
      <c r="E423" s="30">
        <v>40975</v>
      </c>
      <c r="F423" s="28" t="s">
        <v>1219</v>
      </c>
      <c r="G423" s="28">
        <f>INDEX($C$2:$D$37,MATCH(RESOLUCIONES[[#This Row],[No. Canal]],$C$2:$C$37,0),2)</f>
        <v>485</v>
      </c>
      <c r="I423" s="28" t="s">
        <v>1285</v>
      </c>
      <c r="J423" s="28" t="s">
        <v>190</v>
      </c>
      <c r="K423" s="28" t="str">
        <f t="shared" si="12"/>
        <v>HacaríNorte de Santander</v>
      </c>
      <c r="L423" s="28"/>
      <c r="M423" s="28"/>
      <c r="N423" s="28"/>
      <c r="O423" s="28"/>
      <c r="P423" s="28"/>
      <c r="Q423" s="28"/>
      <c r="R423" s="28"/>
      <c r="S423" s="28"/>
      <c r="T423" s="28"/>
      <c r="U423" s="41"/>
      <c r="V423" s="41"/>
      <c r="W423" s="41"/>
      <c r="X423" s="28"/>
      <c r="Y423" s="28"/>
      <c r="Z423" s="28"/>
      <c r="AA423" s="28"/>
      <c r="AB423" s="28"/>
      <c r="AC423" s="28"/>
      <c r="AD423" s="28"/>
    </row>
    <row r="424" spans="1:30" x14ac:dyDescent="0.35">
      <c r="A424" s="28" t="s">
        <v>1286</v>
      </c>
      <c r="B424" s="28" t="s">
        <v>1287</v>
      </c>
      <c r="C424" s="21">
        <v>16</v>
      </c>
      <c r="D424" s="28">
        <v>1984</v>
      </c>
      <c r="E424" s="30">
        <v>43462</v>
      </c>
      <c r="F424" s="28" t="s">
        <v>1226</v>
      </c>
      <c r="G424" s="28">
        <f>INDEX($C$2:$D$37,MATCH(RESOLUCIONES[[#This Row],[No. Canal]],$C$2:$C$37,0),2)</f>
        <v>485</v>
      </c>
      <c r="I424" s="28" t="s">
        <v>1288</v>
      </c>
      <c r="J424" s="28" t="s">
        <v>260</v>
      </c>
      <c r="K424" s="28" t="str">
        <f t="shared" si="12"/>
        <v>Hatillo de LobaBolivar</v>
      </c>
      <c r="L424" s="28"/>
      <c r="M424" s="28"/>
      <c r="N424" s="28"/>
      <c r="O424" s="28"/>
      <c r="P424" s="28"/>
      <c r="Q424" s="28"/>
      <c r="R424" s="28"/>
      <c r="S424" s="28"/>
      <c r="T424" s="28"/>
      <c r="U424" s="41"/>
      <c r="V424" s="41"/>
      <c r="W424" s="41"/>
      <c r="X424" s="28"/>
      <c r="Y424" s="28"/>
      <c r="Z424" s="28"/>
      <c r="AA424" s="28"/>
      <c r="AB424" s="28"/>
      <c r="AC424" s="28"/>
      <c r="AD424" s="28"/>
    </row>
    <row r="425" spans="1:30" x14ac:dyDescent="0.35">
      <c r="A425" s="28" t="s">
        <v>1289</v>
      </c>
      <c r="B425" s="28" t="s">
        <v>1290</v>
      </c>
      <c r="C425" s="22">
        <v>28</v>
      </c>
      <c r="D425" s="28">
        <v>132</v>
      </c>
      <c r="E425" s="30">
        <v>42062</v>
      </c>
      <c r="F425" s="28" t="s">
        <v>1223</v>
      </c>
      <c r="G425" s="28">
        <f>INDEX($C$2:$D$37,MATCH(RESOLUCIONES[[#This Row],[No. Canal]],$C$2:$C$37,0),2)</f>
        <v>557</v>
      </c>
      <c r="I425" s="28" t="s">
        <v>1291</v>
      </c>
      <c r="J425" s="28" t="s">
        <v>304</v>
      </c>
      <c r="K425" s="28" t="str">
        <f t="shared" si="12"/>
        <v>HatoSantander</v>
      </c>
      <c r="L425" s="28"/>
      <c r="M425" s="28"/>
      <c r="N425" s="28"/>
      <c r="O425" s="28"/>
      <c r="P425" s="28"/>
      <c r="Q425" s="28"/>
      <c r="R425" s="28"/>
      <c r="S425" s="28"/>
      <c r="T425" s="28"/>
      <c r="U425" s="41"/>
      <c r="V425" s="41"/>
      <c r="W425" s="41"/>
      <c r="X425" s="28"/>
      <c r="Y425" s="28"/>
      <c r="Z425" s="28"/>
      <c r="AA425" s="28"/>
      <c r="AB425" s="28"/>
      <c r="AC425" s="28"/>
      <c r="AD425" s="28"/>
    </row>
    <row r="426" spans="1:30" x14ac:dyDescent="0.35">
      <c r="A426" s="28" t="s">
        <v>1292</v>
      </c>
      <c r="B426" s="28" t="s">
        <v>1293</v>
      </c>
      <c r="C426" s="21">
        <v>16</v>
      </c>
      <c r="D426" s="28" t="s">
        <v>1218</v>
      </c>
      <c r="E426" s="30">
        <v>40975</v>
      </c>
      <c r="F426" s="28" t="s">
        <v>1219</v>
      </c>
      <c r="G426" s="28">
        <f>INDEX($C$2:$D$37,MATCH(RESOLUCIONES[[#This Row],[No. Canal]],$C$2:$C$37,0),2)</f>
        <v>485</v>
      </c>
      <c r="I426" s="28" t="s">
        <v>1294</v>
      </c>
      <c r="J426" s="28" t="s">
        <v>305</v>
      </c>
      <c r="K426" s="28" t="str">
        <f t="shared" si="12"/>
        <v>Hato CorozalCasanare</v>
      </c>
      <c r="L426" s="28"/>
      <c r="M426" s="28"/>
      <c r="N426" s="28"/>
      <c r="O426" s="28"/>
      <c r="P426" s="28"/>
      <c r="Q426" s="28"/>
      <c r="R426" s="28"/>
      <c r="S426" s="28"/>
      <c r="T426" s="28"/>
      <c r="U426" s="41"/>
      <c r="V426" s="41"/>
      <c r="W426" s="41"/>
      <c r="X426" s="28"/>
      <c r="Y426" s="28"/>
      <c r="Z426" s="28"/>
      <c r="AA426" s="28"/>
      <c r="AB426" s="28"/>
      <c r="AC426" s="28"/>
      <c r="AD426" s="28"/>
    </row>
    <row r="427" spans="1:30" x14ac:dyDescent="0.35">
      <c r="A427" s="28" t="s">
        <v>1295</v>
      </c>
      <c r="B427" s="28" t="s">
        <v>1296</v>
      </c>
      <c r="C427" s="21">
        <v>38</v>
      </c>
      <c r="D427" s="28">
        <v>1046</v>
      </c>
      <c r="E427" s="30">
        <v>44005</v>
      </c>
      <c r="F427" s="28" t="s">
        <v>1268</v>
      </c>
      <c r="G427" s="28">
        <f>INDEX($C$2:$D$37,MATCH(RESOLUCIONES[[#This Row],[No. Canal]],$C$2:$C$37,0),2)</f>
        <v>617</v>
      </c>
      <c r="I427" s="28" t="s">
        <v>1297</v>
      </c>
      <c r="J427" s="28" t="s">
        <v>369</v>
      </c>
      <c r="K427" s="28" t="str">
        <f t="shared" si="12"/>
        <v>HatonuevoLa Guajira</v>
      </c>
      <c r="L427" s="28"/>
      <c r="M427" s="28"/>
      <c r="N427" s="28"/>
      <c r="O427" s="28"/>
      <c r="P427" s="28"/>
      <c r="Q427" s="28"/>
      <c r="R427" s="28"/>
      <c r="S427" s="28"/>
      <c r="T427" s="28"/>
      <c r="U427" s="41"/>
      <c r="V427" s="41"/>
      <c r="W427" s="41"/>
      <c r="X427" s="28"/>
      <c r="Y427" s="28"/>
      <c r="Z427" s="28"/>
      <c r="AA427" s="28"/>
      <c r="AB427" s="28"/>
      <c r="AC427" s="28"/>
      <c r="AD427" s="28"/>
    </row>
    <row r="428" spans="1:30" x14ac:dyDescent="0.35">
      <c r="A428" s="28" t="s">
        <v>1298</v>
      </c>
      <c r="B428" s="28" t="s">
        <v>1299</v>
      </c>
      <c r="C428" s="22">
        <v>38</v>
      </c>
      <c r="D428" s="28">
        <v>1590</v>
      </c>
      <c r="E428" s="30">
        <v>42986</v>
      </c>
      <c r="F428" s="28" t="s">
        <v>1236</v>
      </c>
      <c r="G428" s="28">
        <f>INDEX($C$2:$D$37,MATCH(RESOLUCIONES[[#This Row],[No. Canal]],$C$2:$C$37,0),2)</f>
        <v>617</v>
      </c>
      <c r="I428" s="28" t="s">
        <v>1300</v>
      </c>
      <c r="J428" s="28" t="s">
        <v>154</v>
      </c>
      <c r="K428" s="28" t="str">
        <f t="shared" si="12"/>
        <v>HeliconiaAntioquia</v>
      </c>
      <c r="L428" s="28"/>
      <c r="M428" s="28"/>
      <c r="N428" s="28"/>
      <c r="O428" s="28"/>
      <c r="P428" s="28"/>
      <c r="Q428" s="28"/>
      <c r="R428" s="28"/>
      <c r="S428" s="28"/>
      <c r="T428" s="28"/>
      <c r="U428" s="41"/>
      <c r="V428" s="41"/>
      <c r="W428" s="41"/>
      <c r="X428" s="28"/>
      <c r="Y428" s="28"/>
      <c r="Z428" s="28"/>
      <c r="AA428" s="28"/>
      <c r="AB428" s="28"/>
      <c r="AC428" s="28"/>
      <c r="AD428" s="28"/>
    </row>
    <row r="429" spans="1:30" x14ac:dyDescent="0.35">
      <c r="A429" s="28" t="s">
        <v>1301</v>
      </c>
      <c r="B429" s="28" t="s">
        <v>1302</v>
      </c>
      <c r="C429" s="22">
        <v>18</v>
      </c>
      <c r="D429" s="28">
        <v>1832</v>
      </c>
      <c r="E429" s="30" t="s">
        <v>1303</v>
      </c>
      <c r="F429" s="28" t="s">
        <v>1304</v>
      </c>
      <c r="G429" s="28">
        <f>INDEX($C$2:$D$37,MATCH(RESOLUCIONES[[#This Row],[No. Canal]],$C$2:$C$37,0),2)</f>
        <v>497</v>
      </c>
      <c r="I429" s="28" t="s">
        <v>1305</v>
      </c>
      <c r="J429" s="28" t="s">
        <v>190</v>
      </c>
      <c r="K429" s="28" t="str">
        <f t="shared" si="12"/>
        <v>HerránNorte de Santander</v>
      </c>
      <c r="L429" s="28"/>
      <c r="M429" s="28"/>
      <c r="N429" s="28"/>
      <c r="O429" s="28"/>
      <c r="P429" s="28"/>
      <c r="Q429" s="28"/>
      <c r="R429" s="28"/>
      <c r="S429" s="28"/>
      <c r="T429" s="28"/>
      <c r="U429" s="41"/>
      <c r="V429" s="41"/>
      <c r="W429" s="41"/>
      <c r="X429" s="28"/>
      <c r="Y429" s="28"/>
      <c r="Z429" s="28"/>
      <c r="AA429" s="28"/>
      <c r="AB429" s="28"/>
      <c r="AC429" s="28"/>
      <c r="AD429" s="28"/>
    </row>
    <row r="430" spans="1:30" x14ac:dyDescent="0.35">
      <c r="A430" s="28" t="s">
        <v>1306</v>
      </c>
      <c r="B430" s="28" t="s">
        <v>1307</v>
      </c>
      <c r="C430" s="22">
        <v>18</v>
      </c>
      <c r="D430" s="28">
        <v>1590</v>
      </c>
      <c r="E430" s="30">
        <v>42986</v>
      </c>
      <c r="F430" s="28" t="s">
        <v>1236</v>
      </c>
      <c r="G430" s="28">
        <f>INDEX($C$2:$D$37,MATCH(RESOLUCIONES[[#This Row],[No. Canal]],$C$2:$C$37,0),2)</f>
        <v>497</v>
      </c>
      <c r="I430" s="28" t="s">
        <v>1308</v>
      </c>
      <c r="J430" s="28" t="s">
        <v>409</v>
      </c>
      <c r="K430" s="28" t="str">
        <f t="shared" si="12"/>
        <v>HerveoTolima</v>
      </c>
      <c r="L430" s="28"/>
      <c r="M430" s="28"/>
      <c r="N430" s="28"/>
      <c r="O430" s="28"/>
      <c r="P430" s="28"/>
      <c r="Q430" s="28"/>
      <c r="R430" s="28"/>
      <c r="S430" s="28"/>
      <c r="T430" s="28"/>
      <c r="U430" s="41"/>
      <c r="V430" s="41"/>
      <c r="W430" s="41"/>
      <c r="X430" s="28"/>
      <c r="Y430" s="28"/>
      <c r="Z430" s="28"/>
      <c r="AA430" s="28"/>
      <c r="AB430" s="28"/>
      <c r="AC430" s="28"/>
      <c r="AD430" s="28"/>
    </row>
    <row r="431" spans="1:30" x14ac:dyDescent="0.35">
      <c r="A431" s="28" t="s">
        <v>1309</v>
      </c>
      <c r="B431" s="28" t="s">
        <v>1310</v>
      </c>
      <c r="C431" s="21">
        <v>16</v>
      </c>
      <c r="D431" s="28">
        <v>1984</v>
      </c>
      <c r="E431" s="30">
        <v>43462</v>
      </c>
      <c r="F431" s="28" t="s">
        <v>1226</v>
      </c>
      <c r="G431" s="28">
        <f>INDEX($C$2:$D$37,MATCH(RESOLUCIONES[[#This Row],[No. Canal]],$C$2:$C$37,0),2)</f>
        <v>485</v>
      </c>
      <c r="I431" s="28" t="s">
        <v>1311</v>
      </c>
      <c r="J431" s="28" t="s">
        <v>154</v>
      </c>
      <c r="K431" s="28" t="str">
        <f t="shared" si="12"/>
        <v>HispaniaAntioquia</v>
      </c>
      <c r="L431" s="28"/>
      <c r="M431" s="28"/>
      <c r="N431" s="28"/>
      <c r="O431" s="28"/>
      <c r="P431" s="28"/>
      <c r="Q431" s="28"/>
      <c r="R431" s="28"/>
      <c r="S431" s="28"/>
      <c r="T431" s="28"/>
      <c r="U431" s="41"/>
      <c r="V431" s="41"/>
      <c r="W431" s="41"/>
      <c r="X431" s="28"/>
      <c r="Y431" s="28"/>
      <c r="Z431" s="28"/>
      <c r="AA431" s="28"/>
      <c r="AB431" s="28"/>
      <c r="AC431" s="28"/>
      <c r="AD431" s="28"/>
    </row>
    <row r="432" spans="1:30" x14ac:dyDescent="0.35">
      <c r="A432" s="28" t="s">
        <v>832</v>
      </c>
      <c r="B432" s="28" t="s">
        <v>1312</v>
      </c>
      <c r="C432" s="21">
        <v>34</v>
      </c>
      <c r="D432" s="28">
        <v>1984</v>
      </c>
      <c r="E432" s="30">
        <v>43462</v>
      </c>
      <c r="F432" s="28" t="s">
        <v>1226</v>
      </c>
      <c r="G432" s="28">
        <f>INDEX($C$2:$D$37,MATCH(RESOLUCIONES[[#This Row],[No. Canal]],$C$2:$C$37,0),2)</f>
        <v>593</v>
      </c>
      <c r="I432" s="28" t="s">
        <v>1313</v>
      </c>
      <c r="J432" s="28" t="s">
        <v>245</v>
      </c>
      <c r="K432" s="28" t="str">
        <f t="shared" si="12"/>
        <v>HoboHuila</v>
      </c>
      <c r="L432" s="28"/>
      <c r="M432" s="28"/>
      <c r="N432" s="28"/>
      <c r="O432" s="28"/>
      <c r="P432" s="28"/>
      <c r="Q432" s="28"/>
      <c r="R432" s="28"/>
      <c r="S432" s="28"/>
      <c r="T432" s="28"/>
      <c r="U432" s="41"/>
      <c r="V432" s="41"/>
      <c r="W432" s="41"/>
      <c r="X432" s="28"/>
      <c r="Y432" s="28"/>
      <c r="Z432" s="28"/>
      <c r="AA432" s="28"/>
      <c r="AB432" s="28"/>
      <c r="AC432" s="28"/>
      <c r="AD432" s="28"/>
    </row>
    <row r="433" spans="1:30" x14ac:dyDescent="0.35">
      <c r="A433" s="28" t="s">
        <v>1314</v>
      </c>
      <c r="B433" s="28" t="s">
        <v>1315</v>
      </c>
      <c r="C433" s="21">
        <v>16</v>
      </c>
      <c r="D433" s="28" t="s">
        <v>1218</v>
      </c>
      <c r="E433" s="30">
        <v>40975</v>
      </c>
      <c r="F433" s="28" t="s">
        <v>1219</v>
      </c>
      <c r="G433" s="28">
        <f>INDEX($C$2:$D$37,MATCH(RESOLUCIONES[[#This Row],[No. Canal]],$C$2:$C$37,0),2)</f>
        <v>485</v>
      </c>
      <c r="I433" s="28" t="s">
        <v>1316</v>
      </c>
      <c r="J433" s="28" t="s">
        <v>409</v>
      </c>
      <c r="K433" s="28" t="str">
        <f t="shared" si="12"/>
        <v>HondaTolima</v>
      </c>
      <c r="L433" s="28"/>
      <c r="M433" s="28"/>
      <c r="N433" s="28"/>
      <c r="O433" s="28"/>
      <c r="P433" s="28"/>
      <c r="Q433" s="28"/>
      <c r="R433" s="28"/>
      <c r="S433" s="28"/>
      <c r="T433" s="28"/>
      <c r="U433" s="41"/>
      <c r="V433" s="41"/>
      <c r="W433" s="41"/>
      <c r="X433" s="28"/>
      <c r="Y433" s="28"/>
      <c r="Z433" s="28"/>
      <c r="AA433" s="28"/>
      <c r="AB433" s="28"/>
      <c r="AC433" s="28"/>
      <c r="AD433" s="28"/>
    </row>
    <row r="434" spans="1:30" x14ac:dyDescent="0.35">
      <c r="A434" s="28" t="s">
        <v>1317</v>
      </c>
      <c r="B434" s="28" t="s">
        <v>1318</v>
      </c>
      <c r="C434" s="21">
        <v>16</v>
      </c>
      <c r="D434" s="28">
        <v>1984</v>
      </c>
      <c r="E434" s="30">
        <v>43462</v>
      </c>
      <c r="F434" s="28" t="s">
        <v>1226</v>
      </c>
      <c r="G434" s="28">
        <f>INDEX($C$2:$D$37,MATCH(RESOLUCIONES[[#This Row],[No. Canal]],$C$2:$C$37,0),2)</f>
        <v>485</v>
      </c>
      <c r="I434" s="28" t="s">
        <v>1319</v>
      </c>
      <c r="J434" s="28" t="s">
        <v>409</v>
      </c>
      <c r="K434" s="28" t="str">
        <f t="shared" si="12"/>
        <v>IbaguéTolima</v>
      </c>
      <c r="L434" s="28"/>
      <c r="M434" s="28"/>
      <c r="N434" s="28"/>
      <c r="O434" s="28"/>
      <c r="P434" s="28"/>
      <c r="Q434" s="28"/>
      <c r="R434" s="28"/>
      <c r="S434" s="28"/>
      <c r="T434" s="28"/>
      <c r="U434" s="41"/>
      <c r="V434" s="41"/>
      <c r="W434" s="41"/>
      <c r="X434" s="28"/>
      <c r="Y434" s="28"/>
      <c r="Z434" s="28"/>
      <c r="AA434" s="28"/>
      <c r="AB434" s="28"/>
      <c r="AC434" s="28"/>
      <c r="AD434" s="28"/>
    </row>
    <row r="435" spans="1:30" x14ac:dyDescent="0.35">
      <c r="A435" s="28" t="s">
        <v>1320</v>
      </c>
      <c r="B435" s="28" t="s">
        <v>1321</v>
      </c>
      <c r="C435" s="22">
        <v>27</v>
      </c>
      <c r="D435" s="28">
        <v>1590</v>
      </c>
      <c r="E435" s="30">
        <v>42986</v>
      </c>
      <c r="F435" s="28" t="s">
        <v>1236</v>
      </c>
      <c r="G435" s="28">
        <f>INDEX($C$2:$D$37,MATCH(RESOLUCIONES[[#This Row],[No. Canal]],$C$2:$C$37,0),2)</f>
        <v>551</v>
      </c>
      <c r="I435" s="28" t="s">
        <v>1322</v>
      </c>
      <c r="J435" s="28" t="s">
        <v>409</v>
      </c>
      <c r="K435" s="28" t="str">
        <f t="shared" si="12"/>
        <v>IcononzoTolima</v>
      </c>
      <c r="L435" s="28"/>
      <c r="M435" s="28"/>
      <c r="N435" s="28"/>
      <c r="O435" s="28"/>
      <c r="P435" s="28"/>
      <c r="Q435" s="28"/>
      <c r="R435" s="28"/>
      <c r="S435" s="28"/>
      <c r="T435" s="28"/>
      <c r="U435" s="41"/>
      <c r="V435" s="41"/>
      <c r="W435" s="41"/>
      <c r="X435" s="28"/>
      <c r="Y435" s="28"/>
      <c r="Z435" s="28"/>
      <c r="AA435" s="28"/>
      <c r="AB435" s="28"/>
      <c r="AC435" s="28"/>
      <c r="AD435" s="28"/>
    </row>
    <row r="436" spans="1:30" x14ac:dyDescent="0.35">
      <c r="A436" s="28" t="s">
        <v>1323</v>
      </c>
      <c r="B436" s="28" t="s">
        <v>1324</v>
      </c>
      <c r="C436" s="21">
        <v>16</v>
      </c>
      <c r="D436" s="28" t="s">
        <v>1218</v>
      </c>
      <c r="E436" s="30">
        <v>40975</v>
      </c>
      <c r="F436" s="28" t="s">
        <v>1219</v>
      </c>
      <c r="G436" s="28">
        <f>INDEX($C$2:$D$37,MATCH(RESOLUCIONES[[#This Row],[No. Canal]],$C$2:$C$37,0),2)</f>
        <v>485</v>
      </c>
      <c r="I436" s="28" t="s">
        <v>1325</v>
      </c>
      <c r="J436" s="28" t="s">
        <v>352</v>
      </c>
      <c r="K436" s="28" t="str">
        <f t="shared" si="12"/>
        <v>IlesNariño</v>
      </c>
      <c r="L436" s="28"/>
      <c r="M436" s="28"/>
      <c r="N436" s="28"/>
      <c r="O436" s="28"/>
      <c r="P436" s="28"/>
      <c r="Q436" s="28"/>
      <c r="R436" s="28"/>
      <c r="S436" s="28"/>
      <c r="T436" s="28"/>
      <c r="U436" s="41"/>
      <c r="V436" s="41"/>
      <c r="W436" s="41"/>
      <c r="X436" s="28"/>
      <c r="Y436" s="28"/>
      <c r="Z436" s="28"/>
      <c r="AA436" s="28"/>
      <c r="AB436" s="28"/>
      <c r="AC436" s="28"/>
      <c r="AD436" s="28"/>
    </row>
    <row r="437" spans="1:30" x14ac:dyDescent="0.35">
      <c r="A437" s="28" t="s">
        <v>1326</v>
      </c>
      <c r="B437" s="28" t="s">
        <v>1327</v>
      </c>
      <c r="C437" s="21">
        <v>16</v>
      </c>
      <c r="D437" s="28">
        <v>1984</v>
      </c>
      <c r="E437" s="30">
        <v>43462</v>
      </c>
      <c r="F437" s="28" t="s">
        <v>1226</v>
      </c>
      <c r="G437" s="28">
        <f>INDEX($C$2:$D$37,MATCH(RESOLUCIONES[[#This Row],[No. Canal]],$C$2:$C$37,0),2)</f>
        <v>485</v>
      </c>
      <c r="I437" s="28" t="s">
        <v>1328</v>
      </c>
      <c r="J437" s="28" t="s">
        <v>352</v>
      </c>
      <c r="K437" s="28" t="str">
        <f t="shared" si="12"/>
        <v>ImuésNariño</v>
      </c>
      <c r="L437" s="28"/>
      <c r="M437" s="28"/>
      <c r="N437" s="28"/>
      <c r="O437" s="28"/>
      <c r="P437" s="28"/>
      <c r="Q437" s="28"/>
      <c r="R437" s="28"/>
      <c r="S437" s="28"/>
      <c r="T437" s="28"/>
      <c r="U437" s="41"/>
      <c r="V437" s="41"/>
      <c r="W437" s="41"/>
      <c r="X437" s="28"/>
      <c r="Y437" s="28"/>
      <c r="Z437" s="28"/>
      <c r="AA437" s="28"/>
      <c r="AB437" s="28"/>
      <c r="AC437" s="28"/>
      <c r="AD437" s="28"/>
    </row>
    <row r="438" spans="1:30" x14ac:dyDescent="0.35">
      <c r="A438" s="28" t="s">
        <v>1329</v>
      </c>
      <c r="B438" s="28" t="s">
        <v>1330</v>
      </c>
      <c r="C438" s="21">
        <v>16</v>
      </c>
      <c r="D438" s="28">
        <v>1046</v>
      </c>
      <c r="E438" s="30">
        <v>44005</v>
      </c>
      <c r="F438" s="28" t="s">
        <v>1268</v>
      </c>
      <c r="G438" s="28">
        <f>INDEX($C$2:$D$37,MATCH(RESOLUCIONES[[#This Row],[No. Canal]],$C$2:$C$37,0),2)</f>
        <v>485</v>
      </c>
      <c r="I438" s="28" t="s">
        <v>1331</v>
      </c>
      <c r="J438" s="28" t="s">
        <v>353</v>
      </c>
      <c r="K438" s="28" t="str">
        <f t="shared" si="12"/>
        <v>IníridaGuainia</v>
      </c>
      <c r="L438" s="28"/>
      <c r="M438" s="28"/>
      <c r="N438" s="28"/>
      <c r="O438" s="28"/>
      <c r="P438" s="28"/>
      <c r="Q438" s="28"/>
      <c r="R438" s="28"/>
      <c r="S438" s="28"/>
      <c r="T438" s="28"/>
      <c r="U438" s="41"/>
      <c r="V438" s="41"/>
      <c r="W438" s="41"/>
      <c r="X438" s="28"/>
      <c r="Y438" s="28"/>
      <c r="Z438" s="28"/>
      <c r="AA438" s="28"/>
      <c r="AB438" s="28"/>
      <c r="AC438" s="28"/>
      <c r="AD438" s="28"/>
    </row>
    <row r="439" spans="1:30" x14ac:dyDescent="0.35">
      <c r="A439" s="28" t="s">
        <v>1332</v>
      </c>
      <c r="B439" s="28" t="s">
        <v>1333</v>
      </c>
      <c r="C439" s="22">
        <v>16</v>
      </c>
      <c r="D439" s="28">
        <v>862</v>
      </c>
      <c r="E439" s="30">
        <v>42286</v>
      </c>
      <c r="F439" s="28" t="s">
        <v>1334</v>
      </c>
      <c r="G439" s="28">
        <f>INDEX($C$2:$D$37,MATCH(RESOLUCIONES[[#This Row],[No. Canal]],$C$2:$C$37,0),2)</f>
        <v>485</v>
      </c>
      <c r="I439" s="28" t="s">
        <v>1335</v>
      </c>
      <c r="J439" s="28" t="s">
        <v>315</v>
      </c>
      <c r="K439" s="28" t="str">
        <f t="shared" si="12"/>
        <v>InzáCauca</v>
      </c>
      <c r="L439" s="28"/>
      <c r="M439" s="28"/>
      <c r="N439" s="28"/>
      <c r="O439" s="28"/>
      <c r="P439" s="28"/>
      <c r="Q439" s="28"/>
      <c r="R439" s="28"/>
      <c r="S439" s="28"/>
      <c r="T439" s="28"/>
      <c r="U439" s="41"/>
      <c r="V439" s="41"/>
      <c r="W439" s="41"/>
      <c r="X439" s="28"/>
      <c r="Y439" s="28"/>
      <c r="Z439" s="28"/>
      <c r="AA439" s="28"/>
      <c r="AB439" s="28"/>
      <c r="AC439" s="28"/>
      <c r="AD439" s="28"/>
    </row>
    <row r="440" spans="1:30" x14ac:dyDescent="0.35">
      <c r="A440" s="28" t="s">
        <v>1336</v>
      </c>
      <c r="B440" s="28" t="s">
        <v>1337</v>
      </c>
      <c r="C440" s="22">
        <v>16</v>
      </c>
      <c r="D440" s="28">
        <v>1590</v>
      </c>
      <c r="E440" s="30">
        <v>42986</v>
      </c>
      <c r="F440" s="28" t="s">
        <v>1236</v>
      </c>
      <c r="G440" s="28">
        <f>INDEX($C$2:$D$37,MATCH(RESOLUCIONES[[#This Row],[No. Canal]],$C$2:$C$37,0),2)</f>
        <v>485</v>
      </c>
      <c r="I440" s="28" t="s">
        <v>1338</v>
      </c>
      <c r="J440" s="28" t="s">
        <v>352</v>
      </c>
      <c r="K440" s="28" t="str">
        <f t="shared" si="12"/>
        <v>IpialesNariño</v>
      </c>
      <c r="L440" s="28"/>
      <c r="M440" s="28"/>
      <c r="N440" s="28"/>
      <c r="O440" s="28"/>
      <c r="P440" s="28"/>
      <c r="Q440" s="28"/>
      <c r="R440" s="28"/>
      <c r="S440" s="28"/>
      <c r="T440" s="28"/>
      <c r="U440" s="41"/>
      <c r="V440" s="41"/>
      <c r="W440" s="41"/>
      <c r="X440" s="28"/>
      <c r="Y440" s="28"/>
      <c r="Z440" s="28"/>
      <c r="AA440" s="28"/>
      <c r="AB440" s="28"/>
      <c r="AC440" s="28"/>
      <c r="AD440" s="28"/>
    </row>
    <row r="441" spans="1:30" x14ac:dyDescent="0.35">
      <c r="A441" s="28" t="s">
        <v>1339</v>
      </c>
      <c r="B441" s="28" t="s">
        <v>1340</v>
      </c>
      <c r="C441" s="22">
        <v>16</v>
      </c>
      <c r="D441" s="28">
        <v>862</v>
      </c>
      <c r="E441" s="30">
        <v>42286</v>
      </c>
      <c r="F441" s="28" t="s">
        <v>1334</v>
      </c>
      <c r="G441" s="28">
        <f>INDEX($C$2:$D$37,MATCH(RESOLUCIONES[[#This Row],[No. Canal]],$C$2:$C$37,0),2)</f>
        <v>485</v>
      </c>
      <c r="I441" s="28" t="s">
        <v>1341</v>
      </c>
      <c r="J441" s="28" t="s">
        <v>245</v>
      </c>
      <c r="K441" s="28" t="str">
        <f t="shared" si="12"/>
        <v>IquiraHuila</v>
      </c>
      <c r="L441" s="28"/>
      <c r="M441" s="28"/>
      <c r="N441" s="28"/>
      <c r="O441" s="28"/>
      <c r="P441" s="28"/>
      <c r="Q441" s="28"/>
      <c r="R441" s="28"/>
      <c r="S441" s="28"/>
      <c r="T441" s="28"/>
      <c r="U441" s="41"/>
      <c r="V441" s="41"/>
      <c r="W441" s="41"/>
      <c r="X441" s="28"/>
      <c r="Y441" s="28"/>
      <c r="Z441" s="28"/>
      <c r="AA441" s="28"/>
      <c r="AB441" s="28"/>
      <c r="AC441" s="28"/>
      <c r="AD441" s="28"/>
    </row>
    <row r="442" spans="1:30" x14ac:dyDescent="0.35">
      <c r="A442" s="28" t="s">
        <v>1342</v>
      </c>
      <c r="B442" s="28" t="s">
        <v>1343</v>
      </c>
      <c r="C442" s="22">
        <v>16</v>
      </c>
      <c r="D442" s="28">
        <v>1590</v>
      </c>
      <c r="E442" s="30">
        <v>42986</v>
      </c>
      <c r="F442" s="28" t="s">
        <v>1236</v>
      </c>
      <c r="G442" s="28">
        <f>INDEX($C$2:$D$37,MATCH(RESOLUCIONES[[#This Row],[No. Canal]],$C$2:$C$37,0),2)</f>
        <v>485</v>
      </c>
      <c r="I442" s="28" t="s">
        <v>1344</v>
      </c>
      <c r="J442" s="28" t="s">
        <v>245</v>
      </c>
      <c r="K442" s="28" t="str">
        <f t="shared" si="12"/>
        <v>IsnosHuila</v>
      </c>
      <c r="L442" s="28"/>
      <c r="M442" s="28"/>
      <c r="N442" s="28"/>
      <c r="O442" s="28"/>
      <c r="P442" s="28"/>
      <c r="Q442" s="28"/>
      <c r="R442" s="28"/>
      <c r="S442" s="28"/>
      <c r="T442" s="28"/>
      <c r="U442" s="41"/>
      <c r="V442" s="41"/>
      <c r="W442" s="41"/>
      <c r="X442" s="28"/>
      <c r="Y442" s="28"/>
      <c r="Z442" s="28"/>
      <c r="AA442" s="28"/>
      <c r="AB442" s="28"/>
      <c r="AC442" s="28"/>
      <c r="AD442" s="28"/>
    </row>
    <row r="443" spans="1:30" x14ac:dyDescent="0.35">
      <c r="A443" s="28" t="s">
        <v>1345</v>
      </c>
      <c r="B443" s="28" t="s">
        <v>1346</v>
      </c>
      <c r="C443" s="21">
        <v>16</v>
      </c>
      <c r="D443" s="28">
        <v>1046</v>
      </c>
      <c r="E443" s="30">
        <v>44005</v>
      </c>
      <c r="F443" s="28" t="s">
        <v>1268</v>
      </c>
      <c r="G443" s="28">
        <f>INDEX($C$2:$D$37,MATCH(RESOLUCIONES[[#This Row],[No. Canal]],$C$2:$C$37,0),2)</f>
        <v>485</v>
      </c>
      <c r="I443" s="28" t="s">
        <v>1347</v>
      </c>
      <c r="J443" s="28" t="s">
        <v>230</v>
      </c>
      <c r="K443" s="28" t="str">
        <f t="shared" si="12"/>
        <v>IstminaChoco</v>
      </c>
      <c r="L443" s="28"/>
      <c r="M443" s="28"/>
      <c r="N443" s="28"/>
      <c r="O443" s="28"/>
      <c r="P443" s="28"/>
      <c r="Q443" s="28"/>
      <c r="R443" s="28"/>
      <c r="S443" s="28"/>
      <c r="T443" s="28"/>
      <c r="U443" s="41"/>
      <c r="V443" s="41"/>
      <c r="W443" s="41"/>
      <c r="X443" s="28"/>
      <c r="Y443" s="28"/>
      <c r="Z443" s="28"/>
      <c r="AA443" s="28"/>
      <c r="AB443" s="28"/>
      <c r="AC443" s="28"/>
      <c r="AD443" s="28"/>
    </row>
    <row r="444" spans="1:30" x14ac:dyDescent="0.35">
      <c r="A444" s="28" t="s">
        <v>1348</v>
      </c>
      <c r="B444" s="28" t="s">
        <v>1349</v>
      </c>
      <c r="C444" s="21">
        <v>19</v>
      </c>
      <c r="D444" s="28">
        <v>1984</v>
      </c>
      <c r="E444" s="30">
        <v>43462</v>
      </c>
      <c r="F444" s="28" t="s">
        <v>1226</v>
      </c>
      <c r="G444" s="28">
        <f>INDEX($C$2:$D$37,MATCH(RESOLUCIONES[[#This Row],[No. Canal]],$C$2:$C$37,0),2)</f>
        <v>503</v>
      </c>
      <c r="I444" s="28" t="s">
        <v>1350</v>
      </c>
      <c r="J444" s="28" t="s">
        <v>154</v>
      </c>
      <c r="K444" s="28" t="str">
        <f t="shared" si="12"/>
        <v>ItaguiAntioquia</v>
      </c>
      <c r="L444" s="28"/>
      <c r="M444" s="28"/>
      <c r="N444" s="28"/>
      <c r="O444" s="28"/>
      <c r="P444" s="28"/>
      <c r="Q444" s="28"/>
      <c r="R444" s="28"/>
      <c r="S444" s="28"/>
      <c r="T444" s="28"/>
      <c r="U444" s="41"/>
      <c r="V444" s="41"/>
      <c r="W444" s="41"/>
      <c r="X444" s="28"/>
      <c r="Y444" s="28"/>
      <c r="Z444" s="28"/>
      <c r="AA444" s="28"/>
      <c r="AB444" s="28"/>
      <c r="AC444" s="28"/>
      <c r="AD444" s="28"/>
    </row>
    <row r="445" spans="1:30" x14ac:dyDescent="0.35">
      <c r="A445" s="28" t="s">
        <v>1351</v>
      </c>
      <c r="B445" s="28" t="s">
        <v>1352</v>
      </c>
      <c r="C445" s="21">
        <v>16</v>
      </c>
      <c r="D445" s="28" t="s">
        <v>1218</v>
      </c>
      <c r="E445" s="30">
        <v>40975</v>
      </c>
      <c r="F445" s="28" t="s">
        <v>1219</v>
      </c>
      <c r="G445" s="28">
        <f>INDEX($C$2:$D$37,MATCH(RESOLUCIONES[[#This Row],[No. Canal]],$C$2:$C$37,0),2)</f>
        <v>485</v>
      </c>
      <c r="I445" s="28" t="s">
        <v>1353</v>
      </c>
      <c r="J445" s="28" t="s">
        <v>154</v>
      </c>
      <c r="K445" s="28" t="str">
        <f t="shared" si="12"/>
        <v>ItuangoAntioquia</v>
      </c>
      <c r="L445" s="28"/>
      <c r="M445" s="28"/>
      <c r="N445" s="28"/>
      <c r="O445" s="28"/>
      <c r="P445" s="28"/>
      <c r="Q445" s="28"/>
      <c r="R445" s="28"/>
      <c r="S445" s="28"/>
      <c r="T445" s="28"/>
      <c r="U445" s="41"/>
      <c r="V445" s="41"/>
      <c r="W445" s="41"/>
      <c r="X445" s="28"/>
      <c r="Y445" s="28"/>
      <c r="Z445" s="28"/>
      <c r="AA445" s="28"/>
      <c r="AB445" s="28"/>
      <c r="AC445" s="28"/>
      <c r="AD445" s="28"/>
    </row>
    <row r="446" spans="1:30" x14ac:dyDescent="0.35">
      <c r="A446" s="28" t="s">
        <v>1354</v>
      </c>
      <c r="B446" s="28" t="s">
        <v>1355</v>
      </c>
      <c r="C446" s="22">
        <v>23</v>
      </c>
      <c r="D446" s="28">
        <v>1590</v>
      </c>
      <c r="E446" s="30">
        <v>42986</v>
      </c>
      <c r="F446" s="28" t="s">
        <v>1236</v>
      </c>
      <c r="G446" s="28">
        <f>INDEX($C$2:$D$37,MATCH(RESOLUCIONES[[#This Row],[No. Canal]],$C$2:$C$37,0),2)</f>
        <v>527</v>
      </c>
      <c r="I446" s="28" t="s">
        <v>1356</v>
      </c>
      <c r="J446" s="28" t="s">
        <v>274</v>
      </c>
      <c r="K446" s="28" t="str">
        <f t="shared" si="12"/>
        <v>IzaBoyaca</v>
      </c>
      <c r="L446" s="28"/>
      <c r="M446" s="28"/>
      <c r="N446" s="28"/>
      <c r="O446" s="28"/>
      <c r="P446" s="28"/>
      <c r="Q446" s="28"/>
      <c r="R446" s="28"/>
      <c r="S446" s="28"/>
      <c r="T446" s="28"/>
      <c r="U446" s="41"/>
      <c r="V446" s="41"/>
      <c r="W446" s="41"/>
      <c r="X446" s="28"/>
      <c r="Y446" s="28"/>
      <c r="Z446" s="28"/>
      <c r="AA446" s="28"/>
      <c r="AB446" s="28"/>
      <c r="AC446" s="28"/>
      <c r="AD446" s="28"/>
    </row>
    <row r="447" spans="1:30" x14ac:dyDescent="0.35">
      <c r="A447" s="28" t="s">
        <v>1357</v>
      </c>
      <c r="B447" s="28" t="s">
        <v>1358</v>
      </c>
      <c r="C447" s="22">
        <v>18</v>
      </c>
      <c r="D447" s="28">
        <v>1590</v>
      </c>
      <c r="E447" s="30">
        <v>42986</v>
      </c>
      <c r="F447" s="28" t="s">
        <v>1236</v>
      </c>
      <c r="G447" s="28">
        <f>INDEX($C$2:$D$37,MATCH(RESOLUCIONES[[#This Row],[No. Canal]],$C$2:$C$37,0),2)</f>
        <v>497</v>
      </c>
      <c r="I447" s="28" t="s">
        <v>1359</v>
      </c>
      <c r="J447" s="28" t="s">
        <v>315</v>
      </c>
      <c r="K447" s="28" t="str">
        <f t="shared" si="12"/>
        <v>JambalóCauca</v>
      </c>
      <c r="L447" s="28"/>
      <c r="M447" s="28"/>
      <c r="N447" s="28"/>
      <c r="O447" s="28"/>
      <c r="P447" s="28"/>
      <c r="Q447" s="28"/>
      <c r="R447" s="28"/>
      <c r="S447" s="28"/>
      <c r="T447" s="28"/>
      <c r="U447" s="41"/>
      <c r="V447" s="41"/>
      <c r="W447" s="41"/>
      <c r="X447" s="28"/>
      <c r="Y447" s="28"/>
      <c r="Z447" s="28"/>
      <c r="AA447" s="28"/>
      <c r="AB447" s="28"/>
      <c r="AC447" s="28"/>
      <c r="AD447" s="28"/>
    </row>
    <row r="448" spans="1:30" x14ac:dyDescent="0.35">
      <c r="A448" s="28" t="s">
        <v>1360</v>
      </c>
      <c r="B448" s="28" t="s">
        <v>1361</v>
      </c>
      <c r="C448" s="21">
        <v>16</v>
      </c>
      <c r="D448" s="28">
        <v>1046</v>
      </c>
      <c r="E448" s="30">
        <v>44005</v>
      </c>
      <c r="F448" s="28" t="s">
        <v>1268</v>
      </c>
      <c r="G448" s="28">
        <f>INDEX($C$2:$D$37,MATCH(RESOLUCIONES[[#This Row],[No. Canal]],$C$2:$C$37,0),2)</f>
        <v>485</v>
      </c>
      <c r="I448" s="28" t="s">
        <v>1362</v>
      </c>
      <c r="J448" s="28" t="s">
        <v>381</v>
      </c>
      <c r="K448" s="28" t="str">
        <f t="shared" si="12"/>
        <v>JamundíValle del Cauca</v>
      </c>
      <c r="L448" s="28"/>
      <c r="M448" s="28"/>
      <c r="N448" s="28"/>
      <c r="O448" s="28"/>
      <c r="P448" s="28"/>
      <c r="Q448" s="28"/>
      <c r="R448" s="28"/>
      <c r="S448" s="28"/>
      <c r="T448" s="28"/>
      <c r="U448" s="41"/>
      <c r="V448" s="41"/>
      <c r="W448" s="41"/>
      <c r="X448" s="28"/>
      <c r="Y448" s="28"/>
      <c r="Z448" s="28"/>
      <c r="AA448" s="28"/>
      <c r="AB448" s="28"/>
      <c r="AC448" s="28"/>
      <c r="AD448" s="28"/>
    </row>
    <row r="449" spans="1:30" x14ac:dyDescent="0.35">
      <c r="A449" s="28" t="s">
        <v>1363</v>
      </c>
      <c r="B449" s="28" t="s">
        <v>1364</v>
      </c>
      <c r="C449" s="22">
        <v>16</v>
      </c>
      <c r="D449" s="28">
        <v>1832</v>
      </c>
      <c r="E449" s="30" t="s">
        <v>1303</v>
      </c>
      <c r="F449" s="28" t="s">
        <v>1304</v>
      </c>
      <c r="G449" s="28">
        <f>INDEX($C$2:$D$37,MATCH(RESOLUCIONES[[#This Row],[No. Canal]],$C$2:$C$37,0),2)</f>
        <v>485</v>
      </c>
      <c r="I449" s="28" t="s">
        <v>1365</v>
      </c>
      <c r="J449" s="28" t="s">
        <v>154</v>
      </c>
      <c r="K449" s="28" t="str">
        <f t="shared" ref="K449:K512" si="13">_xlfn.CONCAT(TRIM(I449),TRIM(J449))</f>
        <v>JardínAntioquia</v>
      </c>
      <c r="L449" s="28"/>
      <c r="M449" s="28"/>
      <c r="N449" s="28"/>
      <c r="O449" s="28"/>
      <c r="P449" s="28"/>
      <c r="Q449" s="28"/>
      <c r="R449" s="28"/>
      <c r="S449" s="28"/>
      <c r="T449" s="28"/>
      <c r="U449" s="41"/>
      <c r="V449" s="41"/>
      <c r="W449" s="41"/>
      <c r="X449" s="28"/>
      <c r="Y449" s="28"/>
      <c r="Z449" s="28"/>
      <c r="AA449" s="28"/>
      <c r="AB449" s="28"/>
      <c r="AC449" s="28"/>
      <c r="AD449" s="28"/>
    </row>
    <row r="450" spans="1:30" x14ac:dyDescent="0.35">
      <c r="A450" s="28" t="s">
        <v>1366</v>
      </c>
      <c r="B450" s="28" t="s">
        <v>1367</v>
      </c>
      <c r="C450" s="22">
        <v>21</v>
      </c>
      <c r="D450" s="28">
        <v>1399</v>
      </c>
      <c r="E450" s="30">
        <v>42956</v>
      </c>
      <c r="F450" s="28" t="s">
        <v>1248</v>
      </c>
      <c r="G450" s="28">
        <f>INDEX($C$2:$D$37,MATCH(RESOLUCIONES[[#This Row],[No. Canal]],$C$2:$C$37,0),2)</f>
        <v>515</v>
      </c>
      <c r="I450" s="28" t="s">
        <v>1368</v>
      </c>
      <c r="J450" s="28" t="s">
        <v>274</v>
      </c>
      <c r="K450" s="28" t="str">
        <f t="shared" si="13"/>
        <v>JenesanoBoyaca</v>
      </c>
      <c r="L450" s="28"/>
      <c r="M450" s="28"/>
      <c r="N450" s="28"/>
      <c r="O450" s="28"/>
      <c r="P450" s="28"/>
      <c r="Q450" s="28"/>
      <c r="R450" s="28"/>
      <c r="S450" s="28"/>
      <c r="T450" s="28"/>
      <c r="U450" s="41"/>
      <c r="V450" s="41"/>
      <c r="W450" s="41"/>
      <c r="X450" s="28"/>
      <c r="Y450" s="28"/>
      <c r="Z450" s="28"/>
      <c r="AA450" s="28"/>
      <c r="AB450" s="28"/>
      <c r="AC450" s="28"/>
      <c r="AD450" s="28"/>
    </row>
    <row r="451" spans="1:30" x14ac:dyDescent="0.35">
      <c r="A451" s="28" t="s">
        <v>1369</v>
      </c>
      <c r="B451" s="28" t="s">
        <v>1370</v>
      </c>
      <c r="C451" s="22">
        <v>33</v>
      </c>
      <c r="D451" s="28">
        <v>1590</v>
      </c>
      <c r="E451" s="30">
        <v>42986</v>
      </c>
      <c r="F451" s="28" t="s">
        <v>1236</v>
      </c>
      <c r="G451" s="28">
        <f>INDEX($C$2:$D$37,MATCH(RESOLUCIONES[[#This Row],[No. Canal]],$C$2:$C$37,0),2)</f>
        <v>587</v>
      </c>
      <c r="I451" s="28" t="s">
        <v>1371</v>
      </c>
      <c r="J451" s="28" t="s">
        <v>154</v>
      </c>
      <c r="K451" s="28" t="str">
        <f t="shared" si="13"/>
        <v>JericóAntioquia</v>
      </c>
      <c r="L451" s="28"/>
      <c r="M451" s="28"/>
      <c r="N451" s="28"/>
      <c r="O451" s="28"/>
      <c r="P451" s="28"/>
      <c r="Q451" s="28"/>
      <c r="R451" s="28"/>
      <c r="S451" s="28"/>
      <c r="T451" s="28"/>
      <c r="U451" s="41"/>
      <c r="V451" s="41"/>
      <c r="W451" s="41"/>
      <c r="X451" s="28"/>
      <c r="Y451" s="28"/>
      <c r="Z451" s="28"/>
      <c r="AA451" s="28"/>
      <c r="AB451" s="28"/>
      <c r="AC451" s="28"/>
      <c r="AD451" s="28"/>
    </row>
    <row r="452" spans="1:30" x14ac:dyDescent="0.35">
      <c r="A452" s="28" t="s">
        <v>1372</v>
      </c>
      <c r="B452" s="28" t="s">
        <v>1373</v>
      </c>
      <c r="C452" s="21">
        <v>28</v>
      </c>
      <c r="D452" s="28">
        <v>1984</v>
      </c>
      <c r="E452" s="30">
        <v>43462</v>
      </c>
      <c r="F452" s="28" t="s">
        <v>1226</v>
      </c>
      <c r="G452" s="28">
        <f>INDEX($C$2:$D$37,MATCH(RESOLUCIONES[[#This Row],[No. Canal]],$C$2:$C$37,0),2)</f>
        <v>557</v>
      </c>
      <c r="I452" s="28" t="s">
        <v>1371</v>
      </c>
      <c r="J452" s="28" t="s">
        <v>274</v>
      </c>
      <c r="K452" s="28" t="str">
        <f t="shared" si="13"/>
        <v>JericóBoyaca</v>
      </c>
      <c r="L452" s="28"/>
      <c r="M452" s="28"/>
      <c r="N452" s="28"/>
      <c r="O452" s="28"/>
      <c r="P452" s="28"/>
      <c r="Q452" s="28"/>
      <c r="R452" s="28"/>
      <c r="S452" s="28"/>
      <c r="T452" s="28"/>
      <c r="U452" s="41"/>
      <c r="V452" s="41"/>
      <c r="W452" s="41"/>
      <c r="X452" s="28"/>
      <c r="Y452" s="28"/>
      <c r="Z452" s="28"/>
      <c r="AA452" s="28"/>
      <c r="AB452" s="28"/>
      <c r="AC452" s="28"/>
      <c r="AD452" s="28"/>
    </row>
    <row r="453" spans="1:30" x14ac:dyDescent="0.35">
      <c r="A453" s="28" t="s">
        <v>1374</v>
      </c>
      <c r="B453" s="28" t="s">
        <v>1375</v>
      </c>
      <c r="C453" s="21">
        <v>16</v>
      </c>
      <c r="D453" s="28">
        <v>1984</v>
      </c>
      <c r="E453" s="30">
        <v>43462</v>
      </c>
      <c r="F453" s="28" t="s">
        <v>1226</v>
      </c>
      <c r="G453" s="28">
        <f>INDEX($C$2:$D$37,MATCH(RESOLUCIONES[[#This Row],[No. Canal]],$C$2:$C$37,0),2)</f>
        <v>485</v>
      </c>
      <c r="I453" s="28" t="s">
        <v>1376</v>
      </c>
      <c r="J453" s="28" t="s">
        <v>283</v>
      </c>
      <c r="K453" s="28" t="str">
        <f t="shared" si="13"/>
        <v>JerusalénCundinamarca</v>
      </c>
      <c r="L453" s="28"/>
      <c r="M453" s="28"/>
      <c r="N453" s="28"/>
      <c r="O453" s="28"/>
      <c r="P453" s="28"/>
      <c r="Q453" s="28"/>
      <c r="R453" s="28"/>
      <c r="S453" s="28"/>
      <c r="T453" s="28"/>
      <c r="U453" s="41"/>
      <c r="V453" s="41"/>
      <c r="W453" s="41"/>
      <c r="X453" s="28"/>
      <c r="Y453" s="28"/>
      <c r="Z453" s="28"/>
      <c r="AA453" s="28"/>
      <c r="AB453" s="28"/>
      <c r="AC453" s="28"/>
      <c r="AD453" s="28"/>
    </row>
    <row r="454" spans="1:30" x14ac:dyDescent="0.35">
      <c r="A454" s="28" t="s">
        <v>1377</v>
      </c>
      <c r="B454" s="28" t="s">
        <v>1378</v>
      </c>
      <c r="C454" s="21">
        <v>16</v>
      </c>
      <c r="D454" s="28">
        <v>2960</v>
      </c>
      <c r="E454" s="30">
        <v>43777</v>
      </c>
      <c r="F454" s="28" t="s">
        <v>1278</v>
      </c>
      <c r="G454" s="28">
        <f>INDEX($C$2:$D$37,MATCH(RESOLUCIONES[[#This Row],[No. Canal]],$C$2:$C$37,0),2)</f>
        <v>485</v>
      </c>
      <c r="I454" s="28" t="s">
        <v>1379</v>
      </c>
      <c r="J454" s="28" t="s">
        <v>304</v>
      </c>
      <c r="K454" s="28" t="str">
        <f t="shared" si="13"/>
        <v>Jesús MaríaSantander</v>
      </c>
      <c r="L454" s="28"/>
      <c r="M454" s="28"/>
      <c r="N454" s="28"/>
      <c r="O454" s="28"/>
      <c r="P454" s="28"/>
      <c r="Q454" s="28"/>
      <c r="R454" s="28"/>
      <c r="S454" s="28"/>
      <c r="T454" s="28"/>
      <c r="U454" s="41"/>
      <c r="V454" s="41"/>
      <c r="W454" s="41"/>
      <c r="X454" s="28"/>
      <c r="Y454" s="28"/>
      <c r="Z454" s="28"/>
      <c r="AA454" s="28"/>
      <c r="AB454" s="28"/>
      <c r="AC454" s="28"/>
      <c r="AD454" s="28"/>
    </row>
    <row r="455" spans="1:30" x14ac:dyDescent="0.35">
      <c r="A455" s="28" t="s">
        <v>1380</v>
      </c>
      <c r="B455" s="28" t="s">
        <v>1381</v>
      </c>
      <c r="C455" s="21">
        <v>36</v>
      </c>
      <c r="D455" s="28">
        <v>1984</v>
      </c>
      <c r="E455" s="30">
        <v>43462</v>
      </c>
      <c r="F455" s="28" t="s">
        <v>1226</v>
      </c>
      <c r="G455" s="28">
        <f>INDEX($C$2:$D$37,MATCH(RESOLUCIONES[[#This Row],[No. Canal]],$C$2:$C$37,0),2)</f>
        <v>605</v>
      </c>
      <c r="I455" s="28" t="s">
        <v>1382</v>
      </c>
      <c r="J455" s="28" t="s">
        <v>304</v>
      </c>
      <c r="K455" s="28" t="str">
        <f t="shared" si="13"/>
        <v>JordánSantander</v>
      </c>
      <c r="L455" s="28"/>
      <c r="M455" s="28"/>
      <c r="N455" s="28"/>
      <c r="O455" s="28"/>
      <c r="P455" s="28"/>
      <c r="Q455" s="28"/>
      <c r="R455" s="28"/>
      <c r="S455" s="28"/>
      <c r="T455" s="28"/>
      <c r="U455" s="41"/>
      <c r="V455" s="41"/>
      <c r="W455" s="41"/>
      <c r="X455" s="28"/>
      <c r="Y455" s="28"/>
      <c r="Z455" s="28"/>
      <c r="AA455" s="28"/>
      <c r="AB455" s="28"/>
      <c r="AC455" s="28"/>
      <c r="AD455" s="28"/>
    </row>
    <row r="456" spans="1:30" x14ac:dyDescent="0.35">
      <c r="A456" s="28" t="s">
        <v>1383</v>
      </c>
      <c r="B456" s="28" t="s">
        <v>1384</v>
      </c>
      <c r="C456" s="22">
        <v>16</v>
      </c>
      <c r="D456" s="28">
        <v>1689</v>
      </c>
      <c r="E456" s="30">
        <v>42646</v>
      </c>
      <c r="F456" s="28" t="s">
        <v>1385</v>
      </c>
      <c r="G456" s="28">
        <f>INDEX($C$2:$D$37,MATCH(RESOLUCIONES[[#This Row],[No. Canal]],$C$2:$C$37,0),2)</f>
        <v>485</v>
      </c>
      <c r="I456" s="28" t="s">
        <v>1386</v>
      </c>
      <c r="J456" s="28" t="s">
        <v>231</v>
      </c>
      <c r="K456" s="28" t="str">
        <f t="shared" si="13"/>
        <v>Juan de AcostaAtlantico</v>
      </c>
      <c r="L456" s="28"/>
      <c r="M456" s="28"/>
      <c r="N456" s="28"/>
      <c r="O456" s="28"/>
      <c r="P456" s="28"/>
      <c r="Q456" s="28"/>
      <c r="R456" s="28"/>
      <c r="S456" s="28"/>
      <c r="T456" s="28"/>
      <c r="U456" s="41"/>
      <c r="V456" s="41"/>
      <c r="W456" s="41"/>
      <c r="X456" s="28"/>
      <c r="Y456" s="28"/>
      <c r="Z456" s="28"/>
      <c r="AA456" s="28"/>
      <c r="AB456" s="28"/>
      <c r="AC456" s="28"/>
      <c r="AD456" s="28"/>
    </row>
    <row r="457" spans="1:30" x14ac:dyDescent="0.35">
      <c r="A457" s="28" t="s">
        <v>1387</v>
      </c>
      <c r="B457" s="28" t="s">
        <v>1388</v>
      </c>
      <c r="C457" s="21">
        <v>16</v>
      </c>
      <c r="D457" s="28" t="s">
        <v>1218</v>
      </c>
      <c r="E457" s="30">
        <v>40975</v>
      </c>
      <c r="F457" s="28" t="s">
        <v>1219</v>
      </c>
      <c r="G457" s="28">
        <f>INDEX($C$2:$D$37,MATCH(RESOLUCIONES[[#This Row],[No. Canal]],$C$2:$C$37,0),2)</f>
        <v>485</v>
      </c>
      <c r="I457" s="28" t="s">
        <v>1389</v>
      </c>
      <c r="J457" s="28" t="s">
        <v>283</v>
      </c>
      <c r="K457" s="28" t="str">
        <f t="shared" si="13"/>
        <v>JunínCundinamarca</v>
      </c>
      <c r="L457" s="28"/>
      <c r="M457" s="28"/>
      <c r="N457" s="28"/>
      <c r="O457" s="28"/>
      <c r="P457" s="28"/>
      <c r="Q457" s="28"/>
      <c r="R457" s="28"/>
      <c r="S457" s="28"/>
      <c r="T457" s="28"/>
      <c r="U457" s="41"/>
      <c r="V457" s="41"/>
      <c r="W457" s="41"/>
      <c r="X457" s="28"/>
      <c r="Y457" s="28"/>
      <c r="Z457" s="28"/>
      <c r="AA457" s="28"/>
      <c r="AB457" s="28"/>
      <c r="AC457" s="28"/>
      <c r="AD457" s="28"/>
    </row>
    <row r="458" spans="1:30" x14ac:dyDescent="0.35">
      <c r="A458" s="28" t="s">
        <v>1390</v>
      </c>
      <c r="B458" s="28" t="s">
        <v>1391</v>
      </c>
      <c r="C458" s="21">
        <v>34</v>
      </c>
      <c r="D458" s="28">
        <v>1984</v>
      </c>
      <c r="E458" s="30">
        <v>43462</v>
      </c>
      <c r="F458" s="28" t="s">
        <v>1226</v>
      </c>
      <c r="G458" s="28">
        <f>INDEX($C$2:$D$37,MATCH(RESOLUCIONES[[#This Row],[No. Canal]],$C$2:$C$37,0),2)</f>
        <v>593</v>
      </c>
      <c r="I458" s="28" t="s">
        <v>1392</v>
      </c>
      <c r="J458" s="28" t="s">
        <v>230</v>
      </c>
      <c r="K458" s="28" t="str">
        <f t="shared" si="13"/>
        <v>JuradóChoco</v>
      </c>
      <c r="L458" s="28"/>
      <c r="M458" s="28"/>
      <c r="N458" s="28"/>
      <c r="O458" s="28"/>
      <c r="P458" s="28"/>
      <c r="Q458" s="28"/>
      <c r="R458" s="28"/>
      <c r="S458" s="28"/>
      <c r="T458" s="28"/>
      <c r="U458" s="41"/>
      <c r="V458" s="41"/>
      <c r="W458" s="41"/>
      <c r="X458" s="28"/>
      <c r="Y458" s="28"/>
      <c r="Z458" s="28"/>
      <c r="AA458" s="28"/>
      <c r="AB458" s="28"/>
      <c r="AC458" s="28"/>
      <c r="AD458" s="28"/>
    </row>
    <row r="459" spans="1:30" x14ac:dyDescent="0.35">
      <c r="A459" s="28" t="s">
        <v>1393</v>
      </c>
      <c r="B459" s="28" t="s">
        <v>1394</v>
      </c>
      <c r="C459" s="21">
        <v>18</v>
      </c>
      <c r="D459" s="28">
        <v>1984</v>
      </c>
      <c r="E459" s="30">
        <v>43462</v>
      </c>
      <c r="F459" s="28" t="s">
        <v>1226</v>
      </c>
      <c r="G459" s="28">
        <f>INDEX($C$2:$D$37,MATCH(RESOLUCIONES[[#This Row],[No. Canal]],$C$2:$C$37,0),2)</f>
        <v>497</v>
      </c>
      <c r="I459" s="28" t="s">
        <v>1395</v>
      </c>
      <c r="J459" s="28" t="s">
        <v>337</v>
      </c>
      <c r="K459" s="28" t="str">
        <f t="shared" si="13"/>
        <v>La ApartadaCordoba</v>
      </c>
      <c r="L459" s="28"/>
      <c r="M459" s="28"/>
      <c r="N459" s="28"/>
      <c r="O459" s="28"/>
      <c r="P459" s="28"/>
      <c r="Q459" s="28"/>
      <c r="R459" s="28"/>
      <c r="S459" s="28"/>
      <c r="T459" s="28"/>
      <c r="U459" s="41"/>
      <c r="V459" s="41"/>
      <c r="W459" s="41"/>
      <c r="X459" s="28"/>
      <c r="Y459" s="28"/>
      <c r="Z459" s="28"/>
      <c r="AA459" s="28"/>
      <c r="AB459" s="28"/>
      <c r="AC459" s="28"/>
      <c r="AD459" s="28"/>
    </row>
    <row r="460" spans="1:30" x14ac:dyDescent="0.35">
      <c r="A460" s="28" t="s">
        <v>1396</v>
      </c>
      <c r="B460" s="28" t="s">
        <v>1397</v>
      </c>
      <c r="C460" s="22">
        <v>38</v>
      </c>
      <c r="D460" s="28">
        <v>132</v>
      </c>
      <c r="E460" s="30">
        <v>42062</v>
      </c>
      <c r="F460" s="28" t="s">
        <v>1223</v>
      </c>
      <c r="G460" s="28">
        <f>INDEX($C$2:$D$37,MATCH(RESOLUCIONES[[#This Row],[No. Canal]],$C$2:$C$37,0),2)</f>
        <v>617</v>
      </c>
      <c r="I460" s="28" t="s">
        <v>1398</v>
      </c>
      <c r="J460" s="28" t="s">
        <v>245</v>
      </c>
      <c r="K460" s="28" t="str">
        <f t="shared" si="13"/>
        <v>La ArgentinaHuila</v>
      </c>
      <c r="L460" s="28"/>
      <c r="M460" s="28"/>
      <c r="N460" s="28"/>
      <c r="O460" s="28"/>
      <c r="P460" s="28"/>
      <c r="Q460" s="28"/>
      <c r="R460" s="28"/>
      <c r="S460" s="28"/>
      <c r="T460" s="28"/>
      <c r="U460" s="41"/>
      <c r="V460" s="41"/>
      <c r="W460" s="41"/>
      <c r="X460" s="28"/>
      <c r="Y460" s="28"/>
      <c r="Z460" s="28"/>
      <c r="AA460" s="28"/>
      <c r="AB460" s="28"/>
      <c r="AC460" s="28"/>
      <c r="AD460" s="28"/>
    </row>
    <row r="461" spans="1:30" x14ac:dyDescent="0.35">
      <c r="A461" s="28" t="s">
        <v>1399</v>
      </c>
      <c r="B461" s="28" t="s">
        <v>1400</v>
      </c>
      <c r="C461" s="21">
        <v>34</v>
      </c>
      <c r="D461" s="28">
        <v>782</v>
      </c>
      <c r="E461" s="30">
        <v>43643</v>
      </c>
      <c r="F461" s="28" t="s">
        <v>1401</v>
      </c>
      <c r="G461" s="28">
        <f>INDEX($C$2:$D$37,MATCH(RESOLUCIONES[[#This Row],[No. Canal]],$C$2:$C$37,0),2)</f>
        <v>593</v>
      </c>
      <c r="I461" s="28" t="s">
        <v>1402</v>
      </c>
      <c r="J461" s="28" t="s">
        <v>304</v>
      </c>
      <c r="K461" s="28" t="str">
        <f t="shared" si="13"/>
        <v>La BellezaSantander</v>
      </c>
      <c r="L461" s="28"/>
      <c r="M461" s="28"/>
      <c r="N461" s="28"/>
      <c r="O461" s="28"/>
      <c r="P461" s="28"/>
      <c r="Q461" s="28"/>
      <c r="R461" s="28"/>
      <c r="S461" s="28"/>
      <c r="T461" s="28"/>
      <c r="U461" s="41"/>
      <c r="V461" s="41"/>
      <c r="W461" s="41"/>
      <c r="X461" s="28"/>
      <c r="Y461" s="28"/>
      <c r="Z461" s="28"/>
      <c r="AA461" s="28"/>
      <c r="AB461" s="28"/>
      <c r="AC461" s="28"/>
      <c r="AD461" s="28"/>
    </row>
    <row r="462" spans="1:30" x14ac:dyDescent="0.35">
      <c r="A462" s="28" t="s">
        <v>1403</v>
      </c>
      <c r="B462" s="28" t="s">
        <v>1404</v>
      </c>
      <c r="C462" s="21">
        <v>34</v>
      </c>
      <c r="D462" s="28">
        <v>1984</v>
      </c>
      <c r="E462" s="30">
        <v>43462</v>
      </c>
      <c r="F462" s="28" t="s">
        <v>1226</v>
      </c>
      <c r="G462" s="28">
        <f>INDEX($C$2:$D$37,MATCH(RESOLUCIONES[[#This Row],[No. Canal]],$C$2:$C$37,0),2)</f>
        <v>593</v>
      </c>
      <c r="I462" s="28" t="s">
        <v>1405</v>
      </c>
      <c r="J462" s="28" t="s">
        <v>283</v>
      </c>
      <c r="K462" s="28" t="str">
        <f t="shared" si="13"/>
        <v>La CaleraCundinamarca</v>
      </c>
      <c r="L462" s="28"/>
      <c r="M462" s="28"/>
      <c r="N462" s="28"/>
      <c r="O462" s="28"/>
      <c r="P462" s="28"/>
      <c r="Q462" s="28"/>
      <c r="R462" s="28"/>
      <c r="S462" s="28"/>
      <c r="T462" s="28"/>
      <c r="U462" s="41"/>
      <c r="V462" s="41"/>
      <c r="W462" s="41"/>
      <c r="X462" s="28"/>
      <c r="Y462" s="28"/>
      <c r="Z462" s="28"/>
      <c r="AA462" s="28"/>
      <c r="AB462" s="28"/>
      <c r="AC462" s="28"/>
      <c r="AD462" s="28"/>
    </row>
    <row r="463" spans="1:30" x14ac:dyDescent="0.35">
      <c r="A463" s="28" t="s">
        <v>1406</v>
      </c>
      <c r="B463" s="28" t="s">
        <v>1407</v>
      </c>
      <c r="C463" s="21">
        <v>16</v>
      </c>
      <c r="D463" s="28">
        <v>1984</v>
      </c>
      <c r="E463" s="30">
        <v>43462</v>
      </c>
      <c r="F463" s="28" t="s">
        <v>1226</v>
      </c>
      <c r="G463" s="28">
        <f>INDEX($C$2:$D$37,MATCH(RESOLUCIONES[[#This Row],[No. Canal]],$C$2:$C$37,0),2)</f>
        <v>485</v>
      </c>
      <c r="I463" s="28" t="s">
        <v>1408</v>
      </c>
      <c r="J463" s="28" t="s">
        <v>274</v>
      </c>
      <c r="K463" s="28" t="str">
        <f t="shared" si="13"/>
        <v>La CapillaBoyaca</v>
      </c>
      <c r="L463" s="28"/>
      <c r="M463" s="28"/>
      <c r="N463" s="28"/>
      <c r="O463" s="28"/>
      <c r="P463" s="28"/>
      <c r="Q463" s="28"/>
      <c r="R463" s="28"/>
      <c r="S463" s="28"/>
      <c r="T463" s="28"/>
      <c r="U463" s="41"/>
      <c r="V463" s="41"/>
      <c r="W463" s="41"/>
      <c r="X463" s="28"/>
      <c r="Y463" s="28"/>
      <c r="Z463" s="28"/>
      <c r="AA463" s="28"/>
      <c r="AB463" s="28"/>
      <c r="AC463" s="28"/>
      <c r="AD463" s="28"/>
    </row>
    <row r="464" spans="1:30" x14ac:dyDescent="0.35">
      <c r="A464" s="28" t="s">
        <v>1409</v>
      </c>
      <c r="B464" s="28" t="s">
        <v>1410</v>
      </c>
      <c r="C464" s="21">
        <v>34</v>
      </c>
      <c r="D464" s="28">
        <v>1984</v>
      </c>
      <c r="E464" s="30">
        <v>43462</v>
      </c>
      <c r="F464" s="28" t="s">
        <v>1226</v>
      </c>
      <c r="G464" s="28">
        <f>INDEX($C$2:$D$37,MATCH(RESOLUCIONES[[#This Row],[No. Canal]],$C$2:$C$37,0),2)</f>
        <v>593</v>
      </c>
      <c r="I464" s="28" t="s">
        <v>1411</v>
      </c>
      <c r="J464" s="28" t="s">
        <v>154</v>
      </c>
      <c r="K464" s="28" t="str">
        <f t="shared" si="13"/>
        <v>La CejaAntioquia</v>
      </c>
      <c r="L464" s="28"/>
      <c r="M464" s="28"/>
      <c r="N464" s="28"/>
      <c r="O464" s="28"/>
      <c r="P464" s="28"/>
      <c r="Q464" s="28"/>
      <c r="R464" s="28"/>
      <c r="S464" s="28"/>
      <c r="T464" s="28"/>
      <c r="U464" s="41"/>
      <c r="V464" s="41"/>
      <c r="W464" s="41"/>
      <c r="X464" s="28"/>
      <c r="Y464" s="28"/>
      <c r="Z464" s="28"/>
      <c r="AA464" s="28"/>
      <c r="AB464" s="28"/>
      <c r="AC464" s="28"/>
      <c r="AD464" s="28"/>
    </row>
    <row r="465" spans="1:30" x14ac:dyDescent="0.35">
      <c r="A465" s="28" t="s">
        <v>1412</v>
      </c>
      <c r="B465" s="28" t="s">
        <v>1413</v>
      </c>
      <c r="C465" s="22">
        <v>35</v>
      </c>
      <c r="D465" s="28">
        <v>1590</v>
      </c>
      <c r="E465" s="30">
        <v>42986</v>
      </c>
      <c r="F465" s="28" t="s">
        <v>1236</v>
      </c>
      <c r="G465" s="28">
        <f>INDEX($C$2:$D$37,MATCH(RESOLUCIONES[[#This Row],[No. Canal]],$C$2:$C$37,0),2)</f>
        <v>599</v>
      </c>
      <c r="I465" s="28" t="s">
        <v>1414</v>
      </c>
      <c r="J465" s="28" t="s">
        <v>405</v>
      </c>
      <c r="K465" s="28" t="str">
        <f t="shared" si="13"/>
        <v>La CeliaRisaralda</v>
      </c>
      <c r="L465" s="28"/>
      <c r="M465" s="28"/>
      <c r="N465" s="28"/>
      <c r="O465" s="28"/>
      <c r="P465" s="28"/>
      <c r="Q465" s="28"/>
      <c r="R465" s="28"/>
      <c r="S465" s="28"/>
      <c r="T465" s="28"/>
      <c r="U465" s="41"/>
      <c r="V465" s="41"/>
      <c r="W465" s="41"/>
      <c r="X465" s="28"/>
      <c r="Y465" s="28"/>
      <c r="Z465" s="28"/>
      <c r="AA465" s="28"/>
      <c r="AB465" s="28"/>
      <c r="AC465" s="28"/>
      <c r="AD465" s="28"/>
    </row>
    <row r="466" spans="1:30" x14ac:dyDescent="0.35">
      <c r="A466" s="28" t="s">
        <v>1415</v>
      </c>
      <c r="B466" s="28" t="s">
        <v>1416</v>
      </c>
      <c r="C466" s="21">
        <v>40</v>
      </c>
      <c r="D466" s="28">
        <v>1984</v>
      </c>
      <c r="E466" s="30">
        <v>43462</v>
      </c>
      <c r="F466" s="28" t="s">
        <v>1226</v>
      </c>
      <c r="G466" s="28">
        <f>INDEX($C$2:$D$37,MATCH(RESOLUCIONES[[#This Row],[No. Canal]],$C$2:$C$37,0),2)</f>
        <v>629</v>
      </c>
      <c r="I466" s="28" t="s">
        <v>1417</v>
      </c>
      <c r="J466" s="28" t="s">
        <v>155</v>
      </c>
      <c r="K466" s="28" t="str">
        <f t="shared" si="13"/>
        <v>La ChorreraAmazonas</v>
      </c>
      <c r="L466" s="28"/>
      <c r="M466" s="28"/>
      <c r="N466" s="28"/>
      <c r="O466" s="28"/>
      <c r="P466" s="28"/>
      <c r="Q466" s="28"/>
      <c r="R466" s="28"/>
      <c r="S466" s="28"/>
      <c r="T466" s="28"/>
      <c r="U466" s="41"/>
      <c r="V466" s="41"/>
      <c r="W466" s="41"/>
      <c r="X466" s="28"/>
      <c r="Y466" s="28"/>
      <c r="Z466" s="28"/>
      <c r="AA466" s="28"/>
      <c r="AB466" s="28"/>
      <c r="AC466" s="28"/>
      <c r="AD466" s="28"/>
    </row>
    <row r="467" spans="1:30" x14ac:dyDescent="0.35">
      <c r="A467" s="28" t="s">
        <v>1418</v>
      </c>
      <c r="B467" s="28" t="s">
        <v>1419</v>
      </c>
      <c r="C467" s="21">
        <v>18</v>
      </c>
      <c r="D467" s="28">
        <v>1984</v>
      </c>
      <c r="E467" s="30">
        <v>43462</v>
      </c>
      <c r="F467" s="28" t="s">
        <v>1226</v>
      </c>
      <c r="G467" s="28">
        <f>INDEX($C$2:$D$37,MATCH(RESOLUCIONES[[#This Row],[No. Canal]],$C$2:$C$37,0),2)</f>
        <v>497</v>
      </c>
      <c r="I467" s="28" t="s">
        <v>1420</v>
      </c>
      <c r="J467" s="28" t="s">
        <v>352</v>
      </c>
      <c r="K467" s="28" t="str">
        <f t="shared" si="13"/>
        <v>La CruzNariño</v>
      </c>
      <c r="L467" s="28"/>
      <c r="M467" s="28"/>
      <c r="N467" s="28"/>
      <c r="O467" s="28"/>
      <c r="P467" s="28"/>
      <c r="Q467" s="28"/>
      <c r="R467" s="28"/>
      <c r="S467" s="28"/>
      <c r="T467" s="28"/>
      <c r="U467" s="41"/>
      <c r="V467" s="41"/>
      <c r="W467" s="41"/>
      <c r="X467" s="28"/>
      <c r="Y467" s="28"/>
      <c r="Z467" s="28"/>
      <c r="AA467" s="28"/>
      <c r="AB467" s="28"/>
      <c r="AC467" s="28"/>
      <c r="AD467" s="28"/>
    </row>
    <row r="468" spans="1:30" x14ac:dyDescent="0.35">
      <c r="A468" s="28" t="s">
        <v>1421</v>
      </c>
      <c r="B468" s="28" t="s">
        <v>1422</v>
      </c>
      <c r="C468" s="22">
        <v>16</v>
      </c>
      <c r="D468" s="28">
        <v>1590</v>
      </c>
      <c r="E468" s="30">
        <v>42986</v>
      </c>
      <c r="F468" s="28" t="s">
        <v>1236</v>
      </c>
      <c r="G468" s="28">
        <f>INDEX($C$2:$D$37,MATCH(RESOLUCIONES[[#This Row],[No. Canal]],$C$2:$C$37,0),2)</f>
        <v>485</v>
      </c>
      <c r="I468" s="28" t="s">
        <v>1423</v>
      </c>
      <c r="J468" s="28" t="s">
        <v>381</v>
      </c>
      <c r="K468" s="28" t="str">
        <f t="shared" si="13"/>
        <v>La CumbreValle del Cauca</v>
      </c>
      <c r="L468" s="28"/>
      <c r="M468" s="28"/>
      <c r="N468" s="28"/>
      <c r="O468" s="28"/>
      <c r="P468" s="28"/>
      <c r="Q468" s="28"/>
      <c r="R468" s="28"/>
      <c r="S468" s="28"/>
      <c r="T468" s="28"/>
      <c r="U468" s="41"/>
      <c r="V468" s="41"/>
      <c r="W468" s="41"/>
      <c r="X468" s="28"/>
      <c r="Y468" s="28"/>
      <c r="Z468" s="28"/>
      <c r="AA468" s="28"/>
      <c r="AB468" s="28"/>
      <c r="AC468" s="28"/>
      <c r="AD468" s="28"/>
    </row>
    <row r="469" spans="1:30" x14ac:dyDescent="0.35">
      <c r="A469" s="28" t="s">
        <v>1424</v>
      </c>
      <c r="B469" s="28" t="s">
        <v>1425</v>
      </c>
      <c r="C469" s="21">
        <v>16</v>
      </c>
      <c r="D469" s="28">
        <v>1046</v>
      </c>
      <c r="E469" s="30">
        <v>44005</v>
      </c>
      <c r="F469" s="28" t="s">
        <v>1268</v>
      </c>
      <c r="G469" s="28">
        <f>INDEX($C$2:$D$37,MATCH(RESOLUCIONES[[#This Row],[No. Canal]],$C$2:$C$37,0),2)</f>
        <v>485</v>
      </c>
      <c r="I469" s="28" t="s">
        <v>1426</v>
      </c>
      <c r="J469" s="28" t="s">
        <v>284</v>
      </c>
      <c r="K469" s="28" t="str">
        <f t="shared" si="13"/>
        <v>La DoradaCaldas</v>
      </c>
      <c r="L469" s="28"/>
      <c r="M469" s="28"/>
      <c r="N469" s="28"/>
      <c r="O469" s="28"/>
      <c r="P469" s="28"/>
      <c r="Q469" s="28"/>
      <c r="R469" s="28"/>
      <c r="S469" s="28"/>
      <c r="T469" s="28"/>
      <c r="U469" s="41"/>
      <c r="V469" s="41"/>
      <c r="W469" s="41"/>
      <c r="X469" s="28"/>
      <c r="Y469" s="28"/>
      <c r="Z469" s="28"/>
      <c r="AA469" s="28"/>
      <c r="AB469" s="28"/>
      <c r="AC469" s="28"/>
      <c r="AD469" s="28"/>
    </row>
    <row r="470" spans="1:30" x14ac:dyDescent="0.35">
      <c r="A470" s="28" t="s">
        <v>1427</v>
      </c>
      <c r="B470" s="28" t="s">
        <v>1428</v>
      </c>
      <c r="C470" s="21">
        <v>18</v>
      </c>
      <c r="D470" s="28">
        <v>1984</v>
      </c>
      <c r="E470" s="30">
        <v>43462</v>
      </c>
      <c r="F470" s="28" t="s">
        <v>1226</v>
      </c>
      <c r="G470" s="28">
        <f>INDEX($C$2:$D$37,MATCH(RESOLUCIONES[[#This Row],[No. Canal]],$C$2:$C$37,0),2)</f>
        <v>497</v>
      </c>
      <c r="I470" s="28" t="s">
        <v>1429</v>
      </c>
      <c r="J470" s="28" t="s">
        <v>190</v>
      </c>
      <c r="K470" s="28" t="str">
        <f t="shared" si="13"/>
        <v>La EsperanzaNorte de Santander</v>
      </c>
      <c r="L470" s="28"/>
      <c r="M470" s="28"/>
      <c r="N470" s="28"/>
      <c r="O470" s="28"/>
      <c r="P470" s="28"/>
      <c r="Q470" s="28"/>
      <c r="R470" s="28"/>
      <c r="S470" s="28"/>
      <c r="T470" s="28"/>
      <c r="U470" s="41"/>
      <c r="V470" s="41"/>
      <c r="W470" s="41"/>
      <c r="X470" s="28"/>
      <c r="Y470" s="28"/>
      <c r="Z470" s="28"/>
      <c r="AA470" s="28"/>
      <c r="AB470" s="28"/>
      <c r="AC470" s="28"/>
      <c r="AD470" s="28"/>
    </row>
    <row r="471" spans="1:30" x14ac:dyDescent="0.35">
      <c r="A471" s="28" t="s">
        <v>1430</v>
      </c>
      <c r="B471" s="28" t="s">
        <v>1431</v>
      </c>
      <c r="C471" s="21">
        <v>18</v>
      </c>
      <c r="D471" s="28">
        <v>1984</v>
      </c>
      <c r="E471" s="30">
        <v>43462</v>
      </c>
      <c r="F471" s="28" t="s">
        <v>1226</v>
      </c>
      <c r="G471" s="28">
        <f>INDEX($C$2:$D$37,MATCH(RESOLUCIONES[[#This Row],[No. Canal]],$C$2:$C$37,0),2)</f>
        <v>497</v>
      </c>
      <c r="I471" s="28" t="s">
        <v>1432</v>
      </c>
      <c r="J471" s="28" t="s">
        <v>154</v>
      </c>
      <c r="K471" s="28" t="str">
        <f t="shared" si="13"/>
        <v>La EstrellaAntioquia</v>
      </c>
      <c r="L471" s="28"/>
      <c r="M471" s="28"/>
      <c r="N471" s="28"/>
      <c r="O471" s="28"/>
      <c r="P471" s="28"/>
      <c r="Q471" s="28"/>
      <c r="R471" s="28"/>
      <c r="S471" s="28"/>
      <c r="T471" s="28"/>
      <c r="U471" s="41"/>
      <c r="V471" s="41"/>
      <c r="W471" s="41"/>
      <c r="X471" s="28"/>
      <c r="Y471" s="28"/>
      <c r="Z471" s="28"/>
      <c r="AA471" s="28"/>
      <c r="AB471" s="28"/>
      <c r="AC471" s="28"/>
      <c r="AD471" s="28"/>
    </row>
    <row r="472" spans="1:30" x14ac:dyDescent="0.35">
      <c r="A472" s="28" t="s">
        <v>1433</v>
      </c>
      <c r="B472" s="28" t="s">
        <v>1434</v>
      </c>
      <c r="C472" s="21">
        <v>26</v>
      </c>
      <c r="D472" s="28">
        <v>1984</v>
      </c>
      <c r="E472" s="30">
        <v>43462</v>
      </c>
      <c r="F472" s="28" t="s">
        <v>1226</v>
      </c>
      <c r="G472" s="28">
        <f>INDEX($C$2:$D$37,MATCH(RESOLUCIONES[[#This Row],[No. Canal]],$C$2:$C$37,0),2)</f>
        <v>545</v>
      </c>
      <c r="I472" s="28" t="s">
        <v>1435</v>
      </c>
      <c r="J472" s="28" t="s">
        <v>352</v>
      </c>
      <c r="K472" s="28" t="str">
        <f t="shared" si="13"/>
        <v>La FloridaNariño</v>
      </c>
      <c r="L472" s="28"/>
      <c r="M472" s="28"/>
      <c r="N472" s="28"/>
      <c r="O472" s="28"/>
      <c r="P472" s="28"/>
      <c r="Q472" s="28"/>
      <c r="R472" s="28"/>
      <c r="S472" s="28"/>
      <c r="T472" s="28"/>
      <c r="U472" s="41"/>
      <c r="V472" s="41"/>
      <c r="W472" s="41"/>
      <c r="X472" s="28"/>
      <c r="Y472" s="28"/>
      <c r="Z472" s="28"/>
      <c r="AA472" s="28"/>
      <c r="AB472" s="28"/>
      <c r="AC472" s="28"/>
      <c r="AD472" s="28"/>
    </row>
    <row r="473" spans="1:30" x14ac:dyDescent="0.35">
      <c r="A473" s="28" t="s">
        <v>1436</v>
      </c>
      <c r="B473" s="28" t="s">
        <v>1437</v>
      </c>
      <c r="C473" s="21">
        <v>18</v>
      </c>
      <c r="D473" s="28">
        <v>446</v>
      </c>
      <c r="E473" s="30">
        <v>43200</v>
      </c>
      <c r="F473" s="28" t="s">
        <v>1438</v>
      </c>
      <c r="G473" s="28">
        <f>INDEX($C$2:$D$37,MATCH(RESOLUCIONES[[#This Row],[No. Canal]],$C$2:$C$37,0),2)</f>
        <v>497</v>
      </c>
      <c r="I473" s="28" t="s">
        <v>1439</v>
      </c>
      <c r="J473" s="28" t="s">
        <v>293</v>
      </c>
      <c r="K473" s="28" t="str">
        <f t="shared" si="13"/>
        <v>La GloriaCesar</v>
      </c>
      <c r="L473" s="28"/>
      <c r="M473" s="28"/>
      <c r="N473" s="28"/>
      <c r="O473" s="28"/>
      <c r="P473" s="28"/>
      <c r="Q473" s="28"/>
      <c r="R473" s="28"/>
      <c r="S473" s="28"/>
      <c r="T473" s="28"/>
      <c r="U473" s="41"/>
      <c r="V473" s="41"/>
      <c r="W473" s="41"/>
      <c r="X473" s="28"/>
      <c r="Y473" s="28"/>
      <c r="Z473" s="28"/>
      <c r="AA473" s="28"/>
      <c r="AB473" s="28"/>
      <c r="AC473" s="28"/>
      <c r="AD473" s="28"/>
    </row>
    <row r="474" spans="1:30" x14ac:dyDescent="0.35">
      <c r="A474" s="28" t="s">
        <v>1440</v>
      </c>
      <c r="B474" s="28" t="s">
        <v>1441</v>
      </c>
      <c r="C474" s="21">
        <v>22</v>
      </c>
      <c r="D474" s="28">
        <v>1046</v>
      </c>
      <c r="E474" s="30">
        <v>44005</v>
      </c>
      <c r="F474" s="28" t="s">
        <v>1268</v>
      </c>
      <c r="G474" s="28">
        <f>INDEX($C$2:$D$37,MATCH(RESOLUCIONES[[#This Row],[No. Canal]],$C$2:$C$37,0),2)</f>
        <v>521</v>
      </c>
      <c r="I474" s="28" t="s">
        <v>1442</v>
      </c>
      <c r="J474" s="28" t="s">
        <v>353</v>
      </c>
      <c r="K474" s="28" t="str">
        <f t="shared" si="13"/>
        <v>La GuadalupeGuainia</v>
      </c>
      <c r="L474" s="28"/>
      <c r="M474" s="28"/>
      <c r="N474" s="28"/>
      <c r="O474" s="28"/>
      <c r="P474" s="28"/>
      <c r="Q474" s="28"/>
      <c r="R474" s="28"/>
      <c r="S474" s="28"/>
      <c r="T474" s="28"/>
      <c r="U474" s="41"/>
      <c r="V474" s="41"/>
      <c r="W474" s="41"/>
      <c r="X474" s="28"/>
      <c r="Y474" s="28"/>
      <c r="Z474" s="28"/>
      <c r="AA474" s="28"/>
      <c r="AB474" s="28"/>
      <c r="AC474" s="28"/>
      <c r="AD474" s="28"/>
    </row>
    <row r="475" spans="1:30" x14ac:dyDescent="0.35">
      <c r="A475" s="28" t="s">
        <v>1443</v>
      </c>
      <c r="B475" s="28" t="s">
        <v>1444</v>
      </c>
      <c r="C475" s="21">
        <v>18</v>
      </c>
      <c r="D475" s="28">
        <v>1984</v>
      </c>
      <c r="E475" s="30">
        <v>43462</v>
      </c>
      <c r="F475" s="28" t="s">
        <v>1226</v>
      </c>
      <c r="G475" s="28">
        <f>INDEX($C$2:$D$37,MATCH(RESOLUCIONES[[#This Row],[No. Canal]],$C$2:$C$37,0),2)</f>
        <v>497</v>
      </c>
      <c r="I475" s="28" t="s">
        <v>1445</v>
      </c>
      <c r="J475" s="28" t="s">
        <v>293</v>
      </c>
      <c r="K475" s="28" t="str">
        <f t="shared" si="13"/>
        <v>La Jagua de IbiricoCesar</v>
      </c>
      <c r="L475" s="28"/>
      <c r="M475" s="28"/>
      <c r="N475" s="28"/>
      <c r="O475" s="28"/>
      <c r="P475" s="28"/>
      <c r="Q475" s="28"/>
      <c r="R475" s="28"/>
      <c r="S475" s="28"/>
      <c r="T475" s="28"/>
      <c r="U475" s="41"/>
      <c r="V475" s="41"/>
      <c r="W475" s="41"/>
      <c r="X475" s="28"/>
      <c r="Y475" s="28"/>
      <c r="Z475" s="28"/>
      <c r="AA475" s="28"/>
      <c r="AB475" s="28"/>
      <c r="AC475" s="28"/>
      <c r="AD475" s="28"/>
    </row>
    <row r="476" spans="1:30" x14ac:dyDescent="0.35">
      <c r="A476" s="28" t="s">
        <v>1446</v>
      </c>
      <c r="B476" s="28" t="s">
        <v>1447</v>
      </c>
      <c r="C476" s="21">
        <v>40</v>
      </c>
      <c r="D476" s="28">
        <v>1046</v>
      </c>
      <c r="E476" s="30">
        <v>44005</v>
      </c>
      <c r="F476" s="28" t="s">
        <v>1268</v>
      </c>
      <c r="G476" s="28">
        <f>INDEX($C$2:$D$37,MATCH(RESOLUCIONES[[#This Row],[No. Canal]],$C$2:$C$37,0),2)</f>
        <v>629</v>
      </c>
      <c r="I476" s="28" t="s">
        <v>1448</v>
      </c>
      <c r="J476" s="28" t="s">
        <v>369</v>
      </c>
      <c r="K476" s="28" t="str">
        <f t="shared" si="13"/>
        <v>La Jagua del PilarLa Guajira</v>
      </c>
      <c r="L476" s="28"/>
      <c r="M476" s="28"/>
      <c r="N476" s="28"/>
      <c r="O476" s="28"/>
      <c r="P476" s="28"/>
      <c r="Q476" s="28"/>
      <c r="R476" s="28"/>
      <c r="S476" s="28"/>
      <c r="T476" s="28"/>
      <c r="U476" s="41"/>
      <c r="V476" s="41"/>
      <c r="W476" s="41"/>
      <c r="X476" s="28"/>
      <c r="Y476" s="28"/>
      <c r="Z476" s="28"/>
      <c r="AA476" s="28"/>
      <c r="AB476" s="28"/>
      <c r="AC476" s="28"/>
      <c r="AD476" s="28"/>
    </row>
    <row r="477" spans="1:30" x14ac:dyDescent="0.35">
      <c r="A477" s="28" t="s">
        <v>1449</v>
      </c>
      <c r="B477" s="28" t="s">
        <v>1450</v>
      </c>
      <c r="C477" s="21">
        <v>18</v>
      </c>
      <c r="D477" s="28">
        <v>1984</v>
      </c>
      <c r="E477" s="30">
        <v>43462</v>
      </c>
      <c r="F477" s="28" t="s">
        <v>1226</v>
      </c>
      <c r="G477" s="28">
        <f>INDEX($C$2:$D$37,MATCH(RESOLUCIONES[[#This Row],[No. Canal]],$C$2:$C$37,0),2)</f>
        <v>497</v>
      </c>
      <c r="I477" s="28" t="s">
        <v>1451</v>
      </c>
      <c r="J477" s="28" t="s">
        <v>352</v>
      </c>
      <c r="K477" s="28" t="str">
        <f t="shared" si="13"/>
        <v>La LlanadaNariño</v>
      </c>
      <c r="L477" s="28"/>
      <c r="M477" s="28"/>
      <c r="N477" s="28"/>
      <c r="O477" s="28"/>
      <c r="P477" s="28"/>
      <c r="Q477" s="28"/>
      <c r="R477" s="28"/>
      <c r="S477" s="28"/>
      <c r="T477" s="28"/>
      <c r="U477" s="41"/>
      <c r="V477" s="41"/>
      <c r="W477" s="41"/>
      <c r="X477" s="28"/>
      <c r="Y477" s="28"/>
      <c r="Z477" s="28"/>
      <c r="AA477" s="28"/>
      <c r="AB477" s="28"/>
      <c r="AC477" s="28"/>
      <c r="AD477" s="28"/>
    </row>
    <row r="478" spans="1:30" x14ac:dyDescent="0.35">
      <c r="A478" s="28" t="s">
        <v>1452</v>
      </c>
      <c r="B478" s="28" t="s">
        <v>1453</v>
      </c>
      <c r="C478" s="21">
        <v>34</v>
      </c>
      <c r="D478" s="28">
        <v>1984</v>
      </c>
      <c r="E478" s="30">
        <v>43462</v>
      </c>
      <c r="F478" s="28" t="s">
        <v>1226</v>
      </c>
      <c r="G478" s="28">
        <f>INDEX($C$2:$D$37,MATCH(RESOLUCIONES[[#This Row],[No. Canal]],$C$2:$C$37,0),2)</f>
        <v>593</v>
      </c>
      <c r="I478" s="28" t="s">
        <v>1454</v>
      </c>
      <c r="J478" s="28" t="s">
        <v>210</v>
      </c>
      <c r="K478" s="28" t="str">
        <f t="shared" si="13"/>
        <v>La MacarenaMeta</v>
      </c>
      <c r="L478" s="28"/>
      <c r="M478" s="28"/>
      <c r="N478" s="28"/>
      <c r="O478" s="28"/>
      <c r="P478" s="28"/>
      <c r="Q478" s="28"/>
      <c r="R478" s="28"/>
      <c r="S478" s="28"/>
      <c r="T478" s="28"/>
      <c r="U478" s="41"/>
      <c r="V478" s="41"/>
      <c r="W478" s="41"/>
      <c r="X478" s="28"/>
      <c r="Y478" s="28"/>
      <c r="Z478" s="28"/>
      <c r="AA478" s="28"/>
      <c r="AB478" s="28"/>
      <c r="AC478" s="28"/>
      <c r="AD478" s="28"/>
    </row>
    <row r="479" spans="1:30" x14ac:dyDescent="0.35">
      <c r="A479" s="28" t="s">
        <v>1455</v>
      </c>
      <c r="B479" s="28" t="s">
        <v>1456</v>
      </c>
      <c r="C479" s="21">
        <v>16</v>
      </c>
      <c r="D479" s="28">
        <v>1984</v>
      </c>
      <c r="E479" s="30">
        <v>43462</v>
      </c>
      <c r="F479" s="28" t="s">
        <v>1226</v>
      </c>
      <c r="G479" s="28">
        <f>INDEX($C$2:$D$37,MATCH(RESOLUCIONES[[#This Row],[No. Canal]],$C$2:$C$37,0),2)</f>
        <v>485</v>
      </c>
      <c r="I479" s="28" t="s">
        <v>1457</v>
      </c>
      <c r="J479" s="28" t="s">
        <v>284</v>
      </c>
      <c r="K479" s="28" t="str">
        <f t="shared" si="13"/>
        <v>La MercedCaldas</v>
      </c>
      <c r="L479" s="28"/>
      <c r="M479" s="28"/>
      <c r="N479" s="28"/>
      <c r="O479" s="28"/>
      <c r="P479" s="28"/>
      <c r="Q479" s="28"/>
      <c r="R479" s="28"/>
      <c r="S479" s="28"/>
      <c r="T479" s="28"/>
      <c r="U479" s="41"/>
      <c r="V479" s="41"/>
      <c r="W479" s="41"/>
      <c r="X479" s="28"/>
      <c r="Y479" s="28"/>
      <c r="Z479" s="28"/>
      <c r="AA479" s="28"/>
      <c r="AB479" s="28"/>
      <c r="AC479" s="28"/>
      <c r="AD479" s="28"/>
    </row>
    <row r="480" spans="1:30" x14ac:dyDescent="0.35">
      <c r="A480" s="28" t="s">
        <v>1458</v>
      </c>
      <c r="B480" s="28" t="s">
        <v>1459</v>
      </c>
      <c r="C480" s="21">
        <v>16</v>
      </c>
      <c r="D480" s="28">
        <v>1046</v>
      </c>
      <c r="E480" s="30">
        <v>44005</v>
      </c>
      <c r="F480" s="28" t="s">
        <v>1268</v>
      </c>
      <c r="G480" s="28">
        <f>INDEX($C$2:$D$37,MATCH(RESOLUCIONES[[#This Row],[No. Canal]],$C$2:$C$37,0),2)</f>
        <v>485</v>
      </c>
      <c r="I480" s="28" t="s">
        <v>1460</v>
      </c>
      <c r="J480" s="28" t="s">
        <v>283</v>
      </c>
      <c r="K480" s="28" t="str">
        <f t="shared" si="13"/>
        <v>La MesaCundinamarca</v>
      </c>
      <c r="L480" s="28"/>
      <c r="M480" s="28"/>
      <c r="N480" s="28"/>
      <c r="O480" s="28"/>
      <c r="P480" s="28"/>
      <c r="Q480" s="28"/>
      <c r="R480" s="28"/>
      <c r="S480" s="28"/>
      <c r="T480" s="28"/>
      <c r="U480" s="41"/>
      <c r="V480" s="41"/>
      <c r="W480" s="41"/>
      <c r="X480" s="28"/>
      <c r="Y480" s="28"/>
      <c r="Z480" s="28"/>
      <c r="AA480" s="28"/>
      <c r="AB480" s="28"/>
      <c r="AC480" s="28"/>
      <c r="AD480" s="28"/>
    </row>
    <row r="481" spans="1:30" x14ac:dyDescent="0.35">
      <c r="A481" s="28" t="s">
        <v>1461</v>
      </c>
      <c r="B481" s="28" t="s">
        <v>1462</v>
      </c>
      <c r="C481" s="21">
        <v>36</v>
      </c>
      <c r="D481" s="28">
        <v>1984</v>
      </c>
      <c r="E481" s="30">
        <v>43462</v>
      </c>
      <c r="F481" s="28" t="s">
        <v>1226</v>
      </c>
      <c r="G481" s="28">
        <f>INDEX($C$2:$D$37,MATCH(RESOLUCIONES[[#This Row],[No. Canal]],$C$2:$C$37,0),2)</f>
        <v>605</v>
      </c>
      <c r="I481" s="28" t="s">
        <v>1463</v>
      </c>
      <c r="J481" s="28" t="s">
        <v>294</v>
      </c>
      <c r="K481" s="28" t="str">
        <f t="shared" si="13"/>
        <v>La MontañitaCaqueta</v>
      </c>
      <c r="L481" s="28"/>
      <c r="M481" s="28"/>
      <c r="N481" s="28"/>
      <c r="O481" s="28"/>
      <c r="P481" s="28"/>
      <c r="Q481" s="28"/>
      <c r="R481" s="28"/>
      <c r="S481" s="28"/>
      <c r="T481" s="28"/>
      <c r="U481" s="41"/>
      <c r="V481" s="41"/>
      <c r="W481" s="41"/>
      <c r="X481" s="28"/>
      <c r="Y481" s="28"/>
      <c r="Z481" s="28"/>
      <c r="AA481" s="28"/>
      <c r="AB481" s="28"/>
      <c r="AC481" s="28"/>
      <c r="AD481" s="28"/>
    </row>
    <row r="482" spans="1:30" x14ac:dyDescent="0.35">
      <c r="A482" s="28" t="s">
        <v>1464</v>
      </c>
      <c r="B482" s="28" t="s">
        <v>1465</v>
      </c>
      <c r="C482" s="21">
        <v>16</v>
      </c>
      <c r="D482" s="28">
        <v>1984</v>
      </c>
      <c r="E482" s="30">
        <v>43462</v>
      </c>
      <c r="F482" s="28" t="s">
        <v>1226</v>
      </c>
      <c r="G482" s="28">
        <f>INDEX($C$2:$D$37,MATCH(RESOLUCIONES[[#This Row],[No. Canal]],$C$2:$C$37,0),2)</f>
        <v>485</v>
      </c>
      <c r="I482" s="28" t="s">
        <v>1466</v>
      </c>
      <c r="J482" s="28" t="s">
        <v>283</v>
      </c>
      <c r="K482" s="28" t="str">
        <f t="shared" si="13"/>
        <v>La PalmaCundinamarca</v>
      </c>
      <c r="L482" s="28"/>
      <c r="M482" s="28"/>
      <c r="N482" s="28"/>
      <c r="O482" s="28"/>
      <c r="P482" s="28"/>
      <c r="Q482" s="28"/>
      <c r="R482" s="28"/>
      <c r="S482" s="28"/>
      <c r="T482" s="28"/>
      <c r="U482" s="41"/>
      <c r="V482" s="41"/>
      <c r="W482" s="41"/>
      <c r="X482" s="28"/>
      <c r="Y482" s="28"/>
      <c r="Z482" s="28"/>
      <c r="AA482" s="28"/>
      <c r="AB482" s="28"/>
      <c r="AC482" s="28"/>
      <c r="AD482" s="28"/>
    </row>
    <row r="483" spans="1:30" x14ac:dyDescent="0.35">
      <c r="A483" s="28" t="s">
        <v>232</v>
      </c>
      <c r="B483" s="28" t="s">
        <v>1467</v>
      </c>
      <c r="C483" s="23">
        <v>18</v>
      </c>
      <c r="D483" s="23">
        <v>2946</v>
      </c>
      <c r="E483" s="30">
        <v>45149</v>
      </c>
      <c r="F483" s="28" t="s">
        <v>1468</v>
      </c>
      <c r="G483" s="23">
        <f>INDEX($C$2:$D$37,MATCH(RESOLUCIONES[[#This Row],[No. Canal]],$C$2:$C$37,0),2)</f>
        <v>497</v>
      </c>
      <c r="I483" s="28" t="s">
        <v>1469</v>
      </c>
      <c r="J483" s="28" t="s">
        <v>293</v>
      </c>
      <c r="K483" s="28" t="str">
        <f t="shared" si="13"/>
        <v>La PazCesar</v>
      </c>
      <c r="L483" s="28"/>
      <c r="M483" s="28"/>
      <c r="N483" s="28"/>
      <c r="O483" s="28"/>
      <c r="P483" s="28"/>
      <c r="Q483" s="28"/>
      <c r="R483" s="28"/>
      <c r="S483" s="28"/>
      <c r="T483" s="28"/>
      <c r="U483" s="41"/>
      <c r="V483" s="41"/>
      <c r="W483" s="41"/>
      <c r="X483" s="28"/>
      <c r="Y483" s="28"/>
      <c r="Z483" s="28"/>
      <c r="AA483" s="28"/>
      <c r="AB483" s="28"/>
      <c r="AC483" s="28"/>
      <c r="AD483" s="28"/>
    </row>
    <row r="484" spans="1:30" x14ac:dyDescent="0.35">
      <c r="A484" s="28" t="s">
        <v>454</v>
      </c>
      <c r="B484" s="28" t="s">
        <v>1470</v>
      </c>
      <c r="C484" s="23">
        <v>22</v>
      </c>
      <c r="D484" s="28">
        <v>1043</v>
      </c>
      <c r="E484" s="30">
        <v>44651</v>
      </c>
      <c r="F484" s="28" t="s">
        <v>1471</v>
      </c>
      <c r="G484" s="28">
        <f>INDEX($C$2:$D$37,MATCH(RESOLUCIONES[[#This Row],[No. Canal]],$C$2:$C$37,0),2)</f>
        <v>521</v>
      </c>
      <c r="I484" s="28" t="s">
        <v>1469</v>
      </c>
      <c r="J484" s="28" t="s">
        <v>304</v>
      </c>
      <c r="K484" s="28" t="str">
        <f t="shared" si="13"/>
        <v>La PazSantander</v>
      </c>
      <c r="L484" s="28"/>
      <c r="M484" s="28"/>
      <c r="N484" s="28"/>
      <c r="O484" s="28"/>
      <c r="P484" s="28"/>
      <c r="Q484" s="28"/>
      <c r="R484" s="28"/>
      <c r="S484" s="28"/>
      <c r="T484" s="28"/>
      <c r="U484" s="41"/>
      <c r="V484" s="41"/>
      <c r="W484" s="41"/>
      <c r="X484" s="28"/>
      <c r="Y484" s="28"/>
      <c r="Z484" s="28"/>
      <c r="AA484" s="28"/>
      <c r="AB484" s="28"/>
      <c r="AC484" s="28"/>
      <c r="AD484" s="28"/>
    </row>
    <row r="485" spans="1:30" x14ac:dyDescent="0.35">
      <c r="A485" s="28" t="s">
        <v>48</v>
      </c>
      <c r="B485" s="28" t="s">
        <v>1472</v>
      </c>
      <c r="C485" s="23">
        <v>38</v>
      </c>
      <c r="D485" s="23">
        <v>2946</v>
      </c>
      <c r="E485" s="30">
        <v>45149</v>
      </c>
      <c r="F485" s="28" t="s">
        <v>1468</v>
      </c>
      <c r="G485" s="94">
        <f>INDEX($C$2:$D$37,MATCH(RESOLUCIONES[[#This Row],[No. Canal]],$C$2:$C$37,0),2)</f>
        <v>617</v>
      </c>
      <c r="I485" s="28" t="s">
        <v>1473</v>
      </c>
      <c r="J485" s="28" t="s">
        <v>155</v>
      </c>
      <c r="K485" s="28" t="str">
        <f t="shared" si="13"/>
        <v>La PedreraAmazonas</v>
      </c>
      <c r="L485" s="28"/>
      <c r="M485" s="28"/>
      <c r="N485" s="28"/>
      <c r="O485" s="28"/>
      <c r="P485" s="28"/>
      <c r="Q485" s="28"/>
      <c r="R485" s="28"/>
      <c r="S485" s="28"/>
      <c r="T485" s="28"/>
      <c r="U485" s="41"/>
      <c r="V485" s="41"/>
      <c r="W485" s="41"/>
      <c r="X485" s="28"/>
      <c r="Y485" s="28"/>
      <c r="Z485" s="28"/>
      <c r="AA485" s="28"/>
      <c r="AB485" s="28"/>
      <c r="AC485" s="28"/>
      <c r="AD485" s="28"/>
    </row>
    <row r="486" spans="1:30" x14ac:dyDescent="0.35">
      <c r="A486" s="28" t="s">
        <v>465</v>
      </c>
      <c r="B486" s="28" t="s">
        <v>1474</v>
      </c>
      <c r="C486" s="23">
        <v>16</v>
      </c>
      <c r="D486" s="23">
        <v>2946</v>
      </c>
      <c r="E486" s="30">
        <v>45149</v>
      </c>
      <c r="F486" s="28" t="s">
        <v>1468</v>
      </c>
      <c r="G486" s="23">
        <f>INDEX($C$2:$D$37,MATCH(RESOLUCIONES[[#This Row],[No. Canal]],$C$2:$C$37,0),2)</f>
        <v>485</v>
      </c>
      <c r="I486" s="28" t="s">
        <v>1475</v>
      </c>
      <c r="J486" s="28" t="s">
        <v>283</v>
      </c>
      <c r="K486" s="28" t="str">
        <f t="shared" si="13"/>
        <v>La PeñaCundinamarca</v>
      </c>
      <c r="L486" s="28"/>
      <c r="M486" s="28"/>
      <c r="N486" s="28"/>
      <c r="O486" s="28"/>
      <c r="P486" s="28"/>
      <c r="Q486" s="28"/>
      <c r="R486" s="28"/>
      <c r="S486" s="28"/>
      <c r="T486" s="28"/>
      <c r="U486" s="41"/>
      <c r="V486" s="41"/>
      <c r="W486" s="41"/>
      <c r="X486" s="28"/>
      <c r="Y486" s="28"/>
      <c r="Z486" s="28"/>
      <c r="AA486" s="28"/>
      <c r="AB486" s="28"/>
      <c r="AC486" s="28"/>
      <c r="AD486" s="28"/>
    </row>
    <row r="487" spans="1:30" x14ac:dyDescent="0.35">
      <c r="A487" s="28" t="s">
        <v>484</v>
      </c>
      <c r="B487" s="28" t="s">
        <v>1476</v>
      </c>
      <c r="C487" s="23">
        <v>16</v>
      </c>
      <c r="D487" s="23">
        <v>2946</v>
      </c>
      <c r="E487" s="30">
        <v>45149</v>
      </c>
      <c r="F487" s="28" t="s">
        <v>1468</v>
      </c>
      <c r="G487" s="23">
        <f>INDEX($C$2:$D$37,MATCH(RESOLUCIONES[[#This Row],[No. Canal]],$C$2:$C$37,0),2)</f>
        <v>485</v>
      </c>
      <c r="I487" s="28" t="s">
        <v>1477</v>
      </c>
      <c r="J487" s="28" t="s">
        <v>154</v>
      </c>
      <c r="K487" s="28" t="str">
        <f t="shared" si="13"/>
        <v>La PintadaAntioquia</v>
      </c>
      <c r="L487" s="28"/>
      <c r="M487" s="28"/>
      <c r="N487" s="28"/>
      <c r="O487" s="28"/>
      <c r="P487" s="28"/>
      <c r="Q487" s="28"/>
      <c r="R487" s="28"/>
      <c r="S487" s="28"/>
      <c r="T487" s="28"/>
      <c r="U487" s="41"/>
      <c r="V487" s="41"/>
      <c r="W487" s="41"/>
      <c r="X487" s="28"/>
      <c r="Y487" s="28"/>
      <c r="Z487" s="28"/>
      <c r="AA487" s="28"/>
      <c r="AB487" s="28"/>
      <c r="AC487" s="28"/>
      <c r="AD487" s="28"/>
    </row>
    <row r="488" spans="1:30" x14ac:dyDescent="0.35">
      <c r="A488" s="28" t="s">
        <v>486</v>
      </c>
      <c r="B488" s="28" t="s">
        <v>1478</v>
      </c>
      <c r="C488" s="23">
        <v>38</v>
      </c>
      <c r="D488" s="28">
        <v>1043</v>
      </c>
      <c r="E488" s="30">
        <v>44651</v>
      </c>
      <c r="F488" s="28" t="s">
        <v>1471</v>
      </c>
      <c r="G488" s="28">
        <f>INDEX($C$2:$D$37,MATCH(RESOLUCIONES[[#This Row],[No. Canal]],$C$2:$C$37,0),2)</f>
        <v>617</v>
      </c>
      <c r="I488" s="28" t="s">
        <v>1479</v>
      </c>
      <c r="J488" s="28" t="s">
        <v>245</v>
      </c>
      <c r="K488" s="28" t="str">
        <f t="shared" si="13"/>
        <v>La PlataHuila</v>
      </c>
      <c r="L488" s="28"/>
      <c r="M488" s="28"/>
      <c r="N488" s="28"/>
      <c r="O488" s="28"/>
      <c r="P488" s="28"/>
      <c r="Q488" s="28"/>
      <c r="R488" s="28"/>
      <c r="S488" s="28"/>
      <c r="T488" s="28"/>
      <c r="U488" s="41"/>
      <c r="V488" s="41"/>
      <c r="W488" s="41"/>
      <c r="X488" s="28"/>
      <c r="Y488" s="28"/>
      <c r="Z488" s="28"/>
      <c r="AA488" s="28"/>
      <c r="AB488" s="28"/>
      <c r="AC488" s="28"/>
      <c r="AD488" s="28"/>
    </row>
    <row r="489" spans="1:30" x14ac:dyDescent="0.35">
      <c r="A489" s="28" t="s">
        <v>488</v>
      </c>
      <c r="B489" s="28" t="s">
        <v>1480</v>
      </c>
      <c r="C489" s="23">
        <v>16</v>
      </c>
      <c r="D489" s="23">
        <v>2946</v>
      </c>
      <c r="E489" s="30">
        <v>45149</v>
      </c>
      <c r="F489" s="28" t="s">
        <v>1468</v>
      </c>
      <c r="G489" s="23">
        <f>INDEX($C$2:$D$37,MATCH(RESOLUCIONES[[#This Row],[No. Canal]],$C$2:$C$37,0),2)</f>
        <v>485</v>
      </c>
      <c r="I489" s="28" t="s">
        <v>1481</v>
      </c>
      <c r="J489" s="28" t="s">
        <v>190</v>
      </c>
      <c r="K489" s="28" t="str">
        <f t="shared" si="13"/>
        <v>La PlayaNorte de Santander</v>
      </c>
      <c r="L489" s="28"/>
      <c r="M489" s="28"/>
      <c r="N489" s="28"/>
      <c r="O489" s="28"/>
      <c r="P489" s="28"/>
      <c r="Q489" s="28"/>
      <c r="R489" s="28"/>
      <c r="S489" s="28"/>
      <c r="T489" s="28"/>
      <c r="U489" s="41"/>
      <c r="V489" s="41"/>
      <c r="W489" s="41"/>
      <c r="X489" s="28"/>
      <c r="Y489" s="28"/>
      <c r="Z489" s="28"/>
      <c r="AA489" s="28"/>
      <c r="AB489" s="28"/>
      <c r="AC489" s="28"/>
      <c r="AD489" s="28"/>
    </row>
    <row r="490" spans="1:30" x14ac:dyDescent="0.35">
      <c r="A490" s="28" t="s">
        <v>490</v>
      </c>
      <c r="B490" s="28" t="s">
        <v>1482</v>
      </c>
      <c r="C490" s="23">
        <v>16</v>
      </c>
      <c r="D490" s="23">
        <v>2946</v>
      </c>
      <c r="E490" s="30">
        <v>45149</v>
      </c>
      <c r="F490" s="28" t="s">
        <v>1468</v>
      </c>
      <c r="G490" s="23">
        <f>INDEX($C$2:$D$37,MATCH(RESOLUCIONES[[#This Row],[No. Canal]],$C$2:$C$37,0),2)</f>
        <v>485</v>
      </c>
      <c r="I490" s="28" t="s">
        <v>1483</v>
      </c>
      <c r="J490" s="28" t="s">
        <v>428</v>
      </c>
      <c r="K490" s="28" t="str">
        <f t="shared" si="13"/>
        <v>La PrimaveraVichada</v>
      </c>
      <c r="L490" s="28"/>
      <c r="M490" s="28"/>
      <c r="N490" s="28"/>
      <c r="O490" s="28"/>
      <c r="P490" s="28"/>
      <c r="Q490" s="28"/>
      <c r="R490" s="28"/>
      <c r="S490" s="28"/>
      <c r="T490" s="28"/>
      <c r="U490" s="41"/>
      <c r="V490" s="41"/>
      <c r="W490" s="41"/>
      <c r="X490" s="28"/>
      <c r="Y490" s="28"/>
      <c r="Z490" s="28"/>
      <c r="AA490" s="28"/>
      <c r="AB490" s="28"/>
      <c r="AC490" s="28"/>
      <c r="AD490" s="28"/>
    </row>
    <row r="491" spans="1:30" x14ac:dyDescent="0.35">
      <c r="A491" s="28" t="s">
        <v>510</v>
      </c>
      <c r="B491" s="28" t="s">
        <v>1484</v>
      </c>
      <c r="C491" s="23">
        <v>16</v>
      </c>
      <c r="D491" s="23">
        <v>2946</v>
      </c>
      <c r="E491" s="30">
        <v>45149</v>
      </c>
      <c r="F491" s="28" t="s">
        <v>1468</v>
      </c>
      <c r="G491" s="23">
        <f>INDEX($C$2:$D$37,MATCH(RESOLUCIONES[[#This Row],[No. Canal]],$C$2:$C$37,0),2)</f>
        <v>485</v>
      </c>
      <c r="I491" s="28" t="s">
        <v>1485</v>
      </c>
      <c r="J491" s="28" t="s">
        <v>305</v>
      </c>
      <c r="K491" s="28" t="str">
        <f t="shared" si="13"/>
        <v>La SalinaCasanare</v>
      </c>
      <c r="L491" s="28"/>
      <c r="M491" s="28"/>
      <c r="N491" s="28"/>
      <c r="O491" s="28"/>
      <c r="P491" s="28"/>
      <c r="Q491" s="28"/>
      <c r="R491" s="28"/>
      <c r="S491" s="28"/>
      <c r="T491" s="28"/>
      <c r="U491" s="41"/>
      <c r="V491" s="41"/>
      <c r="W491" s="41"/>
      <c r="X491" s="28"/>
      <c r="Y491" s="28"/>
      <c r="Z491" s="28"/>
      <c r="AA491" s="28"/>
      <c r="AB491" s="28"/>
      <c r="AC491" s="28"/>
      <c r="AD491" s="28"/>
    </row>
    <row r="492" spans="1:30" x14ac:dyDescent="0.35">
      <c r="A492" s="28" t="s">
        <v>532</v>
      </c>
      <c r="B492" s="28" t="s">
        <v>1486</v>
      </c>
      <c r="C492" s="23">
        <v>18</v>
      </c>
      <c r="D492" s="23">
        <v>2946</v>
      </c>
      <c r="E492" s="30">
        <v>45149</v>
      </c>
      <c r="F492" s="28" t="s">
        <v>1468</v>
      </c>
      <c r="G492" s="23">
        <f>INDEX($C$2:$D$37,MATCH(RESOLUCIONES[[#This Row],[No. Canal]],$C$2:$C$37,0),2)</f>
        <v>497</v>
      </c>
      <c r="I492" s="28" t="s">
        <v>1487</v>
      </c>
      <c r="J492" s="28" t="s">
        <v>315</v>
      </c>
      <c r="K492" s="28" t="str">
        <f t="shared" si="13"/>
        <v>La SierraCauca</v>
      </c>
      <c r="L492" s="28"/>
      <c r="M492" s="28"/>
      <c r="N492" s="28"/>
      <c r="O492" s="28"/>
      <c r="P492" s="28"/>
      <c r="Q492" s="28"/>
      <c r="R492" s="28"/>
      <c r="S492" s="28"/>
      <c r="T492" s="28"/>
      <c r="U492" s="41"/>
      <c r="V492" s="41"/>
      <c r="W492" s="41"/>
      <c r="X492" s="28"/>
      <c r="Y492" s="28"/>
      <c r="Z492" s="28"/>
      <c r="AA492" s="28"/>
      <c r="AB492" s="28"/>
      <c r="AC492" s="28"/>
      <c r="AD492" s="28"/>
    </row>
    <row r="493" spans="1:30" x14ac:dyDescent="0.35">
      <c r="A493" s="28" t="s">
        <v>546</v>
      </c>
      <c r="B493" s="28" t="s">
        <v>1488</v>
      </c>
      <c r="C493" s="23">
        <v>16</v>
      </c>
      <c r="D493" s="23">
        <v>2946</v>
      </c>
      <c r="E493" s="30">
        <v>45149</v>
      </c>
      <c r="F493" s="28" t="s">
        <v>1468</v>
      </c>
      <c r="G493" s="23">
        <f>INDEX($C$2:$D$37,MATCH(RESOLUCIONES[[#This Row],[No. Canal]],$C$2:$C$37,0),2)</f>
        <v>485</v>
      </c>
      <c r="I493" s="28" t="s">
        <v>1489</v>
      </c>
      <c r="J493" s="28" t="s">
        <v>401</v>
      </c>
      <c r="K493" s="28" t="str">
        <f t="shared" si="13"/>
        <v>La TebaidaQuindio</v>
      </c>
      <c r="L493" s="28"/>
      <c r="M493" s="28"/>
      <c r="N493" s="28"/>
      <c r="O493" s="28"/>
      <c r="P493" s="28"/>
      <c r="Q493" s="28"/>
      <c r="R493" s="28"/>
      <c r="S493" s="28"/>
      <c r="T493" s="28"/>
      <c r="U493" s="41"/>
      <c r="V493" s="41"/>
      <c r="W493" s="41"/>
      <c r="X493" s="28"/>
      <c r="Y493" s="28"/>
      <c r="Z493" s="28"/>
      <c r="AA493" s="28"/>
      <c r="AB493" s="28"/>
      <c r="AC493" s="28"/>
      <c r="AD493" s="28"/>
    </row>
    <row r="494" spans="1:30" x14ac:dyDescent="0.35">
      <c r="A494" s="28" t="s">
        <v>562</v>
      </c>
      <c r="B494" s="28" t="s">
        <v>1490</v>
      </c>
      <c r="C494" s="23">
        <v>16</v>
      </c>
      <c r="D494" s="28">
        <v>1043</v>
      </c>
      <c r="E494" s="30">
        <v>44651</v>
      </c>
      <c r="F494" s="28" t="s">
        <v>1471</v>
      </c>
      <c r="G494" s="28">
        <f>INDEX($C$2:$D$37,MATCH(RESOLUCIONES[[#This Row],[No. Canal]],$C$2:$C$37,0),2)</f>
        <v>485</v>
      </c>
      <c r="I494" s="28" t="s">
        <v>1491</v>
      </c>
      <c r="J494" s="28" t="s">
        <v>352</v>
      </c>
      <c r="K494" s="28" t="str">
        <f t="shared" si="13"/>
        <v>La TolaNariño</v>
      </c>
      <c r="L494" s="28"/>
      <c r="M494" s="28"/>
      <c r="N494" s="28"/>
      <c r="O494" s="28"/>
      <c r="P494" s="28"/>
      <c r="Q494" s="28"/>
      <c r="R494" s="28"/>
      <c r="S494" s="28"/>
      <c r="T494" s="28"/>
      <c r="U494" s="41"/>
      <c r="V494" s="41"/>
      <c r="W494" s="41"/>
      <c r="X494" s="28"/>
      <c r="Y494" s="28"/>
      <c r="Z494" s="28"/>
      <c r="AA494" s="28"/>
      <c r="AB494" s="28"/>
      <c r="AC494" s="28"/>
      <c r="AD494" s="28"/>
    </row>
    <row r="495" spans="1:30" x14ac:dyDescent="0.35">
      <c r="A495" s="28" t="s">
        <v>579</v>
      </c>
      <c r="B495" s="28" t="s">
        <v>1492</v>
      </c>
      <c r="C495" s="23">
        <v>21</v>
      </c>
      <c r="D495" s="28">
        <v>1043</v>
      </c>
      <c r="E495" s="30">
        <v>44651</v>
      </c>
      <c r="F495" s="28" t="s">
        <v>1471</v>
      </c>
      <c r="G495" s="28">
        <f>INDEX($C$2:$D$37,MATCH(RESOLUCIONES[[#This Row],[No. Canal]],$C$2:$C$37,0),2)</f>
        <v>515</v>
      </c>
      <c r="I495" s="28" t="s">
        <v>1493</v>
      </c>
      <c r="J495" s="28" t="s">
        <v>154</v>
      </c>
      <c r="K495" s="28" t="str">
        <f t="shared" si="13"/>
        <v>La UniónAntioquia</v>
      </c>
      <c r="L495" s="28"/>
      <c r="M495" s="28"/>
      <c r="N495" s="28"/>
      <c r="O495" s="28"/>
      <c r="P495" s="28"/>
      <c r="Q495" s="28"/>
      <c r="R495" s="28"/>
      <c r="S495" s="28"/>
      <c r="T495" s="28"/>
      <c r="U495" s="41"/>
      <c r="V495" s="41"/>
      <c r="W495" s="41"/>
      <c r="X495" s="28"/>
      <c r="Y495" s="28"/>
      <c r="Z495" s="28"/>
      <c r="AA495" s="28"/>
      <c r="AB495" s="28"/>
      <c r="AC495" s="28"/>
      <c r="AD495" s="28"/>
    </row>
    <row r="496" spans="1:30" x14ac:dyDescent="0.35">
      <c r="A496" s="28" t="s">
        <v>588</v>
      </c>
      <c r="B496" s="28" t="s">
        <v>1494</v>
      </c>
      <c r="C496" s="23">
        <v>16</v>
      </c>
      <c r="D496" s="23">
        <v>2946</v>
      </c>
      <c r="E496" s="30">
        <v>45149</v>
      </c>
      <c r="F496" s="28" t="s">
        <v>1468</v>
      </c>
      <c r="G496" s="23">
        <f>INDEX($C$2:$D$37,MATCH(RESOLUCIONES[[#This Row],[No. Canal]],$C$2:$C$37,0),2)</f>
        <v>485</v>
      </c>
      <c r="I496" s="28" t="s">
        <v>1493</v>
      </c>
      <c r="J496" s="28" t="s">
        <v>352</v>
      </c>
      <c r="K496" s="28" t="str">
        <f t="shared" si="13"/>
        <v>La UniónNariño</v>
      </c>
      <c r="L496" s="28"/>
      <c r="M496" s="28"/>
      <c r="N496" s="28"/>
      <c r="O496" s="28"/>
      <c r="P496" s="28"/>
      <c r="Q496" s="28"/>
      <c r="R496" s="28"/>
      <c r="S496" s="28"/>
      <c r="T496" s="28"/>
      <c r="U496" s="41"/>
      <c r="V496" s="41"/>
      <c r="W496" s="41"/>
      <c r="X496" s="28"/>
      <c r="Y496" s="28"/>
      <c r="Z496" s="28"/>
      <c r="AA496" s="28"/>
      <c r="AB496" s="28"/>
      <c r="AC496" s="28"/>
      <c r="AD496" s="28"/>
    </row>
    <row r="497" spans="1:30" x14ac:dyDescent="0.35">
      <c r="A497" s="28" t="s">
        <v>602</v>
      </c>
      <c r="B497" s="28" t="s">
        <v>1495</v>
      </c>
      <c r="C497" s="23">
        <v>18</v>
      </c>
      <c r="D497" s="23">
        <v>2946</v>
      </c>
      <c r="E497" s="30">
        <v>45149</v>
      </c>
      <c r="F497" s="28" t="s">
        <v>1468</v>
      </c>
      <c r="G497" s="94">
        <f>INDEX($C$2:$D$37,MATCH(RESOLUCIONES[[#This Row],[No. Canal]],$C$2:$C$37,0),2)</f>
        <v>497</v>
      </c>
      <c r="I497" s="28" t="s">
        <v>1493</v>
      </c>
      <c r="J497" s="28" t="s">
        <v>413</v>
      </c>
      <c r="K497" s="28" t="str">
        <f t="shared" si="13"/>
        <v>La UniónSucre</v>
      </c>
      <c r="L497" s="28"/>
      <c r="M497" s="28"/>
      <c r="N497" s="28"/>
      <c r="O497" s="28"/>
      <c r="P497" s="28"/>
      <c r="Q497" s="28"/>
      <c r="R497" s="28"/>
      <c r="S497" s="28"/>
      <c r="T497" s="28"/>
      <c r="U497" s="41"/>
      <c r="V497" s="41"/>
      <c r="W497" s="41"/>
      <c r="X497" s="28"/>
      <c r="Y497" s="28"/>
      <c r="Z497" s="28"/>
      <c r="AA497" s="28"/>
      <c r="AB497" s="28"/>
      <c r="AC497" s="28"/>
      <c r="AD497" s="28"/>
    </row>
    <row r="498" spans="1:30" x14ac:dyDescent="0.35">
      <c r="A498" s="28" t="s">
        <v>616</v>
      </c>
      <c r="B498" s="28" t="s">
        <v>1496</v>
      </c>
      <c r="C498" s="23">
        <v>16</v>
      </c>
      <c r="D498" s="23">
        <v>2946</v>
      </c>
      <c r="E498" s="30">
        <v>45149</v>
      </c>
      <c r="F498" s="28" t="s">
        <v>1468</v>
      </c>
      <c r="G498" s="23">
        <f>INDEX($C$2:$D$37,MATCH(RESOLUCIONES[[#This Row],[No. Canal]],$C$2:$C$37,0),2)</f>
        <v>485</v>
      </c>
      <c r="I498" s="28" t="s">
        <v>1493</v>
      </c>
      <c r="J498" s="28" t="s">
        <v>381</v>
      </c>
      <c r="K498" s="28" t="str">
        <f t="shared" si="13"/>
        <v>La UniónValle del Cauca</v>
      </c>
      <c r="L498" s="28"/>
      <c r="M498" s="28"/>
      <c r="N498" s="28"/>
      <c r="O498" s="28"/>
      <c r="P498" s="28"/>
      <c r="Q498" s="28"/>
      <c r="R498" s="28"/>
      <c r="S498" s="28"/>
      <c r="T498" s="28"/>
      <c r="U498" s="41"/>
      <c r="V498" s="41"/>
      <c r="W498" s="41"/>
      <c r="X498" s="28"/>
      <c r="Y498" s="28"/>
      <c r="Z498" s="28"/>
      <c r="AA498" s="28"/>
      <c r="AB498" s="28"/>
      <c r="AC498" s="28"/>
      <c r="AD498" s="28"/>
    </row>
    <row r="499" spans="1:30" x14ac:dyDescent="0.35">
      <c r="A499" s="28" t="s">
        <v>619</v>
      </c>
      <c r="B499" s="28" t="s">
        <v>1497</v>
      </c>
      <c r="C499" s="23">
        <v>16</v>
      </c>
      <c r="D499" s="23">
        <v>2946</v>
      </c>
      <c r="E499" s="30">
        <v>45149</v>
      </c>
      <c r="F499" s="28" t="s">
        <v>1468</v>
      </c>
      <c r="G499" s="23">
        <f>INDEX($C$2:$D$37,MATCH(RESOLUCIONES[[#This Row],[No. Canal]],$C$2:$C$37,0),2)</f>
        <v>485</v>
      </c>
      <c r="I499" s="28" t="s">
        <v>1498</v>
      </c>
      <c r="J499" s="28" t="s">
        <v>274</v>
      </c>
      <c r="K499" s="28" t="str">
        <f t="shared" si="13"/>
        <v>La UvitaBoyaca</v>
      </c>
      <c r="L499" s="28"/>
      <c r="M499" s="28"/>
      <c r="N499" s="28"/>
      <c r="O499" s="28"/>
      <c r="P499" s="28"/>
      <c r="Q499" s="28"/>
      <c r="R499" s="28"/>
      <c r="S499" s="28"/>
      <c r="T499" s="28"/>
      <c r="U499" s="41"/>
      <c r="V499" s="41"/>
      <c r="W499" s="41"/>
      <c r="X499" s="28"/>
      <c r="Y499" s="28"/>
      <c r="Z499" s="28"/>
      <c r="AA499" s="28"/>
      <c r="AB499" s="28"/>
      <c r="AC499" s="28"/>
      <c r="AD499" s="28"/>
    </row>
    <row r="500" spans="1:30" x14ac:dyDescent="0.35">
      <c r="A500" s="28" t="s">
        <v>686</v>
      </c>
      <c r="B500" s="28" t="s">
        <v>1499</v>
      </c>
      <c r="C500" s="23">
        <v>16</v>
      </c>
      <c r="D500" s="28">
        <v>1043</v>
      </c>
      <c r="E500" s="30">
        <v>44651</v>
      </c>
      <c r="F500" s="28" t="s">
        <v>1471</v>
      </c>
      <c r="G500" s="28">
        <f>INDEX($C$2:$D$37,MATCH(RESOLUCIONES[[#This Row],[No. Canal]],$C$2:$C$37,0),2)</f>
        <v>485</v>
      </c>
      <c r="I500" s="28" t="s">
        <v>1500</v>
      </c>
      <c r="J500" s="28" t="s">
        <v>315</v>
      </c>
      <c r="K500" s="28" t="str">
        <f t="shared" si="13"/>
        <v>La VegaCauca</v>
      </c>
      <c r="L500" s="28"/>
      <c r="M500" s="28"/>
      <c r="N500" s="28"/>
      <c r="O500" s="28"/>
      <c r="P500" s="28"/>
      <c r="Q500" s="28"/>
      <c r="R500" s="28"/>
      <c r="S500" s="28"/>
      <c r="T500" s="28"/>
      <c r="U500" s="41"/>
      <c r="V500" s="41"/>
      <c r="W500" s="41"/>
      <c r="X500" s="28"/>
      <c r="Y500" s="28"/>
      <c r="Z500" s="28"/>
      <c r="AA500" s="28"/>
      <c r="AB500" s="28"/>
      <c r="AC500" s="28"/>
      <c r="AD500" s="28"/>
    </row>
    <row r="501" spans="1:30" x14ac:dyDescent="0.35">
      <c r="A501" s="28" t="s">
        <v>729</v>
      </c>
      <c r="B501" s="28" t="s">
        <v>1501</v>
      </c>
      <c r="C501" s="23">
        <v>40</v>
      </c>
      <c r="D501" s="23">
        <v>2946</v>
      </c>
      <c r="E501" s="30">
        <v>45149</v>
      </c>
      <c r="F501" s="28" t="s">
        <v>1468</v>
      </c>
      <c r="G501" s="94">
        <f>INDEX($C$2:$D$37,MATCH(RESOLUCIONES[[#This Row],[No. Canal]],$C$2:$C$37,0),2)</f>
        <v>629</v>
      </c>
      <c r="I501" s="28" t="s">
        <v>1500</v>
      </c>
      <c r="J501" s="28" t="s">
        <v>283</v>
      </c>
      <c r="K501" s="28" t="str">
        <f t="shared" si="13"/>
        <v>La VegaCundinamarca</v>
      </c>
      <c r="L501" s="28"/>
      <c r="M501" s="28"/>
      <c r="N501" s="28"/>
      <c r="O501" s="28"/>
      <c r="P501" s="28"/>
      <c r="Q501" s="28"/>
      <c r="R501" s="28"/>
      <c r="S501" s="28"/>
      <c r="T501" s="28"/>
      <c r="U501" s="41"/>
      <c r="V501" s="41"/>
      <c r="W501" s="41"/>
      <c r="X501" s="28"/>
      <c r="Y501" s="28"/>
      <c r="Z501" s="28"/>
      <c r="AA501" s="28"/>
      <c r="AB501" s="28"/>
      <c r="AC501" s="28"/>
      <c r="AD501" s="28"/>
    </row>
    <row r="502" spans="1:30" x14ac:dyDescent="0.35">
      <c r="A502" s="28" t="s">
        <v>817</v>
      </c>
      <c r="B502" s="28" t="s">
        <v>1502</v>
      </c>
      <c r="C502" s="23">
        <v>16</v>
      </c>
      <c r="D502" s="28">
        <v>1043</v>
      </c>
      <c r="E502" s="30">
        <v>44651</v>
      </c>
      <c r="F502" s="28" t="s">
        <v>1471</v>
      </c>
      <c r="G502" s="28">
        <f>INDEX($C$2:$D$37,MATCH(RESOLUCIONES[[#This Row],[No. Canal]],$C$2:$C$37,0),2)</f>
        <v>485</v>
      </c>
      <c r="I502" s="28" t="s">
        <v>1503</v>
      </c>
      <c r="J502" s="28" t="s">
        <v>274</v>
      </c>
      <c r="K502" s="28" t="str">
        <f t="shared" si="13"/>
        <v>La VictoriaBoyaca</v>
      </c>
      <c r="L502" s="28"/>
      <c r="M502" s="28"/>
      <c r="N502" s="28"/>
      <c r="O502" s="28"/>
      <c r="P502" s="28"/>
      <c r="Q502" s="28"/>
      <c r="R502" s="28"/>
      <c r="S502" s="28"/>
      <c r="T502" s="28"/>
      <c r="U502" s="41"/>
      <c r="V502" s="41"/>
      <c r="W502" s="41"/>
      <c r="X502" s="28"/>
      <c r="Y502" s="28"/>
      <c r="Z502" s="28"/>
      <c r="AA502" s="28"/>
      <c r="AB502" s="28"/>
      <c r="AC502" s="28"/>
      <c r="AD502" s="28"/>
    </row>
    <row r="503" spans="1:30" x14ac:dyDescent="0.35">
      <c r="A503" s="28" t="s">
        <v>838</v>
      </c>
      <c r="B503" s="28" t="s">
        <v>1504</v>
      </c>
      <c r="C503" s="23">
        <v>36</v>
      </c>
      <c r="D503" s="23">
        <v>2946</v>
      </c>
      <c r="E503" s="30">
        <v>45149</v>
      </c>
      <c r="F503" s="28" t="s">
        <v>1468</v>
      </c>
      <c r="G503" s="94">
        <f>INDEX($C$2:$D$37,MATCH(RESOLUCIONES[[#This Row],[No. Canal]],$C$2:$C$37,0),2)</f>
        <v>605</v>
      </c>
      <c r="I503" s="28" t="s">
        <v>1503</v>
      </c>
      <c r="J503" s="28" t="s">
        <v>381</v>
      </c>
      <c r="K503" s="28" t="str">
        <f t="shared" si="13"/>
        <v>La VictoriaValle del Cauca</v>
      </c>
      <c r="L503" s="28"/>
      <c r="M503" s="28"/>
      <c r="N503" s="28"/>
      <c r="O503" s="28"/>
      <c r="P503" s="28"/>
      <c r="Q503" s="28"/>
      <c r="R503" s="28"/>
      <c r="S503" s="28"/>
      <c r="T503" s="28"/>
      <c r="U503" s="41"/>
      <c r="V503" s="41"/>
      <c r="W503" s="41"/>
      <c r="X503" s="28"/>
      <c r="Y503" s="28"/>
      <c r="Z503" s="28"/>
      <c r="AA503" s="28"/>
      <c r="AB503" s="28"/>
      <c r="AC503" s="28"/>
      <c r="AD503" s="28"/>
    </row>
    <row r="504" spans="1:30" x14ac:dyDescent="0.35">
      <c r="A504" s="28" t="s">
        <v>850</v>
      </c>
      <c r="B504" s="28" t="s">
        <v>1505</v>
      </c>
      <c r="C504" s="23">
        <v>16</v>
      </c>
      <c r="D504" s="28">
        <v>1043</v>
      </c>
      <c r="E504" s="30">
        <v>44651</v>
      </c>
      <c r="F504" s="28" t="s">
        <v>1471</v>
      </c>
      <c r="G504" s="28">
        <f>INDEX($C$2:$D$37,MATCH(RESOLUCIONES[[#This Row],[No. Canal]],$C$2:$C$37,0),2)</f>
        <v>485</v>
      </c>
      <c r="I504" s="28" t="s">
        <v>1503</v>
      </c>
      <c r="J504" s="28" t="s">
        <v>155</v>
      </c>
      <c r="K504" s="28" t="str">
        <f t="shared" si="13"/>
        <v>La VictoriaAmazonas</v>
      </c>
      <c r="L504" s="28"/>
      <c r="M504" s="28"/>
      <c r="N504" s="28"/>
      <c r="O504" s="28"/>
      <c r="P504" s="28"/>
      <c r="Q504" s="28"/>
      <c r="R504" s="28"/>
      <c r="S504" s="28"/>
      <c r="T504" s="28"/>
      <c r="U504" s="41"/>
      <c r="V504" s="41"/>
      <c r="W504" s="41"/>
      <c r="X504" s="28"/>
      <c r="Y504" s="28"/>
      <c r="Z504" s="28"/>
      <c r="AA504" s="28"/>
      <c r="AB504" s="28"/>
      <c r="AC504" s="28"/>
      <c r="AD504" s="28"/>
    </row>
    <row r="505" spans="1:30" x14ac:dyDescent="0.35">
      <c r="A505" s="28" t="s">
        <v>874</v>
      </c>
      <c r="B505" s="28" t="s">
        <v>1506</v>
      </c>
      <c r="C505" s="23">
        <v>16</v>
      </c>
      <c r="D505" s="23">
        <v>2946</v>
      </c>
      <c r="E505" s="30">
        <v>45149</v>
      </c>
      <c r="F505" s="28" t="s">
        <v>1468</v>
      </c>
      <c r="G505" s="23">
        <f>INDEX($C$2:$D$37,MATCH(RESOLUCIONES[[#This Row],[No. Canal]],$C$2:$C$37,0),2)</f>
        <v>485</v>
      </c>
      <c r="I505" s="28" t="s">
        <v>1507</v>
      </c>
      <c r="J505" s="28" t="s">
        <v>405</v>
      </c>
      <c r="K505" s="28" t="str">
        <f t="shared" si="13"/>
        <v>La VirginiaRisaralda</v>
      </c>
      <c r="L505" s="28"/>
      <c r="M505" s="28"/>
      <c r="N505" s="28"/>
      <c r="O505" s="28"/>
      <c r="P505" s="28"/>
      <c r="Q505" s="28"/>
      <c r="R505" s="28"/>
      <c r="S505" s="28"/>
      <c r="T505" s="28"/>
      <c r="U505" s="41"/>
      <c r="V505" s="41"/>
      <c r="W505" s="41"/>
      <c r="X505" s="28"/>
      <c r="Y505" s="28"/>
      <c r="Z505" s="28"/>
      <c r="AA505" s="28"/>
      <c r="AB505" s="28"/>
      <c r="AC505" s="28"/>
      <c r="AD505" s="28"/>
    </row>
    <row r="506" spans="1:30" x14ac:dyDescent="0.35">
      <c r="A506" s="28" t="s">
        <v>913</v>
      </c>
      <c r="B506" s="28" t="s">
        <v>1508</v>
      </c>
      <c r="C506" s="23">
        <v>16</v>
      </c>
      <c r="D506" s="28">
        <v>1043</v>
      </c>
      <c r="E506" s="30">
        <v>44651</v>
      </c>
      <c r="F506" s="28" t="s">
        <v>1471</v>
      </c>
      <c r="G506" s="28">
        <f>INDEX($C$2:$D$37,MATCH(RESOLUCIONES[[#This Row],[No. Canal]],$C$2:$C$37,0),2)</f>
        <v>485</v>
      </c>
      <c r="I506" s="28" t="s">
        <v>1509</v>
      </c>
      <c r="J506" s="28" t="s">
        <v>190</v>
      </c>
      <c r="K506" s="28" t="str">
        <f t="shared" si="13"/>
        <v>LabatecaNorte de Santander</v>
      </c>
      <c r="L506" s="28"/>
      <c r="M506" s="28"/>
      <c r="N506" s="28"/>
      <c r="O506" s="28"/>
      <c r="P506" s="28"/>
      <c r="Q506" s="28"/>
      <c r="R506" s="28"/>
      <c r="S506" s="28"/>
      <c r="T506" s="28"/>
      <c r="U506" s="41"/>
      <c r="V506" s="41"/>
      <c r="W506" s="41"/>
      <c r="X506" s="28"/>
      <c r="Y506" s="28"/>
      <c r="Z506" s="28"/>
      <c r="AA506" s="28"/>
      <c r="AB506" s="28"/>
      <c r="AC506" s="28"/>
      <c r="AD506" s="28"/>
    </row>
    <row r="507" spans="1:30" x14ac:dyDescent="0.35">
      <c r="A507" s="28" t="s">
        <v>919</v>
      </c>
      <c r="B507" s="28" t="s">
        <v>1510</v>
      </c>
      <c r="C507" s="23">
        <v>18</v>
      </c>
      <c r="D507" s="23">
        <v>2946</v>
      </c>
      <c r="E507" s="30">
        <v>45149</v>
      </c>
      <c r="F507" s="28" t="s">
        <v>1468</v>
      </c>
      <c r="G507" s="94">
        <f>INDEX($C$2:$D$37,MATCH(RESOLUCIONES[[#This Row],[No. Canal]],$C$2:$C$37,0),2)</f>
        <v>497</v>
      </c>
      <c r="I507" s="28" t="s">
        <v>1511</v>
      </c>
      <c r="J507" s="28" t="s">
        <v>274</v>
      </c>
      <c r="K507" s="28" t="str">
        <f t="shared" si="13"/>
        <v>LabranzagrandeBoyaca</v>
      </c>
      <c r="L507" s="28"/>
      <c r="M507" s="28"/>
      <c r="N507" s="28"/>
      <c r="O507" s="28"/>
      <c r="P507" s="28"/>
      <c r="Q507" s="28"/>
      <c r="R507" s="28"/>
      <c r="S507" s="28"/>
      <c r="T507" s="28"/>
      <c r="U507" s="41"/>
      <c r="V507" s="41"/>
      <c r="W507" s="41"/>
      <c r="X507" s="28"/>
      <c r="Y507" s="28"/>
      <c r="Z507" s="28"/>
      <c r="AA507" s="28"/>
      <c r="AB507" s="28"/>
      <c r="AC507" s="28"/>
      <c r="AD507" s="28"/>
    </row>
    <row r="508" spans="1:30" x14ac:dyDescent="0.35">
      <c r="A508" s="28" t="s">
        <v>942</v>
      </c>
      <c r="B508" s="28" t="s">
        <v>1512</v>
      </c>
      <c r="C508" s="23">
        <v>18</v>
      </c>
      <c r="D508" s="23">
        <v>2946</v>
      </c>
      <c r="E508" s="30">
        <v>45149</v>
      </c>
      <c r="F508" s="28" t="s">
        <v>1468</v>
      </c>
      <c r="G508" s="94">
        <f>INDEX($C$2:$D$37,MATCH(RESOLUCIONES[[#This Row],[No. Canal]],$C$2:$C$37,0),2)</f>
        <v>497</v>
      </c>
      <c r="I508" s="28" t="s">
        <v>1513</v>
      </c>
      <c r="J508" s="28" t="s">
        <v>304</v>
      </c>
      <c r="K508" s="28" t="str">
        <f t="shared" si="13"/>
        <v>LandázuriSantander</v>
      </c>
      <c r="L508" s="28"/>
      <c r="M508" s="28"/>
      <c r="N508" s="28"/>
      <c r="O508" s="28"/>
      <c r="P508" s="28"/>
      <c r="Q508" s="28"/>
      <c r="R508" s="28"/>
      <c r="S508" s="28"/>
      <c r="T508" s="28"/>
      <c r="U508" s="41"/>
      <c r="V508" s="41"/>
      <c r="W508" s="41"/>
      <c r="X508" s="28"/>
      <c r="Y508" s="28"/>
      <c r="Z508" s="28"/>
      <c r="AA508" s="28"/>
      <c r="AB508" s="28"/>
      <c r="AC508" s="28"/>
      <c r="AD508" s="28"/>
    </row>
    <row r="509" spans="1:30" x14ac:dyDescent="0.35">
      <c r="A509" s="28" t="s">
        <v>952</v>
      </c>
      <c r="B509" s="28" t="s">
        <v>1514</v>
      </c>
      <c r="C509" s="23">
        <v>25</v>
      </c>
      <c r="D509" s="23">
        <v>2946</v>
      </c>
      <c r="E509" s="30">
        <v>45149</v>
      </c>
      <c r="F509" s="28" t="s">
        <v>1468</v>
      </c>
      <c r="G509" s="94">
        <f>INDEX($C$2:$D$37,MATCH(RESOLUCIONES[[#This Row],[No. Canal]],$C$2:$C$37,0),2)</f>
        <v>539</v>
      </c>
      <c r="I509" s="28" t="s">
        <v>1515</v>
      </c>
      <c r="J509" s="28" t="s">
        <v>304</v>
      </c>
      <c r="K509" s="28" t="str">
        <f t="shared" si="13"/>
        <v>LebríjaSantander</v>
      </c>
      <c r="L509" s="28"/>
      <c r="M509" s="28"/>
      <c r="N509" s="28"/>
      <c r="O509" s="28"/>
      <c r="P509" s="28"/>
      <c r="Q509" s="28"/>
      <c r="R509" s="28"/>
      <c r="S509" s="28"/>
      <c r="T509" s="28"/>
      <c r="U509" s="41"/>
      <c r="V509" s="41"/>
      <c r="W509" s="41"/>
      <c r="X509" s="28"/>
      <c r="Y509" s="28"/>
      <c r="Z509" s="28"/>
      <c r="AA509" s="28"/>
      <c r="AB509" s="28"/>
      <c r="AC509" s="28"/>
      <c r="AD509" s="28"/>
    </row>
    <row r="510" spans="1:30" x14ac:dyDescent="0.35">
      <c r="A510" s="28" t="s">
        <v>977</v>
      </c>
      <c r="B510" s="28" t="s">
        <v>1516</v>
      </c>
      <c r="C510" s="23">
        <v>33</v>
      </c>
      <c r="D510" s="28">
        <v>1043</v>
      </c>
      <c r="E510" s="30">
        <v>44651</v>
      </c>
      <c r="F510" s="28" t="s">
        <v>1471</v>
      </c>
      <c r="G510" s="28">
        <f>INDEX($C$2:$D$37,MATCH(RESOLUCIONES[[#This Row],[No. Canal]],$C$2:$C$37,0),2)</f>
        <v>587</v>
      </c>
      <c r="I510" s="28" t="s">
        <v>1517</v>
      </c>
      <c r="J510" s="28" t="s">
        <v>396</v>
      </c>
      <c r="K510" s="28" t="str">
        <f t="shared" si="13"/>
        <v>LeguízamoPutumayo</v>
      </c>
      <c r="L510" s="28"/>
      <c r="M510" s="28"/>
      <c r="N510" s="28"/>
      <c r="O510" s="28"/>
      <c r="P510" s="28"/>
      <c r="Q510" s="28"/>
      <c r="R510" s="28"/>
      <c r="S510" s="28"/>
      <c r="T510" s="28"/>
      <c r="U510" s="41"/>
      <c r="V510" s="41"/>
      <c r="W510" s="41"/>
      <c r="X510" s="28"/>
      <c r="Y510" s="28"/>
      <c r="Z510" s="28"/>
      <c r="AA510" s="28"/>
      <c r="AB510" s="28"/>
      <c r="AC510" s="28"/>
      <c r="AD510" s="28"/>
    </row>
    <row r="511" spans="1:30" x14ac:dyDescent="0.35">
      <c r="A511" s="28" t="s">
        <v>999</v>
      </c>
      <c r="B511" s="28" t="s">
        <v>1518</v>
      </c>
      <c r="C511" s="23">
        <v>16</v>
      </c>
      <c r="D511" s="23">
        <v>2946</v>
      </c>
      <c r="E511" s="30">
        <v>45149</v>
      </c>
      <c r="F511" s="28" t="s">
        <v>1468</v>
      </c>
      <c r="G511" s="23">
        <f>INDEX($C$2:$D$37,MATCH(RESOLUCIONES[[#This Row],[No. Canal]],$C$2:$C$37,0),2)</f>
        <v>485</v>
      </c>
      <c r="I511" s="28" t="s">
        <v>1519</v>
      </c>
      <c r="J511" s="28" t="s">
        <v>352</v>
      </c>
      <c r="K511" s="28" t="str">
        <f t="shared" si="13"/>
        <v>LeivaNariño</v>
      </c>
      <c r="L511" s="28"/>
      <c r="M511" s="28"/>
      <c r="N511" s="28"/>
      <c r="O511" s="28"/>
      <c r="P511" s="28"/>
      <c r="Q511" s="28"/>
      <c r="R511" s="28"/>
      <c r="S511" s="28"/>
      <c r="T511" s="28"/>
      <c r="U511" s="41"/>
      <c r="V511" s="41"/>
      <c r="W511" s="41"/>
      <c r="X511" s="28"/>
      <c r="Y511" s="28"/>
      <c r="Z511" s="28"/>
      <c r="AA511" s="28"/>
      <c r="AB511" s="28"/>
      <c r="AC511" s="28"/>
      <c r="AD511" s="28"/>
    </row>
    <row r="512" spans="1:30" x14ac:dyDescent="0.35">
      <c r="A512" s="28" t="s">
        <v>1043</v>
      </c>
      <c r="B512" s="28" t="s">
        <v>1520</v>
      </c>
      <c r="C512" s="23">
        <v>16</v>
      </c>
      <c r="D512" s="28">
        <v>1043</v>
      </c>
      <c r="E512" s="30">
        <v>44651</v>
      </c>
      <c r="F512" s="28" t="s">
        <v>1471</v>
      </c>
      <c r="G512" s="28">
        <f>INDEX($C$2:$D$37,MATCH(RESOLUCIONES[[#This Row],[No. Canal]],$C$2:$C$37,0),2)</f>
        <v>485</v>
      </c>
      <c r="I512" s="28" t="s">
        <v>1521</v>
      </c>
      <c r="J512" s="28" t="s">
        <v>210</v>
      </c>
      <c r="K512" s="28" t="str">
        <f t="shared" si="13"/>
        <v>LejaníasMeta</v>
      </c>
      <c r="L512" s="28"/>
      <c r="M512" s="28"/>
      <c r="N512" s="28"/>
      <c r="O512" s="28"/>
      <c r="P512" s="28"/>
      <c r="Q512" s="28"/>
      <c r="R512" s="28"/>
      <c r="S512" s="28"/>
      <c r="T512" s="28"/>
      <c r="U512" s="41"/>
      <c r="V512" s="41"/>
      <c r="W512" s="41"/>
      <c r="X512" s="28"/>
      <c r="Y512" s="28"/>
      <c r="Z512" s="28"/>
      <c r="AA512" s="28"/>
      <c r="AB512" s="28"/>
      <c r="AC512" s="28"/>
      <c r="AD512" s="28"/>
    </row>
    <row r="513" spans="1:30" x14ac:dyDescent="0.35">
      <c r="A513" s="28" t="s">
        <v>1048</v>
      </c>
      <c r="B513" s="28" t="s">
        <v>1522</v>
      </c>
      <c r="C513" s="23">
        <v>18</v>
      </c>
      <c r="D513" s="23">
        <v>2946</v>
      </c>
      <c r="E513" s="30">
        <v>45149</v>
      </c>
      <c r="F513" s="28" t="s">
        <v>1468</v>
      </c>
      <c r="G513" s="94">
        <f>INDEX($C$2:$D$37,MATCH(RESOLUCIONES[[#This Row],[No. Canal]],$C$2:$C$37,0),2)</f>
        <v>497</v>
      </c>
      <c r="I513" s="28" t="s">
        <v>1523</v>
      </c>
      <c r="J513" s="28" t="s">
        <v>283</v>
      </c>
      <c r="K513" s="28" t="str">
        <f t="shared" ref="K513:K576" si="14">_xlfn.CONCAT(TRIM(I513),TRIM(J513))</f>
        <v>LenguazaqueCundinamarca</v>
      </c>
      <c r="L513" s="28"/>
      <c r="M513" s="28"/>
      <c r="N513" s="28"/>
      <c r="O513" s="28"/>
      <c r="P513" s="28"/>
      <c r="Q513" s="28"/>
      <c r="R513" s="28"/>
      <c r="S513" s="28"/>
      <c r="T513" s="28"/>
      <c r="U513" s="41"/>
      <c r="V513" s="41"/>
      <c r="W513" s="41"/>
      <c r="X513" s="28"/>
      <c r="Y513" s="28"/>
      <c r="Z513" s="28"/>
      <c r="AA513" s="28"/>
      <c r="AB513" s="28"/>
      <c r="AC513" s="28"/>
      <c r="AD513" s="28"/>
    </row>
    <row r="514" spans="1:30" x14ac:dyDescent="0.35">
      <c r="A514" s="28" t="s">
        <v>1073</v>
      </c>
      <c r="B514" s="28" t="s">
        <v>1524</v>
      </c>
      <c r="C514" s="23">
        <v>16</v>
      </c>
      <c r="D514" s="28">
        <v>1043</v>
      </c>
      <c r="E514" s="30">
        <v>44651</v>
      </c>
      <c r="F514" s="28" t="s">
        <v>1471</v>
      </c>
      <c r="G514" s="28">
        <f>INDEX($C$2:$D$37,MATCH(RESOLUCIONES[[#This Row],[No. Canal]],$C$2:$C$37,0),2)</f>
        <v>485</v>
      </c>
      <c r="I514" s="28" t="s">
        <v>1525</v>
      </c>
      <c r="J514" s="28" t="s">
        <v>409</v>
      </c>
      <c r="K514" s="28" t="str">
        <f t="shared" si="14"/>
        <v>LéridaTolima</v>
      </c>
      <c r="L514" s="28"/>
      <c r="M514" s="28"/>
      <c r="N514" s="28"/>
      <c r="O514" s="28"/>
      <c r="P514" s="28"/>
      <c r="Q514" s="28"/>
      <c r="R514" s="28"/>
      <c r="S514" s="28"/>
      <c r="T514" s="28"/>
      <c r="U514" s="41"/>
      <c r="V514" s="41"/>
      <c r="W514" s="41"/>
      <c r="X514" s="28"/>
      <c r="Y514" s="28"/>
      <c r="Z514" s="28"/>
      <c r="AA514" s="28"/>
      <c r="AB514" s="28"/>
      <c r="AC514" s="28"/>
      <c r="AD514" s="28"/>
    </row>
    <row r="515" spans="1:30" x14ac:dyDescent="0.35">
      <c r="A515" s="28" t="s">
        <v>1076</v>
      </c>
      <c r="B515" s="28" t="s">
        <v>1526</v>
      </c>
      <c r="C515" s="23">
        <v>40</v>
      </c>
      <c r="D515" s="23">
        <v>2946</v>
      </c>
      <c r="E515" s="30">
        <v>45149</v>
      </c>
      <c r="F515" s="28" t="s">
        <v>1468</v>
      </c>
      <c r="G515" s="94">
        <f>INDEX($C$2:$D$37,MATCH(RESOLUCIONES[[#This Row],[No. Canal]],$C$2:$C$37,0),2)</f>
        <v>629</v>
      </c>
      <c r="I515" s="28" t="s">
        <v>1527</v>
      </c>
      <c r="J515" s="28" t="s">
        <v>155</v>
      </c>
      <c r="K515" s="28" t="str">
        <f t="shared" si="14"/>
        <v>LeticiaAmazonas</v>
      </c>
      <c r="L515" s="28"/>
      <c r="M515" s="28"/>
      <c r="N515" s="28"/>
      <c r="O515" s="28"/>
      <c r="P515" s="28"/>
      <c r="Q515" s="28"/>
      <c r="R515" s="28"/>
      <c r="S515" s="28"/>
      <c r="T515" s="28"/>
      <c r="U515" s="41"/>
      <c r="V515" s="41"/>
      <c r="W515" s="41"/>
      <c r="X515" s="28"/>
      <c r="Y515" s="28"/>
      <c r="Z515" s="28"/>
      <c r="AA515" s="28"/>
      <c r="AB515" s="28"/>
      <c r="AC515" s="28"/>
      <c r="AD515" s="28"/>
    </row>
    <row r="516" spans="1:30" x14ac:dyDescent="0.35">
      <c r="A516" s="28" t="s">
        <v>1528</v>
      </c>
      <c r="B516" s="28" t="s">
        <v>1529</v>
      </c>
      <c r="C516" s="23">
        <v>28</v>
      </c>
      <c r="D516" s="28">
        <v>163</v>
      </c>
      <c r="E516" s="30">
        <v>42775</v>
      </c>
      <c r="F516" s="28" t="s">
        <v>1530</v>
      </c>
      <c r="G516" s="28">
        <f>INDEX($C$2:$D$37,MATCH(RESOLUCIONES[[#This Row],[No. Canal]],$C$2:$C$37,0),2)</f>
        <v>557</v>
      </c>
      <c r="I516" s="28" t="s">
        <v>1531</v>
      </c>
      <c r="J516" s="28" t="s">
        <v>409</v>
      </c>
      <c r="K516" s="28" t="str">
        <f t="shared" si="14"/>
        <v>LíbanoTolima</v>
      </c>
      <c r="L516" s="28"/>
      <c r="M516" s="28"/>
      <c r="N516" s="28"/>
      <c r="O516" s="28"/>
      <c r="P516" s="28"/>
      <c r="Q516" s="28"/>
      <c r="R516" s="28"/>
      <c r="S516" s="28"/>
      <c r="T516" s="28"/>
      <c r="U516" s="41"/>
      <c r="V516" s="41"/>
      <c r="W516" s="41"/>
      <c r="X516" s="28"/>
      <c r="Y516" s="28"/>
      <c r="Z516" s="28"/>
      <c r="AA516" s="28"/>
      <c r="AB516" s="28"/>
      <c r="AC516" s="28"/>
      <c r="AD516" s="28"/>
    </row>
    <row r="517" spans="1:30" x14ac:dyDescent="0.35">
      <c r="A517" s="28" t="s">
        <v>1532</v>
      </c>
      <c r="B517" s="28" t="s">
        <v>1533</v>
      </c>
      <c r="C517" s="23">
        <v>28</v>
      </c>
      <c r="D517" s="28">
        <v>163</v>
      </c>
      <c r="E517" s="30">
        <v>42775</v>
      </c>
      <c r="F517" s="28" t="s">
        <v>1530</v>
      </c>
      <c r="G517" s="28">
        <f>INDEX($C$2:$D$37,MATCH(RESOLUCIONES[[#This Row],[No. Canal]],$C$2:$C$37,0),2)</f>
        <v>557</v>
      </c>
      <c r="I517" s="28" t="s">
        <v>1534</v>
      </c>
      <c r="J517" s="28" t="s">
        <v>154</v>
      </c>
      <c r="K517" s="28" t="str">
        <f t="shared" si="14"/>
        <v>LiborinaAntioquia</v>
      </c>
      <c r="L517" s="28"/>
      <c r="M517" s="28"/>
      <c r="N517" s="28"/>
      <c r="O517" s="28"/>
      <c r="P517" s="28"/>
      <c r="Q517" s="28"/>
      <c r="R517" s="28"/>
      <c r="S517" s="28"/>
      <c r="T517" s="28"/>
      <c r="U517" s="41"/>
      <c r="V517" s="41"/>
      <c r="W517" s="41"/>
      <c r="X517" s="28"/>
      <c r="Y517" s="28"/>
      <c r="Z517" s="28"/>
      <c r="AA517" s="28"/>
      <c r="AB517" s="28"/>
      <c r="AC517" s="28"/>
      <c r="AD517" s="28"/>
    </row>
    <row r="518" spans="1:30" x14ac:dyDescent="0.35">
      <c r="A518" s="28" t="s">
        <v>1535</v>
      </c>
      <c r="B518" s="28" t="s">
        <v>1536</v>
      </c>
      <c r="C518" s="23">
        <v>28</v>
      </c>
      <c r="D518" s="28">
        <v>163</v>
      </c>
      <c r="E518" s="30">
        <v>42775</v>
      </c>
      <c r="F518" s="28" t="s">
        <v>1530</v>
      </c>
      <c r="G518" s="28">
        <f>INDEX($C$2:$D$37,MATCH(RESOLUCIONES[[#This Row],[No. Canal]],$C$2:$C$37,0),2)</f>
        <v>557</v>
      </c>
      <c r="I518" s="28" t="s">
        <v>1537</v>
      </c>
      <c r="J518" s="28" t="s">
        <v>352</v>
      </c>
      <c r="K518" s="28" t="str">
        <f t="shared" si="14"/>
        <v>LinaresNariño</v>
      </c>
      <c r="L518" s="28"/>
      <c r="M518" s="28"/>
      <c r="N518" s="28"/>
      <c r="O518" s="28"/>
      <c r="P518" s="28"/>
      <c r="Q518" s="28"/>
      <c r="R518" s="28"/>
      <c r="S518" s="28"/>
      <c r="T518" s="28"/>
      <c r="U518" s="41"/>
      <c r="V518" s="41"/>
      <c r="W518" s="41"/>
      <c r="X518" s="28"/>
      <c r="Y518" s="28"/>
      <c r="Z518" s="28"/>
      <c r="AA518" s="28"/>
      <c r="AB518" s="28"/>
      <c r="AC518" s="28"/>
      <c r="AD518" s="28"/>
    </row>
    <row r="519" spans="1:30" x14ac:dyDescent="0.35">
      <c r="A519" s="28" t="s">
        <v>1538</v>
      </c>
      <c r="B519" s="28" t="s">
        <v>1539</v>
      </c>
      <c r="C519" s="23">
        <v>42</v>
      </c>
      <c r="D519" s="28">
        <v>1981</v>
      </c>
      <c r="E519" s="30">
        <v>43462</v>
      </c>
      <c r="F519" s="28" t="s">
        <v>1540</v>
      </c>
      <c r="G519" s="28">
        <f>INDEX($C$2:$D$37,MATCH(RESOLUCIONES[[#This Row],[No. Canal]],$C$2:$C$37,0),2)</f>
        <v>641</v>
      </c>
      <c r="I519" s="28" t="s">
        <v>1541</v>
      </c>
      <c r="J519" s="28" t="s">
        <v>230</v>
      </c>
      <c r="K519" s="28" t="str">
        <f t="shared" si="14"/>
        <v>LloróChoco</v>
      </c>
      <c r="L519" s="28"/>
      <c r="M519" s="28"/>
      <c r="N519" s="28"/>
      <c r="O519" s="28"/>
      <c r="P519" s="28"/>
      <c r="Q519" s="28"/>
      <c r="R519" s="28"/>
      <c r="S519" s="28"/>
      <c r="T519" s="28"/>
      <c r="U519" s="41"/>
      <c r="V519" s="41"/>
      <c r="W519" s="41"/>
      <c r="X519" s="28"/>
      <c r="Y519" s="28"/>
      <c r="Z519" s="28"/>
      <c r="AA519" s="28"/>
      <c r="AB519" s="28"/>
      <c r="AC519" s="28"/>
      <c r="AD519" s="28"/>
    </row>
    <row r="520" spans="1:30" x14ac:dyDescent="0.35">
      <c r="A520" s="28" t="s">
        <v>1542</v>
      </c>
      <c r="B520" s="28" t="s">
        <v>1543</v>
      </c>
      <c r="C520" s="23">
        <v>41</v>
      </c>
      <c r="D520" s="28">
        <v>789</v>
      </c>
      <c r="E520" s="30">
        <v>43284</v>
      </c>
      <c r="F520" s="28" t="s">
        <v>1544</v>
      </c>
      <c r="G520" s="28">
        <f>INDEX($C$2:$D$37,MATCH(RESOLUCIONES[[#This Row],[No. Canal]],$C$2:$C$37,0),2)</f>
        <v>635</v>
      </c>
      <c r="I520" s="28" t="s">
        <v>1545</v>
      </c>
      <c r="J520" s="28" t="s">
        <v>315</v>
      </c>
      <c r="K520" s="28" t="str">
        <f t="shared" si="14"/>
        <v>LópezCauca</v>
      </c>
      <c r="L520" s="28"/>
      <c r="M520" s="28"/>
      <c r="N520" s="28"/>
      <c r="O520" s="28"/>
      <c r="P520" s="28"/>
      <c r="Q520" s="28"/>
      <c r="R520" s="28"/>
      <c r="S520" s="28"/>
      <c r="T520" s="28"/>
      <c r="U520" s="41"/>
      <c r="V520" s="41"/>
      <c r="W520" s="41"/>
      <c r="X520" s="28"/>
      <c r="Y520" s="28"/>
      <c r="Z520" s="28"/>
      <c r="AA520" s="28"/>
      <c r="AB520" s="28"/>
      <c r="AC520" s="28"/>
      <c r="AD520" s="28"/>
    </row>
    <row r="521" spans="1:30" x14ac:dyDescent="0.35">
      <c r="A521" s="28" t="s">
        <v>1546</v>
      </c>
      <c r="B521" s="28" t="s">
        <v>1547</v>
      </c>
      <c r="C521" s="23">
        <v>17</v>
      </c>
      <c r="D521" s="28">
        <v>2458</v>
      </c>
      <c r="E521" s="30">
        <v>41954</v>
      </c>
      <c r="F521" s="28" t="s">
        <v>1548</v>
      </c>
      <c r="G521" s="28">
        <f>INDEX($C$2:$D$37,MATCH(RESOLUCIONES[[#This Row],[No. Canal]],$C$2:$C$37,0),2)</f>
        <v>491</v>
      </c>
      <c r="I521" s="28" t="s">
        <v>1549</v>
      </c>
      <c r="J521" s="28" t="s">
        <v>337</v>
      </c>
      <c r="K521" s="28" t="str">
        <f t="shared" si="14"/>
        <v>LoricaCordoba</v>
      </c>
      <c r="L521" s="28"/>
      <c r="M521" s="28"/>
      <c r="N521" s="28"/>
      <c r="O521" s="28"/>
      <c r="P521" s="28"/>
      <c r="Q521" s="28"/>
      <c r="R521" s="28"/>
      <c r="S521" s="28"/>
      <c r="T521" s="28"/>
      <c r="U521" s="41"/>
      <c r="V521" s="41"/>
      <c r="W521" s="41"/>
      <c r="X521" s="28"/>
      <c r="Y521" s="28"/>
      <c r="Z521" s="28"/>
      <c r="AA521" s="28"/>
      <c r="AB521" s="28"/>
      <c r="AC521" s="28"/>
      <c r="AD521" s="28"/>
    </row>
    <row r="522" spans="1:30" x14ac:dyDescent="0.35">
      <c r="A522" s="28" t="s">
        <v>1550</v>
      </c>
      <c r="B522" s="28" t="s">
        <v>1551</v>
      </c>
      <c r="C522" s="23">
        <v>17</v>
      </c>
      <c r="D522" s="28">
        <v>1981</v>
      </c>
      <c r="E522" s="30">
        <v>43462</v>
      </c>
      <c r="F522" s="28" t="s">
        <v>1540</v>
      </c>
      <c r="G522" s="28">
        <f>INDEX($C$2:$D$37,MATCH(RESOLUCIONES[[#This Row],[No. Canal]],$C$2:$C$37,0),2)</f>
        <v>491</v>
      </c>
      <c r="I522" s="28" t="s">
        <v>1552</v>
      </c>
      <c r="J522" s="28" t="s">
        <v>352</v>
      </c>
      <c r="K522" s="28" t="str">
        <f t="shared" si="14"/>
        <v>Los AndesNariño</v>
      </c>
      <c r="L522" s="28"/>
      <c r="M522" s="28"/>
      <c r="N522" s="28"/>
      <c r="O522" s="28"/>
      <c r="P522" s="28"/>
      <c r="Q522" s="28"/>
      <c r="R522" s="28"/>
      <c r="S522" s="28"/>
      <c r="T522" s="28"/>
      <c r="U522" s="41"/>
      <c r="V522" s="41"/>
      <c r="W522" s="41"/>
      <c r="X522" s="28"/>
      <c r="Y522" s="28"/>
      <c r="Z522" s="28"/>
      <c r="AA522" s="28"/>
      <c r="AB522" s="28"/>
      <c r="AC522" s="28"/>
      <c r="AD522" s="28"/>
    </row>
    <row r="523" spans="1:30" x14ac:dyDescent="0.35">
      <c r="A523" s="28" t="s">
        <v>1553</v>
      </c>
      <c r="B523" s="28" t="s">
        <v>1554</v>
      </c>
      <c r="C523" s="23">
        <v>32</v>
      </c>
      <c r="D523" s="28">
        <v>850</v>
      </c>
      <c r="E523" s="30">
        <v>43656</v>
      </c>
      <c r="F523" s="28" t="s">
        <v>1555</v>
      </c>
      <c r="G523" s="28">
        <f>INDEX($C$2:$D$37,MATCH(RESOLUCIONES[[#This Row],[No. Canal]],$C$2:$C$37,0),2)</f>
        <v>581</v>
      </c>
      <c r="I523" s="28" t="s">
        <v>1556</v>
      </c>
      <c r="J523" s="28" t="s">
        <v>337</v>
      </c>
      <c r="K523" s="28" t="str">
        <f t="shared" si="14"/>
        <v>Los CórdobasCordoba</v>
      </c>
      <c r="L523" s="28"/>
      <c r="M523" s="28"/>
      <c r="N523" s="28"/>
      <c r="O523" s="28"/>
      <c r="P523" s="28"/>
      <c r="Q523" s="28"/>
      <c r="R523" s="28"/>
      <c r="S523" s="28"/>
      <c r="T523" s="28"/>
      <c r="U523" s="41"/>
      <c r="V523" s="41"/>
      <c r="W523" s="41"/>
      <c r="X523" s="28"/>
      <c r="Y523" s="28"/>
      <c r="Z523" s="28"/>
      <c r="AA523" s="28"/>
      <c r="AB523" s="28"/>
      <c r="AC523" s="28"/>
      <c r="AD523" s="28"/>
    </row>
    <row r="524" spans="1:30" x14ac:dyDescent="0.35">
      <c r="A524" s="28" t="s">
        <v>1557</v>
      </c>
      <c r="B524" s="28" t="s">
        <v>1558</v>
      </c>
      <c r="C524" s="23">
        <v>44</v>
      </c>
      <c r="D524" s="28">
        <v>789</v>
      </c>
      <c r="E524" s="30">
        <v>43284</v>
      </c>
      <c r="F524" s="28" t="s">
        <v>1544</v>
      </c>
      <c r="G524" s="28">
        <f>INDEX($C$2:$D$37,MATCH(RESOLUCIONES[[#This Row],[No. Canal]],$C$2:$C$37,0),2)</f>
        <v>653</v>
      </c>
      <c r="I524" s="28" t="s">
        <v>1559</v>
      </c>
      <c r="J524" s="28" t="s">
        <v>413</v>
      </c>
      <c r="K524" s="28" t="str">
        <f t="shared" si="14"/>
        <v>Los PalmitosSucre</v>
      </c>
      <c r="L524" s="28"/>
      <c r="M524" s="28"/>
      <c r="N524" s="28"/>
      <c r="O524" s="28"/>
      <c r="P524" s="28"/>
      <c r="Q524" s="28"/>
      <c r="R524" s="28"/>
      <c r="S524" s="28"/>
      <c r="T524" s="28"/>
      <c r="U524" s="41"/>
      <c r="V524" s="41"/>
      <c r="W524" s="41"/>
      <c r="X524" s="28"/>
      <c r="Y524" s="28"/>
      <c r="Z524" s="28"/>
      <c r="AA524" s="28"/>
      <c r="AB524" s="28"/>
      <c r="AC524" s="28"/>
      <c r="AD524" s="28"/>
    </row>
    <row r="525" spans="1:30" x14ac:dyDescent="0.35">
      <c r="A525" s="28" t="s">
        <v>1560</v>
      </c>
      <c r="B525" s="28" t="s">
        <v>1561</v>
      </c>
      <c r="C525" s="23">
        <v>18</v>
      </c>
      <c r="D525" s="28">
        <v>555</v>
      </c>
      <c r="E525" s="30">
        <v>43229</v>
      </c>
      <c r="F525" s="28" t="s">
        <v>1562</v>
      </c>
      <c r="G525" s="28">
        <f>INDEX($C$2:$D$37,MATCH(RESOLUCIONES[[#This Row],[No. Canal]],$C$2:$C$37,0),2)</f>
        <v>497</v>
      </c>
      <c r="I525" s="28" t="s">
        <v>1563</v>
      </c>
      <c r="J525" s="28" t="s">
        <v>190</v>
      </c>
      <c r="K525" s="28" t="str">
        <f t="shared" si="14"/>
        <v>Los PatiosNorte de Santander</v>
      </c>
      <c r="L525" s="28"/>
      <c r="M525" s="28"/>
      <c r="N525" s="28"/>
      <c r="O525" s="28"/>
      <c r="P525" s="28"/>
      <c r="Q525" s="28"/>
      <c r="R525" s="28"/>
      <c r="S525" s="28"/>
      <c r="T525" s="28"/>
      <c r="U525" s="41"/>
      <c r="V525" s="41"/>
      <c r="W525" s="41"/>
      <c r="X525" s="28"/>
      <c r="Y525" s="28"/>
      <c r="Z525" s="28"/>
      <c r="AA525" s="28"/>
      <c r="AB525" s="28"/>
      <c r="AC525" s="28"/>
      <c r="AD525" s="28"/>
    </row>
    <row r="526" spans="1:30" x14ac:dyDescent="0.35">
      <c r="A526" s="28" t="s">
        <v>1564</v>
      </c>
      <c r="B526" s="28" t="s">
        <v>1565</v>
      </c>
      <c r="C526" s="23">
        <v>41</v>
      </c>
      <c r="D526" s="28">
        <v>1079</v>
      </c>
      <c r="E526" s="30">
        <v>44008</v>
      </c>
      <c r="F526" s="28" t="s">
        <v>1566</v>
      </c>
      <c r="G526" s="28">
        <f>INDEX($C$2:$D$37,MATCH(RESOLUCIONES[[#This Row],[No. Canal]],$C$2:$C$37,0),2)</f>
        <v>635</v>
      </c>
      <c r="I526" s="28" t="s">
        <v>1567</v>
      </c>
      <c r="J526" s="28" t="s">
        <v>304</v>
      </c>
      <c r="K526" s="28" t="str">
        <f t="shared" si="14"/>
        <v>Los SantosSantander</v>
      </c>
      <c r="L526" s="28"/>
      <c r="M526" s="28"/>
      <c r="N526" s="28"/>
      <c r="O526" s="28"/>
      <c r="P526" s="28"/>
      <c r="Q526" s="28"/>
      <c r="R526" s="28"/>
      <c r="S526" s="28"/>
      <c r="T526" s="28"/>
      <c r="U526" s="41"/>
      <c r="V526" s="41"/>
      <c r="W526" s="41"/>
      <c r="X526" s="28"/>
      <c r="Y526" s="28"/>
      <c r="Z526" s="28"/>
      <c r="AA526" s="28"/>
      <c r="AB526" s="28"/>
      <c r="AC526" s="28"/>
      <c r="AD526" s="28"/>
    </row>
    <row r="527" spans="1:30" x14ac:dyDescent="0.35">
      <c r="A527" s="28" t="s">
        <v>1568</v>
      </c>
      <c r="B527" s="28" t="s">
        <v>1569</v>
      </c>
      <c r="C527" s="23">
        <v>44</v>
      </c>
      <c r="D527" s="28">
        <v>1986</v>
      </c>
      <c r="E527" s="30">
        <v>43462</v>
      </c>
      <c r="F527" s="28" t="s">
        <v>1570</v>
      </c>
      <c r="G527" s="28">
        <f>INDEX($C$2:$D$37,MATCH(RESOLUCIONES[[#This Row],[No. Canal]],$C$2:$C$37,0),2)</f>
        <v>653</v>
      </c>
      <c r="I527" s="28" t="s">
        <v>1571</v>
      </c>
      <c r="J527" s="28" t="s">
        <v>190</v>
      </c>
      <c r="K527" s="28" t="str">
        <f t="shared" si="14"/>
        <v>LourdesNorte de Santander</v>
      </c>
      <c r="L527" s="28"/>
      <c r="M527" s="28"/>
      <c r="N527" s="28"/>
      <c r="O527" s="28"/>
      <c r="P527" s="28"/>
      <c r="Q527" s="28"/>
      <c r="R527" s="28"/>
      <c r="S527" s="28"/>
      <c r="T527" s="28"/>
      <c r="U527" s="41"/>
      <c r="V527" s="41"/>
      <c r="W527" s="41"/>
      <c r="X527" s="28"/>
      <c r="Y527" s="28"/>
      <c r="Z527" s="28"/>
      <c r="AA527" s="28"/>
      <c r="AB527" s="28"/>
      <c r="AC527" s="28"/>
      <c r="AD527" s="28"/>
    </row>
    <row r="528" spans="1:30" x14ac:dyDescent="0.35">
      <c r="A528" s="28" t="s">
        <v>1572</v>
      </c>
      <c r="B528" s="28" t="s">
        <v>1573</v>
      </c>
      <c r="C528" s="23">
        <v>44</v>
      </c>
      <c r="D528" s="28">
        <v>1047</v>
      </c>
      <c r="E528" s="30">
        <v>44005</v>
      </c>
      <c r="F528" s="28" t="s">
        <v>1574</v>
      </c>
      <c r="G528" s="28">
        <f>INDEX($C$2:$D$37,MATCH(RESOLUCIONES[[#This Row],[No. Canal]],$C$2:$C$37,0),2)</f>
        <v>653</v>
      </c>
      <c r="I528" s="28" t="s">
        <v>1575</v>
      </c>
      <c r="J528" s="28" t="s">
        <v>231</v>
      </c>
      <c r="K528" s="28" t="str">
        <f t="shared" si="14"/>
        <v>LuruacoAtlantico</v>
      </c>
      <c r="L528" s="28"/>
      <c r="M528" s="28"/>
      <c r="N528" s="28"/>
      <c r="O528" s="28"/>
      <c r="P528" s="28"/>
      <c r="Q528" s="28"/>
      <c r="R528" s="28"/>
      <c r="S528" s="28"/>
      <c r="T528" s="28"/>
      <c r="U528" s="41"/>
      <c r="V528" s="41"/>
      <c r="W528" s="41"/>
      <c r="X528" s="28"/>
      <c r="Y528" s="28"/>
      <c r="Z528" s="28"/>
      <c r="AA528" s="28"/>
      <c r="AB528" s="28"/>
      <c r="AC528" s="28"/>
      <c r="AD528" s="28"/>
    </row>
    <row r="529" spans="1:30" x14ac:dyDescent="0.35">
      <c r="A529" s="28" t="s">
        <v>1576</v>
      </c>
      <c r="B529" s="28" t="s">
        <v>1577</v>
      </c>
      <c r="C529" s="23">
        <v>44</v>
      </c>
      <c r="D529" s="28">
        <v>1433</v>
      </c>
      <c r="E529" s="30">
        <v>42963</v>
      </c>
      <c r="F529" s="28" t="s">
        <v>1578</v>
      </c>
      <c r="G529" s="28">
        <f>INDEX($C$2:$D$37,MATCH(RESOLUCIONES[[#This Row],[No. Canal]],$C$2:$C$37,0),2)</f>
        <v>653</v>
      </c>
      <c r="I529" s="28" t="s">
        <v>1579</v>
      </c>
      <c r="J529" s="28" t="s">
        <v>274</v>
      </c>
      <c r="K529" s="28" t="str">
        <f t="shared" si="14"/>
        <v>MacanalBoyaca</v>
      </c>
      <c r="L529" s="28"/>
      <c r="M529" s="28"/>
      <c r="N529" s="28"/>
      <c r="O529" s="28"/>
      <c r="P529" s="28"/>
      <c r="Q529" s="28"/>
      <c r="R529" s="28"/>
      <c r="S529" s="28"/>
      <c r="T529" s="28"/>
      <c r="U529" s="41"/>
      <c r="V529" s="41"/>
      <c r="W529" s="41"/>
      <c r="X529" s="28"/>
      <c r="Y529" s="28"/>
      <c r="Z529" s="28"/>
      <c r="AA529" s="28"/>
      <c r="AB529" s="28"/>
      <c r="AC529" s="28"/>
      <c r="AD529" s="28"/>
    </row>
    <row r="530" spans="1:30" x14ac:dyDescent="0.35">
      <c r="A530" s="28" t="s">
        <v>1580</v>
      </c>
      <c r="B530" s="28" t="s">
        <v>1581</v>
      </c>
      <c r="C530" s="23">
        <v>44</v>
      </c>
      <c r="D530" s="28">
        <v>127</v>
      </c>
      <c r="E530" s="30">
        <v>42062</v>
      </c>
      <c r="F530" s="28" t="s">
        <v>1582</v>
      </c>
      <c r="G530" s="28">
        <f>INDEX($C$2:$D$37,MATCH(RESOLUCIONES[[#This Row],[No. Canal]],$C$2:$C$37,0),2)</f>
        <v>653</v>
      </c>
      <c r="I530" s="28" t="s">
        <v>1583</v>
      </c>
      <c r="J530" s="28" t="s">
        <v>304</v>
      </c>
      <c r="K530" s="28" t="str">
        <f t="shared" si="14"/>
        <v>MacaravitaSantander</v>
      </c>
      <c r="L530" s="28"/>
      <c r="M530" s="28"/>
      <c r="N530" s="28"/>
      <c r="O530" s="28"/>
      <c r="P530" s="28"/>
      <c r="Q530" s="28"/>
      <c r="R530" s="28"/>
      <c r="S530" s="28"/>
      <c r="T530" s="28"/>
      <c r="U530" s="41"/>
      <c r="V530" s="41"/>
      <c r="W530" s="41"/>
      <c r="X530" s="28"/>
      <c r="Y530" s="28"/>
      <c r="Z530" s="28"/>
      <c r="AA530" s="28"/>
      <c r="AB530" s="28"/>
      <c r="AC530" s="28"/>
      <c r="AD530" s="28"/>
    </row>
    <row r="531" spans="1:30" x14ac:dyDescent="0.35">
      <c r="A531" s="28" t="s">
        <v>1584</v>
      </c>
      <c r="B531" s="28" t="s">
        <v>1585</v>
      </c>
      <c r="C531" s="23">
        <v>48</v>
      </c>
      <c r="D531" s="28">
        <v>1591</v>
      </c>
      <c r="E531" s="30">
        <v>42986</v>
      </c>
      <c r="F531" s="28" t="s">
        <v>1586</v>
      </c>
      <c r="G531" s="28">
        <f>INDEX($C$2:$D$37,MATCH(RESOLUCIONES[[#This Row],[No. Canal]],$C$2:$C$37,0),2)</f>
        <v>677</v>
      </c>
      <c r="I531" s="28" t="s">
        <v>1587</v>
      </c>
      <c r="J531" s="28" t="s">
        <v>154</v>
      </c>
      <c r="K531" s="28" t="str">
        <f t="shared" si="14"/>
        <v>MaceoAntioquia</v>
      </c>
      <c r="L531" s="28"/>
      <c r="M531" s="28"/>
      <c r="N531" s="28"/>
      <c r="O531" s="28"/>
      <c r="P531" s="28"/>
      <c r="Q531" s="28"/>
      <c r="R531" s="28"/>
      <c r="S531" s="28"/>
      <c r="T531" s="28"/>
      <c r="U531" s="41"/>
      <c r="V531" s="41"/>
      <c r="W531" s="41"/>
      <c r="X531" s="28"/>
      <c r="Y531" s="28"/>
      <c r="Z531" s="28"/>
      <c r="AA531" s="28"/>
      <c r="AB531" s="28"/>
      <c r="AC531" s="28"/>
      <c r="AD531" s="28"/>
    </row>
    <row r="532" spans="1:30" x14ac:dyDescent="0.35">
      <c r="A532" s="28" t="s">
        <v>1588</v>
      </c>
      <c r="B532" s="28" t="s">
        <v>1589</v>
      </c>
      <c r="C532" s="23">
        <v>17</v>
      </c>
      <c r="D532" s="28">
        <v>1591</v>
      </c>
      <c r="E532" s="30">
        <v>42986</v>
      </c>
      <c r="F532" s="28" t="s">
        <v>1586</v>
      </c>
      <c r="G532" s="28">
        <f>INDEX($C$2:$D$37,MATCH(RESOLUCIONES[[#This Row],[No. Canal]],$C$2:$C$37,0),2)</f>
        <v>491</v>
      </c>
      <c r="I532" s="28" t="s">
        <v>1590</v>
      </c>
      <c r="J532" s="28" t="s">
        <v>283</v>
      </c>
      <c r="K532" s="28" t="str">
        <f t="shared" si="14"/>
        <v>MachetaCundinamarca</v>
      </c>
      <c r="L532" s="28"/>
      <c r="M532" s="28"/>
      <c r="N532" s="28"/>
      <c r="O532" s="28"/>
      <c r="P532" s="28"/>
      <c r="Q532" s="28"/>
      <c r="R532" s="28"/>
      <c r="S532" s="28"/>
      <c r="T532" s="28"/>
      <c r="U532" s="41"/>
      <c r="V532" s="41"/>
      <c r="W532" s="41"/>
      <c r="X532" s="28"/>
      <c r="Y532" s="28"/>
      <c r="Z532" s="28"/>
      <c r="AA532" s="28"/>
      <c r="AB532" s="28"/>
      <c r="AC532" s="28"/>
      <c r="AD532" s="28"/>
    </row>
    <row r="533" spans="1:30" x14ac:dyDescent="0.35">
      <c r="A533" s="28" t="s">
        <v>1591</v>
      </c>
      <c r="B533" s="28" t="s">
        <v>1592</v>
      </c>
      <c r="C533" s="23">
        <v>17</v>
      </c>
      <c r="D533" s="28">
        <v>925</v>
      </c>
      <c r="E533" s="30">
        <v>43987</v>
      </c>
      <c r="F533" s="28" t="s">
        <v>1593</v>
      </c>
      <c r="G533" s="28">
        <f>INDEX($C$2:$D$37,MATCH(RESOLUCIONES[[#This Row],[No. Canal]],$C$2:$C$37,0),2)</f>
        <v>491</v>
      </c>
      <c r="I533" s="28" t="s">
        <v>1594</v>
      </c>
      <c r="J533" s="28" t="s">
        <v>283</v>
      </c>
      <c r="K533" s="28" t="str">
        <f t="shared" si="14"/>
        <v>MadridCundinamarca</v>
      </c>
      <c r="L533" s="28"/>
      <c r="M533" s="28"/>
      <c r="N533" s="28"/>
      <c r="O533" s="28"/>
      <c r="P533" s="28"/>
      <c r="Q533" s="28"/>
      <c r="R533" s="28"/>
      <c r="S533" s="28"/>
      <c r="T533" s="28"/>
      <c r="U533" s="41"/>
      <c r="V533" s="41"/>
      <c r="W533" s="41"/>
      <c r="X533" s="28"/>
      <c r="Y533" s="28"/>
      <c r="Z533" s="28"/>
      <c r="AA533" s="28"/>
      <c r="AB533" s="28"/>
      <c r="AC533" s="28"/>
      <c r="AD533" s="28"/>
    </row>
    <row r="534" spans="1:30" x14ac:dyDescent="0.35">
      <c r="A534" s="28" t="s">
        <v>1595</v>
      </c>
      <c r="B534" s="28" t="s">
        <v>1596</v>
      </c>
      <c r="C534" s="23">
        <v>29</v>
      </c>
      <c r="D534" s="23">
        <v>2954</v>
      </c>
      <c r="E534" s="30">
        <v>45149</v>
      </c>
      <c r="F534" s="28" t="s">
        <v>1597</v>
      </c>
      <c r="G534" s="23">
        <f>INDEX($C$2:$D$37,MATCH(RESOLUCIONES[[#This Row],[No. Canal]],$C$2:$C$37,0),2)</f>
        <v>563</v>
      </c>
      <c r="I534" s="28" t="s">
        <v>1598</v>
      </c>
      <c r="J534" s="28" t="s">
        <v>260</v>
      </c>
      <c r="K534" s="28" t="str">
        <f t="shared" si="14"/>
        <v>MaganguéBolivar</v>
      </c>
      <c r="L534" s="28"/>
      <c r="M534" s="28"/>
      <c r="N534" s="28"/>
      <c r="O534" s="28"/>
      <c r="P534" s="28"/>
      <c r="Q534" s="28"/>
      <c r="R534" s="28"/>
      <c r="S534" s="28"/>
      <c r="T534" s="28"/>
      <c r="U534" s="41"/>
      <c r="V534" s="41"/>
      <c r="W534" s="41"/>
      <c r="X534" s="28"/>
      <c r="Y534" s="28"/>
      <c r="Z534" s="28"/>
      <c r="AA534" s="28"/>
      <c r="AB534" s="28"/>
      <c r="AC534" s="28"/>
      <c r="AD534" s="28"/>
    </row>
    <row r="535" spans="1:30" x14ac:dyDescent="0.35">
      <c r="A535" s="28" t="s">
        <v>1599</v>
      </c>
      <c r="B535" s="28" t="s">
        <v>1600</v>
      </c>
      <c r="C535" s="23">
        <v>29</v>
      </c>
      <c r="D535" s="28">
        <v>1591</v>
      </c>
      <c r="E535" s="30">
        <v>42986</v>
      </c>
      <c r="F535" s="28" t="s">
        <v>1586</v>
      </c>
      <c r="G535" s="28">
        <f>INDEX($C$2:$D$37,MATCH(RESOLUCIONES[[#This Row],[No. Canal]],$C$2:$C$37,0),2)</f>
        <v>563</v>
      </c>
      <c r="I535" s="28" t="s">
        <v>1601</v>
      </c>
      <c r="J535" s="28" t="s">
        <v>352</v>
      </c>
      <c r="K535" s="28" t="str">
        <f t="shared" si="14"/>
        <v>MagüiNariño</v>
      </c>
      <c r="L535" s="28"/>
      <c r="M535" s="28"/>
      <c r="N535" s="28"/>
      <c r="O535" s="28"/>
      <c r="P535" s="28"/>
      <c r="Q535" s="28"/>
      <c r="R535" s="28"/>
      <c r="S535" s="28"/>
      <c r="T535" s="28"/>
      <c r="U535" s="41"/>
      <c r="V535" s="41"/>
      <c r="W535" s="41"/>
      <c r="X535" s="28"/>
      <c r="Y535" s="28"/>
      <c r="Z535" s="28"/>
      <c r="AA535" s="28"/>
      <c r="AB535" s="28"/>
      <c r="AC535" s="28"/>
      <c r="AD535" s="28"/>
    </row>
    <row r="536" spans="1:30" x14ac:dyDescent="0.35">
      <c r="A536" s="28" t="s">
        <v>1602</v>
      </c>
      <c r="B536" s="28" t="s">
        <v>1603</v>
      </c>
      <c r="C536" s="23">
        <v>17</v>
      </c>
      <c r="D536" s="28">
        <v>925</v>
      </c>
      <c r="E536" s="30">
        <v>43987</v>
      </c>
      <c r="F536" s="28" t="s">
        <v>1593</v>
      </c>
      <c r="G536" s="28">
        <f>INDEX($C$2:$D$37,MATCH(RESOLUCIONES[[#This Row],[No. Canal]],$C$2:$C$37,0),2)</f>
        <v>491</v>
      </c>
      <c r="I536" s="28" t="s">
        <v>1604</v>
      </c>
      <c r="J536" s="28" t="s">
        <v>260</v>
      </c>
      <c r="K536" s="28" t="str">
        <f t="shared" si="14"/>
        <v>MahatesBolivar</v>
      </c>
      <c r="L536" s="28"/>
      <c r="M536" s="28"/>
      <c r="N536" s="28"/>
      <c r="O536" s="28"/>
      <c r="P536" s="28"/>
      <c r="Q536" s="28"/>
      <c r="R536" s="28"/>
      <c r="S536" s="28"/>
      <c r="T536" s="28"/>
      <c r="U536" s="41"/>
      <c r="V536" s="41"/>
      <c r="W536" s="41"/>
      <c r="X536" s="28"/>
      <c r="Y536" s="28"/>
      <c r="Z536" s="28"/>
      <c r="AA536" s="28"/>
      <c r="AB536" s="28"/>
      <c r="AC536" s="28"/>
      <c r="AD536" s="28"/>
    </row>
    <row r="537" spans="1:30" x14ac:dyDescent="0.35">
      <c r="A537" s="28" t="s">
        <v>1605</v>
      </c>
      <c r="B537" s="28" t="s">
        <v>1606</v>
      </c>
      <c r="C537" s="23">
        <v>17</v>
      </c>
      <c r="D537" s="28">
        <v>2457</v>
      </c>
      <c r="E537" s="30">
        <v>41954</v>
      </c>
      <c r="F537" s="28" t="s">
        <v>1607</v>
      </c>
      <c r="G537" s="28">
        <f>INDEX($C$2:$D$37,MATCH(RESOLUCIONES[[#This Row],[No. Canal]],$C$2:$C$37,0),2)</f>
        <v>491</v>
      </c>
      <c r="I537" s="28" t="s">
        <v>1608</v>
      </c>
      <c r="J537" s="28" t="s">
        <v>369</v>
      </c>
      <c r="K537" s="28" t="str">
        <f t="shared" si="14"/>
        <v>MaicaoLa Guajira</v>
      </c>
      <c r="L537" s="28"/>
      <c r="M537" s="28"/>
      <c r="N537" s="28"/>
      <c r="O537" s="28"/>
      <c r="P537" s="28"/>
      <c r="Q537" s="28"/>
      <c r="R537" s="28"/>
      <c r="S537" s="28"/>
      <c r="T537" s="28"/>
      <c r="U537" s="41"/>
      <c r="V537" s="41"/>
      <c r="W537" s="41"/>
      <c r="X537" s="28"/>
      <c r="Y537" s="28"/>
      <c r="Z537" s="28"/>
      <c r="AA537" s="28"/>
      <c r="AB537" s="28"/>
      <c r="AC537" s="28"/>
      <c r="AD537" s="28"/>
    </row>
    <row r="538" spans="1:30" x14ac:dyDescent="0.35">
      <c r="A538" s="28" t="s">
        <v>1609</v>
      </c>
      <c r="B538" s="28" t="s">
        <v>1610</v>
      </c>
      <c r="C538" s="23">
        <v>17</v>
      </c>
      <c r="D538" s="28">
        <v>925</v>
      </c>
      <c r="E538" s="30">
        <v>43987</v>
      </c>
      <c r="F538" s="28" t="s">
        <v>1593</v>
      </c>
      <c r="G538" s="28">
        <f>INDEX($C$2:$D$37,MATCH(RESOLUCIONES[[#This Row],[No. Canal]],$C$2:$C$37,0),2)</f>
        <v>491</v>
      </c>
      <c r="I538" s="28" t="s">
        <v>1611</v>
      </c>
      <c r="J538" s="28" t="s">
        <v>413</v>
      </c>
      <c r="K538" s="28" t="str">
        <f t="shared" si="14"/>
        <v>MajagualSucre</v>
      </c>
      <c r="L538" s="28"/>
      <c r="M538" s="28"/>
      <c r="N538" s="28"/>
      <c r="O538" s="28"/>
      <c r="P538" s="28"/>
      <c r="Q538" s="28"/>
      <c r="R538" s="28"/>
      <c r="S538" s="28"/>
      <c r="T538" s="28"/>
      <c r="U538" s="41"/>
      <c r="V538" s="41"/>
      <c r="W538" s="41"/>
      <c r="X538" s="28"/>
      <c r="Y538" s="28"/>
      <c r="Z538" s="28"/>
      <c r="AA538" s="28"/>
      <c r="AB538" s="28"/>
      <c r="AC538" s="28"/>
      <c r="AD538" s="28"/>
    </row>
    <row r="539" spans="1:30" x14ac:dyDescent="0.35">
      <c r="A539" s="28" t="s">
        <v>1363</v>
      </c>
      <c r="B539" s="28" t="s">
        <v>1612</v>
      </c>
      <c r="C539" s="23">
        <v>17</v>
      </c>
      <c r="D539" s="28">
        <v>1973</v>
      </c>
      <c r="E539" s="30" t="s">
        <v>1613</v>
      </c>
      <c r="F539" s="28" t="s">
        <v>1614</v>
      </c>
      <c r="G539" s="28">
        <f>INDEX($C$2:$D$37,MATCH(RESOLUCIONES[[#This Row],[No. Canal]],$C$2:$C$37,0),2)</f>
        <v>491</v>
      </c>
      <c r="I539" s="28" t="s">
        <v>1615</v>
      </c>
      <c r="J539" s="28" t="s">
        <v>304</v>
      </c>
      <c r="K539" s="28" t="str">
        <f t="shared" si="14"/>
        <v>MálagaSantander</v>
      </c>
      <c r="L539" s="28"/>
      <c r="M539" s="28"/>
      <c r="N539" s="28"/>
      <c r="O539" s="28"/>
      <c r="P539" s="28"/>
      <c r="Q539" s="28"/>
      <c r="R539" s="28"/>
      <c r="S539" s="28"/>
      <c r="T539" s="28"/>
      <c r="U539" s="41"/>
      <c r="V539" s="41"/>
      <c r="W539" s="41"/>
      <c r="X539" s="28"/>
      <c r="Y539" s="28"/>
      <c r="Z539" s="28"/>
      <c r="AA539" s="28"/>
      <c r="AB539" s="28"/>
      <c r="AC539" s="28"/>
      <c r="AD539" s="28"/>
    </row>
    <row r="540" spans="1:30" x14ac:dyDescent="0.35">
      <c r="A540" s="28" t="s">
        <v>1616</v>
      </c>
      <c r="B540" s="28" t="s">
        <v>1617</v>
      </c>
      <c r="C540" s="23">
        <v>29</v>
      </c>
      <c r="D540" s="28">
        <v>1985</v>
      </c>
      <c r="E540" s="30">
        <v>43462</v>
      </c>
      <c r="F540" s="28" t="s">
        <v>1618</v>
      </c>
      <c r="G540" s="28">
        <f>INDEX($C$2:$D$37,MATCH(RESOLUCIONES[[#This Row],[No. Canal]],$C$2:$C$37,0),2)</f>
        <v>563</v>
      </c>
      <c r="I540" s="28" t="s">
        <v>1619</v>
      </c>
      <c r="J540" s="28" t="s">
        <v>231</v>
      </c>
      <c r="K540" s="28" t="str">
        <f t="shared" si="14"/>
        <v>MalamboAtlantico</v>
      </c>
      <c r="L540" s="28"/>
      <c r="M540" s="28"/>
      <c r="N540" s="28"/>
      <c r="O540" s="28"/>
      <c r="P540" s="28"/>
      <c r="Q540" s="28"/>
      <c r="R540" s="28"/>
      <c r="S540" s="28"/>
      <c r="T540" s="28"/>
      <c r="U540" s="41"/>
      <c r="V540" s="41"/>
      <c r="W540" s="41"/>
      <c r="X540" s="28"/>
      <c r="Y540" s="28"/>
      <c r="Z540" s="28"/>
      <c r="AA540" s="28"/>
      <c r="AB540" s="28"/>
      <c r="AC540" s="28"/>
      <c r="AD540" s="28"/>
    </row>
    <row r="541" spans="1:30" x14ac:dyDescent="0.35">
      <c r="A541" s="28" t="s">
        <v>1620</v>
      </c>
      <c r="B541" s="28" t="s">
        <v>1621</v>
      </c>
      <c r="C541" s="23">
        <v>17</v>
      </c>
      <c r="D541" s="28">
        <v>1985</v>
      </c>
      <c r="E541" s="30">
        <v>43462</v>
      </c>
      <c r="F541" s="28" t="s">
        <v>1618</v>
      </c>
      <c r="G541" s="28">
        <f>INDEX($C$2:$D$37,MATCH(RESOLUCIONES[[#This Row],[No. Canal]],$C$2:$C$37,0),2)</f>
        <v>491</v>
      </c>
      <c r="I541" s="28" t="s">
        <v>1622</v>
      </c>
      <c r="J541" s="28" t="s">
        <v>352</v>
      </c>
      <c r="K541" s="28" t="str">
        <f t="shared" si="14"/>
        <v>MallamaNariño</v>
      </c>
      <c r="L541" s="28"/>
      <c r="M541" s="28"/>
      <c r="N541" s="28"/>
      <c r="O541" s="28"/>
      <c r="P541" s="28"/>
      <c r="Q541" s="28"/>
      <c r="R541" s="28"/>
      <c r="S541" s="28"/>
      <c r="T541" s="28"/>
      <c r="U541" s="41"/>
      <c r="V541" s="41"/>
      <c r="W541" s="41"/>
      <c r="X541" s="28"/>
      <c r="Y541" s="28"/>
      <c r="Z541" s="28"/>
      <c r="AA541" s="28"/>
      <c r="AB541" s="28"/>
      <c r="AC541" s="28"/>
      <c r="AD541" s="28"/>
    </row>
    <row r="542" spans="1:30" x14ac:dyDescent="0.35">
      <c r="A542" s="28" t="s">
        <v>1623</v>
      </c>
      <c r="B542" s="28" t="s">
        <v>1624</v>
      </c>
      <c r="C542" s="23">
        <v>29</v>
      </c>
      <c r="D542" s="28">
        <v>1985</v>
      </c>
      <c r="E542" s="30">
        <v>43462</v>
      </c>
      <c r="F542" s="28" t="s">
        <v>1618</v>
      </c>
      <c r="G542" s="28">
        <f>INDEX($C$2:$D$37,MATCH(RESOLUCIONES[[#This Row],[No. Canal]],$C$2:$C$37,0),2)</f>
        <v>563</v>
      </c>
      <c r="I542" s="28" t="s">
        <v>1625</v>
      </c>
      <c r="J542" s="28" t="s">
        <v>231</v>
      </c>
      <c r="K542" s="28" t="str">
        <f t="shared" si="14"/>
        <v>ManatíAtlantico</v>
      </c>
      <c r="L542" s="28"/>
      <c r="M542" s="28"/>
      <c r="N542" s="28"/>
      <c r="O542" s="28"/>
      <c r="P542" s="28"/>
      <c r="Q542" s="28"/>
      <c r="R542" s="28"/>
      <c r="S542" s="28"/>
      <c r="T542" s="28"/>
      <c r="U542" s="41"/>
      <c r="V542" s="41"/>
      <c r="W542" s="41"/>
      <c r="X542" s="28"/>
      <c r="Y542" s="28"/>
      <c r="Z542" s="28"/>
      <c r="AA542" s="28"/>
      <c r="AB542" s="28"/>
      <c r="AC542" s="28"/>
      <c r="AD542" s="28"/>
    </row>
    <row r="543" spans="1:30" x14ac:dyDescent="0.35">
      <c r="A543" s="28" t="s">
        <v>1626</v>
      </c>
      <c r="B543" s="28" t="s">
        <v>1627</v>
      </c>
      <c r="C543" s="23">
        <v>29</v>
      </c>
      <c r="D543" s="28">
        <v>1985</v>
      </c>
      <c r="E543" s="30">
        <v>43462</v>
      </c>
      <c r="F543" s="28" t="s">
        <v>1618</v>
      </c>
      <c r="G543" s="28">
        <f>INDEX($C$2:$D$37,MATCH(RESOLUCIONES[[#This Row],[No. Canal]],$C$2:$C$37,0),2)</f>
        <v>563</v>
      </c>
      <c r="I543" s="28" t="s">
        <v>1628</v>
      </c>
      <c r="J543" s="28" t="s">
        <v>293</v>
      </c>
      <c r="K543" s="28" t="str">
        <f t="shared" si="14"/>
        <v>ManaureCesar</v>
      </c>
      <c r="L543" s="28"/>
      <c r="M543" s="28"/>
      <c r="N543" s="28"/>
      <c r="O543" s="28"/>
      <c r="P543" s="28"/>
      <c r="Q543" s="28"/>
      <c r="R543" s="28"/>
      <c r="S543" s="28"/>
      <c r="T543" s="28"/>
      <c r="U543" s="41"/>
      <c r="V543" s="41"/>
      <c r="W543" s="41"/>
      <c r="X543" s="28"/>
      <c r="Y543" s="28"/>
      <c r="Z543" s="28"/>
      <c r="AA543" s="28"/>
      <c r="AB543" s="28"/>
      <c r="AC543" s="28"/>
      <c r="AD543" s="28"/>
    </row>
    <row r="544" spans="1:30" x14ac:dyDescent="0.35">
      <c r="A544" s="28" t="s">
        <v>1629</v>
      </c>
      <c r="B544" s="28" t="s">
        <v>1630</v>
      </c>
      <c r="C544" s="23">
        <v>17</v>
      </c>
      <c r="D544" s="28">
        <v>1985</v>
      </c>
      <c r="E544" s="30">
        <v>43462</v>
      </c>
      <c r="F544" s="28" t="s">
        <v>1618</v>
      </c>
      <c r="G544" s="28">
        <f>INDEX($C$2:$D$37,MATCH(RESOLUCIONES[[#This Row],[No. Canal]],$C$2:$C$37,0),2)</f>
        <v>491</v>
      </c>
      <c r="I544" s="28" t="s">
        <v>1628</v>
      </c>
      <c r="J544" s="28" t="s">
        <v>369</v>
      </c>
      <c r="K544" s="28" t="str">
        <f t="shared" si="14"/>
        <v>ManaureLa Guajira</v>
      </c>
      <c r="L544" s="28"/>
      <c r="M544" s="28"/>
      <c r="N544" s="28"/>
      <c r="O544" s="28"/>
      <c r="P544" s="28"/>
      <c r="Q544" s="28"/>
      <c r="R544" s="28"/>
      <c r="S544" s="28"/>
      <c r="T544" s="28"/>
      <c r="U544" s="41"/>
      <c r="V544" s="41"/>
      <c r="W544" s="41"/>
      <c r="X544" s="28"/>
      <c r="Y544" s="28"/>
      <c r="Z544" s="28"/>
      <c r="AA544" s="28"/>
      <c r="AB544" s="28"/>
      <c r="AC544" s="28"/>
      <c r="AD544" s="28"/>
    </row>
    <row r="545" spans="1:30" x14ac:dyDescent="0.35">
      <c r="A545" s="28" t="s">
        <v>1631</v>
      </c>
      <c r="B545" s="28" t="s">
        <v>1632</v>
      </c>
      <c r="C545" s="21">
        <v>23</v>
      </c>
      <c r="D545" s="28">
        <v>190</v>
      </c>
      <c r="E545" s="30">
        <v>43871</v>
      </c>
      <c r="F545" s="28" t="s">
        <v>1633</v>
      </c>
      <c r="G545" s="28">
        <f>INDEX($C$2:$D$37,MATCH(RESOLUCIONES[[#This Row],[No. Canal]],$C$2:$C$37,0),2)</f>
        <v>527</v>
      </c>
      <c r="I545" s="28" t="s">
        <v>1634</v>
      </c>
      <c r="J545" s="28" t="s">
        <v>305</v>
      </c>
      <c r="K545" s="28" t="str">
        <f t="shared" si="14"/>
        <v>ManíCasanare</v>
      </c>
      <c r="L545" s="28"/>
      <c r="M545" s="28"/>
      <c r="N545" s="28"/>
      <c r="O545" s="28"/>
      <c r="P545" s="28"/>
      <c r="Q545" s="28"/>
      <c r="R545" s="28"/>
      <c r="S545" s="28"/>
      <c r="T545" s="28"/>
      <c r="U545" s="41"/>
      <c r="V545" s="41"/>
      <c r="W545" s="41"/>
      <c r="X545" s="28"/>
      <c r="Y545" s="28"/>
      <c r="Z545" s="28"/>
      <c r="AA545" s="28"/>
      <c r="AB545" s="28"/>
      <c r="AC545" s="28"/>
      <c r="AD545" s="28"/>
    </row>
    <row r="546" spans="1:30" x14ac:dyDescent="0.35">
      <c r="A546" s="28" t="s">
        <v>1635</v>
      </c>
      <c r="B546" s="28" t="s">
        <v>1636</v>
      </c>
      <c r="C546" s="23">
        <v>23</v>
      </c>
      <c r="D546" s="28">
        <v>676</v>
      </c>
      <c r="E546" s="30">
        <v>43938</v>
      </c>
      <c r="F546" s="28" t="s">
        <v>1637</v>
      </c>
      <c r="G546" s="28">
        <f>INDEX($C$2:$D$37,MATCH(RESOLUCIONES[[#This Row],[No. Canal]],$C$2:$C$37,0),2)</f>
        <v>527</v>
      </c>
      <c r="I546" s="28" t="s">
        <v>1638</v>
      </c>
      <c r="J546" s="28" t="s">
        <v>284</v>
      </c>
      <c r="K546" s="28" t="str">
        <f t="shared" si="14"/>
        <v>ManizalesCaldas</v>
      </c>
      <c r="L546" s="28"/>
      <c r="M546" s="28"/>
      <c r="N546" s="28"/>
      <c r="O546" s="28"/>
      <c r="P546" s="28"/>
      <c r="Q546" s="28"/>
      <c r="R546" s="28"/>
      <c r="S546" s="28"/>
      <c r="T546" s="28"/>
      <c r="U546" s="41"/>
      <c r="V546" s="41"/>
      <c r="W546" s="41"/>
      <c r="X546" s="28"/>
      <c r="Y546" s="28"/>
      <c r="Z546" s="28"/>
      <c r="AA546" s="28"/>
      <c r="AB546" s="28"/>
      <c r="AC546" s="28"/>
      <c r="AD546" s="28"/>
    </row>
    <row r="547" spans="1:30" x14ac:dyDescent="0.35">
      <c r="A547" s="28" t="s">
        <v>1639</v>
      </c>
      <c r="B547" s="28" t="s">
        <v>1640</v>
      </c>
      <c r="C547" s="21">
        <v>20</v>
      </c>
      <c r="D547" s="28">
        <v>1982</v>
      </c>
      <c r="E547" s="30">
        <v>43462</v>
      </c>
      <c r="F547" s="28" t="s">
        <v>1641</v>
      </c>
      <c r="G547" s="28">
        <f>INDEX($C$2:$D$37,MATCH(RESOLUCIONES[[#This Row],[No. Canal]],$C$2:$C$37,0),2)</f>
        <v>509</v>
      </c>
      <c r="I547" s="28" t="s">
        <v>1642</v>
      </c>
      <c r="J547" s="28" t="s">
        <v>283</v>
      </c>
      <c r="K547" s="28" t="str">
        <f t="shared" si="14"/>
        <v>MantaCundinamarca</v>
      </c>
      <c r="L547" s="28"/>
      <c r="M547" s="28"/>
      <c r="N547" s="28"/>
      <c r="O547" s="28"/>
      <c r="P547" s="28"/>
      <c r="Q547" s="28"/>
      <c r="R547" s="28"/>
      <c r="S547" s="28"/>
      <c r="T547" s="28"/>
      <c r="U547" s="41"/>
      <c r="V547" s="41"/>
      <c r="W547" s="41"/>
      <c r="X547" s="28"/>
      <c r="Y547" s="28"/>
      <c r="Z547" s="28"/>
      <c r="AA547" s="28"/>
      <c r="AB547" s="28"/>
      <c r="AC547" s="28"/>
      <c r="AD547" s="28"/>
    </row>
    <row r="548" spans="1:30" x14ac:dyDescent="0.35">
      <c r="A548" s="28" t="s">
        <v>1643</v>
      </c>
      <c r="B548" s="28" t="s">
        <v>1644</v>
      </c>
      <c r="C548" s="22">
        <v>17</v>
      </c>
      <c r="D548" s="28">
        <v>1398</v>
      </c>
      <c r="E548" s="30">
        <v>42956</v>
      </c>
      <c r="F548" s="28" t="s">
        <v>1645</v>
      </c>
      <c r="G548" s="28">
        <f>INDEX($C$2:$D$37,MATCH(RESOLUCIONES[[#This Row],[No. Canal]],$C$2:$C$37,0),2)</f>
        <v>491</v>
      </c>
      <c r="I548" s="28" t="s">
        <v>1646</v>
      </c>
      <c r="J548" s="28" t="s">
        <v>284</v>
      </c>
      <c r="K548" s="28" t="str">
        <f t="shared" si="14"/>
        <v>ManzanaresCaldas</v>
      </c>
      <c r="L548" s="28"/>
      <c r="M548" s="28"/>
      <c r="N548" s="28"/>
      <c r="O548" s="28"/>
      <c r="P548" s="28"/>
      <c r="Q548" s="28"/>
      <c r="R548" s="28"/>
      <c r="S548" s="28"/>
      <c r="T548" s="28"/>
      <c r="U548" s="41"/>
      <c r="V548" s="41"/>
      <c r="W548" s="41"/>
      <c r="X548" s="28"/>
      <c r="Y548" s="28"/>
      <c r="Z548" s="28"/>
      <c r="AA548" s="28"/>
      <c r="AB548" s="28"/>
      <c r="AC548" s="28"/>
      <c r="AD548" s="28"/>
    </row>
    <row r="549" spans="1:30" x14ac:dyDescent="0.35">
      <c r="A549" s="28" t="s">
        <v>1647</v>
      </c>
      <c r="B549" s="28" t="s">
        <v>1648</v>
      </c>
      <c r="C549" s="21">
        <v>20</v>
      </c>
      <c r="D549" s="28">
        <v>556</v>
      </c>
      <c r="E549" s="30">
        <v>43229</v>
      </c>
      <c r="F549" s="28" t="s">
        <v>1649</v>
      </c>
      <c r="G549" s="28">
        <f>INDEX($C$2:$D$37,MATCH(RESOLUCIONES[[#This Row],[No. Canal]],$C$2:$C$37,0),2)</f>
        <v>509</v>
      </c>
      <c r="I549" s="28" t="s">
        <v>1650</v>
      </c>
      <c r="J549" s="28" t="s">
        <v>210</v>
      </c>
      <c r="K549" s="28" t="str">
        <f t="shared" si="14"/>
        <v>MapiripánMeta</v>
      </c>
      <c r="L549" s="28"/>
      <c r="M549" s="28"/>
      <c r="N549" s="28"/>
      <c r="O549" s="28"/>
      <c r="P549" s="28"/>
      <c r="Q549" s="28"/>
      <c r="R549" s="28"/>
      <c r="S549" s="28"/>
      <c r="T549" s="28"/>
      <c r="U549" s="41"/>
      <c r="V549" s="41"/>
      <c r="W549" s="41"/>
      <c r="X549" s="28"/>
      <c r="Y549" s="28"/>
      <c r="Z549" s="28"/>
      <c r="AA549" s="28"/>
      <c r="AB549" s="28"/>
      <c r="AC549" s="28"/>
      <c r="AD549" s="28"/>
    </row>
    <row r="550" spans="1:30" x14ac:dyDescent="0.35">
      <c r="A550" s="28" t="s">
        <v>1651</v>
      </c>
      <c r="B550" s="28" t="s">
        <v>1652</v>
      </c>
      <c r="C550" s="22">
        <v>17</v>
      </c>
      <c r="D550" s="28">
        <v>70</v>
      </c>
      <c r="E550" s="30">
        <v>42403</v>
      </c>
      <c r="F550" s="28" t="s">
        <v>1653</v>
      </c>
      <c r="G550" s="28">
        <f>INDEX($C$2:$D$37,MATCH(RESOLUCIONES[[#This Row],[No. Canal]],$C$2:$C$37,0),2)</f>
        <v>491</v>
      </c>
      <c r="I550" s="28" t="s">
        <v>1654</v>
      </c>
      <c r="J550" s="28" t="s">
        <v>353</v>
      </c>
      <c r="K550" s="28" t="str">
        <f t="shared" si="14"/>
        <v>MapiripanaGuainia</v>
      </c>
      <c r="L550" s="28"/>
      <c r="M550" s="28"/>
      <c r="N550" s="28"/>
      <c r="O550" s="28"/>
      <c r="P550" s="28"/>
      <c r="Q550" s="28"/>
      <c r="R550" s="28"/>
      <c r="S550" s="28"/>
      <c r="T550" s="28"/>
      <c r="U550" s="41"/>
      <c r="V550" s="41"/>
      <c r="W550" s="41"/>
      <c r="X550" s="28"/>
      <c r="Y550" s="28"/>
      <c r="Z550" s="28"/>
      <c r="AA550" s="28"/>
      <c r="AB550" s="28"/>
      <c r="AC550" s="28"/>
      <c r="AD550" s="28"/>
    </row>
    <row r="551" spans="1:30" x14ac:dyDescent="0.35">
      <c r="A551" s="28" t="s">
        <v>1655</v>
      </c>
      <c r="B551" s="28" t="s">
        <v>1656</v>
      </c>
      <c r="C551" s="22">
        <v>17</v>
      </c>
      <c r="D551" s="28">
        <v>1398</v>
      </c>
      <c r="E551" s="30">
        <v>42956</v>
      </c>
      <c r="F551" s="28" t="s">
        <v>1645</v>
      </c>
      <c r="G551" s="28">
        <f>INDEX($C$2:$D$37,MATCH(RESOLUCIONES[[#This Row],[No. Canal]],$C$2:$C$37,0),2)</f>
        <v>491</v>
      </c>
      <c r="I551" s="28" t="s">
        <v>1657</v>
      </c>
      <c r="J551" s="28" t="s">
        <v>260</v>
      </c>
      <c r="K551" s="28" t="str">
        <f t="shared" si="14"/>
        <v>MargaritaBolivar</v>
      </c>
      <c r="L551" s="28"/>
      <c r="M551" s="28"/>
      <c r="N551" s="28"/>
      <c r="O551" s="28"/>
      <c r="P551" s="28"/>
      <c r="Q551" s="28"/>
      <c r="R551" s="28"/>
      <c r="S551" s="28"/>
      <c r="T551" s="28"/>
      <c r="U551" s="41"/>
      <c r="V551" s="41"/>
      <c r="W551" s="41"/>
      <c r="X551" s="28"/>
      <c r="Y551" s="28"/>
      <c r="Z551" s="28"/>
      <c r="AA551" s="28"/>
      <c r="AB551" s="28"/>
      <c r="AC551" s="28"/>
      <c r="AD551" s="28"/>
    </row>
    <row r="552" spans="1:30" x14ac:dyDescent="0.35">
      <c r="A552" s="28" t="s">
        <v>1658</v>
      </c>
      <c r="B552" s="28" t="s">
        <v>1659</v>
      </c>
      <c r="C552" s="21">
        <v>35</v>
      </c>
      <c r="D552" s="28">
        <v>556</v>
      </c>
      <c r="E552" s="30">
        <v>43229</v>
      </c>
      <c r="F552" s="28" t="s">
        <v>1649</v>
      </c>
      <c r="G552" s="28">
        <f>INDEX($C$2:$D$37,MATCH(RESOLUCIONES[[#This Row],[No. Canal]],$C$2:$C$37,0),2)</f>
        <v>599</v>
      </c>
      <c r="I552" s="28" t="s">
        <v>1660</v>
      </c>
      <c r="J552" s="28" t="s">
        <v>260</v>
      </c>
      <c r="K552" s="28" t="str">
        <f t="shared" si="14"/>
        <v>María La BajaBolivar</v>
      </c>
      <c r="L552" s="28"/>
      <c r="M552" s="28"/>
      <c r="N552" s="28"/>
      <c r="O552" s="28"/>
      <c r="P552" s="28"/>
      <c r="Q552" s="28"/>
      <c r="R552" s="28"/>
      <c r="S552" s="28"/>
      <c r="T552" s="28"/>
      <c r="U552" s="41"/>
      <c r="V552" s="41"/>
      <c r="W552" s="41"/>
      <c r="X552" s="28"/>
      <c r="Y552" s="28"/>
      <c r="Z552" s="28"/>
      <c r="AA552" s="28"/>
      <c r="AB552" s="28"/>
      <c r="AC552" s="28"/>
      <c r="AD552" s="28"/>
    </row>
    <row r="553" spans="1:30" x14ac:dyDescent="0.35">
      <c r="A553" s="28" t="s">
        <v>1661</v>
      </c>
      <c r="B553" s="28" t="s">
        <v>1662</v>
      </c>
      <c r="C553" s="21">
        <v>20</v>
      </c>
      <c r="D553" s="28">
        <v>1982</v>
      </c>
      <c r="E553" s="30">
        <v>43462</v>
      </c>
      <c r="F553" s="28" t="s">
        <v>1641</v>
      </c>
      <c r="G553" s="28">
        <f>INDEX($C$2:$D$37,MATCH(RESOLUCIONES[[#This Row],[No. Canal]],$C$2:$C$37,0),2)</f>
        <v>509</v>
      </c>
      <c r="I553" s="28" t="s">
        <v>1663</v>
      </c>
      <c r="J553" s="28" t="s">
        <v>154</v>
      </c>
      <c r="K553" s="28" t="str">
        <f t="shared" si="14"/>
        <v>MarinillaAntioquia</v>
      </c>
      <c r="L553" s="28"/>
      <c r="M553" s="28"/>
      <c r="N553" s="28"/>
      <c r="O553" s="28"/>
      <c r="P553" s="28"/>
      <c r="Q553" s="28"/>
      <c r="R553" s="28"/>
      <c r="S553" s="28"/>
      <c r="T553" s="28"/>
      <c r="U553" s="41"/>
      <c r="V553" s="41"/>
      <c r="W553" s="41"/>
      <c r="X553" s="28"/>
      <c r="Y553" s="28"/>
      <c r="Z553" s="28"/>
      <c r="AA553" s="28"/>
      <c r="AB553" s="28"/>
      <c r="AC553" s="28"/>
      <c r="AD553" s="28"/>
    </row>
    <row r="554" spans="1:30" x14ac:dyDescent="0.35">
      <c r="A554" s="28" t="s">
        <v>1664</v>
      </c>
      <c r="B554" s="28" t="s">
        <v>1665</v>
      </c>
      <c r="C554" s="21">
        <v>20</v>
      </c>
      <c r="D554" s="28">
        <v>1982</v>
      </c>
      <c r="E554" s="30">
        <v>43462</v>
      </c>
      <c r="F554" s="28" t="s">
        <v>1641</v>
      </c>
      <c r="G554" s="28">
        <f>INDEX($C$2:$D$37,MATCH(RESOLUCIONES[[#This Row],[No. Canal]],$C$2:$C$37,0),2)</f>
        <v>509</v>
      </c>
      <c r="I554" s="28" t="s">
        <v>1666</v>
      </c>
      <c r="J554" s="28" t="s">
        <v>274</v>
      </c>
      <c r="K554" s="28" t="str">
        <f t="shared" si="14"/>
        <v>MaripíBoyaca</v>
      </c>
      <c r="L554" s="28"/>
      <c r="M554" s="28"/>
      <c r="N554" s="28"/>
      <c r="O554" s="28"/>
      <c r="P554" s="28"/>
      <c r="Q554" s="28"/>
      <c r="R554" s="28"/>
      <c r="S554" s="28"/>
      <c r="T554" s="28"/>
      <c r="U554" s="41"/>
      <c r="V554" s="41"/>
      <c r="W554" s="41"/>
      <c r="X554" s="28"/>
      <c r="Y554" s="28"/>
      <c r="Z554" s="28"/>
      <c r="AA554" s="28"/>
      <c r="AB554" s="28"/>
      <c r="AC554" s="28"/>
      <c r="AD554" s="28"/>
    </row>
    <row r="555" spans="1:30" x14ac:dyDescent="0.35">
      <c r="A555" s="28" t="s">
        <v>1667</v>
      </c>
      <c r="B555" s="28" t="s">
        <v>1668</v>
      </c>
      <c r="C555" s="24">
        <v>17</v>
      </c>
      <c r="D555" s="28">
        <v>1080</v>
      </c>
      <c r="E555" s="30">
        <v>44008</v>
      </c>
      <c r="F555" s="28" t="s">
        <v>1669</v>
      </c>
      <c r="G555" s="28">
        <f>INDEX($C$2:$D$37,MATCH(RESOLUCIONES[[#This Row],[No. Canal]],$C$2:$C$37,0),2)</f>
        <v>491</v>
      </c>
      <c r="I555" s="28" t="s">
        <v>1670</v>
      </c>
      <c r="J555" s="28" t="s">
        <v>409</v>
      </c>
      <c r="K555" s="28" t="str">
        <f t="shared" si="14"/>
        <v>MariquitaTolima</v>
      </c>
      <c r="L555" s="28"/>
      <c r="M555" s="28"/>
      <c r="N555" s="28"/>
      <c r="O555" s="28"/>
      <c r="P555" s="28"/>
      <c r="Q555" s="28"/>
      <c r="R555" s="28"/>
      <c r="S555" s="28"/>
      <c r="T555" s="28"/>
      <c r="U555" s="41"/>
      <c r="V555" s="41"/>
      <c r="W555" s="41"/>
      <c r="X555" s="28"/>
      <c r="Y555" s="28"/>
      <c r="Z555" s="28"/>
      <c r="AA555" s="28"/>
      <c r="AB555" s="28"/>
      <c r="AC555" s="28"/>
      <c r="AD555" s="28"/>
    </row>
    <row r="556" spans="1:30" x14ac:dyDescent="0.35">
      <c r="A556" s="39" t="s">
        <v>1427</v>
      </c>
      <c r="B556" s="28" t="s">
        <v>1671</v>
      </c>
      <c r="C556" s="21">
        <v>17</v>
      </c>
      <c r="D556" s="28">
        <v>1980</v>
      </c>
      <c r="E556" s="30">
        <v>43462</v>
      </c>
      <c r="F556" s="28" t="s">
        <v>1672</v>
      </c>
      <c r="G556" s="28">
        <f>INDEX($C$2:$D$37,MATCH(RESOLUCIONES[[#This Row],[No. Canal]],$C$2:$C$37,0),2)</f>
        <v>491</v>
      </c>
      <c r="I556" s="28" t="s">
        <v>1673</v>
      </c>
      <c r="J556" s="28" t="s">
        <v>284</v>
      </c>
      <c r="K556" s="28" t="str">
        <f t="shared" si="14"/>
        <v>MarmatoCaldas</v>
      </c>
      <c r="L556" s="28"/>
      <c r="M556" s="28"/>
      <c r="N556" s="28"/>
      <c r="O556" s="28"/>
      <c r="P556" s="28"/>
      <c r="Q556" s="28"/>
      <c r="R556" s="28"/>
      <c r="S556" s="28"/>
      <c r="T556" s="28"/>
      <c r="U556" s="41"/>
      <c r="V556" s="41"/>
      <c r="W556" s="41"/>
      <c r="X556" s="28"/>
      <c r="Y556" s="28"/>
      <c r="Z556" s="28"/>
      <c r="AA556" s="28"/>
      <c r="AB556" s="28"/>
      <c r="AC556" s="28"/>
      <c r="AD556" s="28"/>
    </row>
    <row r="557" spans="1:30" x14ac:dyDescent="0.35">
      <c r="A557" s="39" t="s">
        <v>1221</v>
      </c>
      <c r="B557" s="28" t="s">
        <v>1674</v>
      </c>
      <c r="C557" s="22">
        <v>17</v>
      </c>
      <c r="D557" s="28">
        <v>129</v>
      </c>
      <c r="E557" s="30">
        <v>42062</v>
      </c>
      <c r="F557" s="28" t="s">
        <v>1675</v>
      </c>
      <c r="G557" s="28">
        <f>INDEX($C$2:$D$37,MATCH(RESOLUCIONES[[#This Row],[No. Canal]],$C$2:$C$37,0),2)</f>
        <v>491</v>
      </c>
      <c r="I557" s="28" t="s">
        <v>1676</v>
      </c>
      <c r="J557" s="28" t="s">
        <v>284</v>
      </c>
      <c r="K557" s="28" t="str">
        <f t="shared" si="14"/>
        <v>MarquetaliaCaldas</v>
      </c>
      <c r="L557" s="28"/>
      <c r="M557" s="28"/>
      <c r="N557" s="28"/>
      <c r="O557" s="28"/>
      <c r="P557" s="28"/>
      <c r="Q557" s="28"/>
      <c r="R557" s="28"/>
      <c r="S557" s="28"/>
      <c r="T557" s="28"/>
      <c r="U557" s="41"/>
      <c r="V557" s="41"/>
      <c r="W557" s="41"/>
      <c r="X557" s="28"/>
      <c r="Y557" s="28"/>
      <c r="Z557" s="28"/>
      <c r="AA557" s="28"/>
      <c r="AB557" s="28"/>
      <c r="AC557" s="28"/>
      <c r="AD557" s="28"/>
    </row>
    <row r="558" spans="1:30" x14ac:dyDescent="0.35">
      <c r="A558" s="39" t="s">
        <v>1224</v>
      </c>
      <c r="B558" s="28" t="s">
        <v>1677</v>
      </c>
      <c r="C558" s="21">
        <v>28</v>
      </c>
      <c r="D558" s="28">
        <v>297</v>
      </c>
      <c r="E558" s="30">
        <v>43558</v>
      </c>
      <c r="F558" s="28" t="s">
        <v>1678</v>
      </c>
      <c r="G558" s="28">
        <f>INDEX($C$2:$D$37,MATCH(RESOLUCIONES[[#This Row],[No. Canal]],$C$2:$C$37,0),2)</f>
        <v>557</v>
      </c>
      <c r="I558" s="28" t="s">
        <v>1679</v>
      </c>
      <c r="J558" s="28" t="s">
        <v>405</v>
      </c>
      <c r="K558" s="28" t="str">
        <f t="shared" si="14"/>
        <v>MarsellaRisaralda</v>
      </c>
      <c r="L558" s="28"/>
      <c r="M558" s="28"/>
      <c r="N558" s="28"/>
      <c r="O558" s="28"/>
      <c r="P558" s="28"/>
      <c r="Q558" s="28"/>
      <c r="R558" s="28"/>
      <c r="S558" s="28"/>
      <c r="T558" s="28"/>
      <c r="U558" s="41"/>
      <c r="V558" s="41"/>
      <c r="W558" s="41"/>
      <c r="X558" s="28"/>
      <c r="Y558" s="28"/>
      <c r="Z558" s="28"/>
      <c r="AA558" s="28"/>
      <c r="AB558" s="28"/>
      <c r="AC558" s="28"/>
      <c r="AD558" s="28"/>
    </row>
    <row r="559" spans="1:30" x14ac:dyDescent="0.35">
      <c r="A559" s="39" t="s">
        <v>1228</v>
      </c>
      <c r="B559" s="28" t="s">
        <v>1680</v>
      </c>
      <c r="C559" s="21">
        <v>24</v>
      </c>
      <c r="D559" s="28">
        <v>297</v>
      </c>
      <c r="E559" s="30">
        <v>43558</v>
      </c>
      <c r="F559" s="28" t="s">
        <v>1678</v>
      </c>
      <c r="G559" s="28">
        <f>INDEX($C$2:$D$37,MATCH(RESOLUCIONES[[#This Row],[No. Canal]],$C$2:$C$37,0),2)</f>
        <v>533</v>
      </c>
      <c r="I559" s="28" t="s">
        <v>1681</v>
      </c>
      <c r="J559" s="28" t="s">
        <v>284</v>
      </c>
      <c r="K559" s="28" t="str">
        <f t="shared" si="14"/>
        <v>MarulandaCaldas</v>
      </c>
      <c r="L559" s="28"/>
      <c r="M559" s="28"/>
      <c r="N559" s="28"/>
      <c r="O559" s="28"/>
      <c r="P559" s="28"/>
      <c r="Q559" s="28"/>
      <c r="R559" s="28"/>
      <c r="S559" s="28"/>
      <c r="T559" s="28"/>
      <c r="U559" s="41"/>
      <c r="V559" s="41"/>
      <c r="W559" s="41"/>
      <c r="X559" s="28"/>
      <c r="Y559" s="28"/>
      <c r="Z559" s="28"/>
      <c r="AA559" s="28"/>
      <c r="AB559" s="28"/>
      <c r="AC559" s="28"/>
      <c r="AD559" s="28"/>
    </row>
    <row r="560" spans="1:30" x14ac:dyDescent="0.35">
      <c r="A560" s="39" t="s">
        <v>1243</v>
      </c>
      <c r="B560" s="28" t="s">
        <v>1682</v>
      </c>
      <c r="C560" s="21">
        <v>17</v>
      </c>
      <c r="D560" s="28">
        <v>1980</v>
      </c>
      <c r="E560" s="30">
        <v>43462</v>
      </c>
      <c r="F560" s="28" t="s">
        <v>1672</v>
      </c>
      <c r="G560" s="28">
        <f>INDEX($C$2:$D$37,MATCH(RESOLUCIONES[[#This Row],[No. Canal]],$C$2:$C$37,0),2)</f>
        <v>491</v>
      </c>
      <c r="I560" s="28" t="s">
        <v>1683</v>
      </c>
      <c r="J560" s="28" t="s">
        <v>304</v>
      </c>
      <c r="K560" s="28" t="str">
        <f t="shared" si="14"/>
        <v>MatanzaSantander</v>
      </c>
      <c r="L560" s="28"/>
      <c r="M560" s="28"/>
      <c r="N560" s="28"/>
      <c r="O560" s="28"/>
      <c r="P560" s="28"/>
      <c r="Q560" s="28"/>
      <c r="R560" s="28"/>
      <c r="S560" s="28"/>
      <c r="T560" s="28"/>
      <c r="U560" s="41"/>
      <c r="V560" s="41"/>
      <c r="W560" s="41"/>
      <c r="X560" s="28"/>
      <c r="Y560" s="28"/>
      <c r="Z560" s="28"/>
      <c r="AA560" s="28"/>
      <c r="AB560" s="28"/>
      <c r="AC560" s="28"/>
      <c r="AD560" s="28"/>
    </row>
    <row r="561" spans="1:30" x14ac:dyDescent="0.35">
      <c r="A561" s="39" t="s">
        <v>1250</v>
      </c>
      <c r="B561" s="28" t="s">
        <v>1684</v>
      </c>
      <c r="C561" s="21">
        <v>17</v>
      </c>
      <c r="D561" s="28">
        <v>554</v>
      </c>
      <c r="E561" s="30">
        <v>43229</v>
      </c>
      <c r="F561" s="28" t="s">
        <v>1685</v>
      </c>
      <c r="G561" s="28">
        <f>INDEX($C$2:$D$37,MATCH(RESOLUCIONES[[#This Row],[No. Canal]],$C$2:$C$37,0),2)</f>
        <v>491</v>
      </c>
      <c r="I561" s="28" t="s">
        <v>1686</v>
      </c>
      <c r="J561" s="28" t="s">
        <v>154</v>
      </c>
      <c r="K561" s="28" t="str">
        <f t="shared" si="14"/>
        <v>MedellínAntioquia</v>
      </c>
      <c r="L561" s="28"/>
      <c r="M561" s="28"/>
      <c r="N561" s="28"/>
      <c r="O561" s="28"/>
      <c r="P561" s="28"/>
      <c r="Q561" s="28"/>
      <c r="R561" s="28"/>
      <c r="S561" s="28"/>
      <c r="T561" s="28"/>
      <c r="U561" s="41"/>
      <c r="V561" s="41"/>
      <c r="W561" s="41"/>
      <c r="X561" s="28"/>
      <c r="Y561" s="28"/>
      <c r="Z561" s="28"/>
      <c r="AA561" s="28"/>
      <c r="AB561" s="28"/>
      <c r="AC561" s="28"/>
      <c r="AD561" s="28"/>
    </row>
    <row r="562" spans="1:30" x14ac:dyDescent="0.35">
      <c r="A562" s="39" t="s">
        <v>1257</v>
      </c>
      <c r="B562" s="28" t="s">
        <v>1687</v>
      </c>
      <c r="C562" s="22">
        <v>17</v>
      </c>
      <c r="D562" s="28">
        <v>162</v>
      </c>
      <c r="E562" s="30">
        <v>42775</v>
      </c>
      <c r="F562" s="28" t="s">
        <v>1688</v>
      </c>
      <c r="G562" s="28">
        <f>INDEX($C$2:$D$37,MATCH(RESOLUCIONES[[#This Row],[No. Canal]],$C$2:$C$37,0),2)</f>
        <v>491</v>
      </c>
      <c r="I562" s="28" t="s">
        <v>1689</v>
      </c>
      <c r="J562" s="28" t="s">
        <v>283</v>
      </c>
      <c r="K562" s="28" t="str">
        <f t="shared" si="14"/>
        <v>MedinaCundinamarca</v>
      </c>
      <c r="L562" s="28"/>
      <c r="M562" s="28"/>
      <c r="N562" s="28"/>
      <c r="O562" s="28"/>
      <c r="P562" s="28"/>
      <c r="Q562" s="28"/>
      <c r="R562" s="28"/>
      <c r="S562" s="28"/>
      <c r="T562" s="28"/>
      <c r="U562" s="41"/>
      <c r="V562" s="41"/>
      <c r="W562" s="41"/>
      <c r="X562" s="28"/>
      <c r="Y562" s="28"/>
      <c r="Z562" s="28"/>
      <c r="AA562" s="28"/>
      <c r="AB562" s="28"/>
      <c r="AC562" s="28"/>
      <c r="AD562" s="28"/>
    </row>
    <row r="563" spans="1:30" x14ac:dyDescent="0.35">
      <c r="A563" s="39" t="s">
        <v>1270</v>
      </c>
      <c r="B563" s="28" t="s">
        <v>1690</v>
      </c>
      <c r="C563" s="24">
        <v>17</v>
      </c>
      <c r="D563" s="28">
        <v>874</v>
      </c>
      <c r="E563" s="30">
        <v>43973</v>
      </c>
      <c r="F563" s="28" t="s">
        <v>1691</v>
      </c>
      <c r="G563" s="28">
        <f>INDEX($C$2:$D$37,MATCH(RESOLUCIONES[[#This Row],[No. Canal]],$C$2:$C$37,0),2)</f>
        <v>491</v>
      </c>
      <c r="I563" s="28" t="s">
        <v>1692</v>
      </c>
      <c r="J563" s="28" t="s">
        <v>230</v>
      </c>
      <c r="K563" s="28" t="str">
        <f t="shared" si="14"/>
        <v>Medio AtratoChoco</v>
      </c>
      <c r="L563" s="28"/>
      <c r="M563" s="28"/>
      <c r="N563" s="28"/>
      <c r="O563" s="28"/>
      <c r="P563" s="28"/>
      <c r="Q563" s="28"/>
      <c r="R563" s="28"/>
      <c r="S563" s="28"/>
      <c r="T563" s="28"/>
      <c r="U563" s="41"/>
      <c r="V563" s="41"/>
      <c r="W563" s="41"/>
      <c r="X563" s="28"/>
      <c r="Y563" s="28"/>
      <c r="Z563" s="28"/>
      <c r="AA563" s="28"/>
      <c r="AB563" s="28"/>
      <c r="AC563" s="28"/>
      <c r="AD563" s="28"/>
    </row>
    <row r="564" spans="1:30" x14ac:dyDescent="0.35">
      <c r="A564" s="39" t="s">
        <v>1276</v>
      </c>
      <c r="B564" s="28" t="s">
        <v>1693</v>
      </c>
      <c r="C564" s="21">
        <v>17</v>
      </c>
      <c r="D564" s="28">
        <v>3392</v>
      </c>
      <c r="E564" s="30">
        <v>43823</v>
      </c>
      <c r="F564" s="28" t="s">
        <v>1694</v>
      </c>
      <c r="G564" s="28">
        <f>INDEX($C$2:$D$37,MATCH(RESOLUCIONES[[#This Row],[No. Canal]],$C$2:$C$37,0),2)</f>
        <v>491</v>
      </c>
      <c r="I564" s="28" t="s">
        <v>1695</v>
      </c>
      <c r="J564" s="28" t="s">
        <v>230</v>
      </c>
      <c r="K564" s="28" t="str">
        <f t="shared" si="14"/>
        <v>Medio BaudóChoco</v>
      </c>
      <c r="L564" s="28"/>
      <c r="M564" s="28"/>
      <c r="N564" s="28"/>
      <c r="O564" s="28"/>
      <c r="P564" s="28"/>
      <c r="Q564" s="28"/>
      <c r="R564" s="28"/>
      <c r="S564" s="28"/>
      <c r="T564" s="28"/>
      <c r="U564" s="41"/>
      <c r="V564" s="41"/>
      <c r="W564" s="41"/>
      <c r="X564" s="28"/>
      <c r="Y564" s="28"/>
      <c r="Z564" s="28"/>
      <c r="AA564" s="28"/>
      <c r="AB564" s="28"/>
      <c r="AC564" s="28"/>
      <c r="AD564" s="28"/>
    </row>
    <row r="565" spans="1:30" x14ac:dyDescent="0.35">
      <c r="A565" s="39" t="s">
        <v>1280</v>
      </c>
      <c r="B565" s="28" t="s">
        <v>1696</v>
      </c>
      <c r="C565" s="21">
        <v>17</v>
      </c>
      <c r="D565" s="28">
        <v>3392</v>
      </c>
      <c r="E565" s="30">
        <v>43823</v>
      </c>
      <c r="F565" s="28" t="s">
        <v>1694</v>
      </c>
      <c r="G565" s="28">
        <f>INDEX($C$2:$D$37,MATCH(RESOLUCIONES[[#This Row],[No. Canal]],$C$2:$C$37,0),2)</f>
        <v>491</v>
      </c>
      <c r="I565" s="28" t="s">
        <v>1697</v>
      </c>
      <c r="J565" s="28" t="s">
        <v>230</v>
      </c>
      <c r="K565" s="28" t="str">
        <f t="shared" si="14"/>
        <v>Medio San JuanChoco</v>
      </c>
      <c r="L565" s="28"/>
      <c r="M565" s="28"/>
      <c r="N565" s="28"/>
      <c r="O565" s="28"/>
      <c r="P565" s="28"/>
      <c r="Q565" s="28"/>
      <c r="R565" s="28"/>
      <c r="S565" s="28"/>
      <c r="T565" s="28"/>
      <c r="U565" s="41"/>
      <c r="V565" s="41"/>
      <c r="W565" s="41"/>
      <c r="X565" s="28"/>
      <c r="Y565" s="28"/>
      <c r="Z565" s="28"/>
      <c r="AA565" s="28"/>
      <c r="AB565" s="28"/>
      <c r="AC565" s="28"/>
      <c r="AD565" s="28"/>
    </row>
    <row r="566" spans="1:30" x14ac:dyDescent="0.35">
      <c r="A566" s="39" t="s">
        <v>1283</v>
      </c>
      <c r="B566" s="28" t="s">
        <v>1698</v>
      </c>
      <c r="C566" s="22">
        <v>17</v>
      </c>
      <c r="D566" s="28">
        <v>162</v>
      </c>
      <c r="E566" s="30">
        <v>42775</v>
      </c>
      <c r="F566" s="28" t="s">
        <v>1688</v>
      </c>
      <c r="G566" s="28">
        <f>INDEX($C$2:$D$37,MATCH(RESOLUCIONES[[#This Row],[No. Canal]],$C$2:$C$37,0),2)</f>
        <v>491</v>
      </c>
      <c r="I566" s="28" t="s">
        <v>1699</v>
      </c>
      <c r="J566" s="28" t="s">
        <v>409</v>
      </c>
      <c r="K566" s="28" t="str">
        <f t="shared" si="14"/>
        <v>MelgarTolima</v>
      </c>
      <c r="L566" s="28"/>
      <c r="M566" s="28"/>
      <c r="N566" s="28"/>
      <c r="O566" s="28"/>
      <c r="P566" s="28"/>
      <c r="Q566" s="28"/>
      <c r="R566" s="28"/>
      <c r="S566" s="28"/>
      <c r="T566" s="28"/>
      <c r="U566" s="41"/>
      <c r="V566" s="41"/>
      <c r="W566" s="41"/>
      <c r="X566" s="28"/>
      <c r="Y566" s="28"/>
      <c r="Z566" s="28"/>
      <c r="AA566" s="28"/>
      <c r="AB566" s="28"/>
      <c r="AC566" s="28"/>
      <c r="AD566" s="28"/>
    </row>
    <row r="567" spans="1:30" x14ac:dyDescent="0.35">
      <c r="A567" s="39" t="s">
        <v>1286</v>
      </c>
      <c r="B567" s="28" t="s">
        <v>1700</v>
      </c>
      <c r="C567" s="21">
        <v>17</v>
      </c>
      <c r="D567" s="28">
        <v>1980</v>
      </c>
      <c r="E567" s="30">
        <v>43462</v>
      </c>
      <c r="F567" s="28" t="s">
        <v>1672</v>
      </c>
      <c r="G567" s="28">
        <f>INDEX($C$2:$D$37,MATCH(RESOLUCIONES[[#This Row],[No. Canal]],$C$2:$C$37,0),2)</f>
        <v>491</v>
      </c>
      <c r="I567" s="28" t="s">
        <v>1701</v>
      </c>
      <c r="J567" s="28" t="s">
        <v>315</v>
      </c>
      <c r="K567" s="28" t="str">
        <f t="shared" si="14"/>
        <v>MercaderesCauca</v>
      </c>
      <c r="L567" s="28"/>
      <c r="M567" s="28"/>
      <c r="N567" s="28"/>
      <c r="O567" s="28"/>
      <c r="P567" s="28"/>
      <c r="Q567" s="28"/>
      <c r="R567" s="28"/>
      <c r="S567" s="28"/>
      <c r="T567" s="28"/>
      <c r="U567" s="41"/>
      <c r="V567" s="41"/>
      <c r="W567" s="41"/>
      <c r="X567" s="28"/>
      <c r="Y567" s="28"/>
      <c r="Z567" s="28"/>
      <c r="AA567" s="28"/>
      <c r="AB567" s="28"/>
      <c r="AC567" s="28"/>
      <c r="AD567" s="28"/>
    </row>
    <row r="568" spans="1:30" x14ac:dyDescent="0.35">
      <c r="A568" s="39" t="s">
        <v>1292</v>
      </c>
      <c r="B568" s="28" t="s">
        <v>1702</v>
      </c>
      <c r="C568" s="22">
        <v>17</v>
      </c>
      <c r="D568" s="28">
        <v>162</v>
      </c>
      <c r="E568" s="30">
        <v>42775</v>
      </c>
      <c r="F568" s="28" t="s">
        <v>1688</v>
      </c>
      <c r="G568" s="28">
        <f>INDEX($C$2:$D$37,MATCH(RESOLUCIONES[[#This Row],[No. Canal]],$C$2:$C$37,0),2)</f>
        <v>491</v>
      </c>
      <c r="I568" s="28" t="s">
        <v>1703</v>
      </c>
      <c r="J568" s="28" t="s">
        <v>210</v>
      </c>
      <c r="K568" s="28" t="str">
        <f t="shared" si="14"/>
        <v>MesetasMeta</v>
      </c>
      <c r="L568" s="28"/>
      <c r="M568" s="28"/>
      <c r="N568" s="28"/>
      <c r="O568" s="28"/>
      <c r="P568" s="28"/>
      <c r="Q568" s="28"/>
      <c r="R568" s="28"/>
      <c r="S568" s="28"/>
      <c r="T568" s="28"/>
      <c r="U568" s="41"/>
      <c r="V568" s="41"/>
      <c r="W568" s="41"/>
      <c r="X568" s="28"/>
      <c r="Y568" s="28"/>
      <c r="Z568" s="28"/>
      <c r="AA568" s="28"/>
      <c r="AB568" s="28"/>
      <c r="AC568" s="28"/>
      <c r="AD568" s="28"/>
    </row>
    <row r="569" spans="1:30" x14ac:dyDescent="0.35">
      <c r="A569" s="39" t="s">
        <v>1301</v>
      </c>
      <c r="B569" s="28" t="s">
        <v>1704</v>
      </c>
      <c r="C569" s="22">
        <v>17</v>
      </c>
      <c r="D569" s="28">
        <v>1982</v>
      </c>
      <c r="E569" s="30" t="s">
        <v>1705</v>
      </c>
      <c r="F569" s="28" t="s">
        <v>1706</v>
      </c>
      <c r="G569" s="28">
        <f>INDEX($C$2:$D$37,MATCH(RESOLUCIONES[[#This Row],[No. Canal]],$C$2:$C$37,0),2)</f>
        <v>491</v>
      </c>
      <c r="I569" s="28" t="s">
        <v>1707</v>
      </c>
      <c r="J569" s="28" t="s">
        <v>294</v>
      </c>
      <c r="K569" s="28" t="str">
        <f t="shared" si="14"/>
        <v>MilánCaqueta</v>
      </c>
      <c r="L569" s="28"/>
      <c r="M569" s="28"/>
      <c r="N569" s="28"/>
      <c r="O569" s="28"/>
      <c r="P569" s="28"/>
      <c r="Q569" s="28"/>
      <c r="R569" s="28"/>
      <c r="S569" s="28"/>
      <c r="T569" s="28"/>
      <c r="U569" s="41"/>
      <c r="V569" s="41"/>
      <c r="W569" s="41"/>
      <c r="X569" s="28"/>
      <c r="Y569" s="28"/>
      <c r="Z569" s="28"/>
      <c r="AA569" s="28"/>
      <c r="AB569" s="28"/>
      <c r="AC569" s="28"/>
      <c r="AD569" s="28"/>
    </row>
    <row r="570" spans="1:30" x14ac:dyDescent="0.35">
      <c r="A570" s="39" t="s">
        <v>1309</v>
      </c>
      <c r="B570" s="28" t="s">
        <v>1708</v>
      </c>
      <c r="C570" s="21">
        <v>17</v>
      </c>
      <c r="D570" s="28">
        <v>1980</v>
      </c>
      <c r="E570" s="30">
        <v>43462</v>
      </c>
      <c r="F570" s="28" t="s">
        <v>1672</v>
      </c>
      <c r="G570" s="28">
        <f>INDEX($C$2:$D$37,MATCH(RESOLUCIONES[[#This Row],[No. Canal]],$C$2:$C$37,0),2)</f>
        <v>491</v>
      </c>
      <c r="I570" s="28" t="s">
        <v>1709</v>
      </c>
      <c r="J570" s="28" t="s">
        <v>274</v>
      </c>
      <c r="K570" s="28" t="str">
        <f t="shared" si="14"/>
        <v>MirafloresBoyaca</v>
      </c>
      <c r="L570" s="28"/>
      <c r="M570" s="28"/>
      <c r="N570" s="28"/>
      <c r="O570" s="28"/>
      <c r="P570" s="28"/>
      <c r="Q570" s="28"/>
      <c r="R570" s="28"/>
      <c r="S570" s="28"/>
      <c r="T570" s="28"/>
      <c r="U570" s="41"/>
      <c r="V570" s="41"/>
      <c r="W570" s="41"/>
      <c r="X570" s="28"/>
      <c r="Y570" s="28"/>
      <c r="Z570" s="28"/>
      <c r="AA570" s="28"/>
      <c r="AB570" s="28"/>
      <c r="AC570" s="28"/>
      <c r="AD570" s="28"/>
    </row>
    <row r="571" spans="1:30" x14ac:dyDescent="0.35">
      <c r="A571" s="39" t="s">
        <v>832</v>
      </c>
      <c r="B571" s="28" t="s">
        <v>1710</v>
      </c>
      <c r="C571" s="21">
        <v>32</v>
      </c>
      <c r="D571" s="28">
        <v>297</v>
      </c>
      <c r="E571" s="30">
        <v>43558</v>
      </c>
      <c r="F571" s="28" t="s">
        <v>1678</v>
      </c>
      <c r="G571" s="28">
        <f>INDEX($C$2:$D$37,MATCH(RESOLUCIONES[[#This Row],[No. Canal]],$C$2:$C$37,0),2)</f>
        <v>581</v>
      </c>
      <c r="I571" s="28" t="s">
        <v>1709</v>
      </c>
      <c r="J571" s="28" t="s">
        <v>360</v>
      </c>
      <c r="K571" s="28" t="str">
        <f t="shared" si="14"/>
        <v>MirafloresGuaviare</v>
      </c>
      <c r="L571" s="28"/>
      <c r="M571" s="28"/>
      <c r="N571" s="28"/>
      <c r="O571" s="28"/>
      <c r="P571" s="28"/>
      <c r="Q571" s="28"/>
      <c r="R571" s="28"/>
      <c r="S571" s="28"/>
      <c r="T571" s="28"/>
      <c r="U571" s="41"/>
      <c r="V571" s="41"/>
      <c r="W571" s="41"/>
      <c r="X571" s="28"/>
      <c r="Y571" s="28"/>
      <c r="Z571" s="28"/>
      <c r="AA571" s="28"/>
      <c r="AB571" s="28"/>
      <c r="AC571" s="28"/>
      <c r="AD571" s="28"/>
    </row>
    <row r="572" spans="1:30" x14ac:dyDescent="0.35">
      <c r="A572" s="39" t="s">
        <v>1336</v>
      </c>
      <c r="B572" s="28" t="s">
        <v>1711</v>
      </c>
      <c r="C572" s="21">
        <v>17</v>
      </c>
      <c r="D572" s="28">
        <v>554</v>
      </c>
      <c r="E572" s="30">
        <v>43229</v>
      </c>
      <c r="F572" s="28" t="s">
        <v>1685</v>
      </c>
      <c r="G572" s="28">
        <f>INDEX($C$2:$D$37,MATCH(RESOLUCIONES[[#This Row],[No. Canal]],$C$2:$C$37,0),2)</f>
        <v>491</v>
      </c>
      <c r="I572" s="28" t="s">
        <v>1712</v>
      </c>
      <c r="J572" s="28" t="s">
        <v>315</v>
      </c>
      <c r="K572" s="28" t="str">
        <f t="shared" si="14"/>
        <v>MirandaCauca</v>
      </c>
      <c r="L572" s="28"/>
      <c r="M572" s="28"/>
      <c r="N572" s="28"/>
      <c r="O572" s="28"/>
      <c r="P572" s="28"/>
      <c r="Q572" s="28"/>
      <c r="R572" s="28"/>
      <c r="S572" s="28"/>
      <c r="T572" s="28"/>
      <c r="U572" s="41"/>
      <c r="V572" s="41"/>
      <c r="W572" s="41"/>
      <c r="X572" s="28"/>
      <c r="Y572" s="28"/>
      <c r="Z572" s="28"/>
      <c r="AA572" s="28"/>
      <c r="AB572" s="28"/>
      <c r="AC572" s="28"/>
      <c r="AD572" s="28"/>
    </row>
    <row r="573" spans="1:30" x14ac:dyDescent="0.35">
      <c r="A573" s="39" t="s">
        <v>1342</v>
      </c>
      <c r="B573" s="28" t="s">
        <v>1713</v>
      </c>
      <c r="C573" s="21">
        <v>18</v>
      </c>
      <c r="D573" s="28">
        <v>297</v>
      </c>
      <c r="E573" s="30">
        <v>43558</v>
      </c>
      <c r="F573" s="28" t="s">
        <v>1678</v>
      </c>
      <c r="G573" s="28">
        <f>INDEX($C$2:$D$37,MATCH(RESOLUCIONES[[#This Row],[No. Canal]],$C$2:$C$37,0),2)</f>
        <v>497</v>
      </c>
      <c r="I573" s="28" t="s">
        <v>1714</v>
      </c>
      <c r="J573" s="28" t="s">
        <v>155</v>
      </c>
      <c r="K573" s="28" t="str">
        <f t="shared" si="14"/>
        <v>Miriti - ParanáAmazonas</v>
      </c>
      <c r="L573" s="28"/>
      <c r="M573" s="28"/>
      <c r="N573" s="28"/>
      <c r="O573" s="28"/>
      <c r="P573" s="28"/>
      <c r="Q573" s="28"/>
      <c r="R573" s="28"/>
      <c r="S573" s="28"/>
      <c r="T573" s="28"/>
      <c r="U573" s="41"/>
      <c r="V573" s="41"/>
      <c r="W573" s="41"/>
      <c r="X573" s="28"/>
      <c r="Y573" s="28"/>
      <c r="Z573" s="28"/>
      <c r="AA573" s="28"/>
      <c r="AB573" s="28"/>
      <c r="AC573" s="28"/>
      <c r="AD573" s="28"/>
    </row>
    <row r="574" spans="1:30" x14ac:dyDescent="0.35">
      <c r="A574" s="39" t="s">
        <v>1351</v>
      </c>
      <c r="B574" s="28" t="s">
        <v>1715</v>
      </c>
      <c r="C574" s="22">
        <v>17</v>
      </c>
      <c r="D574" s="28">
        <v>162</v>
      </c>
      <c r="E574" s="30">
        <v>42775</v>
      </c>
      <c r="F574" s="28" t="s">
        <v>1688</v>
      </c>
      <c r="G574" s="28">
        <f>INDEX($C$2:$D$37,MATCH(RESOLUCIONES[[#This Row],[No. Canal]],$C$2:$C$37,0),2)</f>
        <v>491</v>
      </c>
      <c r="I574" s="28" t="s">
        <v>1716</v>
      </c>
      <c r="J574" s="28" t="s">
        <v>405</v>
      </c>
      <c r="K574" s="28" t="str">
        <f t="shared" si="14"/>
        <v>MistratóRisaralda</v>
      </c>
      <c r="L574" s="28"/>
      <c r="M574" s="28"/>
      <c r="N574" s="28"/>
      <c r="O574" s="28"/>
      <c r="P574" s="28"/>
      <c r="Q574" s="28"/>
      <c r="R574" s="28"/>
      <c r="S574" s="28"/>
      <c r="T574" s="28"/>
      <c r="U574" s="41"/>
      <c r="V574" s="41"/>
      <c r="W574" s="41"/>
      <c r="X574" s="28"/>
      <c r="Y574" s="28"/>
      <c r="Z574" s="28"/>
      <c r="AA574" s="28"/>
      <c r="AB574" s="28"/>
      <c r="AC574" s="28"/>
      <c r="AD574" s="28"/>
    </row>
    <row r="575" spans="1:30" x14ac:dyDescent="0.35">
      <c r="A575" s="39" t="s">
        <v>1354</v>
      </c>
      <c r="B575" s="28" t="s">
        <v>1717</v>
      </c>
      <c r="C575" s="21">
        <v>24</v>
      </c>
      <c r="D575" s="28">
        <v>445</v>
      </c>
      <c r="E575" s="30">
        <v>43200</v>
      </c>
      <c r="F575" s="28" t="s">
        <v>1718</v>
      </c>
      <c r="G575" s="28">
        <f>INDEX($C$2:$D$37,MATCH(RESOLUCIONES[[#This Row],[No. Canal]],$C$2:$C$37,0),2)</f>
        <v>533</v>
      </c>
      <c r="I575" s="28" t="s">
        <v>1719</v>
      </c>
      <c r="J575" s="28" t="s">
        <v>424</v>
      </c>
      <c r="K575" s="28" t="str">
        <f t="shared" si="14"/>
        <v>MitúVaupes</v>
      </c>
      <c r="L575" s="28"/>
      <c r="M575" s="28"/>
      <c r="N575" s="28"/>
      <c r="O575" s="28"/>
      <c r="P575" s="28"/>
      <c r="Q575" s="28"/>
      <c r="R575" s="28"/>
      <c r="S575" s="28"/>
      <c r="T575" s="28"/>
      <c r="U575" s="41"/>
      <c r="V575" s="41"/>
      <c r="W575" s="41"/>
      <c r="X575" s="28"/>
      <c r="Y575" s="28"/>
      <c r="Z575" s="28"/>
      <c r="AA575" s="28"/>
      <c r="AB575" s="28"/>
      <c r="AC575" s="28"/>
      <c r="AD575" s="28"/>
    </row>
    <row r="576" spans="1:30" x14ac:dyDescent="0.35">
      <c r="A576" s="39" t="s">
        <v>1357</v>
      </c>
      <c r="B576" s="28" t="s">
        <v>1720</v>
      </c>
      <c r="C576" s="21">
        <v>20</v>
      </c>
      <c r="D576" s="28">
        <v>554</v>
      </c>
      <c r="E576" s="30">
        <v>43229</v>
      </c>
      <c r="F576" s="28" t="s">
        <v>1685</v>
      </c>
      <c r="G576" s="28">
        <f>INDEX($C$2:$D$37,MATCH(RESOLUCIONES[[#This Row],[No. Canal]],$C$2:$C$37,0),2)</f>
        <v>509</v>
      </c>
      <c r="I576" s="28" t="s">
        <v>1721</v>
      </c>
      <c r="J576" s="28" t="s">
        <v>396</v>
      </c>
      <c r="K576" s="28" t="str">
        <f t="shared" si="14"/>
        <v>MocoaPutumayo</v>
      </c>
      <c r="L576" s="28"/>
      <c r="M576" s="28"/>
      <c r="N576" s="28"/>
      <c r="O576" s="28"/>
      <c r="P576" s="28"/>
      <c r="Q576" s="28"/>
      <c r="R576" s="28"/>
      <c r="S576" s="28"/>
      <c r="T576" s="28"/>
      <c r="U576" s="41"/>
      <c r="V576" s="41"/>
      <c r="W576" s="41"/>
      <c r="X576" s="28"/>
      <c r="Y576" s="28"/>
      <c r="Z576" s="28"/>
      <c r="AA576" s="28"/>
      <c r="AB576" s="28"/>
      <c r="AC576" s="28"/>
      <c r="AD576" s="28"/>
    </row>
    <row r="577" spans="1:30" x14ac:dyDescent="0.35">
      <c r="A577" s="39" t="s">
        <v>1360</v>
      </c>
      <c r="B577" s="28" t="s">
        <v>1722</v>
      </c>
      <c r="C577" s="21">
        <v>17</v>
      </c>
      <c r="D577" s="28">
        <v>874</v>
      </c>
      <c r="E577" s="30">
        <v>43973</v>
      </c>
      <c r="F577" s="28" t="s">
        <v>1691</v>
      </c>
      <c r="G577" s="28">
        <f>INDEX($C$2:$D$37,MATCH(RESOLUCIONES[[#This Row],[No. Canal]],$C$2:$C$37,0),2)</f>
        <v>491</v>
      </c>
      <c r="I577" s="28" t="s">
        <v>1723</v>
      </c>
      <c r="J577" s="28" t="s">
        <v>304</v>
      </c>
      <c r="K577" s="28" t="str">
        <f t="shared" ref="K577:K640" si="15">_xlfn.CONCAT(TRIM(I577),TRIM(J577))</f>
        <v>MogotesSantander</v>
      </c>
      <c r="L577" s="28"/>
      <c r="M577" s="28"/>
      <c r="N577" s="28"/>
      <c r="O577" s="28"/>
      <c r="P577" s="28"/>
      <c r="Q577" s="28"/>
      <c r="R577" s="28"/>
      <c r="S577" s="28"/>
      <c r="T577" s="28"/>
      <c r="U577" s="41"/>
      <c r="V577" s="41"/>
      <c r="W577" s="41"/>
      <c r="X577" s="28"/>
      <c r="Y577" s="28"/>
      <c r="Z577" s="28"/>
      <c r="AA577" s="28"/>
      <c r="AB577" s="28"/>
      <c r="AC577" s="28"/>
      <c r="AD577" s="28"/>
    </row>
    <row r="578" spans="1:30" x14ac:dyDescent="0.35">
      <c r="A578" s="39" t="s">
        <v>1374</v>
      </c>
      <c r="B578" s="28" t="s">
        <v>1724</v>
      </c>
      <c r="C578" s="21">
        <v>17</v>
      </c>
      <c r="D578" s="28">
        <v>1980</v>
      </c>
      <c r="E578" s="30">
        <v>43462</v>
      </c>
      <c r="F578" s="28" t="s">
        <v>1672</v>
      </c>
      <c r="G578" s="28">
        <f>INDEX($C$2:$D$37,MATCH(RESOLUCIONES[[#This Row],[No. Canal]],$C$2:$C$37,0),2)</f>
        <v>491</v>
      </c>
      <c r="I578" s="28" t="s">
        <v>1725</v>
      </c>
      <c r="J578" s="28" t="s">
        <v>304</v>
      </c>
      <c r="K578" s="28" t="str">
        <f t="shared" si="15"/>
        <v>MolagavitaSantander</v>
      </c>
      <c r="L578" s="28"/>
      <c r="M578" s="28"/>
      <c r="N578" s="28"/>
      <c r="O578" s="28"/>
      <c r="P578" s="28"/>
      <c r="Q578" s="28"/>
      <c r="R578" s="28"/>
      <c r="S578" s="28"/>
      <c r="T578" s="28"/>
      <c r="U578" s="41"/>
      <c r="V578" s="41"/>
      <c r="W578" s="41"/>
      <c r="X578" s="28"/>
      <c r="Y578" s="28"/>
      <c r="Z578" s="28"/>
      <c r="AA578" s="28"/>
      <c r="AB578" s="28"/>
      <c r="AC578" s="28"/>
      <c r="AD578" s="28"/>
    </row>
    <row r="579" spans="1:30" x14ac:dyDescent="0.35">
      <c r="A579" s="39" t="s">
        <v>1377</v>
      </c>
      <c r="B579" s="28" t="s">
        <v>1726</v>
      </c>
      <c r="C579" s="21">
        <v>17</v>
      </c>
      <c r="D579" s="28">
        <v>3392</v>
      </c>
      <c r="E579" s="30">
        <v>43823</v>
      </c>
      <c r="F579" s="28" t="s">
        <v>1694</v>
      </c>
      <c r="G579" s="28">
        <f>INDEX($C$2:$D$37,MATCH(RESOLUCIONES[[#This Row],[No. Canal]],$C$2:$C$37,0),2)</f>
        <v>491</v>
      </c>
      <c r="I579" s="28" t="s">
        <v>1727</v>
      </c>
      <c r="J579" s="28" t="s">
        <v>337</v>
      </c>
      <c r="K579" s="28" t="str">
        <f t="shared" si="15"/>
        <v>MomilCordoba</v>
      </c>
      <c r="L579" s="28"/>
      <c r="M579" s="28"/>
      <c r="N579" s="28"/>
      <c r="O579" s="28"/>
      <c r="P579" s="28"/>
      <c r="Q579" s="28"/>
      <c r="R579" s="28"/>
      <c r="S579" s="28"/>
      <c r="T579" s="28"/>
      <c r="U579" s="41"/>
      <c r="V579" s="41"/>
      <c r="W579" s="41"/>
      <c r="X579" s="28"/>
      <c r="Y579" s="28"/>
      <c r="Z579" s="28"/>
      <c r="AA579" s="28"/>
      <c r="AB579" s="28"/>
      <c r="AC579" s="28"/>
      <c r="AD579" s="28"/>
    </row>
    <row r="580" spans="1:30" x14ac:dyDescent="0.35">
      <c r="A580" s="39" t="s">
        <v>1380</v>
      </c>
      <c r="B580" s="28" t="s">
        <v>1728</v>
      </c>
      <c r="C580" s="21">
        <v>32</v>
      </c>
      <c r="D580" s="28">
        <v>1980</v>
      </c>
      <c r="E580" s="30">
        <v>43462</v>
      </c>
      <c r="F580" s="28" t="s">
        <v>1672</v>
      </c>
      <c r="G580" s="28">
        <f>INDEX($C$2:$D$37,MATCH(RESOLUCIONES[[#This Row],[No. Canal]],$C$2:$C$37,0),2)</f>
        <v>581</v>
      </c>
      <c r="I580" s="28" t="s">
        <v>1729</v>
      </c>
      <c r="J580" s="28" t="s">
        <v>260</v>
      </c>
      <c r="K580" s="28" t="str">
        <f t="shared" si="15"/>
        <v>MompósBolivar</v>
      </c>
      <c r="L580" s="28"/>
      <c r="M580" s="28"/>
      <c r="N580" s="28"/>
      <c r="O580" s="28"/>
      <c r="P580" s="28"/>
      <c r="Q580" s="28"/>
      <c r="R580" s="28"/>
      <c r="S580" s="28"/>
      <c r="T580" s="28"/>
      <c r="U580" s="41"/>
      <c r="V580" s="41"/>
      <c r="W580" s="41"/>
      <c r="X580" s="28"/>
      <c r="Y580" s="28"/>
      <c r="Z580" s="28"/>
      <c r="AA580" s="28"/>
      <c r="AB580" s="28"/>
      <c r="AC580" s="28"/>
      <c r="AD580" s="28"/>
    </row>
    <row r="581" spans="1:30" x14ac:dyDescent="0.35">
      <c r="A581" s="39" t="s">
        <v>1383</v>
      </c>
      <c r="B581" s="28" t="s">
        <v>1730</v>
      </c>
      <c r="C581" s="22">
        <v>18</v>
      </c>
      <c r="D581" s="28">
        <v>1688</v>
      </c>
      <c r="E581" s="30">
        <v>42646</v>
      </c>
      <c r="F581" s="28" t="s">
        <v>1731</v>
      </c>
      <c r="G581" s="28">
        <f>INDEX($C$2:$D$37,MATCH(RESOLUCIONES[[#This Row],[No. Canal]],$C$2:$C$37,0),2)</f>
        <v>497</v>
      </c>
      <c r="I581" s="28" t="s">
        <v>1732</v>
      </c>
      <c r="J581" s="28" t="s">
        <v>274</v>
      </c>
      <c r="K581" s="28" t="str">
        <f t="shared" si="15"/>
        <v>MonguaBoyaca</v>
      </c>
      <c r="L581" s="28"/>
      <c r="M581" s="28"/>
      <c r="N581" s="28"/>
      <c r="O581" s="28"/>
      <c r="P581" s="28"/>
      <c r="Q581" s="28"/>
      <c r="R581" s="28"/>
      <c r="S581" s="28"/>
      <c r="T581" s="28"/>
      <c r="U581" s="41"/>
      <c r="V581" s="41"/>
      <c r="W581" s="41"/>
      <c r="X581" s="28"/>
      <c r="Y581" s="28"/>
      <c r="Z581" s="28"/>
      <c r="AA581" s="28"/>
      <c r="AB581" s="28"/>
      <c r="AC581" s="28"/>
      <c r="AD581" s="28"/>
    </row>
    <row r="582" spans="1:30" x14ac:dyDescent="0.35">
      <c r="A582" s="39" t="s">
        <v>1393</v>
      </c>
      <c r="B582" s="28" t="s">
        <v>1733</v>
      </c>
      <c r="C582" s="21">
        <v>17</v>
      </c>
      <c r="D582" s="28">
        <v>1980</v>
      </c>
      <c r="E582" s="30">
        <v>43462</v>
      </c>
      <c r="F582" s="28" t="s">
        <v>1672</v>
      </c>
      <c r="G582" s="28">
        <f>INDEX($C$2:$D$37,MATCH(RESOLUCIONES[[#This Row],[No. Canal]],$C$2:$C$37,0),2)</f>
        <v>491</v>
      </c>
      <c r="I582" s="28" t="s">
        <v>1734</v>
      </c>
      <c r="J582" s="28" t="s">
        <v>274</v>
      </c>
      <c r="K582" s="28" t="str">
        <f t="shared" si="15"/>
        <v>MonguíBoyaca</v>
      </c>
      <c r="L582" s="28"/>
      <c r="M582" s="28"/>
      <c r="N582" s="28"/>
      <c r="O582" s="28"/>
      <c r="P582" s="28"/>
      <c r="Q582" s="28"/>
      <c r="R582" s="28"/>
      <c r="S582" s="28"/>
      <c r="T582" s="28"/>
      <c r="U582" s="41"/>
      <c r="V582" s="41"/>
      <c r="W582" s="41"/>
      <c r="X582" s="28"/>
      <c r="Y582" s="28"/>
      <c r="Z582" s="28"/>
      <c r="AA582" s="28"/>
      <c r="AB582" s="28"/>
      <c r="AC582" s="28"/>
      <c r="AD582" s="28"/>
    </row>
    <row r="583" spans="1:30" x14ac:dyDescent="0.35">
      <c r="A583" s="39" t="s">
        <v>1403</v>
      </c>
      <c r="B583" s="28" t="s">
        <v>1735</v>
      </c>
      <c r="C583" s="21">
        <v>32</v>
      </c>
      <c r="D583" s="28">
        <v>297</v>
      </c>
      <c r="E583" s="30">
        <v>43558</v>
      </c>
      <c r="F583" s="28" t="s">
        <v>1678</v>
      </c>
      <c r="G583" s="28">
        <f>INDEX($C$2:$D$37,MATCH(RESOLUCIONES[[#This Row],[No. Canal]],$C$2:$C$37,0),2)</f>
        <v>581</v>
      </c>
      <c r="I583" s="28" t="s">
        <v>1736</v>
      </c>
      <c r="J583" s="28" t="s">
        <v>274</v>
      </c>
      <c r="K583" s="28" t="str">
        <f t="shared" si="15"/>
        <v>MoniquiráBoyaca</v>
      </c>
      <c r="L583" s="28"/>
      <c r="M583" s="28"/>
      <c r="N583" s="28"/>
      <c r="O583" s="28"/>
      <c r="P583" s="28"/>
      <c r="Q583" s="28"/>
      <c r="R583" s="28"/>
      <c r="S583" s="28"/>
      <c r="T583" s="28"/>
      <c r="U583" s="41"/>
      <c r="V583" s="41"/>
      <c r="W583" s="41"/>
      <c r="X583" s="28"/>
      <c r="Y583" s="28"/>
      <c r="Z583" s="28"/>
      <c r="AA583" s="28"/>
      <c r="AB583" s="28"/>
      <c r="AC583" s="28"/>
      <c r="AD583" s="28"/>
    </row>
    <row r="584" spans="1:30" x14ac:dyDescent="0.35">
      <c r="A584" s="39" t="s">
        <v>1412</v>
      </c>
      <c r="B584" s="28" t="s">
        <v>1737</v>
      </c>
      <c r="C584" s="21">
        <v>39</v>
      </c>
      <c r="D584" s="28">
        <v>790</v>
      </c>
      <c r="E584" s="30">
        <v>43284</v>
      </c>
      <c r="F584" s="28" t="s">
        <v>1738</v>
      </c>
      <c r="G584" s="28">
        <f>INDEX($C$2:$D$37,MATCH(RESOLUCIONES[[#This Row],[No. Canal]],$C$2:$C$37,0),2)</f>
        <v>623</v>
      </c>
      <c r="I584" s="28" t="s">
        <v>1739</v>
      </c>
      <c r="J584" s="28" t="s">
        <v>154</v>
      </c>
      <c r="K584" s="28" t="str">
        <f t="shared" si="15"/>
        <v>MontebelloAntioquia</v>
      </c>
      <c r="L584" s="28"/>
      <c r="M584" s="28"/>
      <c r="N584" s="28"/>
      <c r="O584" s="28"/>
      <c r="P584" s="28"/>
      <c r="Q584" s="28"/>
      <c r="R584" s="28"/>
      <c r="S584" s="28"/>
      <c r="T584" s="28"/>
      <c r="U584" s="41"/>
      <c r="V584" s="41"/>
      <c r="W584" s="41"/>
      <c r="X584" s="28"/>
      <c r="Y584" s="28"/>
      <c r="Z584" s="28"/>
      <c r="AA584" s="28"/>
      <c r="AB584" s="28"/>
      <c r="AC584" s="28"/>
      <c r="AD584" s="28"/>
    </row>
    <row r="585" spans="1:30" x14ac:dyDescent="0.35">
      <c r="A585" s="39" t="s">
        <v>1415</v>
      </c>
      <c r="B585" s="28" t="s">
        <v>1740</v>
      </c>
      <c r="C585" s="21">
        <v>39</v>
      </c>
      <c r="D585" s="28">
        <v>1980</v>
      </c>
      <c r="E585" s="30">
        <v>43462</v>
      </c>
      <c r="F585" s="28" t="s">
        <v>1672</v>
      </c>
      <c r="G585" s="28">
        <f>INDEX($C$2:$D$37,MATCH(RESOLUCIONES[[#This Row],[No. Canal]],$C$2:$C$37,0),2)</f>
        <v>623</v>
      </c>
      <c r="I585" s="28" t="s">
        <v>1741</v>
      </c>
      <c r="J585" s="28" t="s">
        <v>260</v>
      </c>
      <c r="K585" s="28" t="str">
        <f t="shared" si="15"/>
        <v>MontecristoBolivar</v>
      </c>
      <c r="L585" s="28"/>
      <c r="M585" s="28"/>
      <c r="N585" s="28"/>
      <c r="O585" s="28"/>
      <c r="P585" s="28"/>
      <c r="Q585" s="28"/>
      <c r="R585" s="28"/>
      <c r="S585" s="28"/>
      <c r="T585" s="28"/>
      <c r="U585" s="41"/>
      <c r="V585" s="41"/>
      <c r="W585" s="41"/>
      <c r="X585" s="28"/>
      <c r="Y585" s="28"/>
      <c r="Z585" s="28"/>
      <c r="AA585" s="28"/>
      <c r="AB585" s="28"/>
      <c r="AC585" s="28"/>
      <c r="AD585" s="28"/>
    </row>
    <row r="586" spans="1:30" x14ac:dyDescent="0.35">
      <c r="A586" s="39" t="s">
        <v>1424</v>
      </c>
      <c r="B586" s="28" t="s">
        <v>1742</v>
      </c>
      <c r="C586" s="24">
        <v>17</v>
      </c>
      <c r="D586" s="28">
        <v>874</v>
      </c>
      <c r="E586" s="30">
        <v>43973</v>
      </c>
      <c r="F586" s="28" t="s">
        <v>1691</v>
      </c>
      <c r="G586" s="28">
        <f>INDEX($C$2:$D$37,MATCH(RESOLUCIONES[[#This Row],[No. Canal]],$C$2:$C$37,0),2)</f>
        <v>491</v>
      </c>
      <c r="I586" s="28" t="s">
        <v>1743</v>
      </c>
      <c r="J586" s="28" t="s">
        <v>337</v>
      </c>
      <c r="K586" s="28" t="str">
        <f t="shared" si="15"/>
        <v>MontelíbanoCordoba</v>
      </c>
      <c r="L586" s="28"/>
      <c r="M586" s="28"/>
      <c r="N586" s="28"/>
      <c r="O586" s="28"/>
      <c r="P586" s="28"/>
      <c r="Q586" s="28"/>
      <c r="R586" s="28"/>
      <c r="S586" s="28"/>
      <c r="T586" s="28"/>
      <c r="U586" s="41"/>
      <c r="V586" s="41"/>
      <c r="W586" s="41"/>
      <c r="X586" s="28"/>
      <c r="Y586" s="28"/>
      <c r="Z586" s="28"/>
      <c r="AA586" s="28"/>
      <c r="AB586" s="28"/>
      <c r="AC586" s="28"/>
      <c r="AD586" s="28"/>
    </row>
    <row r="587" spans="1:30" x14ac:dyDescent="0.35">
      <c r="A587" s="39" t="s">
        <v>1430</v>
      </c>
      <c r="B587" s="28" t="s">
        <v>1744</v>
      </c>
      <c r="C587" s="21">
        <v>17</v>
      </c>
      <c r="D587" s="28">
        <v>1980</v>
      </c>
      <c r="E587" s="30">
        <v>43462</v>
      </c>
      <c r="F587" s="28" t="s">
        <v>1672</v>
      </c>
      <c r="G587" s="28">
        <f>INDEX($C$2:$D$37,MATCH(RESOLUCIONES[[#This Row],[No. Canal]],$C$2:$C$37,0),2)</f>
        <v>491</v>
      </c>
      <c r="I587" s="28" t="s">
        <v>1745</v>
      </c>
      <c r="J587" s="28" t="s">
        <v>401</v>
      </c>
      <c r="K587" s="28" t="str">
        <f t="shared" si="15"/>
        <v>MontenegroQuindio</v>
      </c>
      <c r="L587" s="28"/>
      <c r="M587" s="28"/>
      <c r="N587" s="28"/>
      <c r="O587" s="28"/>
      <c r="P587" s="28"/>
      <c r="Q587" s="28"/>
      <c r="R587" s="28"/>
      <c r="S587" s="28"/>
      <c r="T587" s="28"/>
      <c r="U587" s="41"/>
      <c r="V587" s="41"/>
      <c r="W587" s="41"/>
      <c r="X587" s="28"/>
      <c r="Y587" s="28"/>
      <c r="Z587" s="28"/>
      <c r="AA587" s="28"/>
      <c r="AB587" s="28"/>
      <c r="AC587" s="28"/>
      <c r="AD587" s="28"/>
    </row>
    <row r="588" spans="1:30" x14ac:dyDescent="0.35">
      <c r="A588" s="39" t="s">
        <v>1433</v>
      </c>
      <c r="B588" s="28" t="s">
        <v>1746</v>
      </c>
      <c r="C588" s="21">
        <v>28</v>
      </c>
      <c r="D588" s="28">
        <v>297</v>
      </c>
      <c r="E588" s="30">
        <v>43558</v>
      </c>
      <c r="F588" s="28" t="s">
        <v>1678</v>
      </c>
      <c r="G588" s="28">
        <f>INDEX($C$2:$D$37,MATCH(RESOLUCIONES[[#This Row],[No. Canal]],$C$2:$C$37,0),2)</f>
        <v>557</v>
      </c>
      <c r="I588" s="28" t="s">
        <v>1747</v>
      </c>
      <c r="J588" s="28" t="s">
        <v>337</v>
      </c>
      <c r="K588" s="28" t="str">
        <f t="shared" si="15"/>
        <v>MonteríaCordoba</v>
      </c>
      <c r="L588" s="28"/>
      <c r="M588" s="28"/>
      <c r="N588" s="28"/>
      <c r="O588" s="28"/>
      <c r="P588" s="28"/>
      <c r="Q588" s="28"/>
      <c r="R588" s="28"/>
      <c r="S588" s="28"/>
      <c r="T588" s="28"/>
      <c r="U588" s="41"/>
      <c r="V588" s="41"/>
      <c r="W588" s="41"/>
      <c r="X588" s="28"/>
      <c r="Y588" s="28"/>
      <c r="Z588" s="28"/>
      <c r="AA588" s="28"/>
      <c r="AB588" s="28"/>
      <c r="AC588" s="28"/>
      <c r="AD588" s="28"/>
    </row>
    <row r="589" spans="1:30" x14ac:dyDescent="0.35">
      <c r="A589" s="39" t="s">
        <v>1436</v>
      </c>
      <c r="B589" s="28" t="s">
        <v>1748</v>
      </c>
      <c r="C589" s="21">
        <v>17</v>
      </c>
      <c r="D589" s="28">
        <v>445</v>
      </c>
      <c r="E589" s="30">
        <v>43200</v>
      </c>
      <c r="F589" s="28" t="s">
        <v>1718</v>
      </c>
      <c r="G589" s="28">
        <f>INDEX($C$2:$D$37,MATCH(RESOLUCIONES[[#This Row],[No. Canal]],$C$2:$C$37,0),2)</f>
        <v>491</v>
      </c>
      <c r="I589" s="28" t="s">
        <v>1749</v>
      </c>
      <c r="J589" s="28" t="s">
        <v>305</v>
      </c>
      <c r="K589" s="28" t="str">
        <f t="shared" si="15"/>
        <v>MonterreyCasanare</v>
      </c>
      <c r="L589" s="28"/>
      <c r="M589" s="28"/>
      <c r="N589" s="28"/>
      <c r="O589" s="28"/>
      <c r="P589" s="28"/>
      <c r="Q589" s="28"/>
      <c r="R589" s="28"/>
      <c r="S589" s="28"/>
      <c r="T589" s="28"/>
      <c r="U589" s="41"/>
      <c r="V589" s="41"/>
      <c r="W589" s="41"/>
      <c r="X589" s="28"/>
      <c r="Y589" s="28"/>
      <c r="Z589" s="28"/>
      <c r="AA589" s="28"/>
      <c r="AB589" s="28"/>
      <c r="AC589" s="28"/>
      <c r="AD589" s="28"/>
    </row>
    <row r="590" spans="1:30" x14ac:dyDescent="0.35">
      <c r="A590" s="39" t="s">
        <v>1449</v>
      </c>
      <c r="B590" s="28" t="s">
        <v>1750</v>
      </c>
      <c r="C590" s="21">
        <v>17</v>
      </c>
      <c r="D590" s="28">
        <v>1980</v>
      </c>
      <c r="E590" s="30">
        <v>43462</v>
      </c>
      <c r="F590" s="28" t="s">
        <v>1672</v>
      </c>
      <c r="G590" s="28">
        <f>INDEX($C$2:$D$37,MATCH(RESOLUCIONES[[#This Row],[No. Canal]],$C$2:$C$37,0),2)</f>
        <v>491</v>
      </c>
      <c r="I590" s="28" t="s">
        <v>1751</v>
      </c>
      <c r="J590" s="28" t="s">
        <v>337</v>
      </c>
      <c r="K590" s="28" t="str">
        <f t="shared" si="15"/>
        <v>MoñitosCordoba</v>
      </c>
      <c r="L590" s="28"/>
      <c r="M590" s="28"/>
      <c r="N590" s="28"/>
      <c r="O590" s="28"/>
      <c r="P590" s="28"/>
      <c r="Q590" s="28"/>
      <c r="R590" s="28"/>
      <c r="S590" s="28"/>
      <c r="T590" s="28"/>
      <c r="U590" s="41"/>
      <c r="V590" s="41"/>
      <c r="W590" s="41"/>
      <c r="X590" s="28"/>
      <c r="Y590" s="28"/>
      <c r="Z590" s="28"/>
      <c r="AA590" s="28"/>
      <c r="AB590" s="28"/>
      <c r="AC590" s="28"/>
      <c r="AD590" s="28"/>
    </row>
    <row r="591" spans="1:30" x14ac:dyDescent="0.35">
      <c r="A591" s="39" t="s">
        <v>1461</v>
      </c>
      <c r="B591" s="28" t="s">
        <v>1752</v>
      </c>
      <c r="C591" s="21">
        <v>32</v>
      </c>
      <c r="D591" s="28">
        <v>1980</v>
      </c>
      <c r="E591" s="30">
        <v>43462</v>
      </c>
      <c r="F591" s="28" t="s">
        <v>1672</v>
      </c>
      <c r="G591" s="28">
        <f>INDEX($C$2:$D$37,MATCH(RESOLUCIONES[[#This Row],[No. Canal]],$C$2:$C$37,0),2)</f>
        <v>581</v>
      </c>
      <c r="I591" s="28" t="s">
        <v>1753</v>
      </c>
      <c r="J591" s="28" t="s">
        <v>260</v>
      </c>
      <c r="K591" s="28" t="str">
        <f t="shared" si="15"/>
        <v>MoralesBolivar</v>
      </c>
      <c r="L591" s="28"/>
      <c r="M591" s="28"/>
      <c r="N591" s="28"/>
      <c r="O591" s="28"/>
      <c r="P591" s="28"/>
      <c r="Q591" s="28"/>
      <c r="R591" s="28"/>
      <c r="S591" s="28"/>
      <c r="T591" s="28"/>
      <c r="U591" s="41"/>
      <c r="V591" s="41"/>
      <c r="W591" s="41"/>
      <c r="X591" s="28"/>
      <c r="Y591" s="28"/>
      <c r="Z591" s="28"/>
      <c r="AA591" s="28"/>
      <c r="AB591" s="28"/>
      <c r="AC591" s="28"/>
      <c r="AD591" s="28"/>
    </row>
    <row r="592" spans="1:30" x14ac:dyDescent="0.35">
      <c r="A592" s="39" t="s">
        <v>1464</v>
      </c>
      <c r="B592" s="28" t="s">
        <v>1754</v>
      </c>
      <c r="C592" s="21">
        <v>17</v>
      </c>
      <c r="D592" s="28">
        <v>1980</v>
      </c>
      <c r="E592" s="30">
        <v>43462</v>
      </c>
      <c r="F592" s="28" t="s">
        <v>1672</v>
      </c>
      <c r="G592" s="28">
        <f>INDEX($C$2:$D$37,MATCH(RESOLUCIONES[[#This Row],[No. Canal]],$C$2:$C$37,0),2)</f>
        <v>491</v>
      </c>
      <c r="I592" s="28" t="s">
        <v>1753</v>
      </c>
      <c r="J592" s="28" t="s">
        <v>315</v>
      </c>
      <c r="K592" s="28" t="str">
        <f t="shared" si="15"/>
        <v>MoralesCauca</v>
      </c>
      <c r="L592" s="28"/>
      <c r="M592" s="28"/>
      <c r="N592" s="28"/>
      <c r="O592" s="28"/>
      <c r="P592" s="28"/>
      <c r="Q592" s="28"/>
      <c r="R592" s="28"/>
      <c r="S592" s="28"/>
      <c r="T592" s="28"/>
      <c r="U592" s="41"/>
      <c r="V592" s="41"/>
      <c r="W592" s="41"/>
      <c r="X592" s="28"/>
      <c r="Y592" s="28"/>
      <c r="Z592" s="28"/>
      <c r="AA592" s="28"/>
      <c r="AB592" s="28"/>
      <c r="AC592" s="28"/>
      <c r="AD592" s="28"/>
    </row>
    <row r="593" spans="1:30" x14ac:dyDescent="0.35">
      <c r="A593" s="28" t="s">
        <v>1755</v>
      </c>
      <c r="B593" s="28" t="s">
        <v>1756</v>
      </c>
      <c r="C593" s="21">
        <v>18</v>
      </c>
      <c r="D593" s="28">
        <v>1983</v>
      </c>
      <c r="E593" s="30">
        <v>43462</v>
      </c>
      <c r="F593" s="28" t="s">
        <v>1757</v>
      </c>
      <c r="G593" s="28">
        <f>INDEX($C$2:$D$37,MATCH(RESOLUCIONES[[#This Row],[No. Canal]],$C$2:$C$37,0),2)</f>
        <v>497</v>
      </c>
      <c r="I593" s="28" t="s">
        <v>1758</v>
      </c>
      <c r="J593" s="28" t="s">
        <v>294</v>
      </c>
      <c r="K593" s="28" t="str">
        <f t="shared" si="15"/>
        <v>MoreliaCaqueta</v>
      </c>
      <c r="L593" s="28"/>
      <c r="M593" s="28"/>
      <c r="N593" s="28"/>
      <c r="O593" s="28"/>
      <c r="P593" s="28"/>
      <c r="Q593" s="28"/>
      <c r="R593" s="28"/>
      <c r="S593" s="28"/>
      <c r="T593" s="28"/>
      <c r="U593" s="41"/>
      <c r="V593" s="41"/>
      <c r="W593" s="41"/>
      <c r="X593" s="28"/>
      <c r="Y593" s="28"/>
      <c r="Z593" s="28"/>
      <c r="AA593" s="28"/>
      <c r="AB593" s="28"/>
      <c r="AC593" s="28"/>
      <c r="AD593" s="28"/>
    </row>
    <row r="594" spans="1:30" x14ac:dyDescent="0.35">
      <c r="A594" s="28" t="s">
        <v>1759</v>
      </c>
      <c r="B594" s="28" t="s">
        <v>1760</v>
      </c>
      <c r="C594" s="22">
        <v>18</v>
      </c>
      <c r="D594" s="28">
        <v>2077</v>
      </c>
      <c r="E594" s="30">
        <v>43082</v>
      </c>
      <c r="F594" s="28" t="s">
        <v>1761</v>
      </c>
      <c r="G594" s="28">
        <f>INDEX($C$2:$D$37,MATCH(RESOLUCIONES[[#This Row],[No. Canal]],$C$2:$C$37,0),2)</f>
        <v>497</v>
      </c>
      <c r="I594" s="28" t="s">
        <v>1762</v>
      </c>
      <c r="J594" s="28" t="s">
        <v>353</v>
      </c>
      <c r="K594" s="28" t="str">
        <f t="shared" si="15"/>
        <v>MorichalGuainia</v>
      </c>
      <c r="L594" s="28"/>
      <c r="M594" s="28"/>
      <c r="N594" s="28"/>
      <c r="O594" s="28"/>
      <c r="P594" s="28"/>
      <c r="Q594" s="28"/>
      <c r="R594" s="28"/>
      <c r="S594" s="28"/>
      <c r="T594" s="28"/>
      <c r="U594" s="41"/>
      <c r="V594" s="41"/>
      <c r="W594" s="41"/>
      <c r="X594" s="28"/>
      <c r="Y594" s="28"/>
      <c r="Z594" s="28"/>
      <c r="AA594" s="28"/>
      <c r="AB594" s="28"/>
      <c r="AC594" s="28"/>
      <c r="AD594" s="28"/>
    </row>
    <row r="595" spans="1:30" x14ac:dyDescent="0.35">
      <c r="A595" s="28" t="s">
        <v>1763</v>
      </c>
      <c r="B595" s="28" t="s">
        <v>1764</v>
      </c>
      <c r="C595" s="22">
        <v>18</v>
      </c>
      <c r="D595" s="28">
        <v>1589</v>
      </c>
      <c r="E595" s="30">
        <v>42986</v>
      </c>
      <c r="F595" s="28" t="s">
        <v>1765</v>
      </c>
      <c r="G595" s="28">
        <f>INDEX($C$2:$D$37,MATCH(RESOLUCIONES[[#This Row],[No. Canal]],$C$2:$C$37,0),2)</f>
        <v>497</v>
      </c>
      <c r="I595" s="28" t="s">
        <v>1766</v>
      </c>
      <c r="J595" s="28" t="s">
        <v>413</v>
      </c>
      <c r="K595" s="28" t="str">
        <f t="shared" si="15"/>
        <v>MorroaSucre</v>
      </c>
      <c r="L595" s="28"/>
      <c r="M595" s="28"/>
      <c r="N595" s="28"/>
      <c r="O595" s="28"/>
      <c r="P595" s="28"/>
      <c r="Q595" s="28"/>
      <c r="R595" s="28"/>
      <c r="S595" s="28"/>
      <c r="T595" s="28"/>
      <c r="U595" s="41"/>
      <c r="V595" s="41"/>
      <c r="W595" s="41"/>
      <c r="X595" s="28"/>
      <c r="Y595" s="28"/>
      <c r="Z595" s="28"/>
      <c r="AA595" s="28"/>
      <c r="AB595" s="28"/>
      <c r="AC595" s="28"/>
      <c r="AD595" s="28"/>
    </row>
    <row r="596" spans="1:30" x14ac:dyDescent="0.35">
      <c r="A596" s="28" t="s">
        <v>1767</v>
      </c>
      <c r="B596" s="28" t="s">
        <v>1768</v>
      </c>
      <c r="C596" s="22">
        <v>27</v>
      </c>
      <c r="D596" s="28">
        <v>1589</v>
      </c>
      <c r="E596" s="30">
        <v>42986</v>
      </c>
      <c r="F596" s="28" t="s">
        <v>1765</v>
      </c>
      <c r="G596" s="28">
        <f>INDEX($C$2:$D$37,MATCH(RESOLUCIONES[[#This Row],[No. Canal]],$C$2:$C$37,0),2)</f>
        <v>551</v>
      </c>
      <c r="I596" s="28" t="s">
        <v>1769</v>
      </c>
      <c r="J596" s="28" t="s">
        <v>283</v>
      </c>
      <c r="K596" s="28" t="str">
        <f t="shared" si="15"/>
        <v>MosqueraCundinamarca</v>
      </c>
      <c r="L596" s="28"/>
      <c r="M596" s="28"/>
      <c r="N596" s="28"/>
      <c r="O596" s="28"/>
      <c r="P596" s="28"/>
      <c r="Q596" s="28"/>
      <c r="R596" s="28"/>
      <c r="S596" s="28"/>
      <c r="T596" s="28"/>
      <c r="U596" s="41"/>
      <c r="V596" s="41"/>
      <c r="W596" s="41"/>
      <c r="X596" s="28"/>
      <c r="Y596" s="28"/>
      <c r="Z596" s="28"/>
      <c r="AA596" s="28"/>
      <c r="AB596" s="28"/>
      <c r="AC596" s="28"/>
      <c r="AD596" s="28"/>
    </row>
    <row r="597" spans="1:30" x14ac:dyDescent="0.35">
      <c r="A597" s="28" t="s">
        <v>1770</v>
      </c>
      <c r="B597" s="28" t="s">
        <v>1771</v>
      </c>
      <c r="C597" s="22">
        <v>18</v>
      </c>
      <c r="D597" s="28">
        <v>2077</v>
      </c>
      <c r="E597" s="30">
        <v>43082</v>
      </c>
      <c r="F597" s="28" t="s">
        <v>1761</v>
      </c>
      <c r="G597" s="28">
        <f>INDEX($C$2:$D$37,MATCH(RESOLUCIONES[[#This Row],[No. Canal]],$C$2:$C$37,0),2)</f>
        <v>497</v>
      </c>
      <c r="I597" s="28" t="s">
        <v>1769</v>
      </c>
      <c r="J597" s="28" t="s">
        <v>352</v>
      </c>
      <c r="K597" s="28" t="str">
        <f t="shared" si="15"/>
        <v>MosqueraNariño</v>
      </c>
      <c r="L597" s="28"/>
      <c r="M597" s="28"/>
      <c r="N597" s="28"/>
      <c r="O597" s="28"/>
      <c r="P597" s="28"/>
      <c r="Q597" s="28"/>
      <c r="R597" s="28"/>
      <c r="S597" s="28"/>
      <c r="T597" s="28"/>
      <c r="U597" s="41"/>
      <c r="V597" s="41"/>
      <c r="W597" s="41"/>
      <c r="X597" s="28"/>
      <c r="Y597" s="28"/>
      <c r="Z597" s="28"/>
      <c r="AA597" s="28"/>
      <c r="AB597" s="28"/>
      <c r="AC597" s="28"/>
      <c r="AD597" s="28"/>
    </row>
    <row r="598" spans="1:30" x14ac:dyDescent="0.35">
      <c r="A598" s="28" t="s">
        <v>1772</v>
      </c>
      <c r="B598" s="28" t="s">
        <v>1773</v>
      </c>
      <c r="C598" s="21">
        <v>18</v>
      </c>
      <c r="D598" s="28">
        <v>1983</v>
      </c>
      <c r="E598" s="30">
        <v>43462</v>
      </c>
      <c r="F598" s="28" t="s">
        <v>1757</v>
      </c>
      <c r="G598" s="28">
        <f>INDEX($C$2:$D$37,MATCH(RESOLUCIONES[[#This Row],[No. Canal]],$C$2:$C$37,0),2)</f>
        <v>497</v>
      </c>
      <c r="I598" s="28" t="s">
        <v>1774</v>
      </c>
      <c r="J598" s="28" t="s">
        <v>274</v>
      </c>
      <c r="K598" s="28" t="str">
        <f t="shared" si="15"/>
        <v>MotavitaBoyaca</v>
      </c>
      <c r="L598" s="28"/>
      <c r="M598" s="28"/>
      <c r="N598" s="28"/>
      <c r="O598" s="28"/>
      <c r="P598" s="28"/>
      <c r="Q598" s="28"/>
      <c r="R598" s="28"/>
      <c r="S598" s="28"/>
      <c r="T598" s="28"/>
      <c r="U598" s="41"/>
      <c r="V598" s="41"/>
      <c r="W598" s="41"/>
      <c r="X598" s="28"/>
      <c r="Y598" s="28"/>
      <c r="Z598" s="28"/>
      <c r="AA598" s="28"/>
      <c r="AB598" s="28"/>
      <c r="AC598" s="28"/>
      <c r="AD598" s="28"/>
    </row>
    <row r="599" spans="1:30" x14ac:dyDescent="0.35">
      <c r="A599" s="28" t="s">
        <v>1775</v>
      </c>
      <c r="B599" s="28" t="s">
        <v>1776</v>
      </c>
      <c r="C599" s="21">
        <v>18</v>
      </c>
      <c r="D599" s="28">
        <v>1983</v>
      </c>
      <c r="E599" s="30">
        <v>43462</v>
      </c>
      <c r="F599" s="28" t="s">
        <v>1757</v>
      </c>
      <c r="G599" s="28">
        <f>INDEX($C$2:$D$37,MATCH(RESOLUCIONES[[#This Row],[No. Canal]],$C$2:$C$37,0),2)</f>
        <v>497</v>
      </c>
      <c r="I599" s="28" t="s">
        <v>1777</v>
      </c>
      <c r="J599" s="28" t="s">
        <v>409</v>
      </c>
      <c r="K599" s="28" t="str">
        <f t="shared" si="15"/>
        <v>MurilloTolima</v>
      </c>
      <c r="L599" s="28"/>
      <c r="M599" s="28"/>
      <c r="N599" s="28"/>
      <c r="O599" s="28"/>
      <c r="P599" s="28"/>
      <c r="Q599" s="28"/>
      <c r="R599" s="28"/>
      <c r="S599" s="28"/>
      <c r="T599" s="28"/>
      <c r="U599" s="41"/>
      <c r="V599" s="41"/>
      <c r="W599" s="41"/>
      <c r="X599" s="28"/>
      <c r="Y599" s="28"/>
      <c r="Z599" s="28"/>
      <c r="AA599" s="28"/>
      <c r="AB599" s="28"/>
      <c r="AC599" s="28"/>
      <c r="AD599" s="28"/>
    </row>
    <row r="600" spans="1:30" x14ac:dyDescent="0.35">
      <c r="A600" s="28" t="s">
        <v>1778</v>
      </c>
      <c r="B600" s="28" t="s">
        <v>1779</v>
      </c>
      <c r="C600" s="21">
        <v>27</v>
      </c>
      <c r="D600" s="28">
        <v>1983</v>
      </c>
      <c r="E600" s="30">
        <v>43462</v>
      </c>
      <c r="F600" s="28" t="s">
        <v>1757</v>
      </c>
      <c r="G600" s="28">
        <f>INDEX($C$2:$D$37,MATCH(RESOLUCIONES[[#This Row],[No. Canal]],$C$2:$C$37,0),2)</f>
        <v>551</v>
      </c>
      <c r="I600" s="28" t="s">
        <v>1780</v>
      </c>
      <c r="J600" s="28" t="s">
        <v>154</v>
      </c>
      <c r="K600" s="28" t="str">
        <f t="shared" si="15"/>
        <v>MurindóAntioquia</v>
      </c>
      <c r="L600" s="28"/>
      <c r="M600" s="28"/>
      <c r="N600" s="28"/>
      <c r="O600" s="28"/>
      <c r="P600" s="28"/>
      <c r="Q600" s="28"/>
      <c r="R600" s="28"/>
      <c r="S600" s="28"/>
      <c r="T600" s="28"/>
      <c r="U600" s="41"/>
      <c r="V600" s="41"/>
      <c r="W600" s="41"/>
      <c r="X600" s="28"/>
      <c r="Y600" s="28"/>
      <c r="Z600" s="28"/>
      <c r="AA600" s="28"/>
      <c r="AB600" s="28"/>
      <c r="AC600" s="28"/>
      <c r="AD600" s="28"/>
    </row>
    <row r="601" spans="1:30" x14ac:dyDescent="0.35">
      <c r="A601" s="28" t="s">
        <v>1781</v>
      </c>
      <c r="B601" s="28" t="s">
        <v>1782</v>
      </c>
      <c r="C601" s="22">
        <v>18</v>
      </c>
      <c r="D601" s="28">
        <v>2077</v>
      </c>
      <c r="E601" s="30">
        <v>43082</v>
      </c>
      <c r="F601" s="28" t="s">
        <v>1761</v>
      </c>
      <c r="G601" s="28">
        <f>INDEX($C$2:$D$37,MATCH(RESOLUCIONES[[#This Row],[No. Canal]],$C$2:$C$37,0),2)</f>
        <v>497</v>
      </c>
      <c r="I601" s="28" t="s">
        <v>1783</v>
      </c>
      <c r="J601" s="28" t="s">
        <v>154</v>
      </c>
      <c r="K601" s="28" t="str">
        <f t="shared" si="15"/>
        <v>MutatáAntioquia</v>
      </c>
      <c r="L601" s="28"/>
      <c r="M601" s="28"/>
      <c r="N601" s="28"/>
      <c r="O601" s="28"/>
      <c r="P601" s="28"/>
      <c r="Q601" s="28"/>
      <c r="R601" s="28"/>
      <c r="S601" s="28"/>
      <c r="T601" s="28"/>
      <c r="U601" s="41"/>
      <c r="V601" s="41"/>
      <c r="W601" s="41"/>
      <c r="X601" s="28"/>
      <c r="Y601" s="28"/>
      <c r="Z601" s="28"/>
      <c r="AA601" s="28"/>
      <c r="AB601" s="28"/>
      <c r="AC601" s="28"/>
      <c r="AD601" s="28"/>
    </row>
    <row r="602" spans="1:30" x14ac:dyDescent="0.35">
      <c r="A602" s="28" t="s">
        <v>339</v>
      </c>
      <c r="B602" s="28" t="s">
        <v>1784</v>
      </c>
      <c r="C602" s="23">
        <v>42</v>
      </c>
      <c r="D602" s="28">
        <v>108</v>
      </c>
      <c r="E602" s="30">
        <v>43859</v>
      </c>
      <c r="F602" s="28" t="s">
        <v>1785</v>
      </c>
      <c r="G602" s="28">
        <f>INDEX($C$2:$D$37,MATCH(RESOLUCIONES[[#This Row],[No. Canal]],$C$2:$C$37,0),2)</f>
        <v>641</v>
      </c>
      <c r="I602" s="28" t="s">
        <v>1786</v>
      </c>
      <c r="J602" s="28" t="s">
        <v>190</v>
      </c>
      <c r="K602" s="28" t="str">
        <f t="shared" si="15"/>
        <v>MutiscuaNorte de Santander</v>
      </c>
      <c r="L602" s="28"/>
      <c r="M602" s="28"/>
      <c r="N602" s="28"/>
      <c r="O602" s="28"/>
      <c r="P602" s="28"/>
      <c r="Q602" s="28"/>
      <c r="R602" s="28"/>
      <c r="S602" s="28"/>
      <c r="T602" s="28"/>
      <c r="U602" s="41"/>
      <c r="V602" s="41"/>
      <c r="W602" s="41"/>
      <c r="X602" s="28"/>
      <c r="Y602" s="28"/>
      <c r="Z602" s="28"/>
      <c r="AA602" s="28"/>
      <c r="AB602" s="28"/>
      <c r="AC602" s="28"/>
      <c r="AD602" s="28"/>
    </row>
    <row r="603" spans="1:30" x14ac:dyDescent="0.35">
      <c r="A603" s="28" t="s">
        <v>1033</v>
      </c>
      <c r="B603" s="28" t="s">
        <v>1787</v>
      </c>
      <c r="C603" s="23">
        <v>23</v>
      </c>
      <c r="D603" s="28">
        <v>435</v>
      </c>
      <c r="E603" s="30">
        <v>43595</v>
      </c>
      <c r="F603" s="28" t="s">
        <v>1788</v>
      </c>
      <c r="G603" s="28">
        <f>INDEX($C$2:$D$37,MATCH(RESOLUCIONES[[#This Row],[No. Canal]],$C$2:$C$37,0),2)</f>
        <v>527</v>
      </c>
      <c r="I603" s="28" t="s">
        <v>1789</v>
      </c>
      <c r="J603" s="28" t="s">
        <v>274</v>
      </c>
      <c r="K603" s="28" t="str">
        <f t="shared" si="15"/>
        <v>MuzoBoyaca</v>
      </c>
      <c r="L603" s="28"/>
      <c r="M603" s="28"/>
      <c r="N603" s="28"/>
      <c r="O603" s="28"/>
      <c r="P603" s="28"/>
      <c r="Q603" s="28"/>
      <c r="R603" s="28"/>
      <c r="S603" s="28"/>
      <c r="T603" s="28"/>
      <c r="U603" s="41"/>
      <c r="V603" s="41"/>
      <c r="W603" s="41"/>
      <c r="X603" s="28"/>
      <c r="Y603" s="28"/>
      <c r="Z603" s="28"/>
      <c r="AA603" s="28"/>
      <c r="AB603" s="28"/>
      <c r="AC603" s="28"/>
      <c r="AD603" s="28"/>
    </row>
    <row r="604" spans="1:30" x14ac:dyDescent="0.35">
      <c r="A604" s="28" t="s">
        <v>1029</v>
      </c>
      <c r="B604" s="28" t="s">
        <v>1790</v>
      </c>
      <c r="C604" s="23">
        <v>26</v>
      </c>
      <c r="D604" s="28">
        <v>779</v>
      </c>
      <c r="E604" s="30">
        <v>43643</v>
      </c>
      <c r="F604" s="28" t="s">
        <v>1791</v>
      </c>
      <c r="G604" s="28">
        <f>INDEX($C$2:$D$37,MATCH(RESOLUCIONES[[#This Row],[No. Canal]],$C$2:$C$37,0),2)</f>
        <v>545</v>
      </c>
      <c r="I604" s="28" t="s">
        <v>352</v>
      </c>
      <c r="J604" s="28" t="s">
        <v>154</v>
      </c>
      <c r="K604" s="28" t="str">
        <f t="shared" si="15"/>
        <v>NariñoAntioquia</v>
      </c>
      <c r="L604" s="28"/>
      <c r="M604" s="28"/>
      <c r="N604" s="28"/>
      <c r="O604" s="28"/>
      <c r="P604" s="28"/>
      <c r="Q604" s="28"/>
      <c r="R604" s="28"/>
      <c r="S604" s="28"/>
      <c r="T604" s="28"/>
      <c r="U604" s="41"/>
      <c r="V604" s="41"/>
      <c r="W604" s="41"/>
      <c r="X604" s="28"/>
      <c r="Y604" s="28"/>
      <c r="Z604" s="28"/>
      <c r="AA604" s="28"/>
      <c r="AB604" s="28"/>
      <c r="AC604" s="28"/>
      <c r="AD604" s="28"/>
    </row>
    <row r="605" spans="1:30" x14ac:dyDescent="0.35">
      <c r="A605" s="28" t="s">
        <v>1064</v>
      </c>
      <c r="B605" s="28" t="s">
        <v>1792</v>
      </c>
      <c r="C605" s="23">
        <v>26</v>
      </c>
      <c r="D605" s="28">
        <v>867</v>
      </c>
      <c r="E605" s="30">
        <v>43663</v>
      </c>
      <c r="F605" s="28" t="s">
        <v>1793</v>
      </c>
      <c r="G605" s="28">
        <f>INDEX($C$2:$D$37,MATCH(RESOLUCIONES[[#This Row],[No. Canal]],$C$2:$C$37,0),2)</f>
        <v>545</v>
      </c>
      <c r="I605" s="28" t="s">
        <v>352</v>
      </c>
      <c r="J605" s="28" t="s">
        <v>283</v>
      </c>
      <c r="K605" s="28" t="str">
        <f t="shared" si="15"/>
        <v>NariñoCundinamarca</v>
      </c>
      <c r="L605" s="28"/>
      <c r="M605" s="28"/>
      <c r="N605" s="28"/>
      <c r="O605" s="28"/>
      <c r="P605" s="28"/>
      <c r="Q605" s="28"/>
      <c r="R605" s="28"/>
      <c r="S605" s="28"/>
      <c r="T605" s="28"/>
      <c r="U605" s="41"/>
      <c r="V605" s="41"/>
      <c r="W605" s="41"/>
      <c r="X605" s="28"/>
      <c r="Y605" s="28"/>
      <c r="Z605" s="28"/>
      <c r="AA605" s="28"/>
      <c r="AB605" s="28"/>
      <c r="AC605" s="28"/>
      <c r="AD605" s="28"/>
    </row>
    <row r="606" spans="1:30" x14ac:dyDescent="0.35">
      <c r="A606" s="28" t="s">
        <v>1067</v>
      </c>
      <c r="B606" s="28" t="s">
        <v>1794</v>
      </c>
      <c r="C606" s="23">
        <v>22</v>
      </c>
      <c r="D606" s="28">
        <v>436</v>
      </c>
      <c r="E606" s="30">
        <v>43595</v>
      </c>
      <c r="F606" s="28" t="s">
        <v>1795</v>
      </c>
      <c r="G606" s="28">
        <f>INDEX($C$2:$D$37,MATCH(RESOLUCIONES[[#This Row],[No. Canal]],$C$2:$C$37,0),2)</f>
        <v>521</v>
      </c>
      <c r="I606" s="28" t="s">
        <v>352</v>
      </c>
      <c r="J606" s="28" t="s">
        <v>352</v>
      </c>
      <c r="K606" s="28" t="str">
        <f t="shared" si="15"/>
        <v>NariñoNariño</v>
      </c>
      <c r="L606" s="28"/>
      <c r="M606" s="28"/>
      <c r="N606" s="28"/>
      <c r="O606" s="28"/>
      <c r="P606" s="28"/>
      <c r="Q606" s="28"/>
      <c r="R606" s="28"/>
      <c r="S606" s="28"/>
      <c r="T606" s="28"/>
      <c r="U606" s="41"/>
      <c r="V606" s="41"/>
      <c r="W606" s="41"/>
      <c r="X606" s="28"/>
      <c r="Y606" s="28"/>
      <c r="Z606" s="28"/>
      <c r="AA606" s="28"/>
      <c r="AB606" s="28"/>
      <c r="AC606" s="28"/>
      <c r="AD606" s="28"/>
    </row>
    <row r="607" spans="1:30" x14ac:dyDescent="0.35">
      <c r="A607" s="28" t="s">
        <v>49</v>
      </c>
      <c r="B607" s="28" t="s">
        <v>1796</v>
      </c>
      <c r="C607" s="22">
        <v>27</v>
      </c>
      <c r="D607" s="28">
        <v>343</v>
      </c>
      <c r="E607" s="30">
        <v>42146</v>
      </c>
      <c r="F607" s="28" t="s">
        <v>1797</v>
      </c>
      <c r="G607" s="28">
        <f>INDEX($C$2:$D$37,MATCH(RESOLUCIONES[[#This Row],[No. Canal]],$C$2:$C$37,0),2)</f>
        <v>551</v>
      </c>
      <c r="I607" s="28" t="s">
        <v>1798</v>
      </c>
      <c r="J607" s="28" t="s">
        <v>245</v>
      </c>
      <c r="K607" s="28" t="str">
        <f t="shared" si="15"/>
        <v>NátagaHuila</v>
      </c>
      <c r="L607" s="28"/>
      <c r="M607" s="28"/>
      <c r="N607" s="28"/>
      <c r="O607" s="28"/>
      <c r="P607" s="28"/>
      <c r="Q607" s="28"/>
      <c r="R607" s="28"/>
      <c r="S607" s="28"/>
      <c r="T607" s="28"/>
      <c r="U607" s="41"/>
      <c r="V607" s="41"/>
      <c r="W607" s="41"/>
      <c r="X607" s="28"/>
      <c r="Y607" s="28"/>
      <c r="Z607" s="28"/>
      <c r="AA607" s="28"/>
      <c r="AB607" s="28"/>
      <c r="AC607" s="28"/>
      <c r="AD607" s="28"/>
    </row>
    <row r="608" spans="1:30" x14ac:dyDescent="0.35">
      <c r="A608" s="28" t="s">
        <v>1799</v>
      </c>
      <c r="B608" s="28" t="s">
        <v>1800</v>
      </c>
      <c r="C608" s="23">
        <v>17</v>
      </c>
      <c r="D608" s="23">
        <v>2952</v>
      </c>
      <c r="E608" s="30">
        <v>45149</v>
      </c>
      <c r="F608" s="95" t="s">
        <v>1801</v>
      </c>
      <c r="G608" s="28">
        <f>INDEX($C$2:$D$37,MATCH(RESOLUCIONES[[#This Row],[No. Canal]],$C$2:$C$37,0),2)</f>
        <v>491</v>
      </c>
      <c r="I608" s="28" t="s">
        <v>1802</v>
      </c>
      <c r="J608" s="28" t="s">
        <v>409</v>
      </c>
      <c r="K608" s="28" t="str">
        <f t="shared" si="15"/>
        <v>NatagaimaTolima</v>
      </c>
      <c r="L608" s="28"/>
      <c r="M608" s="28"/>
      <c r="N608" s="28"/>
      <c r="O608" s="28"/>
      <c r="P608" s="28"/>
      <c r="Q608" s="28"/>
      <c r="R608" s="28"/>
      <c r="S608" s="28"/>
      <c r="T608" s="28"/>
      <c r="U608" s="41"/>
      <c r="V608" s="41"/>
      <c r="W608" s="41"/>
      <c r="X608" s="28"/>
      <c r="Y608" s="28"/>
      <c r="Z608" s="28"/>
      <c r="AA608" s="28"/>
      <c r="AB608" s="28"/>
      <c r="AC608" s="28"/>
      <c r="AD608" s="28"/>
    </row>
    <row r="609" spans="1:30" x14ac:dyDescent="0.35">
      <c r="A609" s="28" t="s">
        <v>1803</v>
      </c>
      <c r="B609" s="28" t="s">
        <v>1804</v>
      </c>
      <c r="C609" s="23">
        <v>44</v>
      </c>
      <c r="D609" s="23">
        <v>2947</v>
      </c>
      <c r="E609" s="30">
        <v>45149</v>
      </c>
      <c r="F609" s="28" t="str">
        <f>"Resolución No. "&amp;RESOLUCIONES[[#This Row],[No. Resolución]]&amp;" del "&amp;"11 de agosto de 2023"</f>
        <v>Resolución No. 2947 del 11 de agosto de 2023</v>
      </c>
      <c r="G609" s="28">
        <f>INDEX($C$2:$D$37,MATCH(RESOLUCIONES[[#This Row],[No. Canal]],$C$2:$C$37,0),2)</f>
        <v>653</v>
      </c>
      <c r="I609" s="28" t="s">
        <v>1805</v>
      </c>
      <c r="J609" s="28" t="s">
        <v>154</v>
      </c>
      <c r="K609" s="28" t="str">
        <f t="shared" si="15"/>
        <v>NechíAntioquia</v>
      </c>
      <c r="L609" s="28"/>
      <c r="M609" s="28"/>
      <c r="N609" s="28"/>
      <c r="O609" s="28"/>
      <c r="P609" s="28"/>
      <c r="Q609" s="28"/>
      <c r="R609" s="28"/>
      <c r="S609" s="28"/>
      <c r="T609" s="28"/>
      <c r="U609" s="41"/>
      <c r="V609" s="41"/>
      <c r="W609" s="41"/>
      <c r="X609" s="28"/>
      <c r="Y609" s="28"/>
      <c r="Z609" s="28"/>
      <c r="AA609" s="28"/>
      <c r="AB609" s="28"/>
      <c r="AC609" s="28"/>
      <c r="AD609" s="28"/>
    </row>
    <row r="610" spans="1:30" x14ac:dyDescent="0.35">
      <c r="A610" s="28" t="s">
        <v>1806</v>
      </c>
      <c r="B610" s="28" t="s">
        <v>1807</v>
      </c>
      <c r="C610" s="23">
        <v>17</v>
      </c>
      <c r="D610" s="23">
        <v>2952</v>
      </c>
      <c r="E610" s="30">
        <v>45149</v>
      </c>
      <c r="F610" s="95" t="s">
        <v>1801</v>
      </c>
      <c r="G610" s="28">
        <f>INDEX($C$2:$D$37,MATCH(RESOLUCIONES[[#This Row],[No. Canal]],$C$2:$C$37,0),2)</f>
        <v>491</v>
      </c>
      <c r="I610" s="28" t="s">
        <v>1808</v>
      </c>
      <c r="J610" s="28" t="s">
        <v>154</v>
      </c>
      <c r="K610" s="28" t="str">
        <f t="shared" si="15"/>
        <v>NecoclíAntioquia</v>
      </c>
      <c r="L610" s="28"/>
      <c r="M610" s="28"/>
      <c r="N610" s="28"/>
      <c r="O610" s="28"/>
      <c r="P610" s="28"/>
      <c r="Q610" s="28"/>
      <c r="R610" s="28"/>
      <c r="S610" s="28"/>
      <c r="T610" s="28"/>
      <c r="U610" s="41"/>
      <c r="V610" s="41"/>
      <c r="W610" s="41"/>
      <c r="X610" s="28"/>
      <c r="Y610" s="28"/>
      <c r="Z610" s="28"/>
      <c r="AA610" s="28"/>
      <c r="AB610" s="28"/>
      <c r="AC610" s="28"/>
      <c r="AD610" s="28"/>
    </row>
    <row r="611" spans="1:30" x14ac:dyDescent="0.35">
      <c r="A611" s="28" t="s">
        <v>1809</v>
      </c>
      <c r="B611" s="28" t="s">
        <v>1810</v>
      </c>
      <c r="C611" s="23">
        <v>17</v>
      </c>
      <c r="D611" s="23">
        <v>2950</v>
      </c>
      <c r="E611" s="30">
        <v>45149</v>
      </c>
      <c r="F611" s="28" t="s">
        <v>1811</v>
      </c>
      <c r="G611" s="28">
        <f>INDEX($C$2:$D$37,MATCH(RESOLUCIONES[[#This Row],[No. Canal]],$C$2:$C$37,0),2)</f>
        <v>491</v>
      </c>
      <c r="I611" s="28" t="s">
        <v>1812</v>
      </c>
      <c r="J611" s="28" t="s">
        <v>284</v>
      </c>
      <c r="K611" s="28" t="str">
        <f t="shared" si="15"/>
        <v>NeiraCaldas</v>
      </c>
      <c r="L611" s="28"/>
      <c r="M611" s="28"/>
      <c r="N611" s="28"/>
      <c r="O611" s="28"/>
      <c r="P611" s="28"/>
      <c r="Q611" s="28"/>
      <c r="R611" s="28"/>
      <c r="S611" s="28"/>
      <c r="T611" s="28"/>
      <c r="U611" s="41"/>
      <c r="V611" s="41"/>
      <c r="W611" s="41"/>
      <c r="X611" s="28"/>
      <c r="Y611" s="28"/>
      <c r="Z611" s="28"/>
      <c r="AA611" s="28"/>
      <c r="AB611" s="28"/>
      <c r="AC611" s="28"/>
      <c r="AD611" s="28"/>
    </row>
    <row r="612" spans="1:30" x14ac:dyDescent="0.35">
      <c r="A612" s="28" t="s">
        <v>1813</v>
      </c>
      <c r="B612" s="28" t="s">
        <v>1814</v>
      </c>
      <c r="C612" s="23">
        <v>17</v>
      </c>
      <c r="D612" s="23">
        <v>2952</v>
      </c>
      <c r="E612" s="30">
        <v>45149</v>
      </c>
      <c r="F612" s="95" t="s">
        <v>1801</v>
      </c>
      <c r="G612" s="28">
        <f>INDEX($C$2:$D$37,MATCH(RESOLUCIONES[[#This Row],[No. Canal]],$C$2:$C$37,0),2)</f>
        <v>491</v>
      </c>
      <c r="I612" s="28" t="s">
        <v>1815</v>
      </c>
      <c r="J612" s="28" t="s">
        <v>245</v>
      </c>
      <c r="K612" s="28" t="str">
        <f t="shared" si="15"/>
        <v>NeivaHuila</v>
      </c>
      <c r="L612" s="28"/>
      <c r="M612" s="28"/>
      <c r="N612" s="28"/>
      <c r="O612" s="28"/>
      <c r="P612" s="28"/>
      <c r="Q612" s="28"/>
      <c r="R612" s="28"/>
      <c r="S612" s="28"/>
      <c r="T612" s="28"/>
      <c r="U612" s="41"/>
      <c r="V612" s="41"/>
      <c r="W612" s="41"/>
      <c r="X612" s="28"/>
      <c r="Y612" s="28"/>
      <c r="Z612" s="28"/>
      <c r="AA612" s="28"/>
      <c r="AB612" s="28"/>
      <c r="AC612" s="28"/>
      <c r="AD612" s="28"/>
    </row>
    <row r="613" spans="1:30" x14ac:dyDescent="0.35">
      <c r="A613" s="28" t="s">
        <v>1816</v>
      </c>
      <c r="B613" s="28" t="s">
        <v>1817</v>
      </c>
      <c r="C613" s="23">
        <v>17</v>
      </c>
      <c r="D613" s="23">
        <v>2952</v>
      </c>
      <c r="E613" s="30">
        <v>45149</v>
      </c>
      <c r="F613" s="95" t="s">
        <v>1801</v>
      </c>
      <c r="G613" s="28">
        <f>INDEX($C$2:$D$37,MATCH(RESOLUCIONES[[#This Row],[No. Canal]],$C$2:$C$37,0),2)</f>
        <v>491</v>
      </c>
      <c r="I613" s="28" t="s">
        <v>1818</v>
      </c>
      <c r="J613" s="28" t="s">
        <v>283</v>
      </c>
      <c r="K613" s="28" t="str">
        <f t="shared" si="15"/>
        <v>NemocónCundinamarca</v>
      </c>
      <c r="L613" s="28"/>
      <c r="M613" s="28"/>
      <c r="N613" s="28"/>
      <c r="O613" s="28"/>
      <c r="P613" s="28"/>
      <c r="Q613" s="28"/>
      <c r="R613" s="28"/>
      <c r="S613" s="28"/>
      <c r="T613" s="28"/>
      <c r="U613" s="41"/>
      <c r="V613" s="41"/>
      <c r="W613" s="41"/>
      <c r="X613" s="28"/>
      <c r="Y613" s="28"/>
      <c r="Z613" s="28"/>
      <c r="AA613" s="28"/>
      <c r="AB613" s="28"/>
      <c r="AC613" s="28"/>
      <c r="AD613" s="28"/>
    </row>
    <row r="614" spans="1:30" x14ac:dyDescent="0.35">
      <c r="A614" s="28" t="s">
        <v>1819</v>
      </c>
      <c r="B614" s="28" t="s">
        <v>1820</v>
      </c>
      <c r="C614" s="23">
        <v>17</v>
      </c>
      <c r="D614" s="23">
        <v>2948</v>
      </c>
      <c r="E614" s="30">
        <v>45149</v>
      </c>
      <c r="F614" s="28" t="str">
        <f>"Resolución No. "&amp;RESOLUCIONES[[#This Row],[No. Resolución]]&amp;" del "&amp;"11 de agosto de 2023"</f>
        <v>Resolución No. 2948 del 11 de agosto de 2023</v>
      </c>
      <c r="G614" s="28">
        <f>INDEX($C$2:$D$37,MATCH(RESOLUCIONES[[#This Row],[No. Canal]],$C$2:$C$37,0),2)</f>
        <v>491</v>
      </c>
      <c r="I614" s="28" t="s">
        <v>1821</v>
      </c>
      <c r="J614" s="28" t="s">
        <v>283</v>
      </c>
      <c r="K614" s="28" t="str">
        <f t="shared" si="15"/>
        <v>NiloCundinamarca</v>
      </c>
      <c r="L614" s="28"/>
      <c r="M614" s="28"/>
      <c r="N614" s="28"/>
      <c r="O614" s="28"/>
      <c r="P614" s="28"/>
      <c r="Q614" s="28"/>
      <c r="R614" s="28"/>
      <c r="S614" s="28"/>
      <c r="T614" s="28"/>
      <c r="U614" s="41"/>
      <c r="V614" s="41"/>
      <c r="W614" s="41"/>
      <c r="X614" s="28"/>
      <c r="Y614" s="28"/>
      <c r="Z614" s="28"/>
      <c r="AA614" s="28"/>
      <c r="AB614" s="28"/>
      <c r="AC614" s="28"/>
      <c r="AD614" s="28"/>
    </row>
    <row r="615" spans="1:30" x14ac:dyDescent="0.35">
      <c r="A615" s="28" t="s">
        <v>1822</v>
      </c>
      <c r="B615" s="28" t="s">
        <v>1823</v>
      </c>
      <c r="C615" s="23">
        <v>17</v>
      </c>
      <c r="D615" s="23">
        <v>2948</v>
      </c>
      <c r="E615" s="30">
        <v>45149</v>
      </c>
      <c r="F615" s="28" t="s">
        <v>1824</v>
      </c>
      <c r="G615" s="28">
        <f>INDEX($C$2:$D$37,MATCH(RESOLUCIONES[[#This Row],[No. Canal]],$C$2:$C$37,0),2)</f>
        <v>491</v>
      </c>
      <c r="I615" s="28" t="s">
        <v>1825</v>
      </c>
      <c r="J615" s="28" t="s">
        <v>283</v>
      </c>
      <c r="K615" s="28" t="str">
        <f t="shared" si="15"/>
        <v>NimaimaCundinamarca</v>
      </c>
      <c r="L615" s="28"/>
      <c r="M615" s="28"/>
      <c r="N615" s="28"/>
      <c r="O615" s="28"/>
      <c r="P615" s="28"/>
      <c r="Q615" s="28"/>
      <c r="R615" s="28"/>
      <c r="S615" s="28"/>
      <c r="T615" s="28"/>
      <c r="U615" s="41"/>
      <c r="V615" s="41"/>
      <c r="W615" s="41"/>
      <c r="X615" s="28"/>
      <c r="Y615" s="28"/>
      <c r="Z615" s="28"/>
      <c r="AA615" s="28"/>
      <c r="AB615" s="28"/>
      <c r="AC615" s="28"/>
      <c r="AD615" s="28"/>
    </row>
    <row r="616" spans="1:30" x14ac:dyDescent="0.35">
      <c r="A616" s="28" t="s">
        <v>1826</v>
      </c>
      <c r="B616" s="28" t="s">
        <v>1827</v>
      </c>
      <c r="C616" s="23">
        <v>18</v>
      </c>
      <c r="D616" s="23">
        <v>2949</v>
      </c>
      <c r="E616" s="30">
        <v>45149</v>
      </c>
      <c r="F616" s="95" t="s">
        <v>1828</v>
      </c>
      <c r="G616" s="28">
        <f>INDEX($C$2:$D$37,MATCH(RESOLUCIONES[[#This Row],[No. Canal]],$C$2:$C$37,0),2)</f>
        <v>497</v>
      </c>
      <c r="I616" s="28" t="s">
        <v>1829</v>
      </c>
      <c r="J616" s="28" t="s">
        <v>274</v>
      </c>
      <c r="K616" s="28" t="str">
        <f t="shared" si="15"/>
        <v>NobsaBoyaca</v>
      </c>
      <c r="L616" s="28"/>
      <c r="M616" s="28"/>
      <c r="N616" s="28"/>
      <c r="O616" s="28"/>
      <c r="P616" s="28"/>
      <c r="Q616" s="28"/>
      <c r="R616" s="28"/>
      <c r="S616" s="28"/>
      <c r="T616" s="28"/>
      <c r="U616" s="41"/>
      <c r="V616" s="41"/>
      <c r="W616" s="41"/>
      <c r="X616" s="28"/>
      <c r="Y616" s="28"/>
      <c r="Z616" s="28"/>
      <c r="AA616" s="28"/>
      <c r="AB616" s="28"/>
      <c r="AC616" s="28"/>
      <c r="AD616" s="28"/>
    </row>
    <row r="617" spans="1:30" x14ac:dyDescent="0.35">
      <c r="A617" s="28" t="s">
        <v>1830</v>
      </c>
      <c r="B617" s="28" t="s">
        <v>1831</v>
      </c>
      <c r="C617" s="23">
        <v>18</v>
      </c>
      <c r="D617" s="23">
        <v>2949</v>
      </c>
      <c r="E617" s="30">
        <v>45149</v>
      </c>
      <c r="F617" s="95" t="s">
        <v>1828</v>
      </c>
      <c r="G617" s="28">
        <f>INDEX($C$2:$D$37,MATCH(RESOLUCIONES[[#This Row],[No. Canal]],$C$2:$C$37,0),2)</f>
        <v>497</v>
      </c>
      <c r="I617" s="28" t="s">
        <v>1832</v>
      </c>
      <c r="J617" s="28" t="s">
        <v>283</v>
      </c>
      <c r="K617" s="28" t="str">
        <f t="shared" si="15"/>
        <v>NocaimaCundinamarca</v>
      </c>
      <c r="L617" s="28"/>
      <c r="M617" s="28"/>
      <c r="N617" s="28"/>
      <c r="O617" s="28"/>
      <c r="P617" s="28"/>
      <c r="Q617" s="28"/>
      <c r="R617" s="28"/>
      <c r="S617" s="28"/>
      <c r="T617" s="28"/>
      <c r="U617" s="41"/>
      <c r="V617" s="41"/>
      <c r="W617" s="41"/>
      <c r="X617" s="28"/>
      <c r="Y617" s="28"/>
      <c r="Z617" s="28"/>
      <c r="AA617" s="28"/>
      <c r="AB617" s="28"/>
      <c r="AC617" s="28"/>
      <c r="AD617" s="28"/>
    </row>
    <row r="618" spans="1:30" x14ac:dyDescent="0.35">
      <c r="A618" s="28" t="s">
        <v>1833</v>
      </c>
      <c r="B618" s="28" t="s">
        <v>1834</v>
      </c>
      <c r="C618" s="23">
        <v>17</v>
      </c>
      <c r="D618" s="23">
        <v>2952</v>
      </c>
      <c r="E618" s="30">
        <v>45149</v>
      </c>
      <c r="F618" s="95" t="s">
        <v>1801</v>
      </c>
      <c r="G618" s="23">
        <f>INDEX($C$2:$D$37,MATCH(RESOLUCIONES[[#This Row],[No. Canal]],$C$2:$C$37,0),2)</f>
        <v>491</v>
      </c>
      <c r="I618" s="28" t="s">
        <v>1835</v>
      </c>
      <c r="J618" s="28" t="s">
        <v>284</v>
      </c>
      <c r="K618" s="28" t="str">
        <f t="shared" si="15"/>
        <v>NorcasiaCaldas</v>
      </c>
      <c r="L618" s="28"/>
      <c r="M618" s="28"/>
      <c r="N618" s="28"/>
      <c r="O618" s="28"/>
      <c r="P618" s="28"/>
      <c r="Q618" s="28"/>
      <c r="R618" s="28"/>
      <c r="S618" s="28"/>
      <c r="T618" s="28"/>
      <c r="U618" s="41"/>
      <c r="V618" s="41"/>
      <c r="W618" s="41"/>
      <c r="X618" s="28"/>
      <c r="Y618" s="28"/>
      <c r="Z618" s="28"/>
      <c r="AA618" s="28"/>
      <c r="AB618" s="28"/>
      <c r="AC618" s="28"/>
      <c r="AD618" s="28"/>
    </row>
    <row r="619" spans="1:30" x14ac:dyDescent="0.35">
      <c r="A619" s="28" t="s">
        <v>1836</v>
      </c>
      <c r="B619" s="28" t="s">
        <v>1837</v>
      </c>
      <c r="C619" s="23">
        <v>17</v>
      </c>
      <c r="D619" s="23">
        <v>2952</v>
      </c>
      <c r="E619" s="30">
        <v>45149</v>
      </c>
      <c r="F619" s="95" t="s">
        <v>1801</v>
      </c>
      <c r="G619" s="23">
        <f>INDEX($C$2:$D$37,MATCH(RESOLUCIONES[[#This Row],[No. Canal]],$C$2:$C$37,0),2)</f>
        <v>491</v>
      </c>
      <c r="I619" s="28" t="s">
        <v>1838</v>
      </c>
      <c r="J619" s="28" t="s">
        <v>230</v>
      </c>
      <c r="K619" s="28" t="str">
        <f t="shared" si="15"/>
        <v>NóvitaChoco</v>
      </c>
      <c r="L619" s="28"/>
      <c r="M619" s="28"/>
      <c r="N619" s="28"/>
      <c r="O619" s="28"/>
      <c r="P619" s="28"/>
      <c r="Q619" s="28"/>
      <c r="R619" s="28"/>
      <c r="S619" s="28"/>
      <c r="T619" s="28"/>
      <c r="U619" s="41"/>
      <c r="V619" s="41"/>
      <c r="W619" s="41"/>
      <c r="X619" s="28"/>
      <c r="Y619" s="28"/>
      <c r="Z619" s="28"/>
      <c r="AA619" s="28"/>
      <c r="AB619" s="28"/>
      <c r="AC619" s="28"/>
      <c r="AD619" s="28"/>
    </row>
    <row r="620" spans="1:30" x14ac:dyDescent="0.35">
      <c r="A620" s="28" t="s">
        <v>1839</v>
      </c>
      <c r="B620" s="28" t="s">
        <v>1840</v>
      </c>
      <c r="C620" s="23">
        <v>17</v>
      </c>
      <c r="D620" s="23">
        <v>2952</v>
      </c>
      <c r="E620" s="30">
        <v>45149</v>
      </c>
      <c r="F620" s="95" t="s">
        <v>1801</v>
      </c>
      <c r="G620" s="23">
        <f>INDEX($C$2:$D$37,MATCH(RESOLUCIONES[[#This Row],[No. Canal]],$C$2:$C$37,0),2)</f>
        <v>491</v>
      </c>
      <c r="I620" s="28" t="s">
        <v>1841</v>
      </c>
      <c r="J620" s="28" t="s">
        <v>382</v>
      </c>
      <c r="K620" s="28" t="str">
        <f t="shared" si="15"/>
        <v>Nueva GranadaMagdalena</v>
      </c>
      <c r="L620" s="28"/>
      <c r="M620" s="28"/>
      <c r="N620" s="28"/>
      <c r="O620" s="28"/>
      <c r="P620" s="28"/>
      <c r="Q620" s="28"/>
      <c r="R620" s="28"/>
      <c r="S620" s="28"/>
      <c r="T620" s="28"/>
      <c r="U620" s="41"/>
      <c r="V620" s="41"/>
      <c r="W620" s="41"/>
      <c r="X620" s="28"/>
      <c r="Y620" s="28"/>
      <c r="Z620" s="28"/>
      <c r="AA620" s="28"/>
      <c r="AB620" s="28"/>
      <c r="AC620" s="28"/>
      <c r="AD620" s="28"/>
    </row>
    <row r="621" spans="1:30" x14ac:dyDescent="0.35">
      <c r="A621" s="97" t="s">
        <v>1842</v>
      </c>
      <c r="B621" s="97" t="s">
        <v>1843</v>
      </c>
      <c r="C621" s="23">
        <v>39</v>
      </c>
      <c r="D621" s="23">
        <v>2952</v>
      </c>
      <c r="E621" s="31">
        <v>45149</v>
      </c>
      <c r="F621" s="97" t="s">
        <v>1801</v>
      </c>
      <c r="G621" s="23">
        <f>INDEX($C$2:$D$37,MATCH(RESOLUCIONES[[#This Row],[No. Canal]],$C$2:$C$37,0),2)</f>
        <v>623</v>
      </c>
      <c r="I621" s="28" t="s">
        <v>1844</v>
      </c>
      <c r="J621" s="28" t="s">
        <v>274</v>
      </c>
      <c r="K621" s="28" t="str">
        <f t="shared" si="15"/>
        <v>Nuevo ColónBoyaca</v>
      </c>
      <c r="L621" s="28"/>
      <c r="M621" s="28"/>
      <c r="N621" s="28"/>
      <c r="O621" s="28"/>
      <c r="P621" s="28"/>
      <c r="Q621" s="28"/>
      <c r="R621" s="28"/>
      <c r="S621" s="28"/>
      <c r="T621" s="28"/>
      <c r="U621" s="41"/>
      <c r="V621" s="41"/>
      <c r="W621" s="41"/>
      <c r="X621" s="28"/>
      <c r="Y621" s="28"/>
      <c r="Z621" s="28"/>
      <c r="AA621" s="28"/>
      <c r="AB621" s="28"/>
      <c r="AC621" s="28"/>
      <c r="AD621" s="28"/>
    </row>
    <row r="622" spans="1:30" x14ac:dyDescent="0.35">
      <c r="A622" s="28" t="s">
        <v>1845</v>
      </c>
      <c r="B622" s="28" t="s">
        <v>1846</v>
      </c>
      <c r="C622" s="23">
        <v>32</v>
      </c>
      <c r="D622" s="23">
        <v>2952</v>
      </c>
      <c r="E622" s="30">
        <v>45149</v>
      </c>
      <c r="F622" s="95" t="s">
        <v>1801</v>
      </c>
      <c r="G622" s="23">
        <f>INDEX($C$2:$D$37,MATCH(RESOLUCIONES[[#This Row],[No. Canal]],$C$2:$C$37,0),2)</f>
        <v>581</v>
      </c>
      <c r="I622" s="28" t="s">
        <v>1847</v>
      </c>
      <c r="J622" s="28" t="s">
        <v>305</v>
      </c>
      <c r="K622" s="28" t="str">
        <f t="shared" si="15"/>
        <v>NunchíaCasanare</v>
      </c>
      <c r="L622" s="28"/>
      <c r="M622" s="28"/>
      <c r="N622" s="28"/>
      <c r="O622" s="28"/>
      <c r="P622" s="28"/>
      <c r="Q622" s="28"/>
      <c r="R622" s="28"/>
      <c r="S622" s="28"/>
      <c r="T622" s="28"/>
      <c r="U622" s="41"/>
      <c r="V622" s="41"/>
      <c r="W622" s="41"/>
      <c r="X622" s="28"/>
      <c r="Y622" s="28"/>
      <c r="Z622" s="28"/>
      <c r="AA622" s="28"/>
      <c r="AB622" s="28"/>
      <c r="AC622" s="28"/>
      <c r="AD622" s="28"/>
    </row>
    <row r="623" spans="1:30" x14ac:dyDescent="0.35">
      <c r="A623" s="28" t="s">
        <v>1848</v>
      </c>
      <c r="B623" s="28" t="s">
        <v>1849</v>
      </c>
      <c r="C623" s="23">
        <v>18</v>
      </c>
      <c r="D623" s="23">
        <v>2949</v>
      </c>
      <c r="E623" s="30">
        <v>45149</v>
      </c>
      <c r="F623" s="95" t="s">
        <v>1828</v>
      </c>
      <c r="G623" s="23">
        <f>INDEX($C$2:$D$37,MATCH(RESOLUCIONES[[#This Row],[No. Canal]],$C$2:$C$37,0),2)</f>
        <v>497</v>
      </c>
      <c r="I623" s="28" t="s">
        <v>1850</v>
      </c>
      <c r="J623" s="28" t="s">
        <v>230</v>
      </c>
      <c r="K623" s="28" t="str">
        <f t="shared" si="15"/>
        <v>NuquíChoco</v>
      </c>
      <c r="L623" s="28"/>
      <c r="M623" s="28"/>
      <c r="N623" s="28"/>
      <c r="O623" s="28"/>
      <c r="P623" s="28"/>
      <c r="Q623" s="28"/>
      <c r="R623" s="28"/>
      <c r="S623" s="28"/>
      <c r="T623" s="28"/>
      <c r="U623" s="41"/>
      <c r="V623" s="41"/>
      <c r="W623" s="41"/>
      <c r="X623" s="28"/>
      <c r="Y623" s="28"/>
      <c r="Z623" s="28"/>
      <c r="AA623" s="28"/>
      <c r="AB623" s="28"/>
      <c r="AC623" s="28"/>
      <c r="AD623" s="28"/>
    </row>
    <row r="624" spans="1:30" x14ac:dyDescent="0.35">
      <c r="A624" s="28" t="s">
        <v>1851</v>
      </c>
      <c r="B624" s="28" t="s">
        <v>1852</v>
      </c>
      <c r="C624" s="23">
        <v>20</v>
      </c>
      <c r="D624" s="23">
        <v>2948</v>
      </c>
      <c r="E624" s="30">
        <v>45149</v>
      </c>
      <c r="F624" s="28" t="s">
        <v>1824</v>
      </c>
      <c r="G624" s="23">
        <f>INDEX($C$2:$D$37,MATCH(RESOLUCIONES[[#This Row],[No. Canal]],$C$2:$C$37,0),2)</f>
        <v>509</v>
      </c>
      <c r="I624" s="28" t="s">
        <v>1853</v>
      </c>
      <c r="J624" s="28" t="s">
        <v>381</v>
      </c>
      <c r="K624" s="28" t="str">
        <f t="shared" si="15"/>
        <v>ObandoValle del Cauca</v>
      </c>
      <c r="L624" s="28"/>
      <c r="M624" s="28"/>
      <c r="N624" s="28"/>
      <c r="O624" s="28"/>
      <c r="P624" s="28"/>
      <c r="Q624" s="28"/>
      <c r="R624" s="28"/>
      <c r="S624" s="28"/>
      <c r="T624" s="28"/>
      <c r="U624" s="41"/>
      <c r="V624" s="41"/>
      <c r="W624" s="41"/>
      <c r="X624" s="28"/>
      <c r="Y624" s="28"/>
      <c r="Z624" s="28"/>
      <c r="AA624" s="28"/>
      <c r="AB624" s="28"/>
      <c r="AC624" s="28"/>
      <c r="AD624" s="28"/>
    </row>
    <row r="625" spans="1:30" x14ac:dyDescent="0.35">
      <c r="A625" s="28" t="s">
        <v>1854</v>
      </c>
      <c r="B625" s="28" t="s">
        <v>1855</v>
      </c>
      <c r="C625" s="23">
        <v>20</v>
      </c>
      <c r="D625" s="23">
        <v>2948</v>
      </c>
      <c r="E625" s="30">
        <v>45149</v>
      </c>
      <c r="F625" s="28" t="s">
        <v>1824</v>
      </c>
      <c r="G625" s="23">
        <f>INDEX($C$2:$D$37,MATCH(RESOLUCIONES[[#This Row],[No. Canal]],$C$2:$C$37,0),2)</f>
        <v>509</v>
      </c>
      <c r="I625" s="28" t="s">
        <v>1856</v>
      </c>
      <c r="J625" s="28" t="s">
        <v>304</v>
      </c>
      <c r="K625" s="28" t="str">
        <f t="shared" si="15"/>
        <v>OcamonteSantander</v>
      </c>
      <c r="L625" s="28"/>
      <c r="M625" s="28"/>
      <c r="N625" s="28"/>
      <c r="O625" s="28"/>
      <c r="P625" s="28"/>
      <c r="Q625" s="28"/>
      <c r="R625" s="28"/>
      <c r="S625" s="28"/>
      <c r="T625" s="28"/>
      <c r="U625" s="41"/>
      <c r="V625" s="41"/>
      <c r="W625" s="41"/>
      <c r="X625" s="28"/>
      <c r="Y625" s="28"/>
      <c r="Z625" s="28"/>
      <c r="AA625" s="28"/>
      <c r="AB625" s="28"/>
      <c r="AC625" s="28"/>
      <c r="AD625" s="28"/>
    </row>
    <row r="626" spans="1:30" x14ac:dyDescent="0.35">
      <c r="A626" s="28" t="s">
        <v>1857</v>
      </c>
      <c r="B626" s="28" t="s">
        <v>1858</v>
      </c>
      <c r="C626" s="23">
        <v>24</v>
      </c>
      <c r="D626" s="23">
        <v>2952</v>
      </c>
      <c r="E626" s="30">
        <v>45149</v>
      </c>
      <c r="F626" s="95" t="s">
        <v>1801</v>
      </c>
      <c r="G626" s="23">
        <f>INDEX($C$2:$D$37,MATCH(RESOLUCIONES[[#This Row],[No. Canal]],$C$2:$C$37,0),2)</f>
        <v>533</v>
      </c>
      <c r="I626" s="28" t="s">
        <v>1859</v>
      </c>
      <c r="J626" s="28" t="s">
        <v>190</v>
      </c>
      <c r="K626" s="28" t="str">
        <f t="shared" si="15"/>
        <v>OcañaNorte de Santander</v>
      </c>
      <c r="L626" s="28"/>
      <c r="M626" s="28"/>
      <c r="N626" s="28"/>
      <c r="O626" s="28"/>
      <c r="P626" s="28"/>
      <c r="Q626" s="28"/>
      <c r="R626" s="28"/>
      <c r="S626" s="28"/>
      <c r="T626" s="28"/>
      <c r="U626" s="41"/>
      <c r="V626" s="41"/>
      <c r="W626" s="41"/>
      <c r="X626" s="28"/>
      <c r="Y626" s="28"/>
      <c r="Z626" s="28"/>
      <c r="AA626" s="28"/>
      <c r="AB626" s="28"/>
      <c r="AC626" s="28"/>
      <c r="AD626" s="28"/>
    </row>
    <row r="627" spans="1:30" x14ac:dyDescent="0.35">
      <c r="A627" s="28" t="s">
        <v>1860</v>
      </c>
      <c r="B627" s="28" t="s">
        <v>1861</v>
      </c>
      <c r="C627" s="23">
        <v>17</v>
      </c>
      <c r="D627" s="23">
        <v>2952</v>
      </c>
      <c r="E627" s="30">
        <v>45149</v>
      </c>
      <c r="F627" s="95" t="s">
        <v>1801</v>
      </c>
      <c r="G627" s="23">
        <f>INDEX($C$2:$D$37,MATCH(RESOLUCIONES[[#This Row],[No. Canal]],$C$2:$C$37,0),2)</f>
        <v>491</v>
      </c>
      <c r="I627" s="28" t="s">
        <v>1862</v>
      </c>
      <c r="J627" s="28" t="s">
        <v>304</v>
      </c>
      <c r="K627" s="28" t="str">
        <f t="shared" si="15"/>
        <v>OibaSantander</v>
      </c>
      <c r="L627" s="28"/>
      <c r="M627" s="28"/>
      <c r="N627" s="28"/>
      <c r="O627" s="28"/>
      <c r="P627" s="28"/>
      <c r="Q627" s="28"/>
      <c r="R627" s="28"/>
      <c r="S627" s="28"/>
      <c r="T627" s="28"/>
      <c r="U627" s="41"/>
      <c r="V627" s="41"/>
      <c r="W627" s="41"/>
      <c r="X627" s="28"/>
      <c r="Y627" s="28"/>
      <c r="Z627" s="28"/>
      <c r="AA627" s="28"/>
      <c r="AB627" s="28"/>
      <c r="AC627" s="28"/>
      <c r="AD627" s="28"/>
    </row>
    <row r="628" spans="1:30" x14ac:dyDescent="0.35">
      <c r="A628" s="28" t="s">
        <v>1863</v>
      </c>
      <c r="B628" s="28" t="s">
        <v>1864</v>
      </c>
      <c r="C628" s="23">
        <v>17</v>
      </c>
      <c r="D628" s="23">
        <v>2952</v>
      </c>
      <c r="E628" s="30">
        <v>45149</v>
      </c>
      <c r="F628" s="95" t="s">
        <v>1801</v>
      </c>
      <c r="G628" s="23">
        <f>INDEX($C$2:$D$37,MATCH(RESOLUCIONES[[#This Row],[No. Canal]],$C$2:$C$37,0),2)</f>
        <v>491</v>
      </c>
      <c r="I628" s="28" t="s">
        <v>1865</v>
      </c>
      <c r="J628" s="28" t="s">
        <v>274</v>
      </c>
      <c r="K628" s="28" t="str">
        <f t="shared" si="15"/>
        <v>OicatáBoyaca</v>
      </c>
      <c r="L628" s="28"/>
      <c r="M628" s="28"/>
      <c r="N628" s="28"/>
      <c r="O628" s="28"/>
      <c r="P628" s="28"/>
      <c r="Q628" s="28"/>
      <c r="R628" s="28"/>
      <c r="S628" s="28"/>
      <c r="T628" s="28"/>
      <c r="U628" s="41"/>
      <c r="V628" s="41"/>
      <c r="W628" s="41"/>
      <c r="X628" s="28"/>
      <c r="Y628" s="28"/>
      <c r="Z628" s="28"/>
      <c r="AA628" s="28"/>
      <c r="AB628" s="28"/>
      <c r="AC628" s="28"/>
      <c r="AD628" s="28"/>
    </row>
    <row r="629" spans="1:30" x14ac:dyDescent="0.35">
      <c r="A629" s="28" t="s">
        <v>1866</v>
      </c>
      <c r="B629" s="28" t="s">
        <v>1867</v>
      </c>
      <c r="C629" s="23">
        <v>39</v>
      </c>
      <c r="D629" s="23">
        <v>2952</v>
      </c>
      <c r="E629" s="30">
        <v>45149</v>
      </c>
      <c r="F629" s="95" t="s">
        <v>1801</v>
      </c>
      <c r="G629" s="23">
        <f>INDEX($C$2:$D$37,MATCH(RESOLUCIONES[[#This Row],[No. Canal]],$C$2:$C$37,0),2)</f>
        <v>623</v>
      </c>
      <c r="I629" s="28" t="s">
        <v>1868</v>
      </c>
      <c r="J629" s="28" t="s">
        <v>154</v>
      </c>
      <c r="K629" s="28" t="str">
        <f t="shared" si="15"/>
        <v>OlayaAntioquia</v>
      </c>
      <c r="L629" s="28"/>
      <c r="M629" s="28"/>
      <c r="N629" s="28"/>
      <c r="O629" s="28"/>
      <c r="P629" s="28"/>
      <c r="Q629" s="28"/>
      <c r="R629" s="28"/>
      <c r="S629" s="28"/>
      <c r="T629" s="28"/>
      <c r="U629" s="41"/>
      <c r="V629" s="41"/>
      <c r="W629" s="41"/>
      <c r="X629" s="28"/>
      <c r="Y629" s="28"/>
      <c r="Z629" s="28"/>
      <c r="AA629" s="28"/>
      <c r="AB629" s="28"/>
      <c r="AC629" s="28"/>
      <c r="AD629" s="28"/>
    </row>
    <row r="630" spans="1:30" x14ac:dyDescent="0.35">
      <c r="A630" s="28" t="s">
        <v>708</v>
      </c>
      <c r="B630" s="28" t="s">
        <v>1869</v>
      </c>
      <c r="C630" s="23">
        <v>22</v>
      </c>
      <c r="D630" s="98" t="s">
        <v>1870</v>
      </c>
      <c r="E630" s="99" t="s">
        <v>1870</v>
      </c>
      <c r="F630" s="28" t="str">
        <f>"Resolución No. "&amp;RESOLUCIONES[[#This Row],[No. Resolución]]&amp;" del "&amp;RESOLUCIONES[[#This Row],[Fecha Resolución]]</f>
        <v>Resolución No. PENDIENTE del PENDIENTE</v>
      </c>
      <c r="G630" s="23">
        <f>INDEX($C$2:$D$37,MATCH(RESOLUCIONES[[#This Row],[No. Canal]],$C$2:$C$37,0),2)</f>
        <v>521</v>
      </c>
      <c r="I630" s="28" t="s">
        <v>1871</v>
      </c>
      <c r="J630" s="28" t="s">
        <v>352</v>
      </c>
      <c r="K630" s="28" t="str">
        <f t="shared" si="15"/>
        <v>Olaya HerreraNariño</v>
      </c>
      <c r="L630" s="28"/>
      <c r="M630" s="28"/>
      <c r="N630" s="28"/>
      <c r="O630" s="28"/>
      <c r="P630" s="28"/>
      <c r="Q630" s="28"/>
      <c r="R630" s="28"/>
      <c r="S630" s="28"/>
      <c r="T630" s="28"/>
      <c r="U630" s="41"/>
      <c r="V630" s="41"/>
      <c r="W630" s="41"/>
      <c r="X630" s="28"/>
      <c r="Y630" s="28"/>
      <c r="Z630" s="28"/>
      <c r="AA630" s="28"/>
      <c r="AB630" s="28"/>
      <c r="AC630" s="28"/>
      <c r="AD630" s="28"/>
    </row>
    <row r="631" spans="1:30" x14ac:dyDescent="0.35">
      <c r="A631" s="28" t="s">
        <v>454</v>
      </c>
      <c r="B631" s="28" t="s">
        <v>1872</v>
      </c>
      <c r="C631" s="23">
        <v>23</v>
      </c>
      <c r="D631" s="23">
        <v>1586</v>
      </c>
      <c r="E631" s="38" t="s">
        <v>1873</v>
      </c>
      <c r="F631" s="28" t="str">
        <f>"Resolución No. "&amp;RESOLUCIONES[[#This Row],[No. Resolución]]&amp;" del "&amp;RESOLUCIONES[[#This Row],[Fecha Resolución]]</f>
        <v>Resolución No. 1586 del 13 de mayo de 2022</v>
      </c>
      <c r="G631" s="23">
        <f>INDEX($C$2:$D$37,MATCH(RESOLUCIONES[[#This Row],[No. Canal]],$C$2:$C$37,0),2)</f>
        <v>527</v>
      </c>
      <c r="I631" s="28" t="s">
        <v>1874</v>
      </c>
      <c r="J631" s="28" t="s">
        <v>304</v>
      </c>
      <c r="K631" s="28" t="str">
        <f t="shared" si="15"/>
        <v>OnzagaSantander</v>
      </c>
      <c r="L631" s="28"/>
      <c r="M631" s="28"/>
      <c r="N631" s="28"/>
      <c r="O631" s="28"/>
      <c r="P631" s="28"/>
      <c r="Q631" s="28"/>
      <c r="R631" s="28"/>
      <c r="S631" s="28"/>
      <c r="T631" s="28"/>
      <c r="U631" s="41"/>
      <c r="V631" s="41"/>
      <c r="W631" s="41"/>
      <c r="X631" s="28"/>
      <c r="Y631" s="28"/>
      <c r="Z631" s="28"/>
      <c r="AA631" s="28"/>
      <c r="AB631" s="28"/>
      <c r="AC631" s="28"/>
      <c r="AD631" s="28"/>
    </row>
    <row r="632" spans="1:30" x14ac:dyDescent="0.35">
      <c r="A632" s="28" t="s">
        <v>486</v>
      </c>
      <c r="B632" s="28" t="s">
        <v>1875</v>
      </c>
      <c r="C632" s="23">
        <v>44</v>
      </c>
      <c r="D632" s="23">
        <v>1589</v>
      </c>
      <c r="E632" s="38" t="s">
        <v>1873</v>
      </c>
      <c r="F632" s="28" t="str">
        <f>"Resolución No. "&amp;RESOLUCIONES[[#This Row],[No. Resolución]]&amp;" del "&amp;RESOLUCIONES[[#This Row],[Fecha Resolución]]</f>
        <v>Resolución No. 1589 del 13 de mayo de 2022</v>
      </c>
      <c r="G632" s="23">
        <f>INDEX($C$2:$D$37,MATCH(RESOLUCIONES[[#This Row],[No. Canal]],$C$2:$C$37,0),2)</f>
        <v>653</v>
      </c>
      <c r="I632" s="28" t="s">
        <v>1876</v>
      </c>
      <c r="J632" s="28" t="s">
        <v>245</v>
      </c>
      <c r="K632" s="28" t="str">
        <f t="shared" si="15"/>
        <v>OporapaHuila</v>
      </c>
      <c r="L632" s="28"/>
      <c r="M632" s="28"/>
      <c r="N632" s="28"/>
      <c r="O632" s="28"/>
      <c r="P632" s="28"/>
      <c r="Q632" s="28"/>
      <c r="R632" s="28"/>
      <c r="S632" s="28"/>
      <c r="T632" s="28"/>
      <c r="U632" s="41"/>
      <c r="V632" s="41"/>
      <c r="W632" s="41"/>
      <c r="X632" s="28"/>
      <c r="Y632" s="28"/>
      <c r="Z632" s="28"/>
      <c r="AA632" s="28"/>
      <c r="AB632" s="28"/>
      <c r="AC632" s="28"/>
      <c r="AD632" s="28"/>
    </row>
    <row r="633" spans="1:30" x14ac:dyDescent="0.35">
      <c r="A633" s="28" t="s">
        <v>562</v>
      </c>
      <c r="B633" s="28" t="s">
        <v>1877</v>
      </c>
      <c r="C633" s="23">
        <v>17</v>
      </c>
      <c r="D633" s="23">
        <v>1973</v>
      </c>
      <c r="E633" s="38" t="s">
        <v>1613</v>
      </c>
      <c r="F633" s="28" t="str">
        <f>"Resolución No. "&amp;RESOLUCIONES[[#This Row],[No. Resolución]]&amp;" del "&amp;RESOLUCIONES[[#This Row],[Fecha Resolución]]</f>
        <v>Resolución No. 1973 del 06 de junio de 2022</v>
      </c>
      <c r="G633" s="23">
        <f>INDEX($C$2:$D$37,MATCH(RESOLUCIONES[[#This Row],[No. Canal]],$C$2:$C$37,0),2)</f>
        <v>491</v>
      </c>
      <c r="I633" s="28" t="s">
        <v>1878</v>
      </c>
      <c r="J633" s="28" t="s">
        <v>396</v>
      </c>
      <c r="K633" s="28" t="str">
        <f t="shared" si="15"/>
        <v>OritoPutumayo</v>
      </c>
      <c r="L633" s="28"/>
      <c r="M633" s="28"/>
      <c r="N633" s="28"/>
      <c r="O633" s="28"/>
      <c r="P633" s="28"/>
      <c r="Q633" s="28"/>
      <c r="R633" s="28"/>
      <c r="S633" s="28"/>
      <c r="T633" s="28"/>
      <c r="U633" s="41"/>
      <c r="V633" s="41"/>
      <c r="W633" s="41"/>
      <c r="X633" s="28"/>
      <c r="Y633" s="28"/>
      <c r="Z633" s="28"/>
      <c r="AA633" s="28"/>
      <c r="AB633" s="28"/>
      <c r="AC633" s="28"/>
      <c r="AD633" s="28"/>
    </row>
    <row r="634" spans="1:30" x14ac:dyDescent="0.35">
      <c r="A634" s="28" t="s">
        <v>579</v>
      </c>
      <c r="B634" s="28" t="s">
        <v>1879</v>
      </c>
      <c r="C634" s="23">
        <v>25</v>
      </c>
      <c r="D634" s="23">
        <v>1972</v>
      </c>
      <c r="E634" s="30" t="s">
        <v>1613</v>
      </c>
      <c r="F634" s="28" t="str">
        <f>"Resolución No. "&amp;RESOLUCIONES[[#This Row],[No. Resolución]]&amp;" del "&amp;RESOLUCIONES[[#This Row],[Fecha Resolución]]</f>
        <v>Resolución No. 1972 del 06 de junio de 2022</v>
      </c>
      <c r="G634" s="23">
        <f>INDEX($C$2:$D$37,MATCH(RESOLUCIONES[[#This Row],[No. Canal]],$C$2:$C$37,0),2)</f>
        <v>539</v>
      </c>
      <c r="I634" s="28" t="s">
        <v>1880</v>
      </c>
      <c r="J634" s="28" t="s">
        <v>305</v>
      </c>
      <c r="K634" s="28" t="str">
        <f t="shared" si="15"/>
        <v>OrocuéCasanare</v>
      </c>
      <c r="L634" s="28"/>
      <c r="M634" s="28"/>
      <c r="N634" s="28"/>
      <c r="O634" s="28"/>
      <c r="P634" s="28"/>
      <c r="Q634" s="28"/>
      <c r="R634" s="28"/>
      <c r="S634" s="28"/>
      <c r="T634" s="28"/>
      <c r="U634" s="41"/>
      <c r="V634" s="41"/>
      <c r="W634" s="41"/>
      <c r="X634" s="28"/>
      <c r="Y634" s="28"/>
      <c r="Z634" s="28"/>
      <c r="AA634" s="28"/>
      <c r="AB634" s="28"/>
      <c r="AC634" s="28"/>
      <c r="AD634" s="28"/>
    </row>
    <row r="635" spans="1:30" x14ac:dyDescent="0.35">
      <c r="A635" s="28" t="s">
        <v>686</v>
      </c>
      <c r="B635" s="28" t="s">
        <v>1881</v>
      </c>
      <c r="C635" s="23">
        <v>17</v>
      </c>
      <c r="D635" s="23">
        <v>1503</v>
      </c>
      <c r="E635" s="30" t="s">
        <v>1882</v>
      </c>
      <c r="F635" s="28" t="str">
        <f>"Resolución No. "&amp;RESOLUCIONES[[#This Row],[No. Resolución]]&amp;" del "&amp;RESOLUCIONES[[#This Row],[Fecha Resolución]]</f>
        <v>Resolución No. 1503 del 10 de mayo de 2022</v>
      </c>
      <c r="G635" s="23">
        <f>INDEX($C$2:$D$37,MATCH(RESOLUCIONES[[#This Row],[No. Canal]],$C$2:$C$37,0),2)</f>
        <v>491</v>
      </c>
      <c r="I635" s="28" t="s">
        <v>1883</v>
      </c>
      <c r="J635" s="28" t="s">
        <v>409</v>
      </c>
      <c r="K635" s="28" t="str">
        <f t="shared" si="15"/>
        <v>OrtegaTolima</v>
      </c>
      <c r="L635" s="28"/>
      <c r="M635" s="28"/>
      <c r="N635" s="28"/>
      <c r="O635" s="28"/>
      <c r="P635" s="28"/>
      <c r="Q635" s="28"/>
      <c r="R635" s="28"/>
      <c r="S635" s="28"/>
      <c r="T635" s="28"/>
      <c r="U635" s="41"/>
      <c r="V635" s="41"/>
      <c r="W635" s="41"/>
      <c r="X635" s="28"/>
      <c r="Y635" s="28"/>
      <c r="Z635" s="28"/>
      <c r="AA635" s="28"/>
      <c r="AB635" s="28"/>
      <c r="AC635" s="28"/>
      <c r="AD635" s="28"/>
    </row>
    <row r="636" spans="1:30" x14ac:dyDescent="0.35">
      <c r="A636" s="28" t="s">
        <v>817</v>
      </c>
      <c r="B636" s="28" t="s">
        <v>1884</v>
      </c>
      <c r="C636" s="23">
        <v>18</v>
      </c>
      <c r="D636" s="23">
        <v>1972</v>
      </c>
      <c r="E636" s="30" t="s">
        <v>1613</v>
      </c>
      <c r="F636" s="28" t="str">
        <f>"Resolución No. "&amp;RESOLUCIONES[[#This Row],[No. Resolución]]&amp;" del "&amp;RESOLUCIONES[[#This Row],[Fecha Resolución]]</f>
        <v>Resolución No. 1972 del 06 de junio de 2022</v>
      </c>
      <c r="G636" s="23">
        <f>INDEX($C$2:$D$37,MATCH(RESOLUCIONES[[#This Row],[No. Canal]],$C$2:$C$37,0),2)</f>
        <v>497</v>
      </c>
      <c r="I636" s="28" t="s">
        <v>1885</v>
      </c>
      <c r="J636" s="28" t="s">
        <v>352</v>
      </c>
      <c r="K636" s="28" t="str">
        <f t="shared" si="15"/>
        <v>OspinaNariño</v>
      </c>
      <c r="L636" s="28"/>
      <c r="M636" s="28"/>
      <c r="N636" s="28"/>
      <c r="O636" s="28"/>
      <c r="P636" s="28"/>
      <c r="Q636" s="28"/>
      <c r="R636" s="28"/>
      <c r="S636" s="28"/>
      <c r="T636" s="28"/>
      <c r="U636" s="41"/>
      <c r="V636" s="41"/>
      <c r="W636" s="41"/>
      <c r="X636" s="28"/>
      <c r="Y636" s="28"/>
      <c r="Z636" s="28"/>
      <c r="AA636" s="28"/>
      <c r="AB636" s="28"/>
      <c r="AC636" s="28"/>
      <c r="AD636" s="28"/>
    </row>
    <row r="637" spans="1:30" x14ac:dyDescent="0.35">
      <c r="A637" s="28" t="s">
        <v>850</v>
      </c>
      <c r="B637" s="28" t="s">
        <v>1886</v>
      </c>
      <c r="C637" s="23">
        <v>17</v>
      </c>
      <c r="D637" s="23">
        <v>1982</v>
      </c>
      <c r="E637" s="38" t="s">
        <v>1705</v>
      </c>
      <c r="F637" s="28" t="str">
        <f>"Resolución No. "&amp;RESOLUCIONES[[#This Row],[No. Resolución]]&amp;" del "&amp;RESOLUCIONES[[#This Row],[Fecha Resolución]]</f>
        <v>Resolución No. 1982 del 07 de junio de 2022</v>
      </c>
      <c r="G637" s="23">
        <f>INDEX($C$2:$D$37,MATCH(RESOLUCIONES[[#This Row],[No. Canal]],$C$2:$C$37,0),2)</f>
        <v>491</v>
      </c>
      <c r="I637" s="28" t="s">
        <v>1887</v>
      </c>
      <c r="J637" s="28" t="s">
        <v>274</v>
      </c>
      <c r="K637" s="28" t="str">
        <f t="shared" si="15"/>
        <v>OtancheBoyaca</v>
      </c>
      <c r="L637" s="28"/>
      <c r="M637" s="28"/>
      <c r="N637" s="28"/>
      <c r="O637" s="28"/>
      <c r="P637" s="28"/>
      <c r="Q637" s="28"/>
      <c r="R637" s="28"/>
      <c r="S637" s="28"/>
      <c r="T637" s="28"/>
      <c r="U637" s="41"/>
      <c r="V637" s="41"/>
      <c r="W637" s="41"/>
      <c r="X637" s="28"/>
      <c r="Y637" s="28"/>
      <c r="Z637" s="28"/>
      <c r="AA637" s="28"/>
      <c r="AB637" s="28"/>
      <c r="AC637" s="28"/>
      <c r="AD637" s="28"/>
    </row>
    <row r="638" spans="1:30" x14ac:dyDescent="0.35">
      <c r="A638" s="28" t="s">
        <v>913</v>
      </c>
      <c r="B638" s="28" t="s">
        <v>1888</v>
      </c>
      <c r="C638" s="23">
        <v>17</v>
      </c>
      <c r="D638" s="23">
        <v>1973</v>
      </c>
      <c r="E638" s="38" t="s">
        <v>1613</v>
      </c>
      <c r="F638" s="28" t="str">
        <f>"Resolución No. "&amp;RESOLUCIONES[[#This Row],[No. Resolución]]&amp;" del "&amp;RESOLUCIONES[[#This Row],[Fecha Resolución]]</f>
        <v>Resolución No. 1973 del 06 de junio de 2022</v>
      </c>
      <c r="G638" s="23">
        <f>INDEX($C$2:$D$37,MATCH(RESOLUCIONES[[#This Row],[No. Canal]],$C$2:$C$37,0),2)</f>
        <v>491</v>
      </c>
      <c r="I638" s="28" t="s">
        <v>1889</v>
      </c>
      <c r="J638" s="28" t="s">
        <v>413</v>
      </c>
      <c r="K638" s="28" t="str">
        <f t="shared" si="15"/>
        <v>OvejasSucre</v>
      </c>
      <c r="L638" s="28"/>
      <c r="M638" s="28"/>
      <c r="N638" s="28"/>
      <c r="O638" s="28"/>
      <c r="P638" s="28"/>
      <c r="Q638" s="28"/>
      <c r="R638" s="28"/>
      <c r="S638" s="28"/>
      <c r="T638" s="28"/>
      <c r="U638" s="41"/>
      <c r="V638" s="41"/>
      <c r="W638" s="41"/>
      <c r="X638" s="28"/>
      <c r="Y638" s="28"/>
      <c r="Z638" s="28"/>
      <c r="AA638" s="28"/>
      <c r="AB638" s="28"/>
      <c r="AC638" s="28"/>
      <c r="AD638" s="28"/>
    </row>
    <row r="639" spans="1:30" x14ac:dyDescent="0.35">
      <c r="A639" s="28" t="s">
        <v>977</v>
      </c>
      <c r="B639" s="28" t="s">
        <v>1890</v>
      </c>
      <c r="C639" s="23">
        <v>35</v>
      </c>
      <c r="D639" s="23">
        <v>1582</v>
      </c>
      <c r="E639" s="38" t="s">
        <v>1873</v>
      </c>
      <c r="F639" s="28" t="str">
        <f>"Resolución No. "&amp;RESOLUCIONES[[#This Row],[No. Resolución]]&amp;" del "&amp;RESOLUCIONES[[#This Row],[Fecha Resolución]]</f>
        <v>Resolución No. 1582 del 13 de mayo de 2022</v>
      </c>
      <c r="G639" s="23">
        <f>INDEX($C$2:$D$37,MATCH(RESOLUCIONES[[#This Row],[No. Canal]],$C$2:$C$37,0),2)</f>
        <v>599</v>
      </c>
      <c r="I639" s="28" t="s">
        <v>1891</v>
      </c>
      <c r="J639" s="28" t="s">
        <v>274</v>
      </c>
      <c r="K639" s="28" t="str">
        <f t="shared" si="15"/>
        <v>PachavitaBoyaca</v>
      </c>
      <c r="L639" s="28"/>
      <c r="M639" s="28"/>
      <c r="N639" s="28"/>
      <c r="O639" s="28"/>
      <c r="P639" s="28"/>
      <c r="Q639" s="28"/>
      <c r="R639" s="28"/>
      <c r="S639" s="28"/>
      <c r="T639" s="28"/>
      <c r="U639" s="41"/>
      <c r="V639" s="41"/>
      <c r="W639" s="41"/>
      <c r="X639" s="28"/>
      <c r="Y639" s="28"/>
      <c r="Z639" s="28"/>
      <c r="AA639" s="28"/>
      <c r="AB639" s="28"/>
      <c r="AC639" s="28"/>
      <c r="AD639" s="28"/>
    </row>
    <row r="640" spans="1:30" x14ac:dyDescent="0.35">
      <c r="A640" s="28" t="s">
        <v>1043</v>
      </c>
      <c r="B640" s="28" t="s">
        <v>1892</v>
      </c>
      <c r="C640" s="23">
        <v>17</v>
      </c>
      <c r="D640" s="23">
        <v>1982</v>
      </c>
      <c r="E640" s="38" t="s">
        <v>1705</v>
      </c>
      <c r="F640" s="28" t="str">
        <f>"Resolución No. "&amp;RESOLUCIONES[[#This Row],[No. Resolución]]&amp;" del "&amp;RESOLUCIONES[[#This Row],[Fecha Resolución]]</f>
        <v>Resolución No. 1982 del 07 de junio de 2022</v>
      </c>
      <c r="G640" s="23">
        <f>INDEX($C$2:$D$37,MATCH(RESOLUCIONES[[#This Row],[No. Canal]],$C$2:$C$37,0),2)</f>
        <v>491</v>
      </c>
      <c r="I640" s="28" t="s">
        <v>1893</v>
      </c>
      <c r="J640" s="28" t="s">
        <v>283</v>
      </c>
      <c r="K640" s="28" t="str">
        <f t="shared" si="15"/>
        <v>PachoCundinamarca</v>
      </c>
      <c r="L640" s="28"/>
      <c r="M640" s="28"/>
      <c r="N640" s="28"/>
      <c r="O640" s="28"/>
      <c r="P640" s="28"/>
      <c r="Q640" s="28"/>
      <c r="R640" s="28"/>
      <c r="S640" s="28"/>
      <c r="T640" s="28"/>
      <c r="U640" s="41"/>
      <c r="V640" s="41"/>
      <c r="W640" s="41"/>
      <c r="X640" s="28"/>
      <c r="Y640" s="28"/>
      <c r="Z640" s="28"/>
      <c r="AA640" s="28"/>
      <c r="AB640" s="28"/>
      <c r="AC640" s="28"/>
      <c r="AD640" s="28"/>
    </row>
    <row r="641" spans="1:30" x14ac:dyDescent="0.35">
      <c r="A641" s="28" t="s">
        <v>1073</v>
      </c>
      <c r="B641" s="28" t="s">
        <v>1894</v>
      </c>
      <c r="C641" s="23">
        <v>17</v>
      </c>
      <c r="D641" s="23">
        <v>1582</v>
      </c>
      <c r="E641" s="38" t="s">
        <v>1873</v>
      </c>
      <c r="F641" s="28" t="str">
        <f>"Resolución No. "&amp;RESOLUCIONES[[#This Row],[No. Resolución]]&amp;" del "&amp;RESOLUCIONES[[#This Row],[Fecha Resolución]]</f>
        <v>Resolución No. 1582 del 13 de mayo de 2022</v>
      </c>
      <c r="G641" s="23">
        <f>INDEX($C$2:$D$37,MATCH(RESOLUCIONES[[#This Row],[No. Canal]],$C$2:$C$37,0),2)</f>
        <v>491</v>
      </c>
      <c r="I641" s="28" t="s">
        <v>1895</v>
      </c>
      <c r="J641" s="28" t="s">
        <v>424</v>
      </c>
      <c r="K641" s="28" t="str">
        <f t="shared" ref="K641:K704" si="16">_xlfn.CONCAT(TRIM(I641),TRIM(J641))</f>
        <v>PacoaVaupes</v>
      </c>
      <c r="L641" s="28"/>
      <c r="M641" s="28"/>
      <c r="N641" s="28"/>
      <c r="O641" s="28"/>
      <c r="P641" s="28"/>
      <c r="Q641" s="28"/>
      <c r="R641" s="28"/>
      <c r="S641" s="28"/>
      <c r="T641" s="28"/>
      <c r="U641" s="41"/>
      <c r="V641" s="41"/>
      <c r="W641" s="41"/>
      <c r="X641" s="28"/>
      <c r="Y641" s="28"/>
      <c r="Z641" s="28"/>
      <c r="AA641" s="28"/>
      <c r="AB641" s="28"/>
      <c r="AC641" s="28"/>
      <c r="AD641" s="28"/>
    </row>
    <row r="642" spans="1:30" x14ac:dyDescent="0.35">
      <c r="A642" s="28" t="s">
        <v>579</v>
      </c>
      <c r="B642" s="28" t="s">
        <v>1896</v>
      </c>
      <c r="C642" s="23">
        <v>17</v>
      </c>
      <c r="D642" s="23">
        <v>1582</v>
      </c>
      <c r="E642" s="38" t="s">
        <v>1873</v>
      </c>
      <c r="F642" s="28" t="str">
        <f>"Resolución No. "&amp;RESOLUCIONES[[#This Row],[No. Resolución]]&amp;" del "&amp;RESOLUCIONES[[#This Row],[Fecha Resolución]]</f>
        <v>Resolución No. 1582 del 13 de mayo de 2022</v>
      </c>
      <c r="G642" s="23">
        <f>INDEX($C$2:$D$37,MATCH(RESOLUCIONES[[#This Row],[No. Canal]],$C$2:$C$37,0),2)</f>
        <v>491</v>
      </c>
      <c r="I642" s="28" t="s">
        <v>1897</v>
      </c>
      <c r="J642" s="28" t="s">
        <v>284</v>
      </c>
      <c r="K642" s="28" t="str">
        <f t="shared" si="16"/>
        <v>PácoraCaldas</v>
      </c>
      <c r="L642" s="28"/>
      <c r="M642" s="28"/>
      <c r="N642" s="28"/>
      <c r="O642" s="28"/>
      <c r="P642" s="28"/>
      <c r="Q642" s="28"/>
      <c r="R642" s="28"/>
      <c r="S642" s="28"/>
      <c r="T642" s="28"/>
      <c r="U642" s="41"/>
      <c r="V642" s="41"/>
      <c r="W642" s="41"/>
      <c r="X642" s="28"/>
      <c r="Y642" s="28"/>
      <c r="Z642" s="28"/>
      <c r="AA642" s="28"/>
      <c r="AB642" s="28"/>
      <c r="AC642" s="28"/>
      <c r="AD642" s="28"/>
    </row>
    <row r="643" spans="1:30" x14ac:dyDescent="0.35">
      <c r="A643" s="28" t="s">
        <v>708</v>
      </c>
      <c r="B643" s="28" t="s">
        <v>1898</v>
      </c>
      <c r="C643" s="23">
        <v>23</v>
      </c>
      <c r="D643" s="98" t="s">
        <v>1870</v>
      </c>
      <c r="E643" s="99" t="s">
        <v>1870</v>
      </c>
      <c r="F643" s="28" t="str">
        <f>"Resolución No. "&amp;RESOLUCIONES[[#This Row],[No. Resolución]]&amp;" del "&amp;RESOLUCIONES[[#This Row],[Fecha Resolución]]</f>
        <v>Resolución No. PENDIENTE del PENDIENTE</v>
      </c>
      <c r="G643" s="23">
        <f>INDEX($C$2:$D$37,MATCH(RESOLUCIONES[[#This Row],[No. Canal]],$C$2:$C$37,0),2)</f>
        <v>527</v>
      </c>
      <c r="I643" s="28" t="s">
        <v>1899</v>
      </c>
      <c r="J643" s="28" t="s">
        <v>315</v>
      </c>
      <c r="K643" s="28" t="str">
        <f t="shared" si="16"/>
        <v>PadillaCauca</v>
      </c>
      <c r="L643" s="28"/>
      <c r="M643" s="28"/>
      <c r="N643" s="28"/>
      <c r="O643" s="28"/>
      <c r="P643" s="28"/>
      <c r="Q643" s="28"/>
      <c r="R643" s="28"/>
      <c r="S643" s="28"/>
      <c r="T643" s="28"/>
      <c r="U643" s="41"/>
      <c r="V643" s="41"/>
      <c r="W643" s="41"/>
      <c r="X643" s="28"/>
      <c r="Y643" s="28"/>
      <c r="Z643" s="28"/>
      <c r="AA643" s="28"/>
      <c r="AB643" s="28"/>
      <c r="AC643" s="28"/>
      <c r="AD643" s="28"/>
    </row>
    <row r="644" spans="1:30" x14ac:dyDescent="0.35">
      <c r="A644" s="28" t="s">
        <v>1900</v>
      </c>
      <c r="B644" s="28" t="s">
        <v>1901</v>
      </c>
      <c r="C644" s="23">
        <v>44</v>
      </c>
      <c r="D644" s="23">
        <v>2950</v>
      </c>
      <c r="E644" s="96">
        <v>45149</v>
      </c>
      <c r="F644" s="97" t="s">
        <v>1811</v>
      </c>
      <c r="G644" s="23">
        <f>INDEX($C$2:$D$37,MATCH(RESOLUCIONES[[#This Row],[No. Canal]],$C$2:$C$37,0),2)</f>
        <v>653</v>
      </c>
      <c r="I644" s="28" t="s">
        <v>1902</v>
      </c>
      <c r="J644" s="28" t="s">
        <v>315</v>
      </c>
      <c r="K644" s="28" t="str">
        <f t="shared" si="16"/>
        <v>PaezCauca</v>
      </c>
      <c r="L644" s="28"/>
      <c r="M644" s="28"/>
      <c r="N644" s="28"/>
      <c r="O644" s="28"/>
      <c r="P644" s="28"/>
      <c r="Q644" s="28"/>
      <c r="R644" s="28"/>
      <c r="S644" s="28"/>
      <c r="T644" s="28"/>
      <c r="U644" s="41"/>
      <c r="V644" s="41"/>
      <c r="W644" s="41"/>
      <c r="X644" s="28"/>
      <c r="Y644" s="28"/>
      <c r="Z644" s="28"/>
      <c r="AA644" s="28"/>
      <c r="AB644" s="28"/>
      <c r="AC644" s="28"/>
      <c r="AD644" s="28"/>
    </row>
    <row r="645" spans="1:30" x14ac:dyDescent="0.35">
      <c r="I645" s="28" t="s">
        <v>1903</v>
      </c>
      <c r="J645" s="28" t="s">
        <v>274</v>
      </c>
      <c r="K645" s="28" t="str">
        <f t="shared" si="16"/>
        <v>PáezBoyaca</v>
      </c>
      <c r="L645" s="28"/>
      <c r="M645" s="28"/>
      <c r="N645" s="28"/>
      <c r="O645" s="28"/>
      <c r="P645" s="28"/>
      <c r="Q645" s="28"/>
      <c r="R645" s="28"/>
      <c r="S645" s="28"/>
      <c r="T645" s="28"/>
      <c r="U645" s="41"/>
      <c r="V645" s="41"/>
      <c r="W645" s="41"/>
      <c r="X645" s="28"/>
      <c r="Y645" s="28"/>
      <c r="Z645" s="28"/>
      <c r="AA645" s="28"/>
      <c r="AB645" s="28"/>
      <c r="AC645" s="28"/>
      <c r="AD645" s="28"/>
    </row>
    <row r="646" spans="1:30" x14ac:dyDescent="0.35">
      <c r="I646" s="28" t="s">
        <v>1904</v>
      </c>
      <c r="J646" s="28" t="s">
        <v>245</v>
      </c>
      <c r="K646" s="28" t="str">
        <f t="shared" si="16"/>
        <v>PaicolHuila</v>
      </c>
      <c r="L646" s="28"/>
      <c r="M646" s="28"/>
      <c r="N646" s="28"/>
      <c r="O646" s="28"/>
      <c r="P646" s="28"/>
      <c r="Q646" s="28"/>
      <c r="R646" s="28"/>
      <c r="S646" s="28"/>
      <c r="T646" s="28"/>
      <c r="U646" s="41"/>
      <c r="V646" s="41"/>
      <c r="W646" s="41"/>
      <c r="X646" s="28"/>
      <c r="Y646" s="28"/>
      <c r="Z646" s="28"/>
      <c r="AA646" s="28"/>
      <c r="AB646" s="28"/>
      <c r="AC646" s="28"/>
      <c r="AD646" s="28"/>
    </row>
    <row r="647" spans="1:30" x14ac:dyDescent="0.35">
      <c r="I647" s="28" t="s">
        <v>1905</v>
      </c>
      <c r="J647" s="28" t="s">
        <v>293</v>
      </c>
      <c r="K647" s="28" t="str">
        <f t="shared" si="16"/>
        <v>PailitasCesar</v>
      </c>
      <c r="L647" s="28"/>
      <c r="M647" s="28"/>
      <c r="N647" s="28"/>
      <c r="O647" s="28"/>
      <c r="P647" s="28"/>
      <c r="Q647" s="28"/>
      <c r="R647" s="28"/>
      <c r="S647" s="28"/>
      <c r="T647" s="28"/>
      <c r="U647" s="41"/>
      <c r="V647" s="41"/>
      <c r="W647" s="41"/>
      <c r="X647" s="28"/>
      <c r="Y647" s="28"/>
      <c r="Z647" s="28"/>
      <c r="AA647" s="28"/>
      <c r="AB647" s="28"/>
      <c r="AC647" s="28"/>
      <c r="AD647" s="28"/>
    </row>
    <row r="648" spans="1:30" x14ac:dyDescent="0.35">
      <c r="I648" s="28" t="s">
        <v>1906</v>
      </c>
      <c r="J648" s="28" t="s">
        <v>283</v>
      </c>
      <c r="K648" s="28" t="str">
        <f t="shared" si="16"/>
        <v>PaimeCundinamarca</v>
      </c>
      <c r="L648" s="28"/>
      <c r="M648" s="28"/>
      <c r="N648" s="28"/>
      <c r="O648" s="28"/>
      <c r="P648" s="28"/>
      <c r="Q648" s="28"/>
      <c r="R648" s="28"/>
      <c r="S648" s="28"/>
      <c r="T648" s="28"/>
      <c r="U648" s="41"/>
      <c r="V648" s="41"/>
      <c r="W648" s="41"/>
      <c r="X648" s="28"/>
      <c r="Y648" s="28"/>
      <c r="Z648" s="28"/>
      <c r="AA648" s="28"/>
      <c r="AB648" s="28"/>
      <c r="AC648" s="28"/>
      <c r="AD648" s="28"/>
    </row>
    <row r="649" spans="1:30" x14ac:dyDescent="0.35">
      <c r="I649" s="28" t="s">
        <v>1907</v>
      </c>
      <c r="J649" s="28" t="s">
        <v>274</v>
      </c>
      <c r="K649" s="28" t="str">
        <f t="shared" si="16"/>
        <v>PaipaBoyaca</v>
      </c>
      <c r="L649" s="28"/>
      <c r="M649" s="28"/>
      <c r="N649" s="28"/>
      <c r="O649" s="28"/>
      <c r="P649" s="28"/>
      <c r="Q649" s="28"/>
      <c r="R649" s="28"/>
      <c r="S649" s="28"/>
      <c r="T649" s="28"/>
      <c r="U649" s="41"/>
      <c r="V649" s="41"/>
      <c r="W649" s="41"/>
      <c r="X649" s="28"/>
      <c r="Y649" s="28"/>
      <c r="Z649" s="28"/>
      <c r="AA649" s="28"/>
      <c r="AB649" s="28"/>
      <c r="AC649" s="28"/>
      <c r="AD649" s="28"/>
    </row>
    <row r="650" spans="1:30" x14ac:dyDescent="0.35">
      <c r="I650" s="28" t="s">
        <v>1908</v>
      </c>
      <c r="J650" s="28" t="s">
        <v>274</v>
      </c>
      <c r="K650" s="28" t="str">
        <f t="shared" si="16"/>
        <v>PajaritoBoyaca</v>
      </c>
      <c r="L650" s="28"/>
      <c r="M650" s="28"/>
      <c r="N650" s="28"/>
      <c r="O650" s="28"/>
      <c r="P650" s="28"/>
      <c r="Q650" s="28"/>
      <c r="R650" s="28"/>
      <c r="S650" s="28"/>
      <c r="T650" s="28"/>
      <c r="U650" s="41"/>
      <c r="V650" s="41"/>
      <c r="W650" s="41"/>
      <c r="X650" s="28"/>
      <c r="Y650" s="28"/>
      <c r="Z650" s="28"/>
      <c r="AA650" s="28"/>
      <c r="AB650" s="28"/>
      <c r="AC650" s="28"/>
      <c r="AD650" s="28"/>
    </row>
    <row r="651" spans="1:30" x14ac:dyDescent="0.35">
      <c r="I651" s="28" t="s">
        <v>1909</v>
      </c>
      <c r="J651" s="28" t="s">
        <v>245</v>
      </c>
      <c r="K651" s="28" t="str">
        <f t="shared" si="16"/>
        <v>PalermoHuila</v>
      </c>
      <c r="L651" s="28"/>
      <c r="M651" s="28"/>
      <c r="N651" s="28"/>
      <c r="O651" s="28"/>
      <c r="P651" s="28"/>
      <c r="Q651" s="28"/>
      <c r="R651" s="28"/>
      <c r="S651" s="28"/>
      <c r="T651" s="28"/>
      <c r="U651" s="41"/>
      <c r="V651" s="41"/>
      <c r="W651" s="41"/>
      <c r="X651" s="28"/>
      <c r="Y651" s="28"/>
      <c r="Z651" s="28"/>
      <c r="AA651" s="28"/>
      <c r="AB651" s="28"/>
      <c r="AC651" s="28"/>
      <c r="AD651" s="28"/>
    </row>
    <row r="652" spans="1:30" x14ac:dyDescent="0.35">
      <c r="I652" s="28" t="s">
        <v>1910</v>
      </c>
      <c r="J652" s="28" t="s">
        <v>284</v>
      </c>
      <c r="K652" s="28" t="str">
        <f t="shared" si="16"/>
        <v>PalestinaCaldas</v>
      </c>
      <c r="L652" s="28"/>
      <c r="M652" s="28"/>
      <c r="N652" s="28"/>
      <c r="O652" s="28"/>
      <c r="P652" s="28"/>
      <c r="Q652" s="28"/>
      <c r="R652" s="28"/>
      <c r="S652" s="28"/>
      <c r="T652" s="28"/>
      <c r="U652" s="41"/>
      <c r="V652" s="41"/>
      <c r="W652" s="41"/>
      <c r="X652" s="28"/>
      <c r="Y652" s="28"/>
      <c r="Z652" s="28"/>
      <c r="AA652" s="28"/>
      <c r="AB652" s="28"/>
      <c r="AC652" s="28"/>
      <c r="AD652" s="28"/>
    </row>
    <row r="653" spans="1:30" x14ac:dyDescent="0.35">
      <c r="I653" s="28" t="s">
        <v>1910</v>
      </c>
      <c r="J653" s="28" t="s">
        <v>245</v>
      </c>
      <c r="K653" s="28" t="str">
        <f t="shared" si="16"/>
        <v>PalestinaHuila</v>
      </c>
      <c r="L653" s="28"/>
      <c r="M653" s="28"/>
      <c r="N653" s="28"/>
      <c r="O653" s="28"/>
      <c r="P653" s="28"/>
      <c r="Q653" s="28"/>
      <c r="R653" s="28"/>
      <c r="S653" s="28"/>
      <c r="T653" s="28"/>
      <c r="U653" s="41"/>
      <c r="V653" s="41"/>
      <c r="W653" s="41"/>
      <c r="X653" s="28"/>
      <c r="Y653" s="28"/>
      <c r="Z653" s="28"/>
      <c r="AA653" s="28"/>
      <c r="AB653" s="28"/>
      <c r="AC653" s="28"/>
      <c r="AD653" s="28"/>
    </row>
    <row r="654" spans="1:30" x14ac:dyDescent="0.35">
      <c r="I654" s="28" t="s">
        <v>1911</v>
      </c>
      <c r="J654" s="28" t="s">
        <v>304</v>
      </c>
      <c r="K654" s="28" t="str">
        <f t="shared" si="16"/>
        <v>PalmarSantander</v>
      </c>
      <c r="L654" s="28"/>
      <c r="M654" s="28"/>
      <c r="N654" s="28"/>
      <c r="O654" s="28"/>
      <c r="P654" s="28"/>
      <c r="Q654" s="28"/>
      <c r="R654" s="28"/>
      <c r="S654" s="28"/>
      <c r="T654" s="28"/>
      <c r="U654" s="41"/>
      <c r="V654" s="41"/>
      <c r="W654" s="41"/>
      <c r="X654" s="28"/>
      <c r="Y654" s="28"/>
      <c r="Z654" s="28"/>
      <c r="AA654" s="28"/>
      <c r="AB654" s="28"/>
      <c r="AC654" s="28"/>
      <c r="AD654" s="28"/>
    </row>
    <row r="655" spans="1:30" x14ac:dyDescent="0.35">
      <c r="I655" s="28" t="s">
        <v>1912</v>
      </c>
      <c r="J655" s="28" t="s">
        <v>231</v>
      </c>
      <c r="K655" s="28" t="str">
        <f t="shared" si="16"/>
        <v>Palmar de VarelaAtlantico</v>
      </c>
      <c r="L655" s="28"/>
      <c r="M655" s="28"/>
      <c r="N655" s="28"/>
      <c r="O655" s="28"/>
      <c r="P655" s="28"/>
      <c r="Q655" s="28"/>
      <c r="R655" s="28"/>
      <c r="S655" s="28"/>
      <c r="T655" s="28"/>
      <c r="U655" s="41"/>
      <c r="V655" s="41"/>
      <c r="W655" s="41"/>
      <c r="X655" s="28"/>
      <c r="Y655" s="28"/>
      <c r="Z655" s="28"/>
      <c r="AA655" s="28"/>
      <c r="AB655" s="28"/>
      <c r="AC655" s="28"/>
      <c r="AD655" s="28"/>
    </row>
    <row r="656" spans="1:30" x14ac:dyDescent="0.35">
      <c r="I656" s="28" t="s">
        <v>1913</v>
      </c>
      <c r="J656" s="28" t="s">
        <v>304</v>
      </c>
      <c r="K656" s="28" t="str">
        <f t="shared" si="16"/>
        <v>Palmas del SocorroSantander</v>
      </c>
      <c r="L656" s="28"/>
      <c r="M656" s="28"/>
      <c r="N656" s="28"/>
      <c r="O656" s="28"/>
      <c r="P656" s="28"/>
      <c r="Q656" s="28"/>
      <c r="R656" s="28"/>
      <c r="S656" s="28"/>
      <c r="T656" s="28"/>
      <c r="U656" s="41"/>
      <c r="V656" s="41"/>
      <c r="W656" s="41"/>
      <c r="X656" s="28"/>
      <c r="Y656" s="28"/>
      <c r="Z656" s="28"/>
      <c r="AA656" s="28"/>
      <c r="AB656" s="28"/>
      <c r="AC656" s="28"/>
      <c r="AD656" s="28"/>
    </row>
    <row r="657" spans="9:30" x14ac:dyDescent="0.35">
      <c r="I657" s="28" t="s">
        <v>1914</v>
      </c>
      <c r="J657" s="28" t="s">
        <v>381</v>
      </c>
      <c r="K657" s="28" t="str">
        <f t="shared" si="16"/>
        <v>PalmiraValle del Cauca</v>
      </c>
      <c r="L657" s="28"/>
      <c r="M657" s="28"/>
      <c r="N657" s="28"/>
      <c r="O657" s="28"/>
      <c r="P657" s="28"/>
      <c r="Q657" s="28"/>
      <c r="R657" s="28"/>
      <c r="S657" s="28"/>
      <c r="T657" s="28"/>
      <c r="U657" s="41"/>
      <c r="V657" s="41"/>
      <c r="W657" s="41"/>
      <c r="X657" s="28"/>
      <c r="Y657" s="28"/>
      <c r="Z657" s="28"/>
      <c r="AA657" s="28"/>
      <c r="AB657" s="28"/>
      <c r="AC657" s="28"/>
      <c r="AD657" s="28"/>
    </row>
    <row r="658" spans="9:30" x14ac:dyDescent="0.35">
      <c r="I658" s="28" t="s">
        <v>1915</v>
      </c>
      <c r="J658" s="28" t="s">
        <v>413</v>
      </c>
      <c r="K658" s="28" t="str">
        <f t="shared" si="16"/>
        <v>PalmitoSucre</v>
      </c>
      <c r="L658" s="28"/>
      <c r="M658" s="28"/>
      <c r="N658" s="28"/>
      <c r="O658" s="28"/>
      <c r="P658" s="28"/>
      <c r="Q658" s="28"/>
      <c r="R658" s="28"/>
      <c r="S658" s="28"/>
      <c r="T658" s="28"/>
      <c r="U658" s="41"/>
      <c r="V658" s="41"/>
      <c r="W658" s="41"/>
      <c r="X658" s="28"/>
      <c r="Y658" s="28"/>
      <c r="Z658" s="28"/>
      <c r="AA658" s="28"/>
      <c r="AB658" s="28"/>
      <c r="AC658" s="28"/>
      <c r="AD658" s="28"/>
    </row>
    <row r="659" spans="9:30" x14ac:dyDescent="0.35">
      <c r="I659" s="28" t="s">
        <v>1916</v>
      </c>
      <c r="J659" s="28" t="s">
        <v>409</v>
      </c>
      <c r="K659" s="28" t="str">
        <f t="shared" si="16"/>
        <v>PalocabildoTolima</v>
      </c>
      <c r="L659" s="28"/>
      <c r="M659" s="28"/>
      <c r="N659" s="28"/>
      <c r="O659" s="28"/>
      <c r="P659" s="28"/>
      <c r="Q659" s="28"/>
      <c r="R659" s="28"/>
      <c r="S659" s="28"/>
      <c r="T659" s="28"/>
      <c r="U659" s="41"/>
      <c r="V659" s="41"/>
      <c r="W659" s="41"/>
      <c r="X659" s="28"/>
      <c r="Y659" s="28"/>
      <c r="Z659" s="28"/>
      <c r="AA659" s="28"/>
      <c r="AB659" s="28"/>
      <c r="AC659" s="28"/>
      <c r="AD659" s="28"/>
    </row>
    <row r="660" spans="9:30" x14ac:dyDescent="0.35">
      <c r="I660" s="28" t="s">
        <v>1917</v>
      </c>
      <c r="J660" s="28" t="s">
        <v>190</v>
      </c>
      <c r="K660" s="28" t="str">
        <f t="shared" si="16"/>
        <v>PamplonaNorte de Santander</v>
      </c>
      <c r="L660" s="28"/>
      <c r="M660" s="28"/>
      <c r="N660" s="28"/>
      <c r="O660" s="28"/>
      <c r="P660" s="28"/>
      <c r="Q660" s="28"/>
      <c r="R660" s="28"/>
      <c r="S660" s="28"/>
      <c r="T660" s="28"/>
      <c r="U660" s="41"/>
      <c r="V660" s="41"/>
      <c r="W660" s="41"/>
      <c r="X660" s="28"/>
      <c r="Y660" s="28"/>
      <c r="Z660" s="28"/>
      <c r="AA660" s="28"/>
      <c r="AB660" s="28"/>
      <c r="AC660" s="28"/>
      <c r="AD660" s="28"/>
    </row>
    <row r="661" spans="9:30" x14ac:dyDescent="0.35">
      <c r="I661" s="28" t="s">
        <v>1918</v>
      </c>
      <c r="J661" s="28" t="s">
        <v>190</v>
      </c>
      <c r="K661" s="28" t="str">
        <f t="shared" si="16"/>
        <v>PamplonitaNorte de Santander</v>
      </c>
      <c r="L661" s="28"/>
      <c r="M661" s="28"/>
      <c r="N661" s="28"/>
      <c r="O661" s="28"/>
      <c r="P661" s="28"/>
      <c r="Q661" s="28"/>
      <c r="R661" s="28"/>
      <c r="S661" s="28"/>
      <c r="T661" s="28"/>
      <c r="U661" s="41"/>
      <c r="V661" s="41"/>
      <c r="W661" s="41"/>
      <c r="X661" s="28"/>
      <c r="Y661" s="28"/>
      <c r="Z661" s="28"/>
      <c r="AA661" s="28"/>
      <c r="AB661" s="28"/>
      <c r="AC661" s="28"/>
      <c r="AD661" s="28"/>
    </row>
    <row r="662" spans="9:30" x14ac:dyDescent="0.35">
      <c r="I662" s="28" t="s">
        <v>1919</v>
      </c>
      <c r="J662" s="28" t="s">
        <v>353</v>
      </c>
      <c r="K662" s="28" t="str">
        <f t="shared" si="16"/>
        <v>Pana PanaGuainia</v>
      </c>
      <c r="L662" s="28"/>
      <c r="M662" s="28"/>
      <c r="N662" s="28"/>
      <c r="O662" s="28"/>
      <c r="P662" s="28"/>
      <c r="Q662" s="28"/>
      <c r="R662" s="28"/>
      <c r="S662" s="28"/>
      <c r="T662" s="28"/>
      <c r="U662" s="41"/>
      <c r="V662" s="41"/>
      <c r="W662" s="41"/>
      <c r="X662" s="28"/>
      <c r="Y662" s="28"/>
      <c r="Z662" s="28"/>
      <c r="AA662" s="28"/>
      <c r="AB662" s="28"/>
      <c r="AC662" s="28"/>
      <c r="AD662" s="28"/>
    </row>
    <row r="663" spans="9:30" x14ac:dyDescent="0.35">
      <c r="I663" s="28" t="s">
        <v>1920</v>
      </c>
      <c r="J663" s="28" t="s">
        <v>283</v>
      </c>
      <c r="K663" s="28" t="str">
        <f t="shared" si="16"/>
        <v>PandiCundinamarca</v>
      </c>
      <c r="L663" s="28"/>
      <c r="M663" s="28"/>
      <c r="N663" s="28"/>
      <c r="O663" s="28"/>
      <c r="P663" s="28"/>
      <c r="Q663" s="28"/>
      <c r="R663" s="28"/>
      <c r="S663" s="28"/>
      <c r="T663" s="28"/>
      <c r="U663" s="41"/>
      <c r="V663" s="41"/>
      <c r="W663" s="41"/>
      <c r="X663" s="28"/>
      <c r="Y663" s="28"/>
      <c r="Z663" s="28"/>
      <c r="AA663" s="28"/>
      <c r="AB663" s="28"/>
      <c r="AC663" s="28"/>
      <c r="AD663" s="28"/>
    </row>
    <row r="664" spans="9:30" x14ac:dyDescent="0.35">
      <c r="I664" s="28" t="s">
        <v>1921</v>
      </c>
      <c r="J664" s="28" t="s">
        <v>274</v>
      </c>
      <c r="K664" s="28" t="str">
        <f t="shared" si="16"/>
        <v>PanquebaBoyaca</v>
      </c>
      <c r="L664" s="28"/>
      <c r="M664" s="28"/>
      <c r="N664" s="28"/>
      <c r="O664" s="28"/>
      <c r="P664" s="28"/>
      <c r="Q664" s="28"/>
      <c r="R664" s="28"/>
      <c r="S664" s="28"/>
      <c r="T664" s="28"/>
      <c r="U664" s="41"/>
      <c r="V664" s="41"/>
      <c r="W664" s="41"/>
      <c r="X664" s="28"/>
      <c r="Y664" s="28"/>
      <c r="Z664" s="28"/>
      <c r="AA664" s="28"/>
      <c r="AB664" s="28"/>
      <c r="AC664" s="28"/>
      <c r="AD664" s="28"/>
    </row>
    <row r="665" spans="9:30" x14ac:dyDescent="0.35">
      <c r="I665" s="28" t="s">
        <v>1922</v>
      </c>
      <c r="J665" s="28" t="s">
        <v>424</v>
      </c>
      <c r="K665" s="28" t="str">
        <f t="shared" si="16"/>
        <v>PapunauaVaupes</v>
      </c>
      <c r="L665" s="28"/>
      <c r="M665" s="28"/>
      <c r="N665" s="28"/>
      <c r="O665" s="28"/>
      <c r="P665" s="28"/>
      <c r="Q665" s="28"/>
      <c r="R665" s="28"/>
      <c r="S665" s="28"/>
      <c r="T665" s="28"/>
      <c r="U665" s="41"/>
      <c r="V665" s="41"/>
      <c r="W665" s="41"/>
      <c r="X665" s="28"/>
      <c r="Y665" s="28"/>
      <c r="Z665" s="28"/>
      <c r="AA665" s="28"/>
      <c r="AB665" s="28"/>
      <c r="AC665" s="28"/>
      <c r="AD665" s="28"/>
    </row>
    <row r="666" spans="9:30" x14ac:dyDescent="0.35">
      <c r="I666" s="28" t="s">
        <v>1923</v>
      </c>
      <c r="J666" s="28" t="s">
        <v>304</v>
      </c>
      <c r="K666" s="28" t="str">
        <f t="shared" si="16"/>
        <v>PáramoSantander</v>
      </c>
      <c r="L666" s="28"/>
      <c r="M666" s="28"/>
      <c r="N666" s="28"/>
      <c r="O666" s="28"/>
      <c r="P666" s="28"/>
      <c r="Q666" s="28"/>
      <c r="R666" s="28"/>
      <c r="S666" s="28"/>
      <c r="T666" s="28"/>
      <c r="U666" s="41"/>
      <c r="V666" s="41"/>
      <c r="W666" s="41"/>
      <c r="X666" s="28"/>
      <c r="Y666" s="28"/>
      <c r="Z666" s="28"/>
      <c r="AA666" s="28"/>
      <c r="AB666" s="28"/>
      <c r="AC666" s="28"/>
      <c r="AD666" s="28"/>
    </row>
    <row r="667" spans="9:30" x14ac:dyDescent="0.35">
      <c r="I667" s="28" t="s">
        <v>1924</v>
      </c>
      <c r="J667" s="28" t="s">
        <v>283</v>
      </c>
      <c r="K667" s="28" t="str">
        <f t="shared" si="16"/>
        <v>ParatebuenoCundinamarca</v>
      </c>
      <c r="L667" s="28"/>
      <c r="M667" s="28"/>
      <c r="N667" s="28"/>
      <c r="O667" s="28"/>
      <c r="P667" s="28"/>
      <c r="Q667" s="28"/>
      <c r="R667" s="28"/>
      <c r="S667" s="28"/>
      <c r="T667" s="28"/>
      <c r="U667" s="41"/>
      <c r="V667" s="41"/>
      <c r="W667" s="41"/>
      <c r="X667" s="28"/>
      <c r="Y667" s="28"/>
      <c r="Z667" s="28"/>
      <c r="AA667" s="28"/>
      <c r="AB667" s="28"/>
      <c r="AC667" s="28"/>
      <c r="AD667" s="28"/>
    </row>
    <row r="668" spans="9:30" x14ac:dyDescent="0.35">
      <c r="I668" s="28" t="s">
        <v>1925</v>
      </c>
      <c r="J668" s="28" t="s">
        <v>283</v>
      </c>
      <c r="K668" s="28" t="str">
        <f t="shared" si="16"/>
        <v>PascaCundinamarca</v>
      </c>
      <c r="L668" s="28"/>
      <c r="M668" s="28"/>
      <c r="N668" s="28"/>
      <c r="O668" s="28"/>
      <c r="P668" s="28"/>
      <c r="Q668" s="28"/>
      <c r="R668" s="28"/>
      <c r="S668" s="28"/>
      <c r="T668" s="28"/>
      <c r="U668" s="41"/>
      <c r="V668" s="41"/>
      <c r="W668" s="41"/>
      <c r="X668" s="28"/>
      <c r="Y668" s="28"/>
      <c r="Z668" s="28"/>
      <c r="AA668" s="28"/>
      <c r="AB668" s="28"/>
      <c r="AC668" s="28"/>
      <c r="AD668" s="28"/>
    </row>
    <row r="669" spans="9:30" x14ac:dyDescent="0.35">
      <c r="I669" s="28" t="s">
        <v>1926</v>
      </c>
      <c r="J669" s="28" t="s">
        <v>352</v>
      </c>
      <c r="K669" s="28" t="str">
        <f t="shared" si="16"/>
        <v>PastoNariño</v>
      </c>
      <c r="L669" s="28"/>
      <c r="M669" s="28"/>
      <c r="N669" s="28"/>
      <c r="O669" s="28"/>
      <c r="P669" s="28"/>
      <c r="Q669" s="28"/>
      <c r="R669" s="28"/>
      <c r="S669" s="28"/>
      <c r="T669" s="28"/>
      <c r="U669" s="41"/>
      <c r="V669" s="41"/>
      <c r="W669" s="41"/>
      <c r="X669" s="28"/>
      <c r="Y669" s="28"/>
      <c r="Z669" s="28"/>
      <c r="AA669" s="28"/>
      <c r="AB669" s="28"/>
      <c r="AC669" s="28"/>
      <c r="AD669" s="28"/>
    </row>
    <row r="670" spans="9:30" x14ac:dyDescent="0.35">
      <c r="I670" s="28" t="s">
        <v>1927</v>
      </c>
      <c r="J670" s="28" t="s">
        <v>315</v>
      </c>
      <c r="K670" s="28" t="str">
        <f t="shared" si="16"/>
        <v>PatíaCauca</v>
      </c>
      <c r="L670" s="28"/>
      <c r="M670" s="28"/>
      <c r="N670" s="28"/>
      <c r="O670" s="28"/>
      <c r="P670" s="28"/>
      <c r="Q670" s="28"/>
      <c r="R670" s="28"/>
      <c r="S670" s="28"/>
      <c r="T670" s="28"/>
      <c r="U670" s="41"/>
      <c r="V670" s="41"/>
      <c r="W670" s="41"/>
      <c r="X670" s="28"/>
      <c r="Y670" s="28"/>
      <c r="Z670" s="28"/>
      <c r="AA670" s="28"/>
      <c r="AB670" s="28"/>
      <c r="AC670" s="28"/>
      <c r="AD670" s="28"/>
    </row>
    <row r="671" spans="9:30" x14ac:dyDescent="0.35">
      <c r="I671" s="28" t="s">
        <v>1928</v>
      </c>
      <c r="J671" s="28" t="s">
        <v>274</v>
      </c>
      <c r="K671" s="28" t="str">
        <f t="shared" si="16"/>
        <v>PaunaBoyaca</v>
      </c>
      <c r="L671" s="28"/>
      <c r="M671" s="28"/>
      <c r="N671" s="28"/>
      <c r="O671" s="28"/>
      <c r="P671" s="28"/>
      <c r="Q671" s="28"/>
      <c r="R671" s="28"/>
      <c r="S671" s="28"/>
      <c r="T671" s="28"/>
      <c r="U671" s="41"/>
      <c r="V671" s="41"/>
      <c r="W671" s="41"/>
      <c r="X671" s="28"/>
      <c r="Y671" s="28"/>
      <c r="Z671" s="28"/>
      <c r="AA671" s="28"/>
      <c r="AB671" s="28"/>
      <c r="AC671" s="28"/>
      <c r="AD671" s="28"/>
    </row>
    <row r="672" spans="9:30" x14ac:dyDescent="0.35">
      <c r="I672" s="28" t="s">
        <v>1929</v>
      </c>
      <c r="J672" s="28" t="s">
        <v>274</v>
      </c>
      <c r="K672" s="28" t="str">
        <f t="shared" si="16"/>
        <v>PayaBoyaca</v>
      </c>
      <c r="L672" s="28"/>
      <c r="M672" s="28"/>
      <c r="N672" s="28"/>
      <c r="O672" s="28"/>
      <c r="P672" s="28"/>
      <c r="Q672" s="28"/>
      <c r="R672" s="28"/>
      <c r="S672" s="28"/>
      <c r="T672" s="28"/>
      <c r="U672" s="41"/>
      <c r="V672" s="41"/>
      <c r="W672" s="41"/>
      <c r="X672" s="28"/>
      <c r="Y672" s="28"/>
      <c r="Z672" s="28"/>
      <c r="AA672" s="28"/>
      <c r="AB672" s="28"/>
      <c r="AC672" s="28"/>
      <c r="AD672" s="28"/>
    </row>
    <row r="673" spans="9:30" x14ac:dyDescent="0.35">
      <c r="I673" s="28" t="s">
        <v>1930</v>
      </c>
      <c r="J673" s="28" t="s">
        <v>305</v>
      </c>
      <c r="K673" s="28" t="str">
        <f t="shared" si="16"/>
        <v>Paz de AriporoCasanare</v>
      </c>
      <c r="L673" s="28"/>
      <c r="M673" s="28"/>
      <c r="N673" s="28"/>
      <c r="O673" s="28"/>
      <c r="P673" s="28"/>
      <c r="Q673" s="28"/>
      <c r="R673" s="28"/>
      <c r="S673" s="28"/>
      <c r="T673" s="28"/>
      <c r="U673" s="41"/>
      <c r="V673" s="41"/>
      <c r="W673" s="41"/>
      <c r="X673" s="28"/>
      <c r="Y673" s="28"/>
      <c r="Z673" s="28"/>
      <c r="AA673" s="28"/>
      <c r="AB673" s="28"/>
      <c r="AC673" s="28"/>
      <c r="AD673" s="28"/>
    </row>
    <row r="674" spans="9:30" x14ac:dyDescent="0.35">
      <c r="I674" s="28" t="s">
        <v>1931</v>
      </c>
      <c r="J674" s="28" t="s">
        <v>274</v>
      </c>
      <c r="K674" s="28" t="str">
        <f t="shared" si="16"/>
        <v>Paz de RíoBoyaca</v>
      </c>
      <c r="L674" s="28"/>
      <c r="M674" s="28"/>
      <c r="N674" s="28"/>
      <c r="O674" s="28"/>
      <c r="P674" s="28"/>
      <c r="Q674" s="28"/>
      <c r="R674" s="28"/>
      <c r="S674" s="28"/>
      <c r="T674" s="28"/>
      <c r="U674" s="41"/>
      <c r="V674" s="41"/>
      <c r="W674" s="41"/>
      <c r="X674" s="28"/>
      <c r="Y674" s="28"/>
      <c r="Z674" s="28"/>
      <c r="AA674" s="28"/>
      <c r="AB674" s="28"/>
      <c r="AC674" s="28"/>
      <c r="AD674" s="28"/>
    </row>
    <row r="675" spans="9:30" x14ac:dyDescent="0.35">
      <c r="I675" s="28" t="s">
        <v>1932</v>
      </c>
      <c r="J675" s="28" t="s">
        <v>382</v>
      </c>
      <c r="K675" s="28" t="str">
        <f t="shared" si="16"/>
        <v>PedrazaMagdalena</v>
      </c>
      <c r="L675" s="28"/>
      <c r="M675" s="28"/>
      <c r="N675" s="28"/>
      <c r="O675" s="28"/>
      <c r="P675" s="28"/>
      <c r="Q675" s="28"/>
      <c r="R675" s="28"/>
      <c r="S675" s="28"/>
      <c r="T675" s="28"/>
      <c r="U675" s="41"/>
      <c r="V675" s="41"/>
      <c r="W675" s="41"/>
      <c r="X675" s="28"/>
      <c r="Y675" s="28"/>
      <c r="Z675" s="28"/>
      <c r="AA675" s="28"/>
      <c r="AB675" s="28"/>
      <c r="AC675" s="28"/>
      <c r="AD675" s="28"/>
    </row>
    <row r="676" spans="9:30" x14ac:dyDescent="0.35">
      <c r="I676" s="28" t="s">
        <v>1933</v>
      </c>
      <c r="J676" s="28" t="s">
        <v>293</v>
      </c>
      <c r="K676" s="28" t="str">
        <f t="shared" si="16"/>
        <v>PelayaCesar</v>
      </c>
      <c r="L676" s="28"/>
      <c r="M676" s="28"/>
      <c r="N676" s="28"/>
      <c r="O676" s="28"/>
      <c r="P676" s="28"/>
      <c r="Q676" s="28"/>
      <c r="R676" s="28"/>
      <c r="S676" s="28"/>
      <c r="T676" s="28"/>
      <c r="U676" s="41"/>
      <c r="V676" s="41"/>
      <c r="W676" s="41"/>
      <c r="X676" s="28"/>
      <c r="Y676" s="28"/>
      <c r="Z676" s="28"/>
      <c r="AA676" s="28"/>
      <c r="AB676" s="28"/>
      <c r="AC676" s="28"/>
      <c r="AD676" s="28"/>
    </row>
    <row r="677" spans="9:30" x14ac:dyDescent="0.35">
      <c r="I677" s="28" t="s">
        <v>1934</v>
      </c>
      <c r="J677" s="28" t="s">
        <v>284</v>
      </c>
      <c r="K677" s="28" t="str">
        <f t="shared" si="16"/>
        <v>PensilvaniaCaldas</v>
      </c>
      <c r="L677" s="28"/>
      <c r="M677" s="28"/>
      <c r="N677" s="28"/>
      <c r="O677" s="28"/>
      <c r="P677" s="28"/>
      <c r="Q677" s="28"/>
      <c r="R677" s="28"/>
      <c r="S677" s="28"/>
      <c r="T677" s="28"/>
      <c r="U677" s="41"/>
      <c r="V677" s="41"/>
      <c r="W677" s="41"/>
      <c r="X677" s="28"/>
      <c r="Y677" s="28"/>
      <c r="Z677" s="28"/>
      <c r="AA677" s="28"/>
      <c r="AB677" s="28"/>
      <c r="AC677" s="28"/>
      <c r="AD677" s="28"/>
    </row>
    <row r="678" spans="9:30" x14ac:dyDescent="0.35">
      <c r="I678" s="28" t="s">
        <v>1935</v>
      </c>
      <c r="J678" s="28" t="s">
        <v>154</v>
      </c>
      <c r="K678" s="28" t="str">
        <f t="shared" si="16"/>
        <v>PeñolAntioquia</v>
      </c>
      <c r="L678" s="28"/>
      <c r="M678" s="28"/>
      <c r="N678" s="28"/>
      <c r="O678" s="28"/>
      <c r="P678" s="28"/>
      <c r="Q678" s="28"/>
      <c r="R678" s="28"/>
      <c r="S678" s="28"/>
      <c r="T678" s="28"/>
      <c r="U678" s="41"/>
      <c r="V678" s="41"/>
      <c r="W678" s="41"/>
      <c r="X678" s="28"/>
      <c r="Y678" s="28"/>
      <c r="Z678" s="28"/>
      <c r="AA678" s="28"/>
      <c r="AB678" s="28"/>
      <c r="AC678" s="28"/>
      <c r="AD678" s="28"/>
    </row>
    <row r="679" spans="9:30" x14ac:dyDescent="0.35">
      <c r="I679" s="28" t="s">
        <v>1936</v>
      </c>
      <c r="J679" s="28" t="s">
        <v>154</v>
      </c>
      <c r="K679" s="28" t="str">
        <f t="shared" si="16"/>
        <v>PequeAntioquia</v>
      </c>
      <c r="L679" s="28"/>
      <c r="M679" s="28"/>
      <c r="N679" s="28"/>
      <c r="O679" s="28"/>
      <c r="P679" s="28"/>
      <c r="Q679" s="28"/>
      <c r="R679" s="28"/>
      <c r="S679" s="28"/>
      <c r="T679" s="28"/>
      <c r="U679" s="41"/>
      <c r="V679" s="41"/>
      <c r="W679" s="41"/>
      <c r="X679" s="28"/>
      <c r="Y679" s="28"/>
      <c r="Z679" s="28"/>
      <c r="AA679" s="28"/>
      <c r="AB679" s="28"/>
      <c r="AC679" s="28"/>
      <c r="AD679" s="28"/>
    </row>
    <row r="680" spans="9:30" x14ac:dyDescent="0.35">
      <c r="I680" s="28" t="s">
        <v>1937</v>
      </c>
      <c r="J680" s="28" t="s">
        <v>405</v>
      </c>
      <c r="K680" s="28" t="str">
        <f t="shared" si="16"/>
        <v>PereiraRisaralda</v>
      </c>
      <c r="L680" s="28"/>
      <c r="M680" s="28"/>
      <c r="N680" s="28"/>
      <c r="O680" s="28"/>
      <c r="P680" s="28"/>
      <c r="Q680" s="28"/>
      <c r="R680" s="28"/>
      <c r="S680" s="28"/>
      <c r="T680" s="28"/>
      <c r="U680" s="41"/>
      <c r="V680" s="41"/>
      <c r="W680" s="41"/>
      <c r="X680" s="28"/>
      <c r="Y680" s="28"/>
      <c r="Z680" s="28"/>
      <c r="AA680" s="28"/>
      <c r="AB680" s="28"/>
      <c r="AC680" s="28"/>
      <c r="AD680" s="28"/>
    </row>
    <row r="681" spans="9:30" x14ac:dyDescent="0.35">
      <c r="I681" s="28" t="s">
        <v>1938</v>
      </c>
      <c r="J681" s="28" t="s">
        <v>274</v>
      </c>
      <c r="K681" s="28" t="str">
        <f t="shared" si="16"/>
        <v>PescaBoyaca</v>
      </c>
      <c r="L681" s="28"/>
      <c r="M681" s="28"/>
      <c r="N681" s="28"/>
      <c r="O681" s="28"/>
      <c r="P681" s="28"/>
      <c r="Q681" s="28"/>
      <c r="R681" s="28"/>
      <c r="S681" s="28"/>
      <c r="T681" s="28"/>
      <c r="U681" s="41"/>
      <c r="V681" s="41"/>
      <c r="W681" s="41"/>
      <c r="X681" s="28"/>
      <c r="Y681" s="28"/>
      <c r="Z681" s="28"/>
      <c r="AA681" s="28"/>
      <c r="AB681" s="28"/>
      <c r="AC681" s="28"/>
      <c r="AD681" s="28"/>
    </row>
    <row r="682" spans="9:30" x14ac:dyDescent="0.35">
      <c r="I682" s="28" t="s">
        <v>1939</v>
      </c>
      <c r="J682" s="28" t="s">
        <v>315</v>
      </c>
      <c r="K682" s="28" t="str">
        <f t="shared" si="16"/>
        <v>PiamonteCauca</v>
      </c>
      <c r="L682" s="28"/>
      <c r="M682" s="28"/>
      <c r="N682" s="28"/>
      <c r="O682" s="28"/>
      <c r="P682" s="28"/>
      <c r="Q682" s="28"/>
      <c r="R682" s="28"/>
      <c r="S682" s="28"/>
      <c r="T682" s="28"/>
      <c r="U682" s="41"/>
      <c r="V682" s="41"/>
      <c r="W682" s="41"/>
      <c r="X682" s="28"/>
      <c r="Y682" s="28"/>
      <c r="Z682" s="28"/>
      <c r="AA682" s="28"/>
      <c r="AB682" s="28"/>
      <c r="AC682" s="28"/>
      <c r="AD682" s="28"/>
    </row>
    <row r="683" spans="9:30" x14ac:dyDescent="0.35">
      <c r="I683" s="28" t="s">
        <v>1940</v>
      </c>
      <c r="J683" s="28" t="s">
        <v>304</v>
      </c>
      <c r="K683" s="28" t="str">
        <f t="shared" si="16"/>
        <v>PiedecuestaSantander</v>
      </c>
      <c r="L683" s="28"/>
      <c r="M683" s="28"/>
      <c r="N683" s="28"/>
      <c r="O683" s="28"/>
      <c r="P683" s="28"/>
      <c r="Q683" s="28"/>
      <c r="R683" s="28"/>
      <c r="S683" s="28"/>
      <c r="T683" s="28"/>
      <c r="U683" s="41"/>
      <c r="V683" s="41"/>
      <c r="W683" s="41"/>
      <c r="X683" s="28"/>
      <c r="Y683" s="28"/>
      <c r="Z683" s="28"/>
      <c r="AA683" s="28"/>
      <c r="AB683" s="28"/>
      <c r="AC683" s="28"/>
      <c r="AD683" s="28"/>
    </row>
    <row r="684" spans="9:30" x14ac:dyDescent="0.35">
      <c r="I684" s="28" t="s">
        <v>1941</v>
      </c>
      <c r="J684" s="28" t="s">
        <v>409</v>
      </c>
      <c r="K684" s="28" t="str">
        <f t="shared" si="16"/>
        <v>PiedrasTolima</v>
      </c>
      <c r="L684" s="28"/>
      <c r="M684" s="28"/>
      <c r="N684" s="28"/>
      <c r="O684" s="28"/>
      <c r="P684" s="28"/>
      <c r="Q684" s="28"/>
      <c r="R684" s="28"/>
      <c r="S684" s="28"/>
      <c r="T684" s="28"/>
      <c r="U684" s="41"/>
      <c r="V684" s="41"/>
      <c r="W684" s="41"/>
      <c r="X684" s="28"/>
      <c r="Y684" s="28"/>
      <c r="Z684" s="28"/>
      <c r="AA684" s="28"/>
      <c r="AB684" s="28"/>
      <c r="AC684" s="28"/>
      <c r="AD684" s="28"/>
    </row>
    <row r="685" spans="9:30" x14ac:dyDescent="0.35">
      <c r="I685" s="28" t="s">
        <v>1942</v>
      </c>
      <c r="J685" s="28" t="s">
        <v>315</v>
      </c>
      <c r="K685" s="28" t="str">
        <f t="shared" si="16"/>
        <v>PiendamóCauca</v>
      </c>
      <c r="L685" s="28"/>
      <c r="M685" s="28"/>
      <c r="N685" s="28"/>
      <c r="O685" s="28"/>
      <c r="P685" s="28"/>
      <c r="Q685" s="28"/>
      <c r="R685" s="28"/>
      <c r="S685" s="28"/>
      <c r="T685" s="28"/>
      <c r="U685" s="41"/>
      <c r="V685" s="41"/>
      <c r="W685" s="41"/>
      <c r="X685" s="28"/>
      <c r="Y685" s="28"/>
      <c r="Z685" s="28"/>
      <c r="AA685" s="28"/>
      <c r="AB685" s="28"/>
      <c r="AC685" s="28"/>
      <c r="AD685" s="28"/>
    </row>
    <row r="686" spans="9:30" x14ac:dyDescent="0.35">
      <c r="I686" s="28" t="s">
        <v>1943</v>
      </c>
      <c r="J686" s="28" t="s">
        <v>401</v>
      </c>
      <c r="K686" s="28" t="str">
        <f t="shared" si="16"/>
        <v>PijaoQuindio</v>
      </c>
      <c r="L686" s="28"/>
      <c r="M686" s="28"/>
      <c r="N686" s="28"/>
      <c r="O686" s="28"/>
      <c r="P686" s="28"/>
      <c r="Q686" s="28"/>
      <c r="R686" s="28"/>
      <c r="S686" s="28"/>
      <c r="T686" s="28"/>
      <c r="U686" s="41"/>
      <c r="V686" s="41"/>
      <c r="W686" s="41"/>
      <c r="X686" s="28"/>
      <c r="Y686" s="28"/>
      <c r="Z686" s="28"/>
      <c r="AA686" s="28"/>
      <c r="AB686" s="28"/>
      <c r="AC686" s="28"/>
      <c r="AD686" s="28"/>
    </row>
    <row r="687" spans="9:30" x14ac:dyDescent="0.35">
      <c r="I687" s="28" t="s">
        <v>1944</v>
      </c>
      <c r="J687" s="28" t="s">
        <v>382</v>
      </c>
      <c r="K687" s="28" t="str">
        <f t="shared" si="16"/>
        <v>Pijiño del CarmenMagdalena</v>
      </c>
      <c r="L687" s="28"/>
      <c r="M687" s="28"/>
      <c r="N687" s="28"/>
      <c r="O687" s="28"/>
      <c r="P687" s="28"/>
      <c r="Q687" s="28"/>
      <c r="R687" s="28"/>
      <c r="S687" s="28"/>
      <c r="T687" s="28"/>
      <c r="U687" s="41"/>
      <c r="V687" s="41"/>
      <c r="W687" s="41"/>
      <c r="X687" s="28"/>
      <c r="Y687" s="28"/>
      <c r="Z687" s="28"/>
      <c r="AA687" s="28"/>
      <c r="AB687" s="28"/>
      <c r="AC687" s="28"/>
      <c r="AD687" s="28"/>
    </row>
    <row r="688" spans="9:30" x14ac:dyDescent="0.35">
      <c r="I688" s="28" t="s">
        <v>1945</v>
      </c>
      <c r="J688" s="28" t="s">
        <v>304</v>
      </c>
      <c r="K688" s="28" t="str">
        <f t="shared" si="16"/>
        <v>PinchoteSantander</v>
      </c>
      <c r="L688" s="28"/>
      <c r="M688" s="28"/>
      <c r="N688" s="28"/>
      <c r="O688" s="28"/>
      <c r="P688" s="28"/>
      <c r="Q688" s="28"/>
      <c r="R688" s="28"/>
      <c r="S688" s="28"/>
      <c r="T688" s="28"/>
      <c r="U688" s="41"/>
      <c r="V688" s="41"/>
      <c r="W688" s="41"/>
      <c r="X688" s="28"/>
      <c r="Y688" s="28"/>
      <c r="Z688" s="28"/>
      <c r="AA688" s="28"/>
      <c r="AB688" s="28"/>
      <c r="AC688" s="28"/>
      <c r="AD688" s="28"/>
    </row>
    <row r="689" spans="9:30" x14ac:dyDescent="0.35">
      <c r="I689" s="28" t="s">
        <v>1946</v>
      </c>
      <c r="J689" s="28" t="s">
        <v>260</v>
      </c>
      <c r="K689" s="28" t="str">
        <f t="shared" si="16"/>
        <v>PinillosBolivar</v>
      </c>
      <c r="L689" s="28"/>
      <c r="M689" s="28"/>
      <c r="N689" s="28"/>
      <c r="O689" s="28"/>
      <c r="P689" s="28"/>
      <c r="Q689" s="28"/>
      <c r="R689" s="28"/>
      <c r="S689" s="28"/>
      <c r="T689" s="28"/>
      <c r="U689" s="41"/>
      <c r="V689" s="41"/>
      <c r="W689" s="41"/>
      <c r="X689" s="28"/>
      <c r="Y689" s="28"/>
      <c r="Z689" s="28"/>
      <c r="AA689" s="28"/>
      <c r="AB689" s="28"/>
      <c r="AC689" s="28"/>
      <c r="AD689" s="28"/>
    </row>
    <row r="690" spans="9:30" x14ac:dyDescent="0.35">
      <c r="I690" s="28" t="s">
        <v>1947</v>
      </c>
      <c r="J690" s="28" t="s">
        <v>231</v>
      </c>
      <c r="K690" s="28" t="str">
        <f t="shared" si="16"/>
        <v>PiojóAtlantico</v>
      </c>
      <c r="L690" s="28"/>
      <c r="M690" s="28"/>
      <c r="N690" s="28"/>
      <c r="O690" s="28"/>
      <c r="P690" s="28"/>
      <c r="Q690" s="28"/>
      <c r="R690" s="28"/>
      <c r="S690" s="28"/>
      <c r="T690" s="28"/>
      <c r="U690" s="41"/>
      <c r="V690" s="41"/>
      <c r="W690" s="41"/>
      <c r="X690" s="28"/>
      <c r="Y690" s="28"/>
      <c r="Z690" s="28"/>
      <c r="AA690" s="28"/>
      <c r="AB690" s="28"/>
      <c r="AC690" s="28"/>
      <c r="AD690" s="28"/>
    </row>
    <row r="691" spans="9:30" x14ac:dyDescent="0.35">
      <c r="I691" s="28" t="s">
        <v>1948</v>
      </c>
      <c r="J691" s="28" t="s">
        <v>274</v>
      </c>
      <c r="K691" s="28" t="str">
        <f t="shared" si="16"/>
        <v>PisbaBoyaca</v>
      </c>
      <c r="L691" s="28"/>
      <c r="M691" s="28"/>
      <c r="N691" s="28"/>
      <c r="O691" s="28"/>
      <c r="P691" s="28"/>
      <c r="Q691" s="28"/>
      <c r="R691" s="28"/>
      <c r="S691" s="28"/>
      <c r="T691" s="28"/>
      <c r="U691" s="41"/>
      <c r="V691" s="41"/>
      <c r="W691" s="41"/>
      <c r="X691" s="28"/>
      <c r="Y691" s="28"/>
      <c r="Z691" s="28"/>
      <c r="AA691" s="28"/>
      <c r="AB691" s="28"/>
      <c r="AC691" s="28"/>
      <c r="AD691" s="28"/>
    </row>
    <row r="692" spans="9:30" x14ac:dyDescent="0.35">
      <c r="I692" s="28" t="s">
        <v>1949</v>
      </c>
      <c r="J692" s="28" t="s">
        <v>245</v>
      </c>
      <c r="K692" s="28" t="str">
        <f t="shared" si="16"/>
        <v>PitalHuila</v>
      </c>
      <c r="L692" s="28"/>
      <c r="M692" s="28"/>
      <c r="N692" s="28"/>
      <c r="O692" s="28"/>
      <c r="P692" s="28"/>
      <c r="Q692" s="28"/>
      <c r="R692" s="28"/>
      <c r="S692" s="28"/>
      <c r="T692" s="28"/>
      <c r="U692" s="41"/>
      <c r="V692" s="41"/>
      <c r="W692" s="41"/>
      <c r="X692" s="28"/>
      <c r="Y692" s="28"/>
      <c r="Z692" s="28"/>
      <c r="AA692" s="28"/>
      <c r="AB692" s="28"/>
      <c r="AC692" s="28"/>
      <c r="AD692" s="28"/>
    </row>
    <row r="693" spans="9:30" x14ac:dyDescent="0.35">
      <c r="I693" s="28" t="s">
        <v>1950</v>
      </c>
      <c r="J693" s="28" t="s">
        <v>245</v>
      </c>
      <c r="K693" s="28" t="str">
        <f t="shared" si="16"/>
        <v>PitalitoHuila</v>
      </c>
      <c r="L693" s="28"/>
      <c r="M693" s="28"/>
      <c r="N693" s="28"/>
      <c r="O693" s="28"/>
      <c r="P693" s="28"/>
      <c r="Q693" s="28"/>
      <c r="R693" s="28"/>
      <c r="S693" s="28"/>
      <c r="T693" s="28"/>
      <c r="U693" s="41"/>
      <c r="V693" s="41"/>
      <c r="W693" s="41"/>
      <c r="X693" s="28"/>
      <c r="Y693" s="28"/>
      <c r="Z693" s="28"/>
      <c r="AA693" s="28"/>
      <c r="AB693" s="28"/>
      <c r="AC693" s="28"/>
      <c r="AD693" s="28"/>
    </row>
    <row r="694" spans="9:30" x14ac:dyDescent="0.35">
      <c r="I694" s="28" t="s">
        <v>1951</v>
      </c>
      <c r="J694" s="28" t="s">
        <v>382</v>
      </c>
      <c r="K694" s="28" t="str">
        <f t="shared" si="16"/>
        <v>PivijayMagdalena</v>
      </c>
      <c r="L694" s="28"/>
      <c r="M694" s="28"/>
      <c r="N694" s="28"/>
      <c r="O694" s="28"/>
      <c r="P694" s="28"/>
      <c r="Q694" s="28"/>
      <c r="R694" s="28"/>
      <c r="S694" s="28"/>
      <c r="T694" s="28"/>
      <c r="U694" s="41"/>
      <c r="V694" s="41"/>
      <c r="W694" s="41"/>
      <c r="X694" s="28"/>
      <c r="Y694" s="28"/>
      <c r="Z694" s="28"/>
      <c r="AA694" s="28"/>
      <c r="AB694" s="28"/>
      <c r="AC694" s="28"/>
      <c r="AD694" s="28"/>
    </row>
    <row r="695" spans="9:30" x14ac:dyDescent="0.35">
      <c r="I695" s="28" t="s">
        <v>1952</v>
      </c>
      <c r="J695" s="28" t="s">
        <v>409</v>
      </c>
      <c r="K695" s="28" t="str">
        <f t="shared" si="16"/>
        <v>PlanadasTolima</v>
      </c>
      <c r="L695" s="28"/>
      <c r="M695" s="28"/>
      <c r="N695" s="28"/>
      <c r="O695" s="28"/>
      <c r="P695" s="28"/>
      <c r="Q695" s="28"/>
      <c r="R695" s="28"/>
      <c r="S695" s="28"/>
      <c r="T695" s="28"/>
      <c r="U695" s="41"/>
      <c r="V695" s="41"/>
      <c r="W695" s="41"/>
      <c r="X695" s="28"/>
      <c r="Y695" s="28"/>
      <c r="Z695" s="28"/>
      <c r="AA695" s="28"/>
      <c r="AB695" s="28"/>
      <c r="AC695" s="28"/>
      <c r="AD695" s="28"/>
    </row>
    <row r="696" spans="9:30" x14ac:dyDescent="0.35">
      <c r="I696" s="28" t="s">
        <v>1953</v>
      </c>
      <c r="J696" s="28" t="s">
        <v>337</v>
      </c>
      <c r="K696" s="28" t="str">
        <f t="shared" si="16"/>
        <v>Planeta RicaCordoba</v>
      </c>
      <c r="L696" s="28"/>
      <c r="M696" s="28"/>
      <c r="N696" s="28"/>
      <c r="O696" s="28"/>
      <c r="P696" s="28"/>
      <c r="Q696" s="28"/>
      <c r="R696" s="28"/>
      <c r="S696" s="28"/>
      <c r="T696" s="28"/>
      <c r="U696" s="41"/>
      <c r="V696" s="41"/>
      <c r="W696" s="41"/>
      <c r="X696" s="28"/>
      <c r="Y696" s="28"/>
      <c r="Z696" s="28"/>
      <c r="AA696" s="28"/>
      <c r="AB696" s="28"/>
      <c r="AC696" s="28"/>
      <c r="AD696" s="28"/>
    </row>
    <row r="697" spans="9:30" x14ac:dyDescent="0.35">
      <c r="I697" s="28" t="s">
        <v>1954</v>
      </c>
      <c r="J697" s="28" t="s">
        <v>382</v>
      </c>
      <c r="K697" s="28" t="str">
        <f t="shared" si="16"/>
        <v>PlatoMagdalena</v>
      </c>
      <c r="L697" s="28"/>
      <c r="M697" s="28"/>
      <c r="N697" s="28"/>
      <c r="O697" s="28"/>
      <c r="P697" s="28"/>
      <c r="Q697" s="28"/>
      <c r="R697" s="28"/>
      <c r="S697" s="28"/>
      <c r="T697" s="28"/>
      <c r="U697" s="41"/>
      <c r="V697" s="41"/>
      <c r="W697" s="41"/>
      <c r="X697" s="28"/>
      <c r="Y697" s="28"/>
      <c r="Z697" s="28"/>
      <c r="AA697" s="28"/>
      <c r="AB697" s="28"/>
      <c r="AC697" s="28"/>
      <c r="AD697" s="28"/>
    </row>
    <row r="698" spans="9:30" x14ac:dyDescent="0.35">
      <c r="I698" s="28" t="s">
        <v>1955</v>
      </c>
      <c r="J698" s="28" t="s">
        <v>352</v>
      </c>
      <c r="K698" s="28" t="str">
        <f t="shared" si="16"/>
        <v>PolicarpaNariño</v>
      </c>
      <c r="L698" s="28"/>
      <c r="M698" s="28"/>
      <c r="N698" s="28"/>
      <c r="O698" s="28"/>
      <c r="P698" s="28"/>
      <c r="Q698" s="28"/>
      <c r="R698" s="28"/>
      <c r="S698" s="28"/>
      <c r="T698" s="28"/>
      <c r="U698" s="41"/>
      <c r="V698" s="41"/>
      <c r="W698" s="41"/>
      <c r="X698" s="28"/>
      <c r="Y698" s="28"/>
      <c r="Z698" s="28"/>
      <c r="AA698" s="28"/>
      <c r="AB698" s="28"/>
      <c r="AC698" s="28"/>
      <c r="AD698" s="28"/>
    </row>
    <row r="699" spans="9:30" x14ac:dyDescent="0.35">
      <c r="I699" s="28" t="s">
        <v>1956</v>
      </c>
      <c r="J699" s="28" t="s">
        <v>231</v>
      </c>
      <c r="K699" s="28" t="str">
        <f t="shared" si="16"/>
        <v>PolonuevoAtlantico</v>
      </c>
      <c r="L699" s="28"/>
      <c r="M699" s="28"/>
      <c r="N699" s="28"/>
      <c r="O699" s="28"/>
      <c r="P699" s="28"/>
      <c r="Q699" s="28"/>
      <c r="R699" s="28"/>
      <c r="S699" s="28"/>
      <c r="T699" s="28"/>
      <c r="U699" s="41"/>
      <c r="V699" s="41"/>
      <c r="W699" s="41"/>
      <c r="X699" s="28"/>
      <c r="Y699" s="28"/>
      <c r="Z699" s="28"/>
      <c r="AA699" s="28"/>
      <c r="AB699" s="28"/>
      <c r="AC699" s="28"/>
      <c r="AD699" s="28"/>
    </row>
    <row r="700" spans="9:30" x14ac:dyDescent="0.35">
      <c r="I700" s="28" t="s">
        <v>1957</v>
      </c>
      <c r="J700" s="28" t="s">
        <v>231</v>
      </c>
      <c r="K700" s="28" t="str">
        <f t="shared" si="16"/>
        <v>PonederaAtlantico</v>
      </c>
      <c r="L700" s="28"/>
      <c r="M700" s="28"/>
      <c r="N700" s="28"/>
      <c r="O700" s="28"/>
      <c r="P700" s="28"/>
      <c r="Q700" s="28"/>
      <c r="R700" s="28"/>
      <c r="S700" s="28"/>
      <c r="T700" s="28"/>
      <c r="U700" s="41"/>
      <c r="V700" s="41"/>
      <c r="W700" s="41"/>
      <c r="X700" s="28"/>
      <c r="Y700" s="28"/>
      <c r="Z700" s="28"/>
      <c r="AA700" s="28"/>
      <c r="AB700" s="28"/>
      <c r="AC700" s="28"/>
      <c r="AD700" s="28"/>
    </row>
    <row r="701" spans="9:30" x14ac:dyDescent="0.35">
      <c r="I701" s="28" t="s">
        <v>1958</v>
      </c>
      <c r="J701" s="28" t="s">
        <v>315</v>
      </c>
      <c r="K701" s="28" t="str">
        <f t="shared" si="16"/>
        <v>PopayánCauca</v>
      </c>
      <c r="L701" s="28"/>
      <c r="M701" s="28"/>
      <c r="N701" s="28"/>
      <c r="O701" s="28"/>
      <c r="P701" s="28"/>
      <c r="Q701" s="28"/>
      <c r="R701" s="28"/>
      <c r="S701" s="28"/>
      <c r="T701" s="28"/>
      <c r="U701" s="41"/>
      <c r="V701" s="41"/>
      <c r="W701" s="41"/>
      <c r="X701" s="28"/>
      <c r="Y701" s="28"/>
      <c r="Z701" s="28"/>
      <c r="AA701" s="28"/>
      <c r="AB701" s="28"/>
      <c r="AC701" s="28"/>
      <c r="AD701" s="28"/>
    </row>
    <row r="702" spans="9:30" x14ac:dyDescent="0.35">
      <c r="I702" s="28" t="s">
        <v>1959</v>
      </c>
      <c r="J702" s="28" t="s">
        <v>305</v>
      </c>
      <c r="K702" s="28" t="str">
        <f t="shared" si="16"/>
        <v>PoreCasanare</v>
      </c>
      <c r="L702" s="28"/>
      <c r="M702" s="28"/>
      <c r="N702" s="28"/>
      <c r="O702" s="28"/>
      <c r="P702" s="28"/>
      <c r="Q702" s="28"/>
      <c r="R702" s="28"/>
      <c r="S702" s="28"/>
      <c r="T702" s="28"/>
      <c r="U702" s="41"/>
      <c r="V702" s="41"/>
      <c r="W702" s="41"/>
      <c r="X702" s="28"/>
      <c r="Y702" s="28"/>
      <c r="Z702" s="28"/>
      <c r="AA702" s="28"/>
      <c r="AB702" s="28"/>
      <c r="AC702" s="28"/>
      <c r="AD702" s="28"/>
    </row>
    <row r="703" spans="9:30" x14ac:dyDescent="0.35">
      <c r="I703" s="28" t="s">
        <v>1960</v>
      </c>
      <c r="J703" s="28" t="s">
        <v>352</v>
      </c>
      <c r="K703" s="28" t="str">
        <f t="shared" si="16"/>
        <v>PotosíNariño</v>
      </c>
      <c r="L703" s="28"/>
      <c r="M703" s="28"/>
      <c r="N703" s="28"/>
      <c r="O703" s="28"/>
      <c r="P703" s="28"/>
      <c r="Q703" s="28"/>
      <c r="R703" s="28"/>
      <c r="S703" s="28"/>
      <c r="T703" s="28"/>
      <c r="U703" s="41"/>
      <c r="V703" s="41"/>
      <c r="W703" s="41"/>
      <c r="X703" s="28"/>
      <c r="Y703" s="28"/>
      <c r="Z703" s="28"/>
      <c r="AA703" s="28"/>
      <c r="AB703" s="28"/>
      <c r="AC703" s="28"/>
      <c r="AD703" s="28"/>
    </row>
    <row r="704" spans="9:30" x14ac:dyDescent="0.35">
      <c r="I704" s="28" t="s">
        <v>1961</v>
      </c>
      <c r="J704" s="28" t="s">
        <v>381</v>
      </c>
      <c r="K704" s="28" t="str">
        <f t="shared" si="16"/>
        <v>PraderaValle del Cauca</v>
      </c>
      <c r="L704" s="28"/>
      <c r="M704" s="28"/>
      <c r="N704" s="28"/>
      <c r="O704" s="28"/>
      <c r="P704" s="28"/>
      <c r="Q704" s="28"/>
      <c r="R704" s="28"/>
      <c r="S704" s="28"/>
      <c r="T704" s="28"/>
      <c r="U704" s="41"/>
      <c r="V704" s="41"/>
      <c r="W704" s="41"/>
      <c r="X704" s="28"/>
      <c r="Y704" s="28"/>
      <c r="Z704" s="28"/>
      <c r="AA704" s="28"/>
      <c r="AB704" s="28"/>
      <c r="AC704" s="28"/>
      <c r="AD704" s="28"/>
    </row>
    <row r="705" spans="9:30" x14ac:dyDescent="0.35">
      <c r="I705" s="28" t="s">
        <v>1962</v>
      </c>
      <c r="J705" s="28" t="s">
        <v>409</v>
      </c>
      <c r="K705" s="28" t="str">
        <f t="shared" ref="K705:K768" si="17">_xlfn.CONCAT(TRIM(I705),TRIM(J705))</f>
        <v>PradoTolima</v>
      </c>
      <c r="L705" s="28"/>
      <c r="M705" s="28"/>
      <c r="N705" s="28"/>
      <c r="O705" s="28"/>
      <c r="P705" s="28"/>
      <c r="Q705" s="28"/>
      <c r="R705" s="28"/>
      <c r="S705" s="28"/>
      <c r="T705" s="28"/>
      <c r="U705" s="41"/>
      <c r="V705" s="41"/>
      <c r="W705" s="41"/>
      <c r="X705" s="28"/>
      <c r="Y705" s="28"/>
      <c r="Z705" s="28"/>
      <c r="AA705" s="28"/>
      <c r="AB705" s="28"/>
      <c r="AC705" s="28"/>
      <c r="AD705" s="28"/>
    </row>
    <row r="706" spans="9:30" x14ac:dyDescent="0.35">
      <c r="I706" s="28" t="s">
        <v>1963</v>
      </c>
      <c r="J706" s="28" t="s">
        <v>352</v>
      </c>
      <c r="K706" s="28" t="str">
        <f t="shared" si="17"/>
        <v>ProvidenciaNariño</v>
      </c>
      <c r="L706" s="28"/>
      <c r="M706" s="28"/>
      <c r="N706" s="28"/>
      <c r="O706" s="28"/>
      <c r="P706" s="28"/>
      <c r="Q706" s="28"/>
      <c r="R706" s="28"/>
      <c r="S706" s="28"/>
      <c r="T706" s="28"/>
      <c r="U706" s="41"/>
      <c r="V706" s="41"/>
      <c r="W706" s="41"/>
      <c r="X706" s="28"/>
      <c r="Y706" s="28"/>
      <c r="Z706" s="28"/>
      <c r="AA706" s="28"/>
      <c r="AB706" s="28"/>
      <c r="AC706" s="28"/>
      <c r="AD706" s="28"/>
    </row>
    <row r="707" spans="9:30" x14ac:dyDescent="0.35">
      <c r="I707" s="28" t="s">
        <v>1963</v>
      </c>
      <c r="J707" s="28" t="s">
        <v>211</v>
      </c>
      <c r="K707" s="28" t="str">
        <f t="shared" si="17"/>
        <v>ProvidenciaArchipielago de San Andres</v>
      </c>
      <c r="L707" s="28"/>
      <c r="M707" s="28"/>
      <c r="N707" s="28"/>
      <c r="O707" s="28"/>
      <c r="P707" s="28"/>
      <c r="Q707" s="28"/>
      <c r="R707" s="28"/>
      <c r="S707" s="28"/>
      <c r="T707" s="28"/>
      <c r="U707" s="41"/>
      <c r="V707" s="41"/>
      <c r="W707" s="41"/>
      <c r="X707" s="28"/>
      <c r="Y707" s="28"/>
      <c r="Z707" s="28"/>
      <c r="AA707" s="28"/>
      <c r="AB707" s="28"/>
      <c r="AC707" s="28"/>
      <c r="AD707" s="28"/>
    </row>
    <row r="708" spans="9:30" x14ac:dyDescent="0.35">
      <c r="I708" s="28" t="s">
        <v>1964</v>
      </c>
      <c r="J708" s="28" t="s">
        <v>293</v>
      </c>
      <c r="K708" s="28" t="str">
        <f t="shared" si="17"/>
        <v>Pueblo BelloCesar</v>
      </c>
      <c r="L708" s="28"/>
      <c r="M708" s="28"/>
      <c r="N708" s="28"/>
      <c r="O708" s="28"/>
      <c r="P708" s="28"/>
      <c r="Q708" s="28"/>
      <c r="R708" s="28"/>
      <c r="S708" s="28"/>
      <c r="T708" s="28"/>
      <c r="U708" s="41"/>
      <c r="V708" s="41"/>
      <c r="W708" s="41"/>
      <c r="X708" s="28"/>
      <c r="Y708" s="28"/>
      <c r="Z708" s="28"/>
      <c r="AA708" s="28"/>
      <c r="AB708" s="28"/>
      <c r="AC708" s="28"/>
      <c r="AD708" s="28"/>
    </row>
    <row r="709" spans="9:30" x14ac:dyDescent="0.35">
      <c r="I709" s="28" t="s">
        <v>1965</v>
      </c>
      <c r="J709" s="28" t="s">
        <v>337</v>
      </c>
      <c r="K709" s="28" t="str">
        <f t="shared" si="17"/>
        <v>Pueblo NuevoCordoba</v>
      </c>
      <c r="L709" s="28"/>
      <c r="M709" s="28"/>
      <c r="N709" s="28"/>
      <c r="O709" s="28"/>
      <c r="P709" s="28"/>
      <c r="Q709" s="28"/>
      <c r="R709" s="28"/>
      <c r="S709" s="28"/>
      <c r="T709" s="28"/>
      <c r="U709" s="41"/>
      <c r="V709" s="41"/>
      <c r="W709" s="41"/>
      <c r="X709" s="28"/>
      <c r="Y709" s="28"/>
      <c r="Z709" s="28"/>
      <c r="AA709" s="28"/>
      <c r="AB709" s="28"/>
      <c r="AC709" s="28"/>
      <c r="AD709" s="28"/>
    </row>
    <row r="710" spans="9:30" x14ac:dyDescent="0.35">
      <c r="I710" s="28" t="s">
        <v>1966</v>
      </c>
      <c r="J710" s="28" t="s">
        <v>405</v>
      </c>
      <c r="K710" s="28" t="str">
        <f t="shared" si="17"/>
        <v>Pueblo RicoRisaralda</v>
      </c>
      <c r="L710" s="28"/>
      <c r="M710" s="28"/>
      <c r="N710" s="28"/>
      <c r="O710" s="28"/>
      <c r="P710" s="28"/>
      <c r="Q710" s="28"/>
      <c r="R710" s="28"/>
      <c r="S710" s="28"/>
      <c r="T710" s="28"/>
      <c r="U710" s="41"/>
      <c r="V710" s="41"/>
      <c r="W710" s="41"/>
      <c r="X710" s="28"/>
      <c r="Y710" s="28"/>
      <c r="Z710" s="28"/>
      <c r="AA710" s="28"/>
      <c r="AB710" s="28"/>
      <c r="AC710" s="28"/>
      <c r="AD710" s="28"/>
    </row>
    <row r="711" spans="9:30" x14ac:dyDescent="0.35">
      <c r="I711" s="28" t="s">
        <v>1967</v>
      </c>
      <c r="J711" s="28" t="s">
        <v>154</v>
      </c>
      <c r="K711" s="28" t="str">
        <f t="shared" si="17"/>
        <v>PueblorricoAntioquia</v>
      </c>
      <c r="L711" s="28"/>
      <c r="M711" s="28"/>
      <c r="N711" s="28"/>
      <c r="O711" s="28"/>
      <c r="P711" s="28"/>
      <c r="Q711" s="28"/>
      <c r="R711" s="28"/>
      <c r="S711" s="28"/>
      <c r="T711" s="28"/>
      <c r="U711" s="41"/>
      <c r="V711" s="41"/>
      <c r="W711" s="41"/>
      <c r="X711" s="28"/>
      <c r="Y711" s="28"/>
      <c r="Z711" s="28"/>
      <c r="AA711" s="28"/>
      <c r="AB711" s="28"/>
      <c r="AC711" s="28"/>
      <c r="AD711" s="28"/>
    </row>
    <row r="712" spans="9:30" x14ac:dyDescent="0.35">
      <c r="I712" s="28" t="s">
        <v>1968</v>
      </c>
      <c r="J712" s="28" t="s">
        <v>382</v>
      </c>
      <c r="K712" s="28" t="str">
        <f t="shared" si="17"/>
        <v>PuebloviejoMagdalena</v>
      </c>
      <c r="L712" s="28"/>
      <c r="M712" s="28"/>
      <c r="N712" s="28"/>
      <c r="O712" s="28"/>
      <c r="P712" s="28"/>
      <c r="Q712" s="28"/>
      <c r="R712" s="28"/>
      <c r="S712" s="28"/>
      <c r="T712" s="28"/>
      <c r="U712" s="41"/>
      <c r="V712" s="41"/>
      <c r="W712" s="41"/>
      <c r="X712" s="28"/>
      <c r="Y712" s="28"/>
      <c r="Z712" s="28"/>
      <c r="AA712" s="28"/>
      <c r="AB712" s="28"/>
      <c r="AC712" s="28"/>
      <c r="AD712" s="28"/>
    </row>
    <row r="713" spans="9:30" x14ac:dyDescent="0.35">
      <c r="I713" s="28" t="s">
        <v>1969</v>
      </c>
      <c r="J713" s="28" t="s">
        <v>304</v>
      </c>
      <c r="K713" s="28" t="str">
        <f t="shared" si="17"/>
        <v>Puente NacionalSantander</v>
      </c>
      <c r="L713" s="28"/>
      <c r="M713" s="28"/>
      <c r="N713" s="28"/>
      <c r="O713" s="28"/>
      <c r="P713" s="28"/>
      <c r="Q713" s="28"/>
      <c r="R713" s="28"/>
      <c r="S713" s="28"/>
      <c r="T713" s="28"/>
      <c r="U713" s="41"/>
      <c r="V713" s="41"/>
      <c r="W713" s="41"/>
      <c r="X713" s="28"/>
      <c r="Y713" s="28"/>
      <c r="Z713" s="28"/>
      <c r="AA713" s="28"/>
      <c r="AB713" s="28"/>
      <c r="AC713" s="28"/>
      <c r="AD713" s="28"/>
    </row>
    <row r="714" spans="9:30" x14ac:dyDescent="0.35">
      <c r="I714" s="28" t="s">
        <v>1970</v>
      </c>
      <c r="J714" s="28" t="s">
        <v>352</v>
      </c>
      <c r="K714" s="28" t="str">
        <f t="shared" si="17"/>
        <v>PuerresNariño</v>
      </c>
      <c r="L714" s="28"/>
      <c r="M714" s="28"/>
      <c r="N714" s="28"/>
      <c r="O714" s="28"/>
      <c r="P714" s="28"/>
      <c r="Q714" s="28"/>
      <c r="R714" s="28"/>
      <c r="S714" s="28"/>
      <c r="T714" s="28"/>
      <c r="U714" s="41"/>
      <c r="V714" s="41"/>
      <c r="W714" s="41"/>
      <c r="X714" s="28"/>
      <c r="Y714" s="28"/>
      <c r="Z714" s="28"/>
      <c r="AA714" s="28"/>
      <c r="AB714" s="28"/>
      <c r="AC714" s="28"/>
      <c r="AD714" s="28"/>
    </row>
    <row r="715" spans="9:30" x14ac:dyDescent="0.35">
      <c r="I715" s="28" t="s">
        <v>1971</v>
      </c>
      <c r="J715" s="28" t="s">
        <v>155</v>
      </c>
      <c r="K715" s="28" t="str">
        <f t="shared" si="17"/>
        <v>Puerto AlegríaAmazonas</v>
      </c>
      <c r="L715" s="28"/>
      <c r="M715" s="28"/>
      <c r="N715" s="28"/>
      <c r="O715" s="28"/>
      <c r="P715" s="28"/>
      <c r="Q715" s="28"/>
      <c r="R715" s="28"/>
      <c r="S715" s="28"/>
      <c r="T715" s="28"/>
      <c r="U715" s="41"/>
      <c r="V715" s="41"/>
      <c r="W715" s="41"/>
      <c r="X715" s="28"/>
      <c r="Y715" s="28"/>
      <c r="Z715" s="28"/>
      <c r="AA715" s="28"/>
      <c r="AB715" s="28"/>
      <c r="AC715" s="28"/>
      <c r="AD715" s="28"/>
    </row>
    <row r="716" spans="9:30" x14ac:dyDescent="0.35">
      <c r="I716" s="28" t="s">
        <v>1972</v>
      </c>
      <c r="J716" s="28" t="s">
        <v>155</v>
      </c>
      <c r="K716" s="28" t="str">
        <f t="shared" si="17"/>
        <v>Puerto AricaAmazonas</v>
      </c>
      <c r="L716" s="28"/>
      <c r="M716" s="28"/>
      <c r="N716" s="28"/>
      <c r="O716" s="28"/>
      <c r="P716" s="28"/>
      <c r="Q716" s="28"/>
      <c r="R716" s="28"/>
      <c r="S716" s="28"/>
      <c r="T716" s="28"/>
      <c r="U716" s="41"/>
      <c r="V716" s="41"/>
      <c r="W716" s="41"/>
      <c r="X716" s="28"/>
      <c r="Y716" s="28"/>
      <c r="Z716" s="28"/>
      <c r="AA716" s="28"/>
      <c r="AB716" s="28"/>
      <c r="AC716" s="28"/>
      <c r="AD716" s="28"/>
    </row>
    <row r="717" spans="9:30" x14ac:dyDescent="0.35">
      <c r="I717" s="28" t="s">
        <v>1973</v>
      </c>
      <c r="J717" s="28" t="s">
        <v>396</v>
      </c>
      <c r="K717" s="28" t="str">
        <f t="shared" si="17"/>
        <v>Puerto AsísPutumayo</v>
      </c>
      <c r="L717" s="28"/>
      <c r="M717" s="28"/>
      <c r="N717" s="28"/>
      <c r="O717" s="28"/>
      <c r="P717" s="28"/>
      <c r="Q717" s="28"/>
      <c r="R717" s="28"/>
      <c r="S717" s="28"/>
      <c r="T717" s="28"/>
      <c r="U717" s="41"/>
      <c r="V717" s="41"/>
      <c r="W717" s="41"/>
      <c r="X717" s="28"/>
      <c r="Y717" s="28"/>
      <c r="Z717" s="28"/>
      <c r="AA717" s="28"/>
      <c r="AB717" s="28"/>
      <c r="AC717" s="28"/>
      <c r="AD717" s="28"/>
    </row>
    <row r="718" spans="9:30" x14ac:dyDescent="0.35">
      <c r="I718" s="28" t="s">
        <v>1974</v>
      </c>
      <c r="J718" s="28" t="s">
        <v>154</v>
      </c>
      <c r="K718" s="28" t="str">
        <f t="shared" si="17"/>
        <v>Puerto BerríoAntioquia</v>
      </c>
      <c r="L718" s="28"/>
      <c r="M718" s="28"/>
      <c r="N718" s="28"/>
      <c r="O718" s="28"/>
      <c r="P718" s="28"/>
      <c r="Q718" s="28"/>
      <c r="R718" s="28"/>
      <c r="S718" s="28"/>
      <c r="T718" s="28"/>
      <c r="U718" s="41"/>
      <c r="V718" s="41"/>
      <c r="W718" s="41"/>
      <c r="X718" s="28"/>
      <c r="Y718" s="28"/>
      <c r="Z718" s="28"/>
      <c r="AA718" s="28"/>
      <c r="AB718" s="28"/>
      <c r="AC718" s="28"/>
      <c r="AD718" s="28"/>
    </row>
    <row r="719" spans="9:30" x14ac:dyDescent="0.35">
      <c r="I719" s="28" t="s">
        <v>1975</v>
      </c>
      <c r="J719" s="28" t="s">
        <v>274</v>
      </c>
      <c r="K719" s="28" t="str">
        <f t="shared" si="17"/>
        <v>Puerto BoyacáBoyaca</v>
      </c>
      <c r="L719" s="28"/>
      <c r="M719" s="28"/>
      <c r="N719" s="28"/>
      <c r="O719" s="28"/>
      <c r="P719" s="28"/>
      <c r="Q719" s="28"/>
      <c r="R719" s="28"/>
      <c r="S719" s="28"/>
      <c r="T719" s="28"/>
      <c r="U719" s="41"/>
      <c r="V719" s="41"/>
      <c r="W719" s="41"/>
      <c r="X719" s="28"/>
      <c r="Y719" s="28"/>
      <c r="Z719" s="28"/>
      <c r="AA719" s="28"/>
      <c r="AB719" s="28"/>
      <c r="AC719" s="28"/>
      <c r="AD719" s="28"/>
    </row>
    <row r="720" spans="9:30" x14ac:dyDescent="0.35">
      <c r="I720" s="28" t="s">
        <v>1976</v>
      </c>
      <c r="J720" s="28" t="s">
        <v>396</v>
      </c>
      <c r="K720" s="28" t="str">
        <f t="shared" si="17"/>
        <v>Puerto CaicedoPutumayo</v>
      </c>
      <c r="L720" s="28"/>
      <c r="M720" s="28"/>
      <c r="N720" s="28"/>
      <c r="O720" s="28"/>
      <c r="P720" s="28"/>
      <c r="Q720" s="28"/>
      <c r="R720" s="28"/>
      <c r="S720" s="28"/>
      <c r="T720" s="28"/>
      <c r="U720" s="41"/>
      <c r="V720" s="41"/>
      <c r="W720" s="41"/>
      <c r="X720" s="28"/>
      <c r="Y720" s="28"/>
      <c r="Z720" s="28"/>
      <c r="AA720" s="28"/>
      <c r="AB720" s="28"/>
      <c r="AC720" s="28"/>
      <c r="AD720" s="28"/>
    </row>
    <row r="721" spans="9:30" x14ac:dyDescent="0.35">
      <c r="I721" s="28" t="s">
        <v>1977</v>
      </c>
      <c r="J721" s="28" t="s">
        <v>428</v>
      </c>
      <c r="K721" s="28" t="str">
        <f t="shared" si="17"/>
        <v>Puerto CarreñoVichada</v>
      </c>
      <c r="L721" s="28"/>
      <c r="M721" s="28"/>
      <c r="N721" s="28"/>
      <c r="O721" s="28"/>
      <c r="P721" s="28"/>
      <c r="Q721" s="28"/>
      <c r="R721" s="28"/>
      <c r="S721" s="28"/>
      <c r="T721" s="28"/>
      <c r="U721" s="41"/>
      <c r="V721" s="41"/>
      <c r="W721" s="41"/>
      <c r="X721" s="28"/>
      <c r="Y721" s="28"/>
      <c r="Z721" s="28"/>
      <c r="AA721" s="28"/>
      <c r="AB721" s="28"/>
      <c r="AC721" s="28"/>
      <c r="AD721" s="28"/>
    </row>
    <row r="722" spans="9:30" x14ac:dyDescent="0.35">
      <c r="I722" s="28" t="s">
        <v>1978</v>
      </c>
      <c r="J722" s="28" t="s">
        <v>231</v>
      </c>
      <c r="K722" s="28" t="str">
        <f t="shared" si="17"/>
        <v>Puerto ColombiaAtlantico</v>
      </c>
      <c r="L722" s="28"/>
      <c r="M722" s="28"/>
      <c r="N722" s="28"/>
      <c r="O722" s="28"/>
      <c r="P722" s="28"/>
      <c r="Q722" s="28"/>
      <c r="R722" s="28"/>
      <c r="S722" s="28"/>
      <c r="T722" s="28"/>
      <c r="U722" s="41"/>
      <c r="V722" s="41"/>
      <c r="W722" s="41"/>
      <c r="X722" s="28"/>
      <c r="Y722" s="28"/>
      <c r="Z722" s="28"/>
      <c r="AA722" s="28"/>
      <c r="AB722" s="28"/>
      <c r="AC722" s="28"/>
      <c r="AD722" s="28"/>
    </row>
    <row r="723" spans="9:30" x14ac:dyDescent="0.35">
      <c r="I723" s="28" t="s">
        <v>1978</v>
      </c>
      <c r="J723" s="28" t="s">
        <v>353</v>
      </c>
      <c r="K723" s="28" t="str">
        <f t="shared" si="17"/>
        <v>Puerto ColombiaGuainia</v>
      </c>
      <c r="L723" s="28"/>
      <c r="M723" s="28"/>
      <c r="N723" s="28"/>
      <c r="O723" s="28"/>
      <c r="P723" s="28"/>
      <c r="Q723" s="28"/>
      <c r="R723" s="28"/>
      <c r="S723" s="28"/>
      <c r="T723" s="28"/>
      <c r="U723" s="41"/>
      <c r="V723" s="41"/>
      <c r="W723" s="41"/>
      <c r="X723" s="28"/>
      <c r="Y723" s="28"/>
      <c r="Z723" s="28"/>
      <c r="AA723" s="28"/>
      <c r="AB723" s="28"/>
      <c r="AC723" s="28"/>
      <c r="AD723" s="28"/>
    </row>
    <row r="724" spans="9:30" x14ac:dyDescent="0.35">
      <c r="I724" s="28" t="s">
        <v>1979</v>
      </c>
      <c r="J724" s="28" t="s">
        <v>210</v>
      </c>
      <c r="K724" s="28" t="str">
        <f t="shared" si="17"/>
        <v>Puerto ConcordiaMeta</v>
      </c>
      <c r="L724" s="28"/>
      <c r="M724" s="28"/>
      <c r="N724" s="28"/>
      <c r="O724" s="28"/>
      <c r="P724" s="28"/>
      <c r="Q724" s="28"/>
      <c r="R724" s="28"/>
      <c r="S724" s="28"/>
      <c r="T724" s="28"/>
      <c r="U724" s="41"/>
      <c r="V724" s="41"/>
      <c r="W724" s="41"/>
      <c r="X724" s="28"/>
      <c r="Y724" s="28"/>
      <c r="Z724" s="28"/>
      <c r="AA724" s="28"/>
      <c r="AB724" s="28"/>
      <c r="AC724" s="28"/>
      <c r="AD724" s="28"/>
    </row>
    <row r="725" spans="9:30" x14ac:dyDescent="0.35">
      <c r="I725" s="28" t="s">
        <v>1980</v>
      </c>
      <c r="J725" s="28" t="s">
        <v>337</v>
      </c>
      <c r="K725" s="28" t="str">
        <f t="shared" si="17"/>
        <v>Puerto EscondidoCordoba</v>
      </c>
      <c r="L725" s="28"/>
      <c r="M725" s="28"/>
      <c r="N725" s="28"/>
      <c r="O725" s="28"/>
      <c r="P725" s="28"/>
      <c r="Q725" s="28"/>
      <c r="R725" s="28"/>
      <c r="S725" s="28"/>
      <c r="T725" s="28"/>
      <c r="U725" s="41"/>
      <c r="V725" s="41"/>
      <c r="W725" s="41"/>
      <c r="X725" s="28"/>
      <c r="Y725" s="28"/>
      <c r="Z725" s="28"/>
      <c r="AA725" s="28"/>
      <c r="AB725" s="28"/>
      <c r="AC725" s="28"/>
      <c r="AD725" s="28"/>
    </row>
    <row r="726" spans="9:30" x14ac:dyDescent="0.35">
      <c r="I726" s="28" t="s">
        <v>1981</v>
      </c>
      <c r="J726" s="28" t="s">
        <v>210</v>
      </c>
      <c r="K726" s="28" t="str">
        <f t="shared" si="17"/>
        <v>Puerto GaitánMeta</v>
      </c>
      <c r="L726" s="28"/>
      <c r="M726" s="28"/>
      <c r="N726" s="28"/>
      <c r="O726" s="28"/>
      <c r="P726" s="28"/>
      <c r="Q726" s="28"/>
      <c r="R726" s="28"/>
      <c r="S726" s="28"/>
      <c r="T726" s="28"/>
      <c r="U726" s="41"/>
      <c r="V726" s="41"/>
      <c r="W726" s="41"/>
      <c r="X726" s="28"/>
      <c r="Y726" s="28"/>
      <c r="Z726" s="28"/>
      <c r="AA726" s="28"/>
      <c r="AB726" s="28"/>
      <c r="AC726" s="28"/>
      <c r="AD726" s="28"/>
    </row>
    <row r="727" spans="9:30" x14ac:dyDescent="0.35">
      <c r="I727" s="28" t="s">
        <v>1982</v>
      </c>
      <c r="J727" s="28" t="s">
        <v>396</v>
      </c>
      <c r="K727" s="28" t="str">
        <f t="shared" si="17"/>
        <v>Puerto GuzmánPutumayo</v>
      </c>
      <c r="L727" s="28"/>
      <c r="M727" s="28"/>
      <c r="N727" s="28"/>
      <c r="O727" s="28"/>
      <c r="P727" s="28"/>
      <c r="Q727" s="28"/>
      <c r="R727" s="28"/>
      <c r="S727" s="28"/>
      <c r="T727" s="28"/>
      <c r="U727" s="41"/>
      <c r="V727" s="41"/>
      <c r="W727" s="41"/>
      <c r="X727" s="28"/>
      <c r="Y727" s="28"/>
      <c r="Z727" s="28"/>
      <c r="AA727" s="28"/>
      <c r="AB727" s="28"/>
      <c r="AC727" s="28"/>
      <c r="AD727" s="28"/>
    </row>
    <row r="728" spans="9:30" x14ac:dyDescent="0.35">
      <c r="I728" s="28" t="s">
        <v>1983</v>
      </c>
      <c r="J728" s="28" t="s">
        <v>337</v>
      </c>
      <c r="K728" s="28" t="str">
        <f t="shared" si="17"/>
        <v>Puerto LibertadorCordoba</v>
      </c>
      <c r="L728" s="28"/>
      <c r="M728" s="28"/>
      <c r="N728" s="28"/>
      <c r="O728" s="28"/>
      <c r="P728" s="28"/>
      <c r="Q728" s="28"/>
      <c r="R728" s="28"/>
      <c r="S728" s="28"/>
      <c r="T728" s="28"/>
      <c r="U728" s="41"/>
      <c r="V728" s="41"/>
      <c r="W728" s="41"/>
      <c r="X728" s="28"/>
      <c r="Y728" s="28"/>
      <c r="Z728" s="28"/>
      <c r="AA728" s="28"/>
      <c r="AB728" s="28"/>
      <c r="AC728" s="28"/>
      <c r="AD728" s="28"/>
    </row>
    <row r="729" spans="9:30" x14ac:dyDescent="0.35">
      <c r="I729" s="28" t="s">
        <v>1984</v>
      </c>
      <c r="J729" s="28" t="s">
        <v>210</v>
      </c>
      <c r="K729" s="28" t="str">
        <f t="shared" si="17"/>
        <v>Puerto LlerasMeta</v>
      </c>
      <c r="L729" s="28"/>
      <c r="M729" s="28"/>
      <c r="N729" s="28"/>
      <c r="O729" s="28"/>
      <c r="P729" s="28"/>
      <c r="Q729" s="28"/>
      <c r="R729" s="28"/>
      <c r="S729" s="28"/>
      <c r="T729" s="28"/>
      <c r="U729" s="41"/>
      <c r="V729" s="41"/>
      <c r="W729" s="41"/>
      <c r="X729" s="28"/>
      <c r="Y729" s="28"/>
      <c r="Z729" s="28"/>
      <c r="AA729" s="28"/>
      <c r="AB729" s="28"/>
      <c r="AC729" s="28"/>
      <c r="AD729" s="28"/>
    </row>
    <row r="730" spans="9:30" x14ac:dyDescent="0.35">
      <c r="I730" s="28" t="s">
        <v>1985</v>
      </c>
      <c r="J730" s="28" t="s">
        <v>210</v>
      </c>
      <c r="K730" s="28" t="str">
        <f t="shared" si="17"/>
        <v>Puerto LópezMeta</v>
      </c>
      <c r="L730" s="28"/>
      <c r="M730" s="28"/>
      <c r="N730" s="28"/>
      <c r="O730" s="28"/>
      <c r="P730" s="28"/>
      <c r="Q730" s="28"/>
      <c r="R730" s="28"/>
      <c r="S730" s="28"/>
      <c r="T730" s="28"/>
      <c r="U730" s="41"/>
      <c r="V730" s="41"/>
      <c r="W730" s="41"/>
      <c r="X730" s="28"/>
      <c r="Y730" s="28"/>
      <c r="Z730" s="28"/>
      <c r="AA730" s="28"/>
      <c r="AB730" s="28"/>
      <c r="AC730" s="28"/>
      <c r="AD730" s="28"/>
    </row>
    <row r="731" spans="9:30" x14ac:dyDescent="0.35">
      <c r="I731" s="28" t="s">
        <v>1986</v>
      </c>
      <c r="J731" s="28" t="s">
        <v>154</v>
      </c>
      <c r="K731" s="28" t="str">
        <f t="shared" si="17"/>
        <v>Puerto NareAntioquia</v>
      </c>
      <c r="L731" s="28"/>
      <c r="M731" s="28"/>
      <c r="N731" s="28"/>
      <c r="O731" s="28"/>
      <c r="P731" s="28"/>
      <c r="Q731" s="28"/>
      <c r="R731" s="28"/>
      <c r="S731" s="28"/>
      <c r="T731" s="28"/>
      <c r="U731" s="41"/>
      <c r="V731" s="41"/>
      <c r="W731" s="41"/>
      <c r="X731" s="28"/>
      <c r="Y731" s="28"/>
      <c r="Z731" s="28"/>
      <c r="AA731" s="28"/>
      <c r="AB731" s="28"/>
      <c r="AC731" s="28"/>
      <c r="AD731" s="28"/>
    </row>
    <row r="732" spans="9:30" x14ac:dyDescent="0.35">
      <c r="I732" s="28" t="s">
        <v>1987</v>
      </c>
      <c r="J732" s="28" t="s">
        <v>155</v>
      </c>
      <c r="K732" s="28" t="str">
        <f t="shared" si="17"/>
        <v>Puerto NariñoAmazonas</v>
      </c>
      <c r="L732" s="28"/>
      <c r="M732" s="28"/>
      <c r="N732" s="28"/>
      <c r="O732" s="28"/>
      <c r="P732" s="28"/>
      <c r="Q732" s="28"/>
      <c r="R732" s="28"/>
      <c r="S732" s="28"/>
      <c r="T732" s="28"/>
      <c r="U732" s="41"/>
      <c r="V732" s="41"/>
      <c r="W732" s="41"/>
      <c r="X732" s="28"/>
      <c r="Y732" s="28"/>
      <c r="Z732" s="28"/>
      <c r="AA732" s="28"/>
      <c r="AB732" s="28"/>
      <c r="AC732" s="28"/>
      <c r="AD732" s="28"/>
    </row>
    <row r="733" spans="9:30" x14ac:dyDescent="0.35">
      <c r="I733" s="28" t="s">
        <v>1988</v>
      </c>
      <c r="J733" s="28" t="s">
        <v>304</v>
      </c>
      <c r="K733" s="28" t="str">
        <f t="shared" si="17"/>
        <v>Puerto ParraSantander</v>
      </c>
      <c r="L733" s="28"/>
      <c r="M733" s="28"/>
      <c r="N733" s="28"/>
      <c r="O733" s="28"/>
      <c r="P733" s="28"/>
      <c r="Q733" s="28"/>
      <c r="R733" s="28"/>
      <c r="S733" s="28"/>
      <c r="T733" s="28"/>
      <c r="U733" s="41"/>
      <c r="V733" s="41"/>
      <c r="W733" s="41"/>
      <c r="X733" s="28"/>
      <c r="Y733" s="28"/>
      <c r="Z733" s="28"/>
      <c r="AA733" s="28"/>
      <c r="AB733" s="28"/>
      <c r="AC733" s="28"/>
      <c r="AD733" s="28"/>
    </row>
    <row r="734" spans="9:30" x14ac:dyDescent="0.35">
      <c r="I734" s="28" t="s">
        <v>1989</v>
      </c>
      <c r="J734" s="28" t="s">
        <v>294</v>
      </c>
      <c r="K734" s="28" t="str">
        <f t="shared" si="17"/>
        <v>Puerto RicoCaqueta</v>
      </c>
      <c r="L734" s="28"/>
      <c r="M734" s="28"/>
      <c r="N734" s="28"/>
      <c r="O734" s="28"/>
      <c r="P734" s="28"/>
      <c r="Q734" s="28"/>
      <c r="R734" s="28"/>
      <c r="S734" s="28"/>
      <c r="T734" s="28"/>
      <c r="U734" s="41"/>
      <c r="V734" s="41"/>
      <c r="W734" s="41"/>
      <c r="X734" s="28"/>
      <c r="Y734" s="28"/>
      <c r="Z734" s="28"/>
      <c r="AA734" s="28"/>
      <c r="AB734" s="28"/>
      <c r="AC734" s="28"/>
      <c r="AD734" s="28"/>
    </row>
    <row r="735" spans="9:30" x14ac:dyDescent="0.35">
      <c r="I735" s="28" t="s">
        <v>1989</v>
      </c>
      <c r="J735" s="28" t="s">
        <v>210</v>
      </c>
      <c r="K735" s="28" t="str">
        <f t="shared" si="17"/>
        <v>Puerto RicoMeta</v>
      </c>
      <c r="L735" s="28"/>
      <c r="M735" s="28"/>
      <c r="N735" s="28"/>
      <c r="O735" s="28"/>
      <c r="P735" s="28"/>
      <c r="Q735" s="28"/>
      <c r="R735" s="28"/>
      <c r="S735" s="28"/>
      <c r="T735" s="28"/>
      <c r="U735" s="41"/>
      <c r="V735" s="41"/>
      <c r="W735" s="41"/>
      <c r="X735" s="28"/>
      <c r="Y735" s="28"/>
      <c r="Z735" s="28"/>
      <c r="AA735" s="28"/>
      <c r="AB735" s="28"/>
      <c r="AC735" s="28"/>
      <c r="AD735" s="28"/>
    </row>
    <row r="736" spans="9:30" x14ac:dyDescent="0.35">
      <c r="I736" s="28" t="s">
        <v>1990</v>
      </c>
      <c r="J736" s="28" t="s">
        <v>204</v>
      </c>
      <c r="K736" s="28" t="str">
        <f t="shared" si="17"/>
        <v>Puerto RondónArauca</v>
      </c>
      <c r="L736" s="28"/>
      <c r="M736" s="28"/>
      <c r="N736" s="28"/>
      <c r="O736" s="28"/>
      <c r="P736" s="28"/>
      <c r="Q736" s="28"/>
      <c r="R736" s="28"/>
      <c r="S736" s="28"/>
      <c r="T736" s="28"/>
      <c r="U736" s="41"/>
      <c r="V736" s="41"/>
      <c r="W736" s="41"/>
      <c r="X736" s="28"/>
      <c r="Y736" s="28"/>
      <c r="Z736" s="28"/>
      <c r="AA736" s="28"/>
      <c r="AB736" s="28"/>
      <c r="AC736" s="28"/>
      <c r="AD736" s="28"/>
    </row>
    <row r="737" spans="9:30" x14ac:dyDescent="0.35">
      <c r="I737" s="28" t="s">
        <v>1991</v>
      </c>
      <c r="J737" s="28" t="s">
        <v>283</v>
      </c>
      <c r="K737" s="28" t="str">
        <f t="shared" si="17"/>
        <v>Puerto SalgarCundinamarca</v>
      </c>
      <c r="L737" s="28"/>
      <c r="M737" s="28"/>
      <c r="N737" s="28"/>
      <c r="O737" s="28"/>
      <c r="P737" s="28"/>
      <c r="Q737" s="28"/>
      <c r="R737" s="28"/>
      <c r="S737" s="28"/>
      <c r="T737" s="28"/>
      <c r="U737" s="41"/>
      <c r="V737" s="41"/>
      <c r="W737" s="41"/>
      <c r="X737" s="28"/>
      <c r="Y737" s="28"/>
      <c r="Z737" s="28"/>
      <c r="AA737" s="28"/>
      <c r="AB737" s="28"/>
      <c r="AC737" s="28"/>
      <c r="AD737" s="28"/>
    </row>
    <row r="738" spans="9:30" x14ac:dyDescent="0.35">
      <c r="I738" s="28" t="s">
        <v>1992</v>
      </c>
      <c r="J738" s="28" t="s">
        <v>190</v>
      </c>
      <c r="K738" s="28" t="str">
        <f t="shared" si="17"/>
        <v>Puerto SantanderNorte de Santander</v>
      </c>
      <c r="L738" s="28"/>
      <c r="M738" s="28"/>
      <c r="N738" s="28"/>
      <c r="O738" s="28"/>
      <c r="P738" s="28"/>
      <c r="Q738" s="28"/>
      <c r="R738" s="28"/>
      <c r="S738" s="28"/>
      <c r="T738" s="28"/>
      <c r="U738" s="41"/>
      <c r="V738" s="41"/>
      <c r="W738" s="41"/>
      <c r="X738" s="28"/>
      <c r="Y738" s="28"/>
      <c r="Z738" s="28"/>
      <c r="AA738" s="28"/>
      <c r="AB738" s="28"/>
      <c r="AC738" s="28"/>
      <c r="AD738" s="28"/>
    </row>
    <row r="739" spans="9:30" x14ac:dyDescent="0.35">
      <c r="I739" s="28" t="s">
        <v>1992</v>
      </c>
      <c r="J739" s="28" t="s">
        <v>155</v>
      </c>
      <c r="K739" s="28" t="str">
        <f t="shared" si="17"/>
        <v>Puerto SantanderAmazonas</v>
      </c>
      <c r="L739" s="28"/>
      <c r="M739" s="28"/>
      <c r="N739" s="28"/>
      <c r="O739" s="28"/>
      <c r="P739" s="28"/>
      <c r="Q739" s="28"/>
      <c r="R739" s="28"/>
      <c r="S739" s="28"/>
      <c r="T739" s="28"/>
      <c r="U739" s="41"/>
      <c r="V739" s="41"/>
      <c r="W739" s="41"/>
      <c r="X739" s="28"/>
      <c r="Y739" s="28"/>
      <c r="Z739" s="28"/>
      <c r="AA739" s="28"/>
      <c r="AB739" s="28"/>
      <c r="AC739" s="28"/>
      <c r="AD739" s="28"/>
    </row>
    <row r="740" spans="9:30" x14ac:dyDescent="0.35">
      <c r="I740" s="28" t="s">
        <v>1993</v>
      </c>
      <c r="J740" s="28" t="s">
        <v>315</v>
      </c>
      <c r="K740" s="28" t="str">
        <f t="shared" si="17"/>
        <v>Puerto TejadaCauca</v>
      </c>
      <c r="L740" s="28"/>
      <c r="M740" s="28"/>
      <c r="N740" s="28"/>
      <c r="O740" s="28"/>
      <c r="P740" s="28"/>
      <c r="Q740" s="28"/>
      <c r="R740" s="28"/>
      <c r="S740" s="28"/>
      <c r="T740" s="28"/>
      <c r="U740" s="41"/>
      <c r="V740" s="41"/>
      <c r="W740" s="41"/>
      <c r="X740" s="28"/>
      <c r="Y740" s="28"/>
      <c r="Z740" s="28"/>
      <c r="AA740" s="28"/>
      <c r="AB740" s="28"/>
      <c r="AC740" s="28"/>
      <c r="AD740" s="28"/>
    </row>
    <row r="741" spans="9:30" x14ac:dyDescent="0.35">
      <c r="I741" s="28" t="s">
        <v>1994</v>
      </c>
      <c r="J741" s="28" t="s">
        <v>154</v>
      </c>
      <c r="K741" s="28" t="str">
        <f t="shared" si="17"/>
        <v>Puerto TriunfoAntioquia</v>
      </c>
      <c r="L741" s="28"/>
      <c r="M741" s="28"/>
      <c r="N741" s="28"/>
      <c r="O741" s="28"/>
      <c r="P741" s="28"/>
      <c r="Q741" s="28"/>
      <c r="R741" s="28"/>
      <c r="S741" s="28"/>
      <c r="T741" s="28"/>
      <c r="U741" s="41"/>
      <c r="V741" s="41"/>
      <c r="W741" s="41"/>
      <c r="X741" s="28"/>
      <c r="Y741" s="28"/>
      <c r="Z741" s="28"/>
      <c r="AA741" s="28"/>
      <c r="AB741" s="28"/>
      <c r="AC741" s="28"/>
      <c r="AD741" s="28"/>
    </row>
    <row r="742" spans="9:30" x14ac:dyDescent="0.35">
      <c r="I742" s="28" t="s">
        <v>1995</v>
      </c>
      <c r="J742" s="28" t="s">
        <v>304</v>
      </c>
      <c r="K742" s="28" t="str">
        <f t="shared" si="17"/>
        <v>Puerto WilchesSantander</v>
      </c>
      <c r="L742" s="28"/>
      <c r="M742" s="28"/>
      <c r="N742" s="28"/>
      <c r="O742" s="28"/>
      <c r="P742" s="28"/>
      <c r="Q742" s="28"/>
      <c r="R742" s="28"/>
      <c r="S742" s="28"/>
      <c r="T742" s="28"/>
      <c r="U742" s="41"/>
      <c r="V742" s="41"/>
      <c r="W742" s="41"/>
      <c r="X742" s="28"/>
      <c r="Y742" s="28"/>
      <c r="Z742" s="28"/>
      <c r="AA742" s="28"/>
      <c r="AB742" s="28"/>
      <c r="AC742" s="28"/>
      <c r="AD742" s="28"/>
    </row>
    <row r="743" spans="9:30" x14ac:dyDescent="0.35">
      <c r="I743" s="28" t="s">
        <v>1996</v>
      </c>
      <c r="J743" s="28" t="s">
        <v>283</v>
      </c>
      <c r="K743" s="28" t="str">
        <f t="shared" si="17"/>
        <v>PulíCundinamarca</v>
      </c>
      <c r="L743" s="28"/>
      <c r="M743" s="28"/>
      <c r="N743" s="28"/>
      <c r="O743" s="28"/>
      <c r="P743" s="28"/>
      <c r="Q743" s="28"/>
      <c r="R743" s="28"/>
      <c r="S743" s="28"/>
      <c r="T743" s="28"/>
      <c r="U743" s="41"/>
      <c r="V743" s="41"/>
      <c r="W743" s="41"/>
      <c r="X743" s="28"/>
      <c r="Y743" s="28"/>
      <c r="Z743" s="28"/>
      <c r="AA743" s="28"/>
      <c r="AB743" s="28"/>
      <c r="AC743" s="28"/>
      <c r="AD743" s="28"/>
    </row>
    <row r="744" spans="9:30" x14ac:dyDescent="0.35">
      <c r="I744" s="28" t="s">
        <v>1997</v>
      </c>
      <c r="J744" s="28" t="s">
        <v>352</v>
      </c>
      <c r="K744" s="28" t="str">
        <f t="shared" si="17"/>
        <v>PupialesNariño</v>
      </c>
      <c r="L744" s="28"/>
      <c r="M744" s="28"/>
      <c r="N744" s="28"/>
      <c r="O744" s="28"/>
      <c r="P744" s="28"/>
      <c r="Q744" s="28"/>
      <c r="R744" s="28"/>
      <c r="S744" s="28"/>
      <c r="T744" s="28"/>
      <c r="U744" s="41"/>
      <c r="V744" s="41"/>
      <c r="W744" s="41"/>
      <c r="X744" s="28"/>
      <c r="Y744" s="28"/>
      <c r="Z744" s="28"/>
      <c r="AA744" s="28"/>
      <c r="AB744" s="28"/>
      <c r="AC744" s="28"/>
      <c r="AD744" s="28"/>
    </row>
    <row r="745" spans="9:30" x14ac:dyDescent="0.35">
      <c r="I745" s="28" t="s">
        <v>1998</v>
      </c>
      <c r="J745" s="28" t="s">
        <v>315</v>
      </c>
      <c r="K745" s="28" t="str">
        <f t="shared" si="17"/>
        <v>PuracéCauca</v>
      </c>
      <c r="L745" s="28"/>
      <c r="M745" s="28"/>
      <c r="N745" s="28"/>
      <c r="O745" s="28"/>
      <c r="P745" s="28"/>
      <c r="Q745" s="28"/>
      <c r="R745" s="28"/>
      <c r="S745" s="28"/>
      <c r="T745" s="28"/>
      <c r="U745" s="41"/>
      <c r="V745" s="41"/>
      <c r="W745" s="41"/>
      <c r="X745" s="28"/>
      <c r="Y745" s="28"/>
      <c r="Z745" s="28"/>
      <c r="AA745" s="28"/>
      <c r="AB745" s="28"/>
      <c r="AC745" s="28"/>
      <c r="AD745" s="28"/>
    </row>
    <row r="746" spans="9:30" x14ac:dyDescent="0.35">
      <c r="I746" s="28" t="s">
        <v>1999</v>
      </c>
      <c r="J746" s="28" t="s">
        <v>409</v>
      </c>
      <c r="K746" s="28" t="str">
        <f t="shared" si="17"/>
        <v>PurificaciónTolima</v>
      </c>
      <c r="L746" s="28"/>
      <c r="M746" s="28"/>
      <c r="N746" s="28"/>
      <c r="O746" s="28"/>
      <c r="P746" s="28"/>
      <c r="Q746" s="28"/>
      <c r="R746" s="28"/>
      <c r="S746" s="28"/>
      <c r="T746" s="28"/>
      <c r="U746" s="41"/>
      <c r="V746" s="41"/>
      <c r="W746" s="41"/>
      <c r="X746" s="28"/>
      <c r="Y746" s="28"/>
      <c r="Z746" s="28"/>
      <c r="AA746" s="28"/>
      <c r="AB746" s="28"/>
      <c r="AC746" s="28"/>
      <c r="AD746" s="28"/>
    </row>
    <row r="747" spans="9:30" x14ac:dyDescent="0.35">
      <c r="I747" s="28" t="s">
        <v>2000</v>
      </c>
      <c r="J747" s="28" t="s">
        <v>337</v>
      </c>
      <c r="K747" s="28" t="str">
        <f t="shared" si="17"/>
        <v>PurísimaCordoba</v>
      </c>
      <c r="L747" s="28"/>
      <c r="M747" s="28"/>
      <c r="N747" s="28"/>
      <c r="O747" s="28"/>
      <c r="P747" s="28"/>
      <c r="Q747" s="28"/>
      <c r="R747" s="28"/>
      <c r="S747" s="28"/>
      <c r="T747" s="28"/>
      <c r="U747" s="41"/>
      <c r="V747" s="41"/>
      <c r="W747" s="41"/>
      <c r="X747" s="28"/>
      <c r="Y747" s="28"/>
      <c r="Z747" s="28"/>
      <c r="AA747" s="28"/>
      <c r="AB747" s="28"/>
      <c r="AC747" s="28"/>
      <c r="AD747" s="28"/>
    </row>
    <row r="748" spans="9:30" x14ac:dyDescent="0.35">
      <c r="I748" s="28" t="s">
        <v>2001</v>
      </c>
      <c r="J748" s="28" t="s">
        <v>283</v>
      </c>
      <c r="K748" s="28" t="str">
        <f t="shared" si="17"/>
        <v>QuebradanegraCundinamarca</v>
      </c>
      <c r="L748" s="28"/>
      <c r="M748" s="28"/>
      <c r="N748" s="28"/>
      <c r="O748" s="28"/>
      <c r="P748" s="28"/>
      <c r="Q748" s="28"/>
      <c r="R748" s="28"/>
      <c r="S748" s="28"/>
      <c r="T748" s="28"/>
      <c r="U748" s="41"/>
      <c r="V748" s="41"/>
      <c r="W748" s="41"/>
      <c r="X748" s="28"/>
      <c r="Y748" s="28"/>
      <c r="Z748" s="28"/>
      <c r="AA748" s="28"/>
      <c r="AB748" s="28"/>
      <c r="AC748" s="28"/>
      <c r="AD748" s="28"/>
    </row>
    <row r="749" spans="9:30" x14ac:dyDescent="0.35">
      <c r="I749" s="28" t="s">
        <v>2002</v>
      </c>
      <c r="J749" s="28" t="s">
        <v>283</v>
      </c>
      <c r="K749" s="28" t="str">
        <f t="shared" si="17"/>
        <v>QuetameCundinamarca</v>
      </c>
      <c r="L749" s="28"/>
      <c r="M749" s="28"/>
      <c r="N749" s="28"/>
      <c r="O749" s="28"/>
      <c r="P749" s="28"/>
      <c r="Q749" s="28"/>
      <c r="R749" s="28"/>
      <c r="S749" s="28"/>
      <c r="T749" s="28"/>
      <c r="U749" s="41"/>
      <c r="V749" s="41"/>
      <c r="W749" s="41"/>
      <c r="X749" s="28"/>
      <c r="Y749" s="28"/>
      <c r="Z749" s="28"/>
      <c r="AA749" s="28"/>
      <c r="AB749" s="28"/>
      <c r="AC749" s="28"/>
      <c r="AD749" s="28"/>
    </row>
    <row r="750" spans="9:30" x14ac:dyDescent="0.35">
      <c r="I750" s="28" t="s">
        <v>2003</v>
      </c>
      <c r="J750" s="28" t="s">
        <v>230</v>
      </c>
      <c r="K750" s="28" t="str">
        <f t="shared" si="17"/>
        <v>QuibdóChoco</v>
      </c>
      <c r="L750" s="28"/>
      <c r="M750" s="28"/>
      <c r="N750" s="28"/>
      <c r="O750" s="28"/>
      <c r="P750" s="28"/>
      <c r="Q750" s="28"/>
      <c r="R750" s="28"/>
      <c r="S750" s="28"/>
      <c r="T750" s="28"/>
      <c r="U750" s="41"/>
      <c r="V750" s="41"/>
      <c r="W750" s="41"/>
      <c r="X750" s="28"/>
      <c r="Y750" s="28"/>
      <c r="Z750" s="28"/>
      <c r="AA750" s="28"/>
      <c r="AB750" s="28"/>
      <c r="AC750" s="28"/>
      <c r="AD750" s="28"/>
    </row>
    <row r="751" spans="9:30" x14ac:dyDescent="0.35">
      <c r="I751" s="28" t="s">
        <v>2004</v>
      </c>
      <c r="J751" s="28" t="s">
        <v>401</v>
      </c>
      <c r="K751" s="28" t="str">
        <f t="shared" si="17"/>
        <v>QuimbayaQuindio</v>
      </c>
      <c r="L751" s="28"/>
      <c r="M751" s="28"/>
      <c r="N751" s="28"/>
      <c r="O751" s="28"/>
      <c r="P751" s="28"/>
      <c r="Q751" s="28"/>
      <c r="R751" s="28"/>
      <c r="S751" s="28"/>
      <c r="T751" s="28"/>
      <c r="U751" s="41"/>
      <c r="V751" s="41"/>
      <c r="W751" s="41"/>
      <c r="X751" s="28"/>
      <c r="Y751" s="28"/>
      <c r="Z751" s="28"/>
      <c r="AA751" s="28"/>
      <c r="AB751" s="28"/>
      <c r="AC751" s="28"/>
      <c r="AD751" s="28"/>
    </row>
    <row r="752" spans="9:30" x14ac:dyDescent="0.35">
      <c r="I752" s="28" t="s">
        <v>2005</v>
      </c>
      <c r="J752" s="28" t="s">
        <v>405</v>
      </c>
      <c r="K752" s="28" t="str">
        <f t="shared" si="17"/>
        <v>QuinchíaRisaralda</v>
      </c>
      <c r="L752" s="28"/>
      <c r="M752" s="28"/>
      <c r="N752" s="28"/>
      <c r="O752" s="28"/>
      <c r="P752" s="28"/>
      <c r="Q752" s="28"/>
      <c r="R752" s="28"/>
      <c r="S752" s="28"/>
      <c r="T752" s="28"/>
      <c r="U752" s="41"/>
      <c r="V752" s="41"/>
      <c r="W752" s="41"/>
      <c r="X752" s="28"/>
      <c r="Y752" s="28"/>
      <c r="Z752" s="28"/>
      <c r="AA752" s="28"/>
      <c r="AB752" s="28"/>
      <c r="AC752" s="28"/>
      <c r="AD752" s="28"/>
    </row>
    <row r="753" spans="9:30" x14ac:dyDescent="0.35">
      <c r="I753" s="28" t="s">
        <v>2006</v>
      </c>
      <c r="J753" s="28" t="s">
        <v>274</v>
      </c>
      <c r="K753" s="28" t="str">
        <f t="shared" si="17"/>
        <v>QuípamaBoyaca</v>
      </c>
      <c r="L753" s="28"/>
      <c r="M753" s="28"/>
      <c r="N753" s="28"/>
      <c r="O753" s="28"/>
      <c r="P753" s="28"/>
      <c r="Q753" s="28"/>
      <c r="R753" s="28"/>
      <c r="S753" s="28"/>
      <c r="T753" s="28"/>
      <c r="U753" s="41"/>
      <c r="V753" s="41"/>
      <c r="W753" s="41"/>
      <c r="X753" s="28"/>
      <c r="Y753" s="28"/>
      <c r="Z753" s="28"/>
      <c r="AA753" s="28"/>
      <c r="AB753" s="28"/>
      <c r="AC753" s="28"/>
      <c r="AD753" s="28"/>
    </row>
    <row r="754" spans="9:30" x14ac:dyDescent="0.35">
      <c r="I754" s="28" t="s">
        <v>2007</v>
      </c>
      <c r="J754" s="28" t="s">
        <v>283</v>
      </c>
      <c r="K754" s="28" t="str">
        <f t="shared" si="17"/>
        <v>QuipileCundinamarca</v>
      </c>
      <c r="L754" s="28"/>
      <c r="M754" s="28"/>
      <c r="N754" s="28"/>
      <c r="O754" s="28"/>
      <c r="P754" s="28"/>
      <c r="Q754" s="28"/>
      <c r="R754" s="28"/>
      <c r="S754" s="28"/>
      <c r="T754" s="28"/>
      <c r="U754" s="41"/>
      <c r="V754" s="41"/>
      <c r="W754" s="41"/>
      <c r="X754" s="28"/>
      <c r="Y754" s="28"/>
      <c r="Z754" s="28"/>
      <c r="AA754" s="28"/>
      <c r="AB754" s="28"/>
      <c r="AC754" s="28"/>
      <c r="AD754" s="28"/>
    </row>
    <row r="755" spans="9:30" x14ac:dyDescent="0.35">
      <c r="I755" s="28" t="s">
        <v>2008</v>
      </c>
      <c r="J755" s="28" t="s">
        <v>190</v>
      </c>
      <c r="K755" s="28" t="str">
        <f t="shared" si="17"/>
        <v>RagonvaliaNorte de Santander</v>
      </c>
      <c r="L755" s="28"/>
      <c r="M755" s="28"/>
      <c r="N755" s="28"/>
      <c r="O755" s="28"/>
      <c r="P755" s="28"/>
      <c r="Q755" s="28"/>
      <c r="R755" s="28"/>
      <c r="S755" s="28"/>
      <c r="T755" s="28"/>
      <c r="U755" s="41"/>
      <c r="V755" s="41"/>
      <c r="W755" s="41"/>
      <c r="X755" s="28"/>
      <c r="Y755" s="28"/>
      <c r="Z755" s="28"/>
      <c r="AA755" s="28"/>
      <c r="AB755" s="28"/>
      <c r="AC755" s="28"/>
      <c r="AD755" s="28"/>
    </row>
    <row r="756" spans="9:30" x14ac:dyDescent="0.35">
      <c r="I756" s="28" t="s">
        <v>2009</v>
      </c>
      <c r="J756" s="28" t="s">
        <v>274</v>
      </c>
      <c r="K756" s="28" t="str">
        <f t="shared" si="17"/>
        <v>RamiriquíBoyaca</v>
      </c>
      <c r="L756" s="28"/>
      <c r="M756" s="28"/>
      <c r="N756" s="28"/>
      <c r="O756" s="28"/>
      <c r="P756" s="28"/>
      <c r="Q756" s="28"/>
      <c r="R756" s="28"/>
      <c r="S756" s="28"/>
      <c r="T756" s="28"/>
      <c r="U756" s="41"/>
      <c r="V756" s="41"/>
      <c r="W756" s="41"/>
      <c r="X756" s="28"/>
      <c r="Y756" s="28"/>
      <c r="Z756" s="28"/>
      <c r="AA756" s="28"/>
      <c r="AB756" s="28"/>
      <c r="AC756" s="28"/>
      <c r="AD756" s="28"/>
    </row>
    <row r="757" spans="9:30" x14ac:dyDescent="0.35">
      <c r="I757" s="28" t="s">
        <v>2010</v>
      </c>
      <c r="J757" s="28" t="s">
        <v>274</v>
      </c>
      <c r="K757" s="28" t="str">
        <f t="shared" si="17"/>
        <v>RáquiraBoyaca</v>
      </c>
      <c r="L757" s="28"/>
      <c r="M757" s="28"/>
      <c r="N757" s="28"/>
      <c r="O757" s="28"/>
      <c r="P757" s="28"/>
      <c r="Q757" s="28"/>
      <c r="R757" s="28"/>
      <c r="S757" s="28"/>
      <c r="T757" s="28"/>
      <c r="U757" s="41"/>
      <c r="V757" s="41"/>
      <c r="W757" s="41"/>
      <c r="X757" s="28"/>
      <c r="Y757" s="28"/>
      <c r="Z757" s="28"/>
      <c r="AA757" s="28"/>
      <c r="AB757" s="28"/>
      <c r="AC757" s="28"/>
      <c r="AD757" s="28"/>
    </row>
    <row r="758" spans="9:30" x14ac:dyDescent="0.35">
      <c r="I758" s="28" t="s">
        <v>2011</v>
      </c>
      <c r="J758" s="28" t="s">
        <v>305</v>
      </c>
      <c r="K758" s="28" t="str">
        <f t="shared" si="17"/>
        <v>RecetorCasanare</v>
      </c>
      <c r="L758" s="28"/>
      <c r="M758" s="28"/>
      <c r="N758" s="28"/>
      <c r="O758" s="28"/>
      <c r="P758" s="28"/>
      <c r="Q758" s="28"/>
      <c r="R758" s="28"/>
      <c r="S758" s="28"/>
      <c r="T758" s="28"/>
      <c r="U758" s="41"/>
      <c r="V758" s="41"/>
      <c r="W758" s="41"/>
      <c r="X758" s="28"/>
      <c r="Y758" s="28"/>
      <c r="Z758" s="28"/>
      <c r="AA758" s="28"/>
      <c r="AB758" s="28"/>
      <c r="AC758" s="28"/>
      <c r="AD758" s="28"/>
    </row>
    <row r="759" spans="9:30" x14ac:dyDescent="0.35">
      <c r="I759" s="28" t="s">
        <v>2012</v>
      </c>
      <c r="J759" s="28" t="s">
        <v>260</v>
      </c>
      <c r="K759" s="28" t="str">
        <f t="shared" si="17"/>
        <v>RegidorBolivar</v>
      </c>
      <c r="L759" s="28"/>
      <c r="M759" s="28"/>
      <c r="N759" s="28"/>
      <c r="O759" s="28"/>
      <c r="P759" s="28"/>
      <c r="Q759" s="28"/>
      <c r="R759" s="28"/>
      <c r="S759" s="28"/>
      <c r="T759" s="28"/>
      <c r="U759" s="41"/>
      <c r="V759" s="41"/>
      <c r="W759" s="41"/>
      <c r="X759" s="28"/>
      <c r="Y759" s="28"/>
      <c r="Z759" s="28"/>
      <c r="AA759" s="28"/>
      <c r="AB759" s="28"/>
      <c r="AC759" s="28"/>
      <c r="AD759" s="28"/>
    </row>
    <row r="760" spans="9:30" x14ac:dyDescent="0.35">
      <c r="I760" s="28" t="s">
        <v>2013</v>
      </c>
      <c r="J760" s="28" t="s">
        <v>154</v>
      </c>
      <c r="K760" s="28" t="str">
        <f t="shared" si="17"/>
        <v>RemediosAntioquia</v>
      </c>
      <c r="L760" s="28"/>
      <c r="M760" s="28"/>
      <c r="N760" s="28"/>
      <c r="O760" s="28"/>
      <c r="P760" s="28"/>
      <c r="Q760" s="28"/>
      <c r="R760" s="28"/>
      <c r="S760" s="28"/>
      <c r="T760" s="28"/>
      <c r="U760" s="41"/>
      <c r="V760" s="41"/>
      <c r="W760" s="41"/>
      <c r="X760" s="28"/>
      <c r="Y760" s="28"/>
      <c r="Z760" s="28"/>
      <c r="AA760" s="28"/>
      <c r="AB760" s="28"/>
      <c r="AC760" s="28"/>
      <c r="AD760" s="28"/>
    </row>
    <row r="761" spans="9:30" x14ac:dyDescent="0.35">
      <c r="I761" s="28" t="s">
        <v>2014</v>
      </c>
      <c r="J761" s="28" t="s">
        <v>382</v>
      </c>
      <c r="K761" s="28" t="str">
        <f t="shared" si="17"/>
        <v>RemolinoMagdalena</v>
      </c>
      <c r="L761" s="28"/>
      <c r="M761" s="28"/>
      <c r="N761" s="28"/>
      <c r="O761" s="28"/>
      <c r="P761" s="28"/>
      <c r="Q761" s="28"/>
      <c r="R761" s="28"/>
      <c r="S761" s="28"/>
      <c r="T761" s="28"/>
      <c r="U761" s="41"/>
      <c r="V761" s="41"/>
      <c r="W761" s="41"/>
      <c r="X761" s="28"/>
      <c r="Y761" s="28"/>
      <c r="Z761" s="28"/>
      <c r="AA761" s="28"/>
      <c r="AB761" s="28"/>
      <c r="AC761" s="28"/>
      <c r="AD761" s="28"/>
    </row>
    <row r="762" spans="9:30" x14ac:dyDescent="0.35">
      <c r="I762" s="28" t="s">
        <v>2015</v>
      </c>
      <c r="J762" s="28" t="s">
        <v>231</v>
      </c>
      <c r="K762" s="28" t="str">
        <f t="shared" si="17"/>
        <v>RepelónAtlantico</v>
      </c>
      <c r="L762" s="28"/>
      <c r="M762" s="28"/>
      <c r="N762" s="28"/>
      <c r="O762" s="28"/>
      <c r="P762" s="28"/>
      <c r="Q762" s="28"/>
      <c r="R762" s="28"/>
      <c r="S762" s="28"/>
      <c r="T762" s="28"/>
      <c r="U762" s="41"/>
      <c r="V762" s="41"/>
      <c r="W762" s="41"/>
      <c r="X762" s="28"/>
      <c r="Y762" s="28"/>
      <c r="Z762" s="28"/>
      <c r="AA762" s="28"/>
      <c r="AB762" s="28"/>
      <c r="AC762" s="28"/>
      <c r="AD762" s="28"/>
    </row>
    <row r="763" spans="9:30" x14ac:dyDescent="0.35">
      <c r="I763" s="28" t="s">
        <v>2016</v>
      </c>
      <c r="J763" s="28" t="s">
        <v>210</v>
      </c>
      <c r="K763" s="28" t="str">
        <f t="shared" si="17"/>
        <v>RestrepoMeta</v>
      </c>
      <c r="L763" s="28"/>
      <c r="M763" s="28"/>
      <c r="N763" s="28"/>
      <c r="O763" s="28"/>
      <c r="P763" s="28"/>
      <c r="Q763" s="28"/>
      <c r="R763" s="28"/>
      <c r="S763" s="28"/>
      <c r="T763" s="28"/>
      <c r="U763" s="41"/>
      <c r="V763" s="41"/>
      <c r="W763" s="41"/>
      <c r="X763" s="28"/>
      <c r="Y763" s="28"/>
      <c r="Z763" s="28"/>
      <c r="AA763" s="28"/>
      <c r="AB763" s="28"/>
      <c r="AC763" s="28"/>
      <c r="AD763" s="28"/>
    </row>
    <row r="764" spans="9:30" x14ac:dyDescent="0.35">
      <c r="I764" s="28" t="s">
        <v>2016</v>
      </c>
      <c r="J764" s="28" t="s">
        <v>381</v>
      </c>
      <c r="K764" s="28" t="str">
        <f t="shared" si="17"/>
        <v>RestrepoValle del Cauca</v>
      </c>
      <c r="L764" s="28"/>
      <c r="M764" s="28"/>
      <c r="N764" s="28"/>
      <c r="O764" s="28"/>
      <c r="P764" s="28"/>
      <c r="Q764" s="28"/>
      <c r="R764" s="28"/>
      <c r="S764" s="28"/>
      <c r="T764" s="28"/>
      <c r="U764" s="41"/>
      <c r="V764" s="41"/>
      <c r="W764" s="41"/>
      <c r="X764" s="28"/>
      <c r="Y764" s="28"/>
      <c r="Z764" s="28"/>
      <c r="AA764" s="28"/>
      <c r="AB764" s="28"/>
      <c r="AC764" s="28"/>
      <c r="AD764" s="28"/>
    </row>
    <row r="765" spans="9:30" x14ac:dyDescent="0.35">
      <c r="I765" s="28" t="s">
        <v>2017</v>
      </c>
      <c r="J765" s="28" t="s">
        <v>154</v>
      </c>
      <c r="K765" s="28" t="str">
        <f t="shared" si="17"/>
        <v>RetiroAntioquia</v>
      </c>
      <c r="L765" s="28"/>
      <c r="M765" s="28"/>
      <c r="N765" s="28"/>
      <c r="O765" s="28"/>
      <c r="P765" s="28"/>
      <c r="Q765" s="28"/>
      <c r="R765" s="28"/>
      <c r="S765" s="28"/>
      <c r="T765" s="28"/>
      <c r="U765" s="41"/>
      <c r="V765" s="41"/>
      <c r="W765" s="41"/>
      <c r="X765" s="28"/>
      <c r="Y765" s="28"/>
      <c r="Z765" s="28"/>
      <c r="AA765" s="28"/>
      <c r="AB765" s="28"/>
      <c r="AC765" s="28"/>
      <c r="AD765" s="28"/>
    </row>
    <row r="766" spans="9:30" x14ac:dyDescent="0.35">
      <c r="I766" s="28" t="s">
        <v>2018</v>
      </c>
      <c r="J766" s="28" t="s">
        <v>283</v>
      </c>
      <c r="K766" s="28" t="str">
        <f t="shared" si="17"/>
        <v>RicaurteCundinamarca</v>
      </c>
      <c r="L766" s="28"/>
      <c r="M766" s="28"/>
      <c r="N766" s="28"/>
      <c r="O766" s="28"/>
      <c r="P766" s="28"/>
      <c r="Q766" s="28"/>
      <c r="R766" s="28"/>
      <c r="S766" s="28"/>
      <c r="T766" s="28"/>
      <c r="U766" s="41"/>
      <c r="V766" s="41"/>
      <c r="W766" s="41"/>
      <c r="X766" s="28"/>
      <c r="Y766" s="28"/>
      <c r="Z766" s="28"/>
      <c r="AA766" s="28"/>
      <c r="AB766" s="28"/>
      <c r="AC766" s="28"/>
      <c r="AD766" s="28"/>
    </row>
    <row r="767" spans="9:30" x14ac:dyDescent="0.35">
      <c r="I767" s="28" t="s">
        <v>2018</v>
      </c>
      <c r="J767" s="28" t="s">
        <v>352</v>
      </c>
      <c r="K767" s="28" t="str">
        <f t="shared" si="17"/>
        <v>RicaurteNariño</v>
      </c>
      <c r="L767" s="28"/>
      <c r="M767" s="28"/>
      <c r="N767" s="28"/>
      <c r="O767" s="28"/>
      <c r="P767" s="28"/>
      <c r="Q767" s="28"/>
      <c r="R767" s="28"/>
      <c r="S767" s="28"/>
      <c r="T767" s="28"/>
      <c r="U767" s="41"/>
      <c r="V767" s="41"/>
      <c r="W767" s="41"/>
      <c r="X767" s="28"/>
      <c r="Y767" s="28"/>
      <c r="Z767" s="28"/>
      <c r="AA767" s="28"/>
      <c r="AB767" s="28"/>
      <c r="AC767" s="28"/>
      <c r="AD767" s="28"/>
    </row>
    <row r="768" spans="9:30" x14ac:dyDescent="0.35">
      <c r="I768" s="28" t="s">
        <v>2019</v>
      </c>
      <c r="J768" s="28" t="s">
        <v>293</v>
      </c>
      <c r="K768" s="28" t="str">
        <f t="shared" si="17"/>
        <v>Río de OroCesar</v>
      </c>
      <c r="L768" s="28"/>
      <c r="M768" s="28"/>
      <c r="N768" s="28"/>
      <c r="O768" s="28"/>
      <c r="P768" s="28"/>
      <c r="Q768" s="28"/>
      <c r="R768" s="28"/>
      <c r="S768" s="28"/>
      <c r="T768" s="28"/>
      <c r="U768" s="41"/>
      <c r="V768" s="41"/>
      <c r="W768" s="41"/>
      <c r="X768" s="28"/>
      <c r="Y768" s="28"/>
      <c r="Z768" s="28"/>
      <c r="AA768" s="28"/>
      <c r="AB768" s="28"/>
      <c r="AC768" s="28"/>
      <c r="AD768" s="28"/>
    </row>
    <row r="769" spans="9:30" x14ac:dyDescent="0.35">
      <c r="I769" s="28" t="s">
        <v>2020</v>
      </c>
      <c r="J769" s="28" t="s">
        <v>230</v>
      </c>
      <c r="K769" s="28" t="str">
        <f t="shared" ref="K769:K832" si="18">_xlfn.CONCAT(TRIM(I769),TRIM(J769))</f>
        <v>Río IroChoco</v>
      </c>
      <c r="L769" s="28"/>
      <c r="M769" s="28"/>
      <c r="N769" s="28"/>
      <c r="O769" s="28"/>
      <c r="P769" s="28"/>
      <c r="Q769" s="28"/>
      <c r="R769" s="28"/>
      <c r="S769" s="28"/>
      <c r="T769" s="28"/>
      <c r="U769" s="41"/>
      <c r="V769" s="41"/>
      <c r="W769" s="41"/>
      <c r="X769" s="28"/>
      <c r="Y769" s="28"/>
      <c r="Z769" s="28"/>
      <c r="AA769" s="28"/>
      <c r="AB769" s="28"/>
      <c r="AC769" s="28"/>
      <c r="AD769" s="28"/>
    </row>
    <row r="770" spans="9:30" x14ac:dyDescent="0.35">
      <c r="I770" s="28" t="s">
        <v>2021</v>
      </c>
      <c r="J770" s="28" t="s">
        <v>230</v>
      </c>
      <c r="K770" s="28" t="str">
        <f t="shared" si="18"/>
        <v>Río QuitoChoco</v>
      </c>
      <c r="L770" s="28"/>
      <c r="M770" s="28"/>
      <c r="N770" s="28"/>
      <c r="O770" s="28"/>
      <c r="P770" s="28"/>
      <c r="Q770" s="28"/>
      <c r="R770" s="28"/>
      <c r="S770" s="28"/>
      <c r="T770" s="28"/>
      <c r="U770" s="41"/>
      <c r="V770" s="41"/>
      <c r="W770" s="41"/>
      <c r="X770" s="28"/>
      <c r="Y770" s="28"/>
      <c r="Z770" s="28"/>
      <c r="AA770" s="28"/>
      <c r="AB770" s="28"/>
      <c r="AC770" s="28"/>
      <c r="AD770" s="28"/>
    </row>
    <row r="771" spans="9:30" x14ac:dyDescent="0.35">
      <c r="I771" s="28" t="s">
        <v>2022</v>
      </c>
      <c r="J771" s="28" t="s">
        <v>260</v>
      </c>
      <c r="K771" s="28" t="str">
        <f t="shared" si="18"/>
        <v>Río ViejoBolivar</v>
      </c>
      <c r="L771" s="28"/>
      <c r="M771" s="28"/>
      <c r="N771" s="28"/>
      <c r="O771" s="28"/>
      <c r="P771" s="28"/>
      <c r="Q771" s="28"/>
      <c r="R771" s="28"/>
      <c r="S771" s="28"/>
      <c r="T771" s="28"/>
      <c r="U771" s="41"/>
      <c r="V771" s="41"/>
      <c r="W771" s="41"/>
      <c r="X771" s="28"/>
      <c r="Y771" s="28"/>
      <c r="Z771" s="28"/>
      <c r="AA771" s="28"/>
      <c r="AB771" s="28"/>
      <c r="AC771" s="28"/>
      <c r="AD771" s="28"/>
    </row>
    <row r="772" spans="9:30" x14ac:dyDescent="0.35">
      <c r="I772" s="28" t="s">
        <v>2023</v>
      </c>
      <c r="J772" s="28" t="s">
        <v>409</v>
      </c>
      <c r="K772" s="28" t="str">
        <f t="shared" si="18"/>
        <v>RioblancoTolima</v>
      </c>
      <c r="L772" s="28"/>
      <c r="M772" s="28"/>
      <c r="N772" s="28"/>
      <c r="O772" s="28"/>
      <c r="P772" s="28"/>
      <c r="Q772" s="28"/>
      <c r="R772" s="28"/>
      <c r="S772" s="28"/>
      <c r="T772" s="28"/>
      <c r="U772" s="41"/>
      <c r="V772" s="41"/>
      <c r="W772" s="41"/>
      <c r="X772" s="28"/>
      <c r="Y772" s="28"/>
      <c r="Z772" s="28"/>
      <c r="AA772" s="28"/>
      <c r="AB772" s="28"/>
      <c r="AC772" s="28"/>
      <c r="AD772" s="28"/>
    </row>
    <row r="773" spans="9:30" x14ac:dyDescent="0.35">
      <c r="I773" s="28" t="s">
        <v>2024</v>
      </c>
      <c r="J773" s="28" t="s">
        <v>381</v>
      </c>
      <c r="K773" s="28" t="str">
        <f t="shared" si="18"/>
        <v>RiofríoValle del Cauca</v>
      </c>
      <c r="L773" s="28"/>
      <c r="M773" s="28"/>
      <c r="N773" s="28"/>
      <c r="O773" s="28"/>
      <c r="P773" s="28"/>
      <c r="Q773" s="28"/>
      <c r="R773" s="28"/>
      <c r="S773" s="28"/>
      <c r="T773" s="28"/>
      <c r="U773" s="41"/>
      <c r="V773" s="41"/>
      <c r="W773" s="41"/>
      <c r="X773" s="28"/>
      <c r="Y773" s="28"/>
      <c r="Z773" s="28"/>
      <c r="AA773" s="28"/>
      <c r="AB773" s="28"/>
      <c r="AC773" s="28"/>
      <c r="AD773" s="28"/>
    </row>
    <row r="774" spans="9:30" x14ac:dyDescent="0.35">
      <c r="I774" s="28" t="s">
        <v>2025</v>
      </c>
      <c r="J774" s="28" t="s">
        <v>369</v>
      </c>
      <c r="K774" s="28" t="str">
        <f t="shared" si="18"/>
        <v>RiohachaLa Guajira</v>
      </c>
      <c r="L774" s="28"/>
      <c r="M774" s="28"/>
      <c r="N774" s="28"/>
      <c r="O774" s="28"/>
      <c r="P774" s="28"/>
      <c r="Q774" s="28"/>
      <c r="R774" s="28"/>
      <c r="S774" s="28"/>
      <c r="T774" s="28"/>
      <c r="U774" s="41"/>
      <c r="V774" s="41"/>
      <c r="W774" s="41"/>
      <c r="X774" s="28"/>
      <c r="Y774" s="28"/>
      <c r="Z774" s="28"/>
      <c r="AA774" s="28"/>
      <c r="AB774" s="28"/>
      <c r="AC774" s="28"/>
      <c r="AD774" s="28"/>
    </row>
    <row r="775" spans="9:30" x14ac:dyDescent="0.35">
      <c r="I775" s="28" t="s">
        <v>2026</v>
      </c>
      <c r="J775" s="28" t="s">
        <v>154</v>
      </c>
      <c r="K775" s="28" t="str">
        <f t="shared" si="18"/>
        <v>RionegroAntioquia</v>
      </c>
      <c r="L775" s="28"/>
      <c r="M775" s="28"/>
      <c r="N775" s="28"/>
      <c r="O775" s="28"/>
      <c r="P775" s="28"/>
      <c r="Q775" s="28"/>
      <c r="R775" s="28"/>
      <c r="S775" s="28"/>
      <c r="T775" s="28"/>
      <c r="U775" s="41"/>
      <c r="V775" s="41"/>
      <c r="W775" s="41"/>
      <c r="X775" s="28"/>
      <c r="Y775" s="28"/>
      <c r="Z775" s="28"/>
      <c r="AA775" s="28"/>
      <c r="AB775" s="28"/>
      <c r="AC775" s="28"/>
      <c r="AD775" s="28"/>
    </row>
    <row r="776" spans="9:30" x14ac:dyDescent="0.35">
      <c r="I776" s="28" t="s">
        <v>2026</v>
      </c>
      <c r="J776" s="28" t="s">
        <v>304</v>
      </c>
      <c r="K776" s="28" t="str">
        <f t="shared" si="18"/>
        <v>RionegroSantander</v>
      </c>
      <c r="L776" s="28"/>
      <c r="M776" s="28"/>
      <c r="N776" s="28"/>
      <c r="O776" s="28"/>
      <c r="P776" s="28"/>
      <c r="Q776" s="28"/>
      <c r="R776" s="28"/>
      <c r="S776" s="28"/>
      <c r="T776" s="28"/>
      <c r="U776" s="41"/>
      <c r="V776" s="41"/>
      <c r="W776" s="41"/>
      <c r="X776" s="28"/>
      <c r="Y776" s="28"/>
      <c r="Z776" s="28"/>
      <c r="AA776" s="28"/>
      <c r="AB776" s="28"/>
      <c r="AC776" s="28"/>
      <c r="AD776" s="28"/>
    </row>
    <row r="777" spans="9:30" x14ac:dyDescent="0.35">
      <c r="I777" s="28" t="s">
        <v>2027</v>
      </c>
      <c r="J777" s="28" t="s">
        <v>284</v>
      </c>
      <c r="K777" s="28" t="str">
        <f t="shared" si="18"/>
        <v>RiosucioCaldas</v>
      </c>
      <c r="L777" s="28"/>
      <c r="M777" s="28"/>
      <c r="N777" s="28"/>
      <c r="O777" s="28"/>
      <c r="P777" s="28"/>
      <c r="Q777" s="28"/>
      <c r="R777" s="28"/>
      <c r="S777" s="28"/>
      <c r="T777" s="28"/>
      <c r="U777" s="41"/>
      <c r="V777" s="41"/>
      <c r="W777" s="41"/>
      <c r="X777" s="28"/>
      <c r="Y777" s="28"/>
      <c r="Z777" s="28"/>
      <c r="AA777" s="28"/>
      <c r="AB777" s="28"/>
      <c r="AC777" s="28"/>
      <c r="AD777" s="28"/>
    </row>
    <row r="778" spans="9:30" x14ac:dyDescent="0.35">
      <c r="I778" s="28" t="s">
        <v>2027</v>
      </c>
      <c r="J778" s="28" t="s">
        <v>230</v>
      </c>
      <c r="K778" s="28" t="str">
        <f t="shared" si="18"/>
        <v>RiosucioChoco</v>
      </c>
      <c r="L778" s="28"/>
      <c r="M778" s="28"/>
      <c r="N778" s="28"/>
      <c r="O778" s="28"/>
      <c r="P778" s="28"/>
      <c r="Q778" s="28"/>
      <c r="R778" s="28"/>
      <c r="S778" s="28"/>
      <c r="T778" s="28"/>
      <c r="U778" s="41"/>
      <c r="V778" s="41"/>
      <c r="W778" s="41"/>
      <c r="X778" s="28"/>
      <c r="Y778" s="28"/>
      <c r="Z778" s="28"/>
      <c r="AA778" s="28"/>
      <c r="AB778" s="28"/>
      <c r="AC778" s="28"/>
      <c r="AD778" s="28"/>
    </row>
    <row r="779" spans="9:30" x14ac:dyDescent="0.35">
      <c r="I779" s="28" t="s">
        <v>405</v>
      </c>
      <c r="J779" s="28" t="s">
        <v>284</v>
      </c>
      <c r="K779" s="28" t="str">
        <f t="shared" si="18"/>
        <v>RisaraldaCaldas</v>
      </c>
      <c r="L779" s="28"/>
      <c r="M779" s="28"/>
      <c r="N779" s="28"/>
      <c r="O779" s="28"/>
      <c r="P779" s="28"/>
      <c r="Q779" s="28"/>
      <c r="R779" s="28"/>
      <c r="S779" s="28"/>
      <c r="T779" s="28"/>
      <c r="U779" s="41"/>
      <c r="V779" s="41"/>
      <c r="W779" s="41"/>
      <c r="X779" s="28"/>
      <c r="Y779" s="28"/>
      <c r="Z779" s="28"/>
      <c r="AA779" s="28"/>
      <c r="AB779" s="28"/>
      <c r="AC779" s="28"/>
      <c r="AD779" s="28"/>
    </row>
    <row r="780" spans="9:30" x14ac:dyDescent="0.35">
      <c r="I780" s="28" t="s">
        <v>2028</v>
      </c>
      <c r="J780" s="28" t="s">
        <v>245</v>
      </c>
      <c r="K780" s="28" t="str">
        <f t="shared" si="18"/>
        <v>RiveraHuila</v>
      </c>
      <c r="L780" s="28"/>
      <c r="M780" s="28"/>
      <c r="N780" s="28"/>
      <c r="O780" s="28"/>
      <c r="P780" s="28"/>
      <c r="Q780" s="28"/>
      <c r="R780" s="28"/>
      <c r="S780" s="28"/>
      <c r="T780" s="28"/>
      <c r="U780" s="41"/>
      <c r="V780" s="41"/>
      <c r="W780" s="41"/>
      <c r="X780" s="28"/>
      <c r="Y780" s="28"/>
      <c r="Z780" s="28"/>
      <c r="AA780" s="28"/>
      <c r="AB780" s="28"/>
      <c r="AC780" s="28"/>
      <c r="AD780" s="28"/>
    </row>
    <row r="781" spans="9:30" x14ac:dyDescent="0.35">
      <c r="I781" s="28" t="s">
        <v>2029</v>
      </c>
      <c r="J781" s="28" t="s">
        <v>352</v>
      </c>
      <c r="K781" s="28" t="str">
        <f t="shared" si="18"/>
        <v>Roberto PayánNariño</v>
      </c>
      <c r="L781" s="28"/>
      <c r="M781" s="28"/>
      <c r="N781" s="28"/>
      <c r="O781" s="28"/>
      <c r="P781" s="28"/>
      <c r="Q781" s="28"/>
      <c r="R781" s="28"/>
      <c r="S781" s="28"/>
      <c r="T781" s="28"/>
      <c r="U781" s="41"/>
      <c r="V781" s="41"/>
      <c r="W781" s="41"/>
      <c r="X781" s="28"/>
      <c r="Y781" s="28"/>
      <c r="Z781" s="28"/>
      <c r="AA781" s="28"/>
      <c r="AB781" s="28"/>
      <c r="AC781" s="28"/>
      <c r="AD781" s="28"/>
    </row>
    <row r="782" spans="9:30" x14ac:dyDescent="0.35">
      <c r="I782" s="28" t="s">
        <v>2030</v>
      </c>
      <c r="J782" s="28" t="s">
        <v>381</v>
      </c>
      <c r="K782" s="28" t="str">
        <f t="shared" si="18"/>
        <v>RoldanilloValle del Cauca</v>
      </c>
      <c r="L782" s="28"/>
      <c r="M782" s="28"/>
      <c r="N782" s="28"/>
      <c r="O782" s="28"/>
      <c r="P782" s="28"/>
      <c r="Q782" s="28"/>
      <c r="R782" s="28"/>
      <c r="S782" s="28"/>
      <c r="T782" s="28"/>
      <c r="U782" s="41"/>
      <c r="V782" s="41"/>
      <c r="W782" s="41"/>
      <c r="X782" s="28"/>
      <c r="Y782" s="28"/>
      <c r="Z782" s="28"/>
      <c r="AA782" s="28"/>
      <c r="AB782" s="28"/>
      <c r="AC782" s="28"/>
      <c r="AD782" s="28"/>
    </row>
    <row r="783" spans="9:30" x14ac:dyDescent="0.35">
      <c r="I783" s="28" t="s">
        <v>2031</v>
      </c>
      <c r="J783" s="28" t="s">
        <v>409</v>
      </c>
      <c r="K783" s="28" t="str">
        <f t="shared" si="18"/>
        <v>RoncesvallesTolima</v>
      </c>
      <c r="L783" s="28"/>
      <c r="M783" s="28"/>
      <c r="N783" s="28"/>
      <c r="O783" s="28"/>
      <c r="P783" s="28"/>
      <c r="Q783" s="28"/>
      <c r="R783" s="28"/>
      <c r="S783" s="28"/>
      <c r="T783" s="28"/>
      <c r="U783" s="41"/>
      <c r="V783" s="41"/>
      <c r="W783" s="41"/>
      <c r="X783" s="28"/>
      <c r="Y783" s="28"/>
      <c r="Z783" s="28"/>
      <c r="AA783" s="28"/>
      <c r="AB783" s="28"/>
      <c r="AC783" s="28"/>
      <c r="AD783" s="28"/>
    </row>
    <row r="784" spans="9:30" x14ac:dyDescent="0.35">
      <c r="I784" s="28" t="s">
        <v>2032</v>
      </c>
      <c r="J784" s="28" t="s">
        <v>274</v>
      </c>
      <c r="K784" s="28" t="str">
        <f t="shared" si="18"/>
        <v>RondónBoyaca</v>
      </c>
      <c r="L784" s="28"/>
      <c r="M784" s="28"/>
      <c r="N784" s="28"/>
      <c r="O784" s="28"/>
      <c r="P784" s="28"/>
      <c r="Q784" s="28"/>
      <c r="R784" s="28"/>
      <c r="S784" s="28"/>
      <c r="T784" s="28"/>
      <c r="U784" s="41"/>
      <c r="V784" s="41"/>
      <c r="W784" s="41"/>
      <c r="X784" s="28"/>
      <c r="Y784" s="28"/>
      <c r="Z784" s="28"/>
      <c r="AA784" s="28"/>
      <c r="AB784" s="28"/>
      <c r="AC784" s="28"/>
      <c r="AD784" s="28"/>
    </row>
    <row r="785" spans="9:30" x14ac:dyDescent="0.35">
      <c r="I785" s="28" t="s">
        <v>2033</v>
      </c>
      <c r="J785" s="28" t="s">
        <v>315</v>
      </c>
      <c r="K785" s="28" t="str">
        <f t="shared" si="18"/>
        <v>RosasCauca</v>
      </c>
      <c r="L785" s="28"/>
      <c r="M785" s="28"/>
      <c r="N785" s="28"/>
      <c r="O785" s="28"/>
      <c r="P785" s="28"/>
      <c r="Q785" s="28"/>
      <c r="R785" s="28"/>
      <c r="S785" s="28"/>
      <c r="T785" s="28"/>
      <c r="U785" s="41"/>
      <c r="V785" s="41"/>
      <c r="W785" s="41"/>
      <c r="X785" s="28"/>
      <c r="Y785" s="28"/>
      <c r="Z785" s="28"/>
      <c r="AA785" s="28"/>
      <c r="AB785" s="28"/>
      <c r="AC785" s="28"/>
      <c r="AD785" s="28"/>
    </row>
    <row r="786" spans="9:30" x14ac:dyDescent="0.35">
      <c r="I786" s="28" t="s">
        <v>2034</v>
      </c>
      <c r="J786" s="28" t="s">
        <v>409</v>
      </c>
      <c r="K786" s="28" t="str">
        <f t="shared" si="18"/>
        <v>RoviraTolima</v>
      </c>
      <c r="L786" s="28"/>
      <c r="M786" s="28"/>
      <c r="N786" s="28"/>
      <c r="O786" s="28"/>
      <c r="P786" s="28"/>
      <c r="Q786" s="28"/>
      <c r="R786" s="28"/>
      <c r="S786" s="28"/>
      <c r="T786" s="28"/>
      <c r="U786" s="41"/>
      <c r="V786" s="41"/>
      <c r="W786" s="41"/>
      <c r="X786" s="28"/>
      <c r="Y786" s="28"/>
      <c r="Z786" s="28"/>
      <c r="AA786" s="28"/>
      <c r="AB786" s="28"/>
      <c r="AC786" s="28"/>
      <c r="AD786" s="28"/>
    </row>
    <row r="787" spans="9:30" x14ac:dyDescent="0.35">
      <c r="I787" s="28" t="s">
        <v>2035</v>
      </c>
      <c r="J787" s="28" t="s">
        <v>304</v>
      </c>
      <c r="K787" s="28" t="str">
        <f t="shared" si="18"/>
        <v>Sabana de TorresSantander</v>
      </c>
      <c r="L787" s="28"/>
      <c r="M787" s="28"/>
      <c r="N787" s="28"/>
      <c r="O787" s="28"/>
      <c r="P787" s="28"/>
      <c r="Q787" s="28"/>
      <c r="R787" s="28"/>
      <c r="S787" s="28"/>
      <c r="T787" s="28"/>
      <c r="U787" s="41"/>
      <c r="V787" s="41"/>
      <c r="W787" s="41"/>
      <c r="X787" s="28"/>
      <c r="Y787" s="28"/>
      <c r="Z787" s="28"/>
      <c r="AA787" s="28"/>
      <c r="AB787" s="28"/>
      <c r="AC787" s="28"/>
      <c r="AD787" s="28"/>
    </row>
    <row r="788" spans="9:30" x14ac:dyDescent="0.35">
      <c r="I788" s="28" t="s">
        <v>2036</v>
      </c>
      <c r="J788" s="28" t="s">
        <v>231</v>
      </c>
      <c r="K788" s="28" t="str">
        <f t="shared" si="18"/>
        <v>SabanagrandeAtlantico</v>
      </c>
      <c r="L788" s="28"/>
      <c r="M788" s="28"/>
      <c r="N788" s="28"/>
      <c r="O788" s="28"/>
      <c r="P788" s="28"/>
      <c r="Q788" s="28"/>
      <c r="R788" s="28"/>
      <c r="S788" s="28"/>
      <c r="T788" s="28"/>
      <c r="U788" s="41"/>
      <c r="V788" s="41"/>
      <c r="W788" s="41"/>
      <c r="X788" s="28"/>
      <c r="Y788" s="28"/>
      <c r="Z788" s="28"/>
      <c r="AA788" s="28"/>
      <c r="AB788" s="28"/>
      <c r="AC788" s="28"/>
      <c r="AD788" s="28"/>
    </row>
    <row r="789" spans="9:30" x14ac:dyDescent="0.35">
      <c r="I789" s="28" t="s">
        <v>2037</v>
      </c>
      <c r="J789" s="28" t="s">
        <v>154</v>
      </c>
      <c r="K789" s="28" t="str">
        <f t="shared" si="18"/>
        <v>SabanalargaAntioquia</v>
      </c>
      <c r="L789" s="28"/>
      <c r="M789" s="28"/>
      <c r="N789" s="28"/>
      <c r="O789" s="28"/>
      <c r="P789" s="28"/>
      <c r="Q789" s="28"/>
      <c r="R789" s="28"/>
      <c r="S789" s="28"/>
      <c r="T789" s="28"/>
      <c r="U789" s="41"/>
      <c r="V789" s="41"/>
      <c r="W789" s="41"/>
      <c r="X789" s="28"/>
      <c r="Y789" s="28"/>
      <c r="Z789" s="28"/>
      <c r="AA789" s="28"/>
      <c r="AB789" s="28"/>
      <c r="AC789" s="28"/>
      <c r="AD789" s="28"/>
    </row>
    <row r="790" spans="9:30" x14ac:dyDescent="0.35">
      <c r="I790" s="28" t="s">
        <v>2037</v>
      </c>
      <c r="J790" s="28" t="s">
        <v>231</v>
      </c>
      <c r="K790" s="28" t="str">
        <f t="shared" si="18"/>
        <v>SabanalargaAtlantico</v>
      </c>
      <c r="L790" s="28"/>
      <c r="M790" s="28"/>
      <c r="N790" s="28"/>
      <c r="O790" s="28"/>
      <c r="P790" s="28"/>
      <c r="Q790" s="28"/>
      <c r="R790" s="28"/>
      <c r="S790" s="28"/>
      <c r="T790" s="28"/>
      <c r="U790" s="41"/>
      <c r="V790" s="41"/>
      <c r="W790" s="41"/>
      <c r="X790" s="28"/>
      <c r="Y790" s="28"/>
      <c r="Z790" s="28"/>
      <c r="AA790" s="28"/>
      <c r="AB790" s="28"/>
      <c r="AC790" s="28"/>
      <c r="AD790" s="28"/>
    </row>
    <row r="791" spans="9:30" x14ac:dyDescent="0.35">
      <c r="I791" s="28" t="s">
        <v>2037</v>
      </c>
      <c r="J791" s="28" t="s">
        <v>305</v>
      </c>
      <c r="K791" s="28" t="str">
        <f t="shared" si="18"/>
        <v>SabanalargaCasanare</v>
      </c>
      <c r="L791" s="28"/>
      <c r="M791" s="28"/>
      <c r="N791" s="28"/>
      <c r="O791" s="28"/>
      <c r="P791" s="28"/>
      <c r="Q791" s="28"/>
      <c r="R791" s="28"/>
      <c r="S791" s="28"/>
      <c r="T791" s="28"/>
      <c r="U791" s="41"/>
      <c r="V791" s="41"/>
      <c r="W791" s="41"/>
      <c r="X791" s="28"/>
      <c r="Y791" s="28"/>
      <c r="Z791" s="28"/>
      <c r="AA791" s="28"/>
      <c r="AB791" s="28"/>
      <c r="AC791" s="28"/>
      <c r="AD791" s="28"/>
    </row>
    <row r="792" spans="9:30" x14ac:dyDescent="0.35">
      <c r="I792" s="28" t="s">
        <v>2038</v>
      </c>
      <c r="J792" s="28" t="s">
        <v>382</v>
      </c>
      <c r="K792" s="28" t="str">
        <f t="shared" si="18"/>
        <v>Sabanas de San AngelMagdalena</v>
      </c>
      <c r="L792" s="28"/>
      <c r="M792" s="28"/>
      <c r="N792" s="28"/>
      <c r="O792" s="28"/>
      <c r="P792" s="28"/>
      <c r="Q792" s="28"/>
      <c r="R792" s="28"/>
      <c r="S792" s="28"/>
      <c r="T792" s="28"/>
      <c r="U792" s="41"/>
      <c r="V792" s="41"/>
      <c r="W792" s="41"/>
      <c r="X792" s="28"/>
      <c r="Y792" s="28"/>
      <c r="Z792" s="28"/>
      <c r="AA792" s="28"/>
      <c r="AB792" s="28"/>
      <c r="AC792" s="28"/>
      <c r="AD792" s="28"/>
    </row>
    <row r="793" spans="9:30" x14ac:dyDescent="0.35">
      <c r="I793" s="28" t="s">
        <v>2039</v>
      </c>
      <c r="J793" s="28" t="s">
        <v>154</v>
      </c>
      <c r="K793" s="28" t="str">
        <f t="shared" si="18"/>
        <v>SabanetaAntioquia</v>
      </c>
      <c r="L793" s="28"/>
      <c r="M793" s="28"/>
      <c r="N793" s="28"/>
      <c r="O793" s="28"/>
      <c r="P793" s="28"/>
      <c r="Q793" s="28"/>
      <c r="R793" s="28"/>
      <c r="S793" s="28"/>
      <c r="T793" s="28"/>
      <c r="U793" s="41"/>
      <c r="V793" s="41"/>
      <c r="W793" s="41"/>
      <c r="X793" s="28"/>
      <c r="Y793" s="28"/>
      <c r="Z793" s="28"/>
      <c r="AA793" s="28"/>
      <c r="AB793" s="28"/>
      <c r="AC793" s="28"/>
      <c r="AD793" s="28"/>
    </row>
    <row r="794" spans="9:30" x14ac:dyDescent="0.35">
      <c r="I794" s="28" t="s">
        <v>2040</v>
      </c>
      <c r="J794" s="28" t="s">
        <v>274</v>
      </c>
      <c r="K794" s="28" t="str">
        <f t="shared" si="18"/>
        <v>SaboyáBoyaca</v>
      </c>
      <c r="L794" s="28"/>
      <c r="M794" s="28"/>
      <c r="N794" s="28"/>
      <c r="O794" s="28"/>
      <c r="P794" s="28"/>
      <c r="Q794" s="28"/>
      <c r="R794" s="28"/>
      <c r="S794" s="28"/>
      <c r="T794" s="28"/>
      <c r="U794" s="41"/>
      <c r="V794" s="41"/>
      <c r="W794" s="41"/>
      <c r="X794" s="28"/>
      <c r="Y794" s="28"/>
      <c r="Z794" s="28"/>
      <c r="AA794" s="28"/>
      <c r="AB794" s="28"/>
      <c r="AC794" s="28"/>
      <c r="AD794" s="28"/>
    </row>
    <row r="795" spans="9:30" x14ac:dyDescent="0.35">
      <c r="I795" s="28" t="s">
        <v>2041</v>
      </c>
      <c r="J795" s="28" t="s">
        <v>305</v>
      </c>
      <c r="K795" s="28" t="str">
        <f t="shared" si="18"/>
        <v>SácamaCasanare</v>
      </c>
      <c r="L795" s="28"/>
      <c r="M795" s="28"/>
      <c r="N795" s="28"/>
      <c r="O795" s="28"/>
      <c r="P795" s="28"/>
      <c r="Q795" s="28"/>
      <c r="R795" s="28"/>
      <c r="S795" s="28"/>
      <c r="T795" s="28"/>
      <c r="U795" s="41"/>
      <c r="V795" s="41"/>
      <c r="W795" s="41"/>
      <c r="X795" s="28"/>
      <c r="Y795" s="28"/>
      <c r="Z795" s="28"/>
      <c r="AA795" s="28"/>
      <c r="AB795" s="28"/>
      <c r="AC795" s="28"/>
      <c r="AD795" s="28"/>
    </row>
    <row r="796" spans="9:30" x14ac:dyDescent="0.35">
      <c r="I796" s="28" t="s">
        <v>2042</v>
      </c>
      <c r="J796" s="28" t="s">
        <v>274</v>
      </c>
      <c r="K796" s="28" t="str">
        <f t="shared" si="18"/>
        <v>SáchicaBoyaca</v>
      </c>
      <c r="L796" s="28"/>
      <c r="M796" s="28"/>
      <c r="N796" s="28"/>
      <c r="O796" s="28"/>
      <c r="P796" s="28"/>
      <c r="Q796" s="28"/>
      <c r="R796" s="28"/>
      <c r="S796" s="28"/>
      <c r="T796" s="28"/>
      <c r="U796" s="41"/>
      <c r="V796" s="41"/>
      <c r="W796" s="41"/>
      <c r="X796" s="28"/>
      <c r="Y796" s="28"/>
      <c r="Z796" s="28"/>
      <c r="AA796" s="28"/>
      <c r="AB796" s="28"/>
      <c r="AC796" s="28"/>
      <c r="AD796" s="28"/>
    </row>
    <row r="797" spans="9:30" x14ac:dyDescent="0.35">
      <c r="I797" s="28" t="s">
        <v>2043</v>
      </c>
      <c r="J797" s="28" t="s">
        <v>337</v>
      </c>
      <c r="K797" s="28" t="str">
        <f t="shared" si="18"/>
        <v>SahagúnCordoba</v>
      </c>
      <c r="L797" s="28"/>
      <c r="M797" s="28"/>
      <c r="N797" s="28"/>
      <c r="O797" s="28"/>
      <c r="P797" s="28"/>
      <c r="Q797" s="28"/>
      <c r="R797" s="28"/>
      <c r="S797" s="28"/>
      <c r="T797" s="28"/>
      <c r="U797" s="41"/>
      <c r="V797" s="41"/>
      <c r="W797" s="41"/>
      <c r="X797" s="28"/>
      <c r="Y797" s="28"/>
      <c r="Z797" s="28"/>
      <c r="AA797" s="28"/>
      <c r="AB797" s="28"/>
      <c r="AC797" s="28"/>
      <c r="AD797" s="28"/>
    </row>
    <row r="798" spans="9:30" x14ac:dyDescent="0.35">
      <c r="I798" s="28" t="s">
        <v>2044</v>
      </c>
      <c r="J798" s="28" t="s">
        <v>245</v>
      </c>
      <c r="K798" s="28" t="str">
        <f t="shared" si="18"/>
        <v>SaladoblancoHuila</v>
      </c>
      <c r="L798" s="28"/>
      <c r="M798" s="28"/>
      <c r="N798" s="28"/>
      <c r="O798" s="28"/>
      <c r="P798" s="28"/>
      <c r="Q798" s="28"/>
      <c r="R798" s="28"/>
      <c r="S798" s="28"/>
      <c r="T798" s="28"/>
      <c r="U798" s="41"/>
      <c r="V798" s="41"/>
      <c r="W798" s="41"/>
      <c r="X798" s="28"/>
      <c r="Y798" s="28"/>
      <c r="Z798" s="28"/>
      <c r="AA798" s="28"/>
      <c r="AB798" s="28"/>
      <c r="AC798" s="28"/>
      <c r="AD798" s="28"/>
    </row>
    <row r="799" spans="9:30" x14ac:dyDescent="0.35">
      <c r="I799" s="28" t="s">
        <v>2045</v>
      </c>
      <c r="J799" s="28" t="s">
        <v>284</v>
      </c>
      <c r="K799" s="28" t="str">
        <f t="shared" si="18"/>
        <v>SalaminaCaldas</v>
      </c>
      <c r="L799" s="28"/>
      <c r="M799" s="28"/>
      <c r="N799" s="28"/>
      <c r="O799" s="28"/>
      <c r="P799" s="28"/>
      <c r="Q799" s="28"/>
      <c r="R799" s="28"/>
      <c r="S799" s="28"/>
      <c r="T799" s="28"/>
      <c r="U799" s="41"/>
      <c r="V799" s="41"/>
      <c r="W799" s="41"/>
      <c r="X799" s="28"/>
      <c r="Y799" s="28"/>
      <c r="Z799" s="28"/>
      <c r="AA799" s="28"/>
      <c r="AB799" s="28"/>
      <c r="AC799" s="28"/>
      <c r="AD799" s="28"/>
    </row>
    <row r="800" spans="9:30" x14ac:dyDescent="0.35">
      <c r="I800" s="28" t="s">
        <v>2045</v>
      </c>
      <c r="J800" s="28" t="s">
        <v>382</v>
      </c>
      <c r="K800" s="28" t="str">
        <f t="shared" si="18"/>
        <v>SalaminaMagdalena</v>
      </c>
      <c r="L800" s="28"/>
      <c r="M800" s="28"/>
      <c r="N800" s="28"/>
      <c r="O800" s="28"/>
      <c r="P800" s="28"/>
      <c r="Q800" s="28"/>
      <c r="R800" s="28"/>
      <c r="S800" s="28"/>
      <c r="T800" s="28"/>
      <c r="U800" s="41"/>
      <c r="V800" s="41"/>
      <c r="W800" s="41"/>
      <c r="X800" s="28"/>
      <c r="Y800" s="28"/>
      <c r="Z800" s="28"/>
      <c r="AA800" s="28"/>
      <c r="AB800" s="28"/>
      <c r="AC800" s="28"/>
      <c r="AD800" s="28"/>
    </row>
    <row r="801" spans="9:30" x14ac:dyDescent="0.35">
      <c r="I801" s="28" t="s">
        <v>2046</v>
      </c>
      <c r="J801" s="28" t="s">
        <v>190</v>
      </c>
      <c r="K801" s="28" t="str">
        <f t="shared" si="18"/>
        <v>SalazarNorte de Santander</v>
      </c>
      <c r="L801" s="28"/>
      <c r="M801" s="28"/>
      <c r="N801" s="28"/>
      <c r="O801" s="28"/>
      <c r="P801" s="28"/>
      <c r="Q801" s="28"/>
      <c r="R801" s="28"/>
      <c r="S801" s="28"/>
      <c r="T801" s="28"/>
      <c r="U801" s="41"/>
      <c r="V801" s="41"/>
      <c r="W801" s="41"/>
      <c r="X801" s="28"/>
      <c r="Y801" s="28"/>
      <c r="Z801" s="28"/>
      <c r="AA801" s="28"/>
      <c r="AB801" s="28"/>
      <c r="AC801" s="28"/>
      <c r="AD801" s="28"/>
    </row>
    <row r="802" spans="9:30" x14ac:dyDescent="0.35">
      <c r="I802" s="28" t="s">
        <v>2047</v>
      </c>
      <c r="J802" s="28" t="s">
        <v>409</v>
      </c>
      <c r="K802" s="28" t="str">
        <f t="shared" si="18"/>
        <v>SaldañaTolima</v>
      </c>
      <c r="L802" s="28"/>
      <c r="M802" s="28"/>
      <c r="N802" s="28"/>
      <c r="O802" s="28"/>
      <c r="P802" s="28"/>
      <c r="Q802" s="28"/>
      <c r="R802" s="28"/>
      <c r="S802" s="28"/>
      <c r="T802" s="28"/>
      <c r="U802" s="41"/>
      <c r="V802" s="41"/>
      <c r="W802" s="41"/>
      <c r="X802" s="28"/>
      <c r="Y802" s="28"/>
      <c r="Z802" s="28"/>
      <c r="AA802" s="28"/>
      <c r="AB802" s="28"/>
      <c r="AC802" s="28"/>
      <c r="AD802" s="28"/>
    </row>
    <row r="803" spans="9:30" x14ac:dyDescent="0.35">
      <c r="I803" s="28" t="s">
        <v>2048</v>
      </c>
      <c r="J803" s="28" t="s">
        <v>401</v>
      </c>
      <c r="K803" s="28" t="str">
        <f t="shared" si="18"/>
        <v>SalentoQuindio</v>
      </c>
      <c r="L803" s="28"/>
      <c r="M803" s="28"/>
      <c r="N803" s="28"/>
      <c r="O803" s="28"/>
      <c r="P803" s="28"/>
      <c r="Q803" s="28"/>
      <c r="R803" s="28"/>
      <c r="S803" s="28"/>
      <c r="T803" s="28"/>
      <c r="U803" s="41"/>
      <c r="V803" s="41"/>
      <c r="W803" s="41"/>
      <c r="X803" s="28"/>
      <c r="Y803" s="28"/>
      <c r="Z803" s="28"/>
      <c r="AA803" s="28"/>
      <c r="AB803" s="28"/>
      <c r="AC803" s="28"/>
      <c r="AD803" s="28"/>
    </row>
    <row r="804" spans="9:30" x14ac:dyDescent="0.35">
      <c r="I804" s="28" t="s">
        <v>2049</v>
      </c>
      <c r="J804" s="28" t="s">
        <v>154</v>
      </c>
      <c r="K804" s="28" t="str">
        <f t="shared" si="18"/>
        <v>SalgarAntioquia</v>
      </c>
      <c r="L804" s="28"/>
      <c r="M804" s="28"/>
      <c r="N804" s="28"/>
      <c r="O804" s="28"/>
      <c r="P804" s="28"/>
      <c r="Q804" s="28"/>
      <c r="R804" s="28"/>
      <c r="S804" s="28"/>
      <c r="T804" s="28"/>
      <c r="U804" s="41"/>
      <c r="V804" s="41"/>
      <c r="W804" s="41"/>
      <c r="X804" s="28"/>
      <c r="Y804" s="28"/>
      <c r="Z804" s="28"/>
      <c r="AA804" s="28"/>
      <c r="AB804" s="28"/>
      <c r="AC804" s="28"/>
      <c r="AD804" s="28"/>
    </row>
    <row r="805" spans="9:30" x14ac:dyDescent="0.35">
      <c r="I805" s="28" t="s">
        <v>2050</v>
      </c>
      <c r="J805" s="28" t="s">
        <v>274</v>
      </c>
      <c r="K805" s="28" t="str">
        <f t="shared" si="18"/>
        <v>SamacáBoyaca</v>
      </c>
      <c r="L805" s="28"/>
      <c r="M805" s="28"/>
      <c r="N805" s="28"/>
      <c r="O805" s="28"/>
      <c r="P805" s="28"/>
      <c r="Q805" s="28"/>
      <c r="R805" s="28"/>
      <c r="S805" s="28"/>
      <c r="T805" s="28"/>
      <c r="U805" s="41"/>
      <c r="V805" s="41"/>
      <c r="W805" s="41"/>
      <c r="X805" s="28"/>
      <c r="Y805" s="28"/>
      <c r="Z805" s="28"/>
      <c r="AA805" s="28"/>
      <c r="AB805" s="28"/>
      <c r="AC805" s="28"/>
      <c r="AD805" s="28"/>
    </row>
    <row r="806" spans="9:30" x14ac:dyDescent="0.35">
      <c r="I806" s="28" t="s">
        <v>2051</v>
      </c>
      <c r="J806" s="28" t="s">
        <v>284</v>
      </c>
      <c r="K806" s="28" t="str">
        <f t="shared" si="18"/>
        <v>SamanáCaldas</v>
      </c>
      <c r="L806" s="28"/>
      <c r="M806" s="28"/>
      <c r="N806" s="28"/>
      <c r="O806" s="28"/>
      <c r="P806" s="28"/>
      <c r="Q806" s="28"/>
      <c r="R806" s="28"/>
      <c r="S806" s="28"/>
      <c r="T806" s="28"/>
      <c r="U806" s="41"/>
      <c r="V806" s="41"/>
      <c r="W806" s="41"/>
      <c r="X806" s="28"/>
      <c r="Y806" s="28"/>
      <c r="Z806" s="28"/>
      <c r="AA806" s="28"/>
      <c r="AB806" s="28"/>
      <c r="AC806" s="28"/>
      <c r="AD806" s="28"/>
    </row>
    <row r="807" spans="9:30" x14ac:dyDescent="0.35">
      <c r="I807" s="28" t="s">
        <v>2052</v>
      </c>
      <c r="J807" s="28" t="s">
        <v>352</v>
      </c>
      <c r="K807" s="28" t="str">
        <f t="shared" si="18"/>
        <v>SamaniegoNariño</v>
      </c>
      <c r="L807" s="28"/>
      <c r="M807" s="28"/>
      <c r="N807" s="28"/>
      <c r="O807" s="28"/>
      <c r="P807" s="28"/>
      <c r="Q807" s="28"/>
      <c r="R807" s="28"/>
      <c r="S807" s="28"/>
      <c r="T807" s="28"/>
      <c r="U807" s="41"/>
      <c r="V807" s="41"/>
      <c r="W807" s="41"/>
      <c r="X807" s="28"/>
      <c r="Y807" s="28"/>
      <c r="Z807" s="28"/>
      <c r="AA807" s="28"/>
      <c r="AB807" s="28"/>
      <c r="AC807" s="28"/>
      <c r="AD807" s="28"/>
    </row>
    <row r="808" spans="9:30" x14ac:dyDescent="0.35">
      <c r="I808" s="28" t="s">
        <v>2053</v>
      </c>
      <c r="J808" s="28" t="s">
        <v>413</v>
      </c>
      <c r="K808" s="28" t="str">
        <f t="shared" si="18"/>
        <v>SampuésSucre</v>
      </c>
      <c r="L808" s="28"/>
      <c r="M808" s="28"/>
      <c r="N808" s="28"/>
      <c r="O808" s="28"/>
      <c r="P808" s="28"/>
      <c r="Q808" s="28"/>
      <c r="R808" s="28"/>
      <c r="S808" s="28"/>
      <c r="T808" s="28"/>
      <c r="U808" s="41"/>
      <c r="V808" s="41"/>
      <c r="W808" s="41"/>
      <c r="X808" s="28"/>
      <c r="Y808" s="28"/>
      <c r="Z808" s="28"/>
      <c r="AA808" s="28"/>
      <c r="AB808" s="28"/>
      <c r="AC808" s="28"/>
      <c r="AD808" s="28"/>
    </row>
    <row r="809" spans="9:30" x14ac:dyDescent="0.35">
      <c r="I809" s="28" t="s">
        <v>2054</v>
      </c>
      <c r="J809" s="28" t="s">
        <v>245</v>
      </c>
      <c r="K809" s="28" t="str">
        <f t="shared" si="18"/>
        <v>San AgustínHuila</v>
      </c>
      <c r="L809" s="28"/>
      <c r="M809" s="28"/>
      <c r="N809" s="28"/>
      <c r="O809" s="28"/>
      <c r="P809" s="28"/>
      <c r="Q809" s="28"/>
      <c r="R809" s="28"/>
      <c r="S809" s="28"/>
      <c r="T809" s="28"/>
      <c r="U809" s="41"/>
      <c r="V809" s="41"/>
      <c r="W809" s="41"/>
      <c r="X809" s="28"/>
      <c r="Y809" s="28"/>
      <c r="Z809" s="28"/>
      <c r="AA809" s="28"/>
      <c r="AB809" s="28"/>
      <c r="AC809" s="28"/>
      <c r="AD809" s="28"/>
    </row>
    <row r="810" spans="9:30" x14ac:dyDescent="0.35">
      <c r="I810" s="28" t="s">
        <v>2055</v>
      </c>
      <c r="J810" s="28" t="s">
        <v>293</v>
      </c>
      <c r="K810" s="28" t="str">
        <f t="shared" si="18"/>
        <v>San AlbertoCesar</v>
      </c>
      <c r="L810" s="28"/>
      <c r="M810" s="28"/>
      <c r="N810" s="28"/>
      <c r="O810" s="28"/>
      <c r="P810" s="28"/>
      <c r="Q810" s="28"/>
      <c r="R810" s="28"/>
      <c r="S810" s="28"/>
      <c r="T810" s="28"/>
      <c r="U810" s="41"/>
      <c r="V810" s="41"/>
      <c r="W810" s="41"/>
      <c r="X810" s="28"/>
      <c r="Y810" s="28"/>
      <c r="Z810" s="28"/>
      <c r="AA810" s="28"/>
      <c r="AB810" s="28"/>
      <c r="AC810" s="28"/>
      <c r="AD810" s="28"/>
    </row>
    <row r="811" spans="9:30" x14ac:dyDescent="0.35">
      <c r="I811" s="28" t="s">
        <v>2056</v>
      </c>
      <c r="J811" s="28" t="s">
        <v>304</v>
      </c>
      <c r="K811" s="28" t="str">
        <f t="shared" si="18"/>
        <v>San AndrésSantander</v>
      </c>
      <c r="L811" s="28"/>
      <c r="M811" s="28"/>
      <c r="N811" s="28"/>
      <c r="O811" s="28"/>
      <c r="P811" s="28"/>
      <c r="Q811" s="28"/>
      <c r="R811" s="28"/>
      <c r="S811" s="28"/>
      <c r="T811" s="28"/>
      <c r="U811" s="41"/>
      <c r="V811" s="41"/>
      <c r="W811" s="41"/>
      <c r="X811" s="28"/>
      <c r="Y811" s="28"/>
      <c r="Z811" s="28"/>
      <c r="AA811" s="28"/>
      <c r="AB811" s="28"/>
      <c r="AC811" s="28"/>
      <c r="AD811" s="28"/>
    </row>
    <row r="812" spans="9:30" x14ac:dyDescent="0.35">
      <c r="I812" s="28" t="s">
        <v>2056</v>
      </c>
      <c r="J812" s="28" t="s">
        <v>211</v>
      </c>
      <c r="K812" s="28" t="str">
        <f t="shared" si="18"/>
        <v>San AndrésArchipielago de San Andres</v>
      </c>
      <c r="L812" s="28"/>
      <c r="M812" s="28"/>
      <c r="N812" s="28"/>
      <c r="O812" s="28"/>
      <c r="P812" s="28"/>
      <c r="Q812" s="28"/>
      <c r="R812" s="28"/>
      <c r="S812" s="28"/>
      <c r="T812" s="28"/>
      <c r="U812" s="41"/>
      <c r="V812" s="41"/>
      <c r="W812" s="41"/>
      <c r="X812" s="28"/>
      <c r="Y812" s="28"/>
      <c r="Z812" s="28"/>
      <c r="AA812" s="28"/>
      <c r="AB812" s="28"/>
      <c r="AC812" s="28"/>
      <c r="AD812" s="28"/>
    </row>
    <row r="813" spans="9:30" x14ac:dyDescent="0.35">
      <c r="I813" s="28" t="s">
        <v>2057</v>
      </c>
      <c r="J813" s="28" t="s">
        <v>154</v>
      </c>
      <c r="K813" s="28" t="str">
        <f t="shared" si="18"/>
        <v>San Andrés de CuerquíaAntioquia</v>
      </c>
      <c r="L813" s="28"/>
      <c r="M813" s="28"/>
      <c r="N813" s="28"/>
      <c r="O813" s="28"/>
      <c r="P813" s="28"/>
      <c r="Q813" s="28"/>
      <c r="R813" s="28"/>
      <c r="S813" s="28"/>
      <c r="T813" s="28"/>
      <c r="U813" s="41"/>
      <c r="V813" s="41"/>
      <c r="W813" s="41"/>
      <c r="X813" s="28"/>
      <c r="Y813" s="28"/>
      <c r="Z813" s="28"/>
      <c r="AA813" s="28"/>
      <c r="AB813" s="28"/>
      <c r="AC813" s="28"/>
      <c r="AD813" s="28"/>
    </row>
    <row r="814" spans="9:30" x14ac:dyDescent="0.35">
      <c r="I814" s="28" t="s">
        <v>2058</v>
      </c>
      <c r="J814" s="28" t="s">
        <v>352</v>
      </c>
      <c r="K814" s="28" t="str">
        <f t="shared" si="18"/>
        <v>San Andres de TumacoNariño</v>
      </c>
      <c r="L814" s="28"/>
      <c r="M814" s="28"/>
      <c r="N814" s="28"/>
      <c r="O814" s="28"/>
      <c r="P814" s="28"/>
      <c r="Q814" s="28"/>
      <c r="R814" s="28"/>
      <c r="S814" s="28"/>
      <c r="T814" s="28"/>
      <c r="U814" s="41"/>
      <c r="V814" s="41"/>
      <c r="W814" s="41"/>
      <c r="X814" s="28"/>
      <c r="Y814" s="28"/>
      <c r="Z814" s="28"/>
      <c r="AA814" s="28"/>
      <c r="AB814" s="28"/>
      <c r="AC814" s="28"/>
      <c r="AD814" s="28"/>
    </row>
    <row r="815" spans="9:30" x14ac:dyDescent="0.35">
      <c r="I815" s="28" t="s">
        <v>2059</v>
      </c>
      <c r="J815" s="28" t="s">
        <v>337</v>
      </c>
      <c r="K815" s="28" t="str">
        <f t="shared" si="18"/>
        <v>San Andrés SotaventoCordoba</v>
      </c>
      <c r="L815" s="28"/>
      <c r="M815" s="28"/>
      <c r="N815" s="28"/>
      <c r="O815" s="28"/>
      <c r="P815" s="28"/>
      <c r="Q815" s="28"/>
      <c r="R815" s="28"/>
      <c r="S815" s="28"/>
      <c r="T815" s="28"/>
      <c r="U815" s="41"/>
      <c r="V815" s="41"/>
      <c r="W815" s="41"/>
      <c r="X815" s="28"/>
      <c r="Y815" s="28"/>
      <c r="Z815" s="28"/>
      <c r="AA815" s="28"/>
      <c r="AB815" s="28"/>
      <c r="AC815" s="28"/>
      <c r="AD815" s="28"/>
    </row>
    <row r="816" spans="9:30" x14ac:dyDescent="0.35">
      <c r="I816" s="28" t="s">
        <v>2060</v>
      </c>
      <c r="J816" s="28" t="s">
        <v>337</v>
      </c>
      <c r="K816" s="28" t="str">
        <f t="shared" si="18"/>
        <v>San AnteroCordoba</v>
      </c>
      <c r="L816" s="28"/>
      <c r="M816" s="28"/>
      <c r="N816" s="28"/>
      <c r="O816" s="28"/>
      <c r="P816" s="28"/>
      <c r="Q816" s="28"/>
      <c r="R816" s="28"/>
      <c r="S816" s="28"/>
      <c r="T816" s="28"/>
      <c r="U816" s="41"/>
      <c r="V816" s="41"/>
      <c r="W816" s="41"/>
      <c r="X816" s="28"/>
      <c r="Y816" s="28"/>
      <c r="Z816" s="28"/>
      <c r="AA816" s="28"/>
      <c r="AB816" s="28"/>
      <c r="AC816" s="28"/>
      <c r="AD816" s="28"/>
    </row>
    <row r="817" spans="9:30" x14ac:dyDescent="0.35">
      <c r="I817" s="28" t="s">
        <v>2061</v>
      </c>
      <c r="J817" s="28" t="s">
        <v>409</v>
      </c>
      <c r="K817" s="28" t="str">
        <f t="shared" si="18"/>
        <v>San AntonioTolima</v>
      </c>
      <c r="L817" s="28"/>
      <c r="M817" s="28"/>
      <c r="N817" s="28"/>
      <c r="O817" s="28"/>
      <c r="P817" s="28"/>
      <c r="Q817" s="28"/>
      <c r="R817" s="28"/>
      <c r="S817" s="28"/>
      <c r="T817" s="28"/>
      <c r="U817" s="41"/>
      <c r="V817" s="41"/>
      <c r="W817" s="41"/>
      <c r="X817" s="28"/>
      <c r="Y817" s="28"/>
      <c r="Z817" s="28"/>
      <c r="AA817" s="28"/>
      <c r="AB817" s="28"/>
      <c r="AC817" s="28"/>
      <c r="AD817" s="28"/>
    </row>
    <row r="818" spans="9:30" x14ac:dyDescent="0.35">
      <c r="I818" s="28" t="s">
        <v>2062</v>
      </c>
      <c r="J818" s="28" t="s">
        <v>283</v>
      </c>
      <c r="K818" s="28" t="str">
        <f t="shared" si="18"/>
        <v>San Antonio del TequendamaCundinamarca</v>
      </c>
      <c r="L818" s="28"/>
      <c r="M818" s="28"/>
      <c r="N818" s="28"/>
      <c r="O818" s="28"/>
      <c r="P818" s="28"/>
      <c r="Q818" s="28"/>
      <c r="R818" s="28"/>
      <c r="S818" s="28"/>
      <c r="T818" s="28"/>
      <c r="U818" s="41"/>
      <c r="V818" s="41"/>
      <c r="W818" s="41"/>
      <c r="X818" s="28"/>
      <c r="Y818" s="28"/>
      <c r="Z818" s="28"/>
      <c r="AA818" s="28"/>
      <c r="AB818" s="28"/>
      <c r="AC818" s="28"/>
      <c r="AD818" s="28"/>
    </row>
    <row r="819" spans="9:30" x14ac:dyDescent="0.35">
      <c r="I819" s="28" t="s">
        <v>2063</v>
      </c>
      <c r="J819" s="28" t="s">
        <v>304</v>
      </c>
      <c r="K819" s="28" t="str">
        <f t="shared" si="18"/>
        <v>San BenitoSantander</v>
      </c>
      <c r="L819" s="28"/>
      <c r="M819" s="28"/>
      <c r="N819" s="28"/>
      <c r="O819" s="28"/>
      <c r="P819" s="28"/>
      <c r="Q819" s="28"/>
      <c r="R819" s="28"/>
      <c r="S819" s="28"/>
      <c r="T819" s="28"/>
      <c r="U819" s="41"/>
      <c r="V819" s="41"/>
      <c r="W819" s="41"/>
      <c r="X819" s="28"/>
      <c r="Y819" s="28"/>
      <c r="Z819" s="28"/>
      <c r="AA819" s="28"/>
      <c r="AB819" s="28"/>
      <c r="AC819" s="28"/>
      <c r="AD819" s="28"/>
    </row>
    <row r="820" spans="9:30" x14ac:dyDescent="0.35">
      <c r="I820" s="28" t="s">
        <v>2064</v>
      </c>
      <c r="J820" s="28" t="s">
        <v>413</v>
      </c>
      <c r="K820" s="28" t="str">
        <f t="shared" si="18"/>
        <v>San Benito AbadSucre</v>
      </c>
      <c r="L820" s="28"/>
      <c r="M820" s="28"/>
      <c r="N820" s="28"/>
      <c r="O820" s="28"/>
      <c r="P820" s="28"/>
      <c r="Q820" s="28"/>
      <c r="R820" s="28"/>
      <c r="S820" s="28"/>
      <c r="T820" s="28"/>
      <c r="U820" s="41"/>
      <c r="V820" s="41"/>
      <c r="W820" s="41"/>
      <c r="X820" s="28"/>
      <c r="Y820" s="28"/>
      <c r="Z820" s="28"/>
      <c r="AA820" s="28"/>
      <c r="AB820" s="28"/>
      <c r="AC820" s="28"/>
      <c r="AD820" s="28"/>
    </row>
    <row r="821" spans="9:30" x14ac:dyDescent="0.35">
      <c r="I821" s="28" t="s">
        <v>2065</v>
      </c>
      <c r="J821" s="28" t="s">
        <v>283</v>
      </c>
      <c r="K821" s="28" t="str">
        <f t="shared" si="18"/>
        <v>San BernardoCundinamarca</v>
      </c>
      <c r="L821" s="28"/>
      <c r="M821" s="28"/>
      <c r="N821" s="28"/>
      <c r="O821" s="28"/>
      <c r="P821" s="28"/>
      <c r="Q821" s="28"/>
      <c r="R821" s="28"/>
      <c r="S821" s="28"/>
      <c r="T821" s="28"/>
      <c r="U821" s="41"/>
      <c r="V821" s="41"/>
      <c r="W821" s="41"/>
      <c r="X821" s="28"/>
      <c r="Y821" s="28"/>
      <c r="Z821" s="28"/>
      <c r="AA821" s="28"/>
      <c r="AB821" s="28"/>
      <c r="AC821" s="28"/>
      <c r="AD821" s="28"/>
    </row>
    <row r="822" spans="9:30" x14ac:dyDescent="0.35">
      <c r="I822" s="28" t="s">
        <v>2065</v>
      </c>
      <c r="J822" s="28" t="s">
        <v>352</v>
      </c>
      <c r="K822" s="28" t="str">
        <f t="shared" si="18"/>
        <v>San BernardoNariño</v>
      </c>
      <c r="L822" s="28"/>
      <c r="M822" s="28"/>
      <c r="N822" s="28"/>
      <c r="O822" s="28"/>
      <c r="P822" s="28"/>
      <c r="Q822" s="28"/>
      <c r="R822" s="28"/>
      <c r="S822" s="28"/>
      <c r="T822" s="28"/>
      <c r="U822" s="41"/>
      <c r="V822" s="41"/>
      <c r="W822" s="41"/>
      <c r="X822" s="28"/>
      <c r="Y822" s="28"/>
      <c r="Z822" s="28"/>
      <c r="AA822" s="28"/>
      <c r="AB822" s="28"/>
      <c r="AC822" s="28"/>
      <c r="AD822" s="28"/>
    </row>
    <row r="823" spans="9:30" x14ac:dyDescent="0.35">
      <c r="I823" s="28" t="s">
        <v>2066</v>
      </c>
      <c r="J823" s="28" t="s">
        <v>337</v>
      </c>
      <c r="K823" s="28" t="str">
        <f t="shared" si="18"/>
        <v>San Bernardo del VientoCordoba</v>
      </c>
      <c r="L823" s="28"/>
      <c r="M823" s="28"/>
      <c r="N823" s="28"/>
      <c r="O823" s="28"/>
      <c r="P823" s="28"/>
      <c r="Q823" s="28"/>
      <c r="R823" s="28"/>
      <c r="S823" s="28"/>
      <c r="T823" s="28"/>
      <c r="U823" s="41"/>
      <c r="V823" s="41"/>
      <c r="W823" s="41"/>
      <c r="X823" s="28"/>
      <c r="Y823" s="28"/>
      <c r="Z823" s="28"/>
      <c r="AA823" s="28"/>
      <c r="AB823" s="28"/>
      <c r="AC823" s="28"/>
      <c r="AD823" s="28"/>
    </row>
    <row r="824" spans="9:30" x14ac:dyDescent="0.35">
      <c r="I824" s="28" t="s">
        <v>2067</v>
      </c>
      <c r="J824" s="28" t="s">
        <v>190</v>
      </c>
      <c r="K824" s="28" t="str">
        <f t="shared" si="18"/>
        <v>San CalixtoNorte de Santander</v>
      </c>
      <c r="L824" s="28"/>
      <c r="M824" s="28"/>
      <c r="N824" s="28"/>
      <c r="O824" s="28"/>
      <c r="P824" s="28"/>
      <c r="Q824" s="28"/>
      <c r="R824" s="28"/>
      <c r="S824" s="28"/>
      <c r="T824" s="28"/>
      <c r="U824" s="41"/>
      <c r="V824" s="41"/>
      <c r="W824" s="41"/>
      <c r="X824" s="28"/>
      <c r="Y824" s="28"/>
      <c r="Z824" s="28"/>
      <c r="AA824" s="28"/>
      <c r="AB824" s="28"/>
      <c r="AC824" s="28"/>
      <c r="AD824" s="28"/>
    </row>
    <row r="825" spans="9:30" x14ac:dyDescent="0.35">
      <c r="I825" s="28" t="s">
        <v>2068</v>
      </c>
      <c r="J825" s="28" t="s">
        <v>154</v>
      </c>
      <c r="K825" s="28" t="str">
        <f t="shared" si="18"/>
        <v>San CarlosAntioquia</v>
      </c>
      <c r="L825" s="28"/>
      <c r="M825" s="28"/>
      <c r="N825" s="28"/>
      <c r="O825" s="28"/>
      <c r="P825" s="28"/>
      <c r="Q825" s="28"/>
      <c r="R825" s="28"/>
      <c r="S825" s="28"/>
      <c r="T825" s="28"/>
      <c r="U825" s="41"/>
      <c r="V825" s="41"/>
      <c r="W825" s="41"/>
      <c r="X825" s="28"/>
      <c r="Y825" s="28"/>
      <c r="Z825" s="28"/>
      <c r="AA825" s="28"/>
      <c r="AB825" s="28"/>
      <c r="AC825" s="28"/>
      <c r="AD825" s="28"/>
    </row>
    <row r="826" spans="9:30" x14ac:dyDescent="0.35">
      <c r="I826" s="28" t="s">
        <v>2068</v>
      </c>
      <c r="J826" s="28" t="s">
        <v>337</v>
      </c>
      <c r="K826" s="28" t="str">
        <f t="shared" si="18"/>
        <v>San CarlosCordoba</v>
      </c>
      <c r="L826" s="28"/>
      <c r="M826" s="28"/>
      <c r="N826" s="28"/>
      <c r="O826" s="28"/>
      <c r="P826" s="28"/>
      <c r="Q826" s="28"/>
      <c r="R826" s="28"/>
      <c r="S826" s="28"/>
      <c r="T826" s="28"/>
      <c r="U826" s="41"/>
      <c r="V826" s="41"/>
      <c r="W826" s="41"/>
      <c r="X826" s="28"/>
      <c r="Y826" s="28"/>
      <c r="Z826" s="28"/>
      <c r="AA826" s="28"/>
      <c r="AB826" s="28"/>
      <c r="AC826" s="28"/>
      <c r="AD826" s="28"/>
    </row>
    <row r="827" spans="9:30" x14ac:dyDescent="0.35">
      <c r="I827" s="28" t="s">
        <v>2069</v>
      </c>
      <c r="J827" s="28" t="s">
        <v>210</v>
      </c>
      <c r="K827" s="28" t="str">
        <f t="shared" si="18"/>
        <v>San Carlos de GuaroaMeta</v>
      </c>
      <c r="L827" s="28"/>
      <c r="M827" s="28"/>
      <c r="N827" s="28"/>
      <c r="O827" s="28"/>
      <c r="P827" s="28"/>
      <c r="Q827" s="28"/>
      <c r="R827" s="28"/>
      <c r="S827" s="28"/>
      <c r="T827" s="28"/>
      <c r="U827" s="41"/>
      <c r="V827" s="41"/>
      <c r="W827" s="41"/>
      <c r="X827" s="28"/>
      <c r="Y827" s="28"/>
      <c r="Z827" s="28"/>
      <c r="AA827" s="28"/>
      <c r="AB827" s="28"/>
      <c r="AC827" s="28"/>
      <c r="AD827" s="28"/>
    </row>
    <row r="828" spans="9:30" x14ac:dyDescent="0.35">
      <c r="I828" s="28" t="s">
        <v>2070</v>
      </c>
      <c r="J828" s="28" t="s">
        <v>283</v>
      </c>
      <c r="K828" s="28" t="str">
        <f t="shared" si="18"/>
        <v>San CayetanoCundinamarca</v>
      </c>
      <c r="L828" s="28"/>
      <c r="M828" s="28"/>
      <c r="N828" s="28"/>
      <c r="O828" s="28"/>
      <c r="P828" s="28"/>
      <c r="Q828" s="28"/>
      <c r="R828" s="28"/>
      <c r="S828" s="28"/>
      <c r="T828" s="28"/>
      <c r="U828" s="41"/>
      <c r="V828" s="41"/>
      <c r="W828" s="41"/>
      <c r="X828" s="28"/>
      <c r="Y828" s="28"/>
      <c r="Z828" s="28"/>
      <c r="AA828" s="28"/>
      <c r="AB828" s="28"/>
      <c r="AC828" s="28"/>
      <c r="AD828" s="28"/>
    </row>
    <row r="829" spans="9:30" x14ac:dyDescent="0.35">
      <c r="I829" s="28" t="s">
        <v>2070</v>
      </c>
      <c r="J829" s="28" t="s">
        <v>190</v>
      </c>
      <c r="K829" s="28" t="str">
        <f t="shared" si="18"/>
        <v>San CayetanoNorte de Santander</v>
      </c>
      <c r="L829" s="28"/>
      <c r="M829" s="28"/>
      <c r="N829" s="28"/>
      <c r="O829" s="28"/>
      <c r="P829" s="28"/>
      <c r="Q829" s="28"/>
      <c r="R829" s="28"/>
      <c r="S829" s="28"/>
      <c r="T829" s="28"/>
      <c r="U829" s="41"/>
      <c r="V829" s="41"/>
      <c r="W829" s="41"/>
      <c r="X829" s="28"/>
      <c r="Y829" s="28"/>
      <c r="Z829" s="28"/>
      <c r="AA829" s="28"/>
      <c r="AB829" s="28"/>
      <c r="AC829" s="28"/>
      <c r="AD829" s="28"/>
    </row>
    <row r="830" spans="9:30" x14ac:dyDescent="0.35">
      <c r="I830" s="28" t="s">
        <v>2071</v>
      </c>
      <c r="J830" s="28" t="s">
        <v>260</v>
      </c>
      <c r="K830" s="28" t="str">
        <f t="shared" si="18"/>
        <v>San CristóbalBolivar</v>
      </c>
      <c r="L830" s="28"/>
      <c r="M830" s="28"/>
      <c r="N830" s="28"/>
      <c r="O830" s="28"/>
      <c r="P830" s="28"/>
      <c r="Q830" s="28"/>
      <c r="R830" s="28"/>
      <c r="S830" s="28"/>
      <c r="T830" s="28"/>
      <c r="U830" s="41"/>
      <c r="V830" s="41"/>
      <c r="W830" s="41"/>
      <c r="X830" s="28"/>
      <c r="Y830" s="28"/>
      <c r="Z830" s="28"/>
      <c r="AA830" s="28"/>
      <c r="AB830" s="28"/>
      <c r="AC830" s="28"/>
      <c r="AD830" s="28"/>
    </row>
    <row r="831" spans="9:30" x14ac:dyDescent="0.35">
      <c r="I831" s="28" t="s">
        <v>2072</v>
      </c>
      <c r="J831" s="28" t="s">
        <v>293</v>
      </c>
      <c r="K831" s="28" t="str">
        <f t="shared" si="18"/>
        <v>San DiegoCesar</v>
      </c>
      <c r="L831" s="28"/>
      <c r="M831" s="28"/>
      <c r="N831" s="28"/>
      <c r="O831" s="28"/>
      <c r="P831" s="28"/>
      <c r="Q831" s="28"/>
      <c r="R831" s="28"/>
      <c r="S831" s="28"/>
      <c r="T831" s="28"/>
      <c r="U831" s="41"/>
      <c r="V831" s="41"/>
      <c r="W831" s="41"/>
      <c r="X831" s="28"/>
      <c r="Y831" s="28"/>
      <c r="Z831" s="28"/>
      <c r="AA831" s="28"/>
      <c r="AB831" s="28"/>
      <c r="AC831" s="28"/>
      <c r="AD831" s="28"/>
    </row>
    <row r="832" spans="9:30" x14ac:dyDescent="0.35">
      <c r="I832" s="28" t="s">
        <v>2073</v>
      </c>
      <c r="J832" s="28" t="s">
        <v>274</v>
      </c>
      <c r="K832" s="28" t="str">
        <f t="shared" si="18"/>
        <v>San EduardoBoyaca</v>
      </c>
      <c r="L832" s="28"/>
      <c r="M832" s="28"/>
      <c r="N832" s="28"/>
      <c r="O832" s="28"/>
      <c r="P832" s="28"/>
      <c r="Q832" s="28"/>
      <c r="R832" s="28"/>
      <c r="S832" s="28"/>
      <c r="T832" s="28"/>
      <c r="U832" s="41"/>
      <c r="V832" s="41"/>
      <c r="W832" s="41"/>
      <c r="X832" s="28"/>
      <c r="Y832" s="28"/>
      <c r="Z832" s="28"/>
      <c r="AA832" s="28"/>
      <c r="AB832" s="28"/>
      <c r="AC832" s="28"/>
      <c r="AD832" s="28"/>
    </row>
    <row r="833" spans="9:30" x14ac:dyDescent="0.35">
      <c r="I833" s="28" t="s">
        <v>2074</v>
      </c>
      <c r="J833" s="28" t="s">
        <v>260</v>
      </c>
      <c r="K833" s="28" t="str">
        <f t="shared" ref="K833:K896" si="19">_xlfn.CONCAT(TRIM(I833),TRIM(J833))</f>
        <v>San EstanislaoBolivar</v>
      </c>
      <c r="L833" s="28"/>
      <c r="M833" s="28"/>
      <c r="N833" s="28"/>
      <c r="O833" s="28"/>
      <c r="P833" s="28"/>
      <c r="Q833" s="28"/>
      <c r="R833" s="28"/>
      <c r="S833" s="28"/>
      <c r="T833" s="28"/>
      <c r="U833" s="41"/>
      <c r="V833" s="41"/>
      <c r="W833" s="41"/>
      <c r="X833" s="28"/>
      <c r="Y833" s="28"/>
      <c r="Z833" s="28"/>
      <c r="AA833" s="28"/>
      <c r="AB833" s="28"/>
      <c r="AC833" s="28"/>
      <c r="AD833" s="28"/>
    </row>
    <row r="834" spans="9:30" x14ac:dyDescent="0.35">
      <c r="I834" s="28" t="s">
        <v>2075</v>
      </c>
      <c r="J834" s="28" t="s">
        <v>353</v>
      </c>
      <c r="K834" s="28" t="str">
        <f t="shared" si="19"/>
        <v>San FelipeGuainia</v>
      </c>
      <c r="L834" s="28"/>
      <c r="M834" s="28"/>
      <c r="N834" s="28"/>
      <c r="O834" s="28"/>
      <c r="P834" s="28"/>
      <c r="Q834" s="28"/>
      <c r="R834" s="28"/>
      <c r="S834" s="28"/>
      <c r="T834" s="28"/>
      <c r="U834" s="41"/>
      <c r="V834" s="41"/>
      <c r="W834" s="41"/>
      <c r="X834" s="28"/>
      <c r="Y834" s="28"/>
      <c r="Z834" s="28"/>
      <c r="AA834" s="28"/>
      <c r="AB834" s="28"/>
      <c r="AC834" s="28"/>
      <c r="AD834" s="28"/>
    </row>
    <row r="835" spans="9:30" x14ac:dyDescent="0.35">
      <c r="I835" s="28" t="s">
        <v>2076</v>
      </c>
      <c r="J835" s="28" t="s">
        <v>260</v>
      </c>
      <c r="K835" s="28" t="str">
        <f t="shared" si="19"/>
        <v>San FernandoBolivar</v>
      </c>
      <c r="L835" s="28"/>
      <c r="M835" s="28"/>
      <c r="N835" s="28"/>
      <c r="O835" s="28"/>
      <c r="P835" s="28"/>
      <c r="Q835" s="28"/>
      <c r="R835" s="28"/>
      <c r="S835" s="28"/>
      <c r="T835" s="28"/>
      <c r="U835" s="41"/>
      <c r="V835" s="41"/>
      <c r="W835" s="41"/>
      <c r="X835" s="28"/>
      <c r="Y835" s="28"/>
      <c r="Z835" s="28"/>
      <c r="AA835" s="28"/>
      <c r="AB835" s="28"/>
      <c r="AC835" s="28"/>
      <c r="AD835" s="28"/>
    </row>
    <row r="836" spans="9:30" x14ac:dyDescent="0.35">
      <c r="I836" s="28" t="s">
        <v>2077</v>
      </c>
      <c r="J836" s="28" t="s">
        <v>154</v>
      </c>
      <c r="K836" s="28" t="str">
        <f t="shared" si="19"/>
        <v>San FranciscoAntioquia</v>
      </c>
      <c r="L836" s="28"/>
      <c r="M836" s="28"/>
      <c r="N836" s="28"/>
      <c r="O836" s="28"/>
      <c r="P836" s="28"/>
      <c r="Q836" s="28"/>
      <c r="R836" s="28"/>
      <c r="S836" s="28"/>
      <c r="T836" s="28"/>
      <c r="U836" s="41"/>
      <c r="V836" s="41"/>
      <c r="W836" s="41"/>
      <c r="X836" s="28"/>
      <c r="Y836" s="28"/>
      <c r="Z836" s="28"/>
      <c r="AA836" s="28"/>
      <c r="AB836" s="28"/>
      <c r="AC836" s="28"/>
      <c r="AD836" s="28"/>
    </row>
    <row r="837" spans="9:30" x14ac:dyDescent="0.35">
      <c r="I837" s="28" t="s">
        <v>2077</v>
      </c>
      <c r="J837" s="28" t="s">
        <v>283</v>
      </c>
      <c r="K837" s="28" t="str">
        <f t="shared" si="19"/>
        <v>San FranciscoCundinamarca</v>
      </c>
      <c r="L837" s="28"/>
      <c r="M837" s="28"/>
      <c r="N837" s="28"/>
      <c r="O837" s="28"/>
      <c r="P837" s="28"/>
      <c r="Q837" s="28"/>
      <c r="R837" s="28"/>
      <c r="S837" s="28"/>
      <c r="T837" s="28"/>
      <c r="U837" s="41"/>
      <c r="V837" s="41"/>
      <c r="W837" s="41"/>
      <c r="X837" s="28"/>
      <c r="Y837" s="28"/>
      <c r="Z837" s="28"/>
      <c r="AA837" s="28"/>
      <c r="AB837" s="28"/>
      <c r="AC837" s="28"/>
      <c r="AD837" s="28"/>
    </row>
    <row r="838" spans="9:30" x14ac:dyDescent="0.35">
      <c r="I838" s="28" t="s">
        <v>2077</v>
      </c>
      <c r="J838" s="28" t="s">
        <v>396</v>
      </c>
      <c r="K838" s="28" t="str">
        <f t="shared" si="19"/>
        <v>San FranciscoPutumayo</v>
      </c>
      <c r="L838" s="28"/>
      <c r="M838" s="28"/>
      <c r="N838" s="28"/>
      <c r="O838" s="28"/>
      <c r="P838" s="28"/>
      <c r="Q838" s="28"/>
      <c r="R838" s="28"/>
      <c r="S838" s="28"/>
      <c r="T838" s="28"/>
      <c r="U838" s="41"/>
      <c r="V838" s="41"/>
      <c r="W838" s="41"/>
      <c r="X838" s="28"/>
      <c r="Y838" s="28"/>
      <c r="Z838" s="28"/>
      <c r="AA838" s="28"/>
      <c r="AB838" s="28"/>
      <c r="AC838" s="28"/>
      <c r="AD838" s="28"/>
    </row>
    <row r="839" spans="9:30" x14ac:dyDescent="0.35">
      <c r="I839" s="28" t="s">
        <v>2078</v>
      </c>
      <c r="J839" s="28" t="s">
        <v>304</v>
      </c>
      <c r="K839" s="28" t="str">
        <f t="shared" si="19"/>
        <v>San GilSantander</v>
      </c>
      <c r="L839" s="28"/>
      <c r="M839" s="28"/>
      <c r="N839" s="28"/>
      <c r="O839" s="28"/>
      <c r="P839" s="28"/>
      <c r="Q839" s="28"/>
      <c r="R839" s="28"/>
      <c r="S839" s="28"/>
      <c r="T839" s="28"/>
      <c r="U839" s="41"/>
      <c r="V839" s="41"/>
      <c r="W839" s="41"/>
      <c r="X839" s="28"/>
      <c r="Y839" s="28"/>
      <c r="Z839" s="28"/>
      <c r="AA839" s="28"/>
      <c r="AB839" s="28"/>
      <c r="AC839" s="28"/>
      <c r="AD839" s="28"/>
    </row>
    <row r="840" spans="9:30" x14ac:dyDescent="0.35">
      <c r="I840" s="28" t="s">
        <v>2079</v>
      </c>
      <c r="J840" s="28" t="s">
        <v>260</v>
      </c>
      <c r="K840" s="28" t="str">
        <f t="shared" si="19"/>
        <v>San JacintoBolivar</v>
      </c>
      <c r="L840" s="28"/>
      <c r="M840" s="28"/>
      <c r="N840" s="28"/>
      <c r="O840" s="28"/>
      <c r="P840" s="28"/>
      <c r="Q840" s="28"/>
      <c r="R840" s="28"/>
      <c r="S840" s="28"/>
      <c r="T840" s="28"/>
      <c r="U840" s="41"/>
      <c r="V840" s="41"/>
      <c r="W840" s="41"/>
      <c r="X840" s="28"/>
      <c r="Y840" s="28"/>
      <c r="Z840" s="28"/>
      <c r="AA840" s="28"/>
      <c r="AB840" s="28"/>
      <c r="AC840" s="28"/>
      <c r="AD840" s="28"/>
    </row>
    <row r="841" spans="9:30" x14ac:dyDescent="0.35">
      <c r="I841" s="28" t="s">
        <v>2080</v>
      </c>
      <c r="J841" s="28" t="s">
        <v>260</v>
      </c>
      <c r="K841" s="28" t="str">
        <f t="shared" si="19"/>
        <v>San Jacinto del CaucaBolivar</v>
      </c>
      <c r="L841" s="28"/>
      <c r="M841" s="28"/>
      <c r="N841" s="28"/>
      <c r="O841" s="28"/>
      <c r="P841" s="28"/>
      <c r="Q841" s="28"/>
      <c r="R841" s="28"/>
      <c r="S841" s="28"/>
      <c r="T841" s="28"/>
      <c r="U841" s="41"/>
      <c r="V841" s="41"/>
      <c r="W841" s="41"/>
      <c r="X841" s="28"/>
      <c r="Y841" s="28"/>
      <c r="Z841" s="28"/>
      <c r="AA841" s="28"/>
      <c r="AB841" s="28"/>
      <c r="AC841" s="28"/>
      <c r="AD841" s="28"/>
    </row>
    <row r="842" spans="9:30" x14ac:dyDescent="0.35">
      <c r="I842" s="28" t="s">
        <v>2081</v>
      </c>
      <c r="J842" s="28" t="s">
        <v>154</v>
      </c>
      <c r="K842" s="28" t="str">
        <f t="shared" si="19"/>
        <v>San JerónimoAntioquia</v>
      </c>
      <c r="L842" s="28"/>
      <c r="M842" s="28"/>
      <c r="N842" s="28"/>
      <c r="O842" s="28"/>
      <c r="P842" s="28"/>
      <c r="Q842" s="28"/>
      <c r="R842" s="28"/>
      <c r="S842" s="28"/>
      <c r="T842" s="28"/>
      <c r="U842" s="41"/>
      <c r="V842" s="41"/>
      <c r="W842" s="41"/>
      <c r="X842" s="28"/>
      <c r="Y842" s="28"/>
      <c r="Z842" s="28"/>
      <c r="AA842" s="28"/>
      <c r="AB842" s="28"/>
      <c r="AC842" s="28"/>
      <c r="AD842" s="28"/>
    </row>
    <row r="843" spans="9:30" x14ac:dyDescent="0.35">
      <c r="I843" s="28" t="s">
        <v>2082</v>
      </c>
      <c r="J843" s="28" t="s">
        <v>304</v>
      </c>
      <c r="K843" s="28" t="str">
        <f t="shared" si="19"/>
        <v>San JoaquínSantander</v>
      </c>
      <c r="L843" s="28"/>
      <c r="M843" s="28"/>
      <c r="N843" s="28"/>
      <c r="O843" s="28"/>
      <c r="P843" s="28"/>
      <c r="Q843" s="28"/>
      <c r="R843" s="28"/>
      <c r="S843" s="28"/>
      <c r="T843" s="28"/>
      <c r="U843" s="41"/>
      <c r="V843" s="41"/>
      <c r="W843" s="41"/>
      <c r="X843" s="28"/>
      <c r="Y843" s="28"/>
      <c r="Z843" s="28"/>
      <c r="AA843" s="28"/>
      <c r="AB843" s="28"/>
      <c r="AC843" s="28"/>
      <c r="AD843" s="28"/>
    </row>
    <row r="844" spans="9:30" x14ac:dyDescent="0.35">
      <c r="I844" s="28" t="s">
        <v>2083</v>
      </c>
      <c r="J844" s="28" t="s">
        <v>284</v>
      </c>
      <c r="K844" s="28" t="str">
        <f t="shared" si="19"/>
        <v>San JoséCaldas</v>
      </c>
      <c r="L844" s="28"/>
      <c r="M844" s="28"/>
      <c r="N844" s="28"/>
      <c r="O844" s="28"/>
      <c r="P844" s="28"/>
      <c r="Q844" s="28"/>
      <c r="R844" s="28"/>
      <c r="S844" s="28"/>
      <c r="T844" s="28"/>
      <c r="U844" s="41"/>
      <c r="V844" s="41"/>
      <c r="W844" s="41"/>
      <c r="X844" s="28"/>
      <c r="Y844" s="28"/>
      <c r="Z844" s="28"/>
      <c r="AA844" s="28"/>
      <c r="AB844" s="28"/>
      <c r="AC844" s="28"/>
      <c r="AD844" s="28"/>
    </row>
    <row r="845" spans="9:30" x14ac:dyDescent="0.35">
      <c r="I845" s="28" t="s">
        <v>2084</v>
      </c>
      <c r="J845" s="28" t="s">
        <v>154</v>
      </c>
      <c r="K845" s="28" t="str">
        <f t="shared" si="19"/>
        <v>San José de La MontañaAntioquia</v>
      </c>
      <c r="L845" s="28"/>
      <c r="M845" s="28"/>
      <c r="N845" s="28"/>
      <c r="O845" s="28"/>
      <c r="P845" s="28"/>
      <c r="Q845" s="28"/>
      <c r="R845" s="28"/>
      <c r="S845" s="28"/>
      <c r="T845" s="28"/>
      <c r="U845" s="41"/>
      <c r="V845" s="41"/>
      <c r="W845" s="41"/>
      <c r="X845" s="28"/>
      <c r="Y845" s="28"/>
      <c r="Z845" s="28"/>
      <c r="AA845" s="28"/>
      <c r="AB845" s="28"/>
      <c r="AC845" s="28"/>
      <c r="AD845" s="28"/>
    </row>
    <row r="846" spans="9:30" x14ac:dyDescent="0.35">
      <c r="I846" s="28" t="s">
        <v>2085</v>
      </c>
      <c r="J846" s="28" t="s">
        <v>304</v>
      </c>
      <c r="K846" s="28" t="str">
        <f t="shared" si="19"/>
        <v>San José de MirandaSantander</v>
      </c>
      <c r="L846" s="28"/>
      <c r="M846" s="28"/>
      <c r="N846" s="28"/>
      <c r="O846" s="28"/>
      <c r="P846" s="28"/>
      <c r="Q846" s="28"/>
      <c r="R846" s="28"/>
      <c r="S846" s="28"/>
      <c r="T846" s="28"/>
      <c r="U846" s="41"/>
      <c r="V846" s="41"/>
      <c r="W846" s="41"/>
      <c r="X846" s="28"/>
      <c r="Y846" s="28"/>
      <c r="Z846" s="28"/>
      <c r="AA846" s="28"/>
      <c r="AB846" s="28"/>
      <c r="AC846" s="28"/>
      <c r="AD846" s="28"/>
    </row>
    <row r="847" spans="9:30" x14ac:dyDescent="0.35">
      <c r="I847" s="28" t="s">
        <v>2086</v>
      </c>
      <c r="J847" s="28" t="s">
        <v>274</v>
      </c>
      <c r="K847" s="28" t="str">
        <f t="shared" si="19"/>
        <v>San José de PareBoyaca</v>
      </c>
      <c r="L847" s="28"/>
      <c r="M847" s="28"/>
      <c r="N847" s="28"/>
      <c r="O847" s="28"/>
      <c r="P847" s="28"/>
      <c r="Q847" s="28"/>
      <c r="R847" s="28"/>
      <c r="S847" s="28"/>
      <c r="T847" s="28"/>
      <c r="U847" s="41"/>
      <c r="V847" s="41"/>
      <c r="W847" s="41"/>
      <c r="X847" s="28"/>
      <c r="Y847" s="28"/>
      <c r="Z847" s="28"/>
      <c r="AA847" s="28"/>
      <c r="AB847" s="28"/>
      <c r="AC847" s="28"/>
      <c r="AD847" s="28"/>
    </row>
    <row r="848" spans="9:30" x14ac:dyDescent="0.35">
      <c r="I848" s="28" t="s">
        <v>2087</v>
      </c>
      <c r="J848" s="28" t="s">
        <v>294</v>
      </c>
      <c r="K848" s="28" t="str">
        <f t="shared" si="19"/>
        <v>San José del FraguaCaqueta</v>
      </c>
      <c r="L848" s="28"/>
      <c r="M848" s="28"/>
      <c r="N848" s="28"/>
      <c r="O848" s="28"/>
      <c r="P848" s="28"/>
      <c r="Q848" s="28"/>
      <c r="R848" s="28"/>
      <c r="S848" s="28"/>
      <c r="T848" s="28"/>
      <c r="U848" s="41"/>
      <c r="V848" s="41"/>
      <c r="W848" s="41"/>
      <c r="X848" s="28"/>
      <c r="Y848" s="28"/>
      <c r="Z848" s="28"/>
      <c r="AA848" s="28"/>
      <c r="AB848" s="28"/>
      <c r="AC848" s="28"/>
      <c r="AD848" s="28"/>
    </row>
    <row r="849" spans="9:30" x14ac:dyDescent="0.35">
      <c r="I849" s="28" t="s">
        <v>2088</v>
      </c>
      <c r="J849" s="28" t="s">
        <v>360</v>
      </c>
      <c r="K849" s="28" t="str">
        <f t="shared" si="19"/>
        <v>San José del GuaviareGuaviare</v>
      </c>
      <c r="L849" s="28"/>
      <c r="M849" s="28"/>
      <c r="N849" s="28"/>
      <c r="O849" s="28"/>
      <c r="P849" s="28"/>
      <c r="Q849" s="28"/>
      <c r="R849" s="28"/>
      <c r="S849" s="28"/>
      <c r="T849" s="28"/>
      <c r="U849" s="41"/>
      <c r="V849" s="41"/>
      <c r="W849" s="41"/>
      <c r="X849" s="28"/>
      <c r="Y849" s="28"/>
      <c r="Z849" s="28"/>
      <c r="AA849" s="28"/>
      <c r="AB849" s="28"/>
      <c r="AC849" s="28"/>
      <c r="AD849" s="28"/>
    </row>
    <row r="850" spans="9:30" x14ac:dyDescent="0.35">
      <c r="I850" s="28" t="s">
        <v>2089</v>
      </c>
      <c r="J850" s="28" t="s">
        <v>230</v>
      </c>
      <c r="K850" s="28" t="str">
        <f t="shared" si="19"/>
        <v>San José del PalmarChoco</v>
      </c>
      <c r="L850" s="28"/>
      <c r="M850" s="28"/>
      <c r="N850" s="28"/>
      <c r="O850" s="28"/>
      <c r="P850" s="28"/>
      <c r="Q850" s="28"/>
      <c r="R850" s="28"/>
      <c r="S850" s="28"/>
      <c r="T850" s="28"/>
      <c r="U850" s="41"/>
      <c r="V850" s="41"/>
      <c r="W850" s="41"/>
      <c r="X850" s="28"/>
      <c r="Y850" s="28"/>
      <c r="Z850" s="28"/>
      <c r="AA850" s="28"/>
      <c r="AB850" s="28"/>
      <c r="AC850" s="28"/>
      <c r="AD850" s="28"/>
    </row>
    <row r="851" spans="9:30" x14ac:dyDescent="0.35">
      <c r="I851" s="28" t="s">
        <v>2090</v>
      </c>
      <c r="J851" s="28" t="s">
        <v>210</v>
      </c>
      <c r="K851" s="28" t="str">
        <f t="shared" si="19"/>
        <v>San Juan de AramaMeta</v>
      </c>
      <c r="L851" s="28"/>
      <c r="M851" s="28"/>
      <c r="N851" s="28"/>
      <c r="O851" s="28"/>
      <c r="P851" s="28"/>
      <c r="Q851" s="28"/>
      <c r="R851" s="28"/>
      <c r="S851" s="28"/>
      <c r="T851" s="28"/>
      <c r="U851" s="41"/>
      <c r="V851" s="41"/>
      <c r="W851" s="41"/>
      <c r="X851" s="28"/>
      <c r="Y851" s="28"/>
      <c r="Z851" s="28"/>
      <c r="AA851" s="28"/>
      <c r="AB851" s="28"/>
      <c r="AC851" s="28"/>
      <c r="AD851" s="28"/>
    </row>
    <row r="852" spans="9:30" x14ac:dyDescent="0.35">
      <c r="I852" s="28" t="s">
        <v>2091</v>
      </c>
      <c r="J852" s="28" t="s">
        <v>413</v>
      </c>
      <c r="K852" s="28" t="str">
        <f t="shared" si="19"/>
        <v>San Juan de BetuliaSucre</v>
      </c>
      <c r="L852" s="28"/>
      <c r="M852" s="28"/>
      <c r="N852" s="28"/>
      <c r="O852" s="28"/>
      <c r="P852" s="28"/>
      <c r="Q852" s="28"/>
      <c r="R852" s="28"/>
      <c r="S852" s="28"/>
      <c r="T852" s="28"/>
      <c r="U852" s="41"/>
      <c r="V852" s="41"/>
      <c r="W852" s="41"/>
      <c r="X852" s="28"/>
      <c r="Y852" s="28"/>
      <c r="Z852" s="28"/>
      <c r="AA852" s="28"/>
      <c r="AB852" s="28"/>
      <c r="AC852" s="28"/>
      <c r="AD852" s="28"/>
    </row>
    <row r="853" spans="9:30" x14ac:dyDescent="0.35">
      <c r="I853" s="28" t="s">
        <v>2092</v>
      </c>
      <c r="J853" s="28" t="s">
        <v>283</v>
      </c>
      <c r="K853" s="28" t="str">
        <f t="shared" si="19"/>
        <v>San Juan de Río SecoCundinamarca</v>
      </c>
      <c r="L853" s="28"/>
      <c r="M853" s="28"/>
      <c r="N853" s="28"/>
      <c r="O853" s="28"/>
      <c r="P853" s="28"/>
      <c r="Q853" s="28"/>
      <c r="R853" s="28"/>
      <c r="S853" s="28"/>
      <c r="T853" s="28"/>
      <c r="U853" s="41"/>
      <c r="V853" s="41"/>
      <c r="W853" s="41"/>
      <c r="X853" s="28"/>
      <c r="Y853" s="28"/>
      <c r="Z853" s="28"/>
      <c r="AA853" s="28"/>
      <c r="AB853" s="28"/>
      <c r="AC853" s="28"/>
      <c r="AD853" s="28"/>
    </row>
    <row r="854" spans="9:30" x14ac:dyDescent="0.35">
      <c r="I854" s="28" t="s">
        <v>2093</v>
      </c>
      <c r="J854" s="28" t="s">
        <v>154</v>
      </c>
      <c r="K854" s="28" t="str">
        <f t="shared" si="19"/>
        <v>San Juan de UrabáAntioquia</v>
      </c>
      <c r="L854" s="28"/>
      <c r="M854" s="28"/>
      <c r="N854" s="28"/>
      <c r="O854" s="28"/>
      <c r="P854" s="28"/>
      <c r="Q854" s="28"/>
      <c r="R854" s="28"/>
      <c r="S854" s="28"/>
      <c r="T854" s="28"/>
      <c r="U854" s="41"/>
      <c r="V854" s="41"/>
      <c r="W854" s="41"/>
      <c r="X854" s="28"/>
      <c r="Y854" s="28"/>
      <c r="Z854" s="28"/>
      <c r="AA854" s="28"/>
      <c r="AB854" s="28"/>
      <c r="AC854" s="28"/>
      <c r="AD854" s="28"/>
    </row>
    <row r="855" spans="9:30" x14ac:dyDescent="0.35">
      <c r="I855" s="28" t="s">
        <v>2094</v>
      </c>
      <c r="J855" s="28" t="s">
        <v>369</v>
      </c>
      <c r="K855" s="28" t="str">
        <f t="shared" si="19"/>
        <v>San Juan del CesarLa Guajira</v>
      </c>
      <c r="L855" s="28"/>
      <c r="M855" s="28"/>
      <c r="N855" s="28"/>
      <c r="O855" s="28"/>
      <c r="P855" s="28"/>
      <c r="Q855" s="28"/>
      <c r="R855" s="28"/>
      <c r="S855" s="28"/>
      <c r="T855" s="28"/>
      <c r="U855" s="41"/>
      <c r="V855" s="41"/>
      <c r="W855" s="41"/>
      <c r="X855" s="28"/>
      <c r="Y855" s="28"/>
      <c r="Z855" s="28"/>
      <c r="AA855" s="28"/>
      <c r="AB855" s="28"/>
      <c r="AC855" s="28"/>
      <c r="AD855" s="28"/>
    </row>
    <row r="856" spans="9:30" x14ac:dyDescent="0.35">
      <c r="I856" s="28" t="s">
        <v>2095</v>
      </c>
      <c r="J856" s="28" t="s">
        <v>260</v>
      </c>
      <c r="K856" s="28" t="str">
        <f t="shared" si="19"/>
        <v>San Juan NepomucenoBolivar</v>
      </c>
      <c r="L856" s="28"/>
      <c r="M856" s="28"/>
      <c r="N856" s="28"/>
      <c r="O856" s="28"/>
      <c r="P856" s="28"/>
      <c r="Q856" s="28"/>
      <c r="R856" s="28"/>
      <c r="S856" s="28"/>
      <c r="T856" s="28"/>
      <c r="U856" s="41"/>
      <c r="V856" s="41"/>
      <c r="W856" s="41"/>
      <c r="X856" s="28"/>
      <c r="Y856" s="28"/>
      <c r="Z856" s="28"/>
      <c r="AA856" s="28"/>
      <c r="AB856" s="28"/>
      <c r="AC856" s="28"/>
      <c r="AD856" s="28"/>
    </row>
    <row r="857" spans="9:30" x14ac:dyDescent="0.35">
      <c r="I857" s="28" t="s">
        <v>2096</v>
      </c>
      <c r="J857" s="28" t="s">
        <v>210</v>
      </c>
      <c r="K857" s="28" t="str">
        <f t="shared" si="19"/>
        <v>San JuanitoMeta</v>
      </c>
      <c r="L857" s="28"/>
      <c r="M857" s="28"/>
      <c r="N857" s="28"/>
      <c r="O857" s="28"/>
      <c r="P857" s="28"/>
      <c r="Q857" s="28"/>
      <c r="R857" s="28"/>
      <c r="S857" s="28"/>
      <c r="T857" s="28"/>
      <c r="U857" s="41"/>
      <c r="V857" s="41"/>
      <c r="W857" s="41"/>
      <c r="X857" s="28"/>
      <c r="Y857" s="28"/>
      <c r="Z857" s="28"/>
      <c r="AA857" s="28"/>
      <c r="AB857" s="28"/>
      <c r="AC857" s="28"/>
      <c r="AD857" s="28"/>
    </row>
    <row r="858" spans="9:30" x14ac:dyDescent="0.35">
      <c r="I858" s="28" t="s">
        <v>2097</v>
      </c>
      <c r="J858" s="28" t="s">
        <v>352</v>
      </c>
      <c r="K858" s="28" t="str">
        <f t="shared" si="19"/>
        <v>San LorenzoNariño</v>
      </c>
      <c r="L858" s="28"/>
      <c r="M858" s="28"/>
      <c r="N858" s="28"/>
      <c r="O858" s="28"/>
      <c r="P858" s="28"/>
      <c r="Q858" s="28"/>
      <c r="R858" s="28"/>
      <c r="S858" s="28"/>
      <c r="T858" s="28"/>
      <c r="U858" s="41"/>
      <c r="V858" s="41"/>
      <c r="W858" s="41"/>
      <c r="X858" s="28"/>
      <c r="Y858" s="28"/>
      <c r="Z858" s="28"/>
      <c r="AA858" s="28"/>
      <c r="AB858" s="28"/>
      <c r="AC858" s="28"/>
      <c r="AD858" s="28"/>
    </row>
    <row r="859" spans="9:30" x14ac:dyDescent="0.35">
      <c r="I859" s="28" t="s">
        <v>2098</v>
      </c>
      <c r="J859" s="28" t="s">
        <v>154</v>
      </c>
      <c r="K859" s="28" t="str">
        <f t="shared" si="19"/>
        <v>San LuisAntioquia</v>
      </c>
      <c r="L859" s="28"/>
      <c r="M859" s="28"/>
      <c r="N859" s="28"/>
      <c r="O859" s="28"/>
      <c r="P859" s="28"/>
      <c r="Q859" s="28"/>
      <c r="R859" s="28"/>
      <c r="S859" s="28"/>
      <c r="T859" s="28"/>
      <c r="U859" s="41"/>
      <c r="V859" s="41"/>
      <c r="W859" s="41"/>
      <c r="X859" s="28"/>
      <c r="Y859" s="28"/>
      <c r="Z859" s="28"/>
      <c r="AA859" s="28"/>
      <c r="AB859" s="28"/>
      <c r="AC859" s="28"/>
      <c r="AD859" s="28"/>
    </row>
    <row r="860" spans="9:30" x14ac:dyDescent="0.35">
      <c r="I860" s="28" t="s">
        <v>2098</v>
      </c>
      <c r="J860" s="28" t="s">
        <v>409</v>
      </c>
      <c r="K860" s="28" t="str">
        <f t="shared" si="19"/>
        <v>San LuisTolima</v>
      </c>
      <c r="L860" s="28"/>
      <c r="M860" s="28"/>
      <c r="N860" s="28"/>
      <c r="O860" s="28"/>
      <c r="P860" s="28"/>
      <c r="Q860" s="28"/>
      <c r="R860" s="28"/>
      <c r="S860" s="28"/>
      <c r="T860" s="28"/>
      <c r="U860" s="41"/>
      <c r="V860" s="41"/>
      <c r="W860" s="41"/>
      <c r="X860" s="28"/>
      <c r="Y860" s="28"/>
      <c r="Z860" s="28"/>
      <c r="AA860" s="28"/>
      <c r="AB860" s="28"/>
      <c r="AC860" s="28"/>
      <c r="AD860" s="28"/>
    </row>
    <row r="861" spans="9:30" x14ac:dyDescent="0.35">
      <c r="I861" s="28" t="s">
        <v>2099</v>
      </c>
      <c r="J861" s="28" t="s">
        <v>274</v>
      </c>
      <c r="K861" s="28" t="str">
        <f t="shared" si="19"/>
        <v>San Luis de GacenoBoyaca</v>
      </c>
      <c r="L861" s="28"/>
      <c r="M861" s="28"/>
      <c r="N861" s="28"/>
      <c r="O861" s="28"/>
      <c r="P861" s="28"/>
      <c r="Q861" s="28"/>
      <c r="R861" s="28"/>
      <c r="S861" s="28"/>
      <c r="T861" s="28"/>
      <c r="U861" s="41"/>
      <c r="V861" s="41"/>
      <c r="W861" s="41"/>
      <c r="X861" s="28"/>
      <c r="Y861" s="28"/>
      <c r="Z861" s="28"/>
      <c r="AA861" s="28"/>
      <c r="AB861" s="28"/>
      <c r="AC861" s="28"/>
      <c r="AD861" s="28"/>
    </row>
    <row r="862" spans="9:30" x14ac:dyDescent="0.35">
      <c r="I862" s="28" t="s">
        <v>2100</v>
      </c>
      <c r="J862" s="28" t="s">
        <v>305</v>
      </c>
      <c r="K862" s="28" t="str">
        <f t="shared" si="19"/>
        <v>San Luis de PalenqueCasanare</v>
      </c>
      <c r="L862" s="28"/>
      <c r="M862" s="28"/>
      <c r="N862" s="28"/>
      <c r="O862" s="28"/>
      <c r="P862" s="28"/>
      <c r="Q862" s="28"/>
      <c r="R862" s="28"/>
      <c r="S862" s="28"/>
      <c r="T862" s="28"/>
      <c r="U862" s="41"/>
      <c r="V862" s="41"/>
      <c r="W862" s="41"/>
      <c r="X862" s="28"/>
      <c r="Y862" s="28"/>
      <c r="Z862" s="28"/>
      <c r="AA862" s="28"/>
      <c r="AB862" s="28"/>
      <c r="AC862" s="28"/>
      <c r="AD862" s="28"/>
    </row>
    <row r="863" spans="9:30" x14ac:dyDescent="0.35">
      <c r="I863" s="28" t="s">
        <v>2101</v>
      </c>
      <c r="J863" s="28" t="s">
        <v>413</v>
      </c>
      <c r="K863" s="28" t="str">
        <f t="shared" si="19"/>
        <v>San Luis de SincéSucre</v>
      </c>
      <c r="L863" s="28"/>
      <c r="M863" s="28"/>
      <c r="N863" s="28"/>
      <c r="O863" s="28"/>
      <c r="P863" s="28"/>
      <c r="Q863" s="28"/>
      <c r="R863" s="28"/>
      <c r="S863" s="28"/>
      <c r="T863" s="28"/>
      <c r="U863" s="41"/>
      <c r="V863" s="41"/>
      <c r="W863" s="41"/>
      <c r="X863" s="28"/>
      <c r="Y863" s="28"/>
      <c r="Z863" s="28"/>
      <c r="AA863" s="28"/>
      <c r="AB863" s="28"/>
      <c r="AC863" s="28"/>
      <c r="AD863" s="28"/>
    </row>
    <row r="864" spans="9:30" x14ac:dyDescent="0.35">
      <c r="I864" s="28" t="s">
        <v>2102</v>
      </c>
      <c r="J864" s="28" t="s">
        <v>413</v>
      </c>
      <c r="K864" s="28" t="str">
        <f t="shared" si="19"/>
        <v>San MarcosSucre</v>
      </c>
      <c r="L864" s="28"/>
      <c r="M864" s="28"/>
      <c r="N864" s="28"/>
      <c r="O864" s="28"/>
      <c r="P864" s="28"/>
      <c r="Q864" s="28"/>
      <c r="R864" s="28"/>
      <c r="S864" s="28"/>
      <c r="T864" s="28"/>
      <c r="U864" s="41"/>
      <c r="V864" s="41"/>
      <c r="W864" s="41"/>
      <c r="X864" s="28"/>
      <c r="Y864" s="28"/>
      <c r="Z864" s="28"/>
      <c r="AA864" s="28"/>
      <c r="AB864" s="28"/>
      <c r="AC864" s="28"/>
      <c r="AD864" s="28"/>
    </row>
    <row r="865" spans="9:30" x14ac:dyDescent="0.35">
      <c r="I865" s="28" t="s">
        <v>2103</v>
      </c>
      <c r="J865" s="28" t="s">
        <v>293</v>
      </c>
      <c r="K865" s="28" t="str">
        <f t="shared" si="19"/>
        <v>San MartínCesar</v>
      </c>
      <c r="L865" s="28"/>
      <c r="M865" s="28"/>
      <c r="N865" s="28"/>
      <c r="O865" s="28"/>
      <c r="P865" s="28"/>
      <c r="Q865" s="28"/>
      <c r="R865" s="28"/>
      <c r="S865" s="28"/>
      <c r="T865" s="28"/>
      <c r="U865" s="41"/>
      <c r="V865" s="41"/>
      <c r="W865" s="41"/>
      <c r="X865" s="28"/>
      <c r="Y865" s="28"/>
      <c r="Z865" s="28"/>
      <c r="AA865" s="28"/>
      <c r="AB865" s="28"/>
      <c r="AC865" s="28"/>
      <c r="AD865" s="28"/>
    </row>
    <row r="866" spans="9:30" x14ac:dyDescent="0.35">
      <c r="I866" s="28" t="s">
        <v>2103</v>
      </c>
      <c r="J866" s="28" t="s">
        <v>210</v>
      </c>
      <c r="K866" s="28" t="str">
        <f t="shared" si="19"/>
        <v>San MartínMeta</v>
      </c>
      <c r="L866" s="28"/>
      <c r="M866" s="28"/>
      <c r="N866" s="28"/>
      <c r="O866" s="28"/>
      <c r="P866" s="28"/>
      <c r="Q866" s="28"/>
      <c r="R866" s="28"/>
      <c r="S866" s="28"/>
      <c r="T866" s="28"/>
      <c r="U866" s="41"/>
      <c r="V866" s="41"/>
      <c r="W866" s="41"/>
      <c r="X866" s="28"/>
      <c r="Y866" s="28"/>
      <c r="Z866" s="28"/>
      <c r="AA866" s="28"/>
      <c r="AB866" s="28"/>
      <c r="AC866" s="28"/>
      <c r="AD866" s="28"/>
    </row>
    <row r="867" spans="9:30" x14ac:dyDescent="0.35">
      <c r="I867" s="28" t="s">
        <v>2104</v>
      </c>
      <c r="J867" s="28" t="s">
        <v>260</v>
      </c>
      <c r="K867" s="28" t="str">
        <f t="shared" si="19"/>
        <v>San Martín de LobaBolivar</v>
      </c>
      <c r="L867" s="28"/>
      <c r="M867" s="28"/>
      <c r="N867" s="28"/>
      <c r="O867" s="28"/>
      <c r="P867" s="28"/>
      <c r="Q867" s="28"/>
      <c r="R867" s="28"/>
      <c r="S867" s="28"/>
      <c r="T867" s="28"/>
      <c r="U867" s="41"/>
      <c r="V867" s="41"/>
      <c r="W867" s="41"/>
      <c r="X867" s="28"/>
      <c r="Y867" s="28"/>
      <c r="Z867" s="28"/>
      <c r="AA867" s="28"/>
      <c r="AB867" s="28"/>
      <c r="AC867" s="28"/>
      <c r="AD867" s="28"/>
    </row>
    <row r="868" spans="9:30" x14ac:dyDescent="0.35">
      <c r="I868" s="28" t="s">
        <v>2105</v>
      </c>
      <c r="J868" s="28" t="s">
        <v>274</v>
      </c>
      <c r="K868" s="28" t="str">
        <f t="shared" si="19"/>
        <v>San MateoBoyaca</v>
      </c>
      <c r="L868" s="28"/>
      <c r="M868" s="28"/>
      <c r="N868" s="28"/>
      <c r="O868" s="28"/>
      <c r="P868" s="28"/>
      <c r="Q868" s="28"/>
      <c r="R868" s="28"/>
      <c r="S868" s="28"/>
      <c r="T868" s="28"/>
      <c r="U868" s="41"/>
      <c r="V868" s="41"/>
      <c r="W868" s="41"/>
      <c r="X868" s="28"/>
      <c r="Y868" s="28"/>
      <c r="Z868" s="28"/>
      <c r="AA868" s="28"/>
      <c r="AB868" s="28"/>
      <c r="AC868" s="28"/>
      <c r="AD868" s="28"/>
    </row>
    <row r="869" spans="9:30" x14ac:dyDescent="0.35">
      <c r="I869" s="28" t="s">
        <v>2106</v>
      </c>
      <c r="J869" s="28" t="s">
        <v>304</v>
      </c>
      <c r="K869" s="28" t="str">
        <f t="shared" si="19"/>
        <v>San MiguelSantander</v>
      </c>
      <c r="L869" s="28"/>
      <c r="M869" s="28"/>
      <c r="N869" s="28"/>
      <c r="O869" s="28"/>
      <c r="P869" s="28"/>
      <c r="Q869" s="28"/>
      <c r="R869" s="28"/>
      <c r="S869" s="28"/>
      <c r="T869" s="28"/>
      <c r="U869" s="41"/>
      <c r="V869" s="41"/>
      <c r="W869" s="41"/>
      <c r="X869" s="28"/>
      <c r="Y869" s="28"/>
      <c r="Z869" s="28"/>
      <c r="AA869" s="28"/>
      <c r="AB869" s="28"/>
      <c r="AC869" s="28"/>
      <c r="AD869" s="28"/>
    </row>
    <row r="870" spans="9:30" x14ac:dyDescent="0.35">
      <c r="I870" s="28" t="s">
        <v>2106</v>
      </c>
      <c r="J870" s="28" t="s">
        <v>396</v>
      </c>
      <c r="K870" s="28" t="str">
        <f t="shared" si="19"/>
        <v>San MiguelPutumayo</v>
      </c>
      <c r="L870" s="28"/>
      <c r="M870" s="28"/>
      <c r="N870" s="28"/>
      <c r="O870" s="28"/>
      <c r="P870" s="28"/>
      <c r="Q870" s="28"/>
      <c r="R870" s="28"/>
      <c r="S870" s="28"/>
      <c r="T870" s="28"/>
      <c r="U870" s="41"/>
      <c r="V870" s="41"/>
      <c r="W870" s="41"/>
      <c r="X870" s="28"/>
      <c r="Y870" s="28"/>
      <c r="Z870" s="28"/>
      <c r="AA870" s="28"/>
      <c r="AB870" s="28"/>
      <c r="AC870" s="28"/>
      <c r="AD870" s="28"/>
    </row>
    <row r="871" spans="9:30" x14ac:dyDescent="0.35">
      <c r="I871" s="28" t="s">
        <v>2107</v>
      </c>
      <c r="J871" s="28" t="s">
        <v>274</v>
      </c>
      <c r="K871" s="28" t="str">
        <f t="shared" si="19"/>
        <v>San Miguel de SemaBoyaca</v>
      </c>
      <c r="L871" s="28"/>
      <c r="M871" s="28"/>
      <c r="N871" s="28"/>
      <c r="O871" s="28"/>
      <c r="P871" s="28"/>
      <c r="Q871" s="28"/>
      <c r="R871" s="28"/>
      <c r="S871" s="28"/>
      <c r="T871" s="28"/>
      <c r="U871" s="41"/>
      <c r="V871" s="41"/>
      <c r="W871" s="41"/>
      <c r="X871" s="28"/>
      <c r="Y871" s="28"/>
      <c r="Z871" s="28"/>
      <c r="AA871" s="28"/>
      <c r="AB871" s="28"/>
      <c r="AC871" s="28"/>
      <c r="AD871" s="28"/>
    </row>
    <row r="872" spans="9:30" x14ac:dyDescent="0.35">
      <c r="I872" s="28" t="s">
        <v>2108</v>
      </c>
      <c r="J872" s="28" t="s">
        <v>413</v>
      </c>
      <c r="K872" s="28" t="str">
        <f t="shared" si="19"/>
        <v>San OnofreSucre</v>
      </c>
      <c r="L872" s="28"/>
      <c r="M872" s="28"/>
      <c r="N872" s="28"/>
      <c r="O872" s="28"/>
      <c r="P872" s="28"/>
      <c r="Q872" s="28"/>
      <c r="R872" s="28"/>
      <c r="S872" s="28"/>
      <c r="T872" s="28"/>
      <c r="U872" s="41"/>
      <c r="V872" s="41"/>
      <c r="W872" s="41"/>
      <c r="X872" s="28"/>
      <c r="Y872" s="28"/>
      <c r="Z872" s="28"/>
      <c r="AA872" s="28"/>
      <c r="AB872" s="28"/>
      <c r="AC872" s="28"/>
      <c r="AD872" s="28"/>
    </row>
    <row r="873" spans="9:30" x14ac:dyDescent="0.35">
      <c r="I873" s="28" t="s">
        <v>2109</v>
      </c>
      <c r="J873" s="28" t="s">
        <v>260</v>
      </c>
      <c r="K873" s="28" t="str">
        <f t="shared" si="19"/>
        <v>San PabloBolivar</v>
      </c>
      <c r="L873" s="28"/>
      <c r="M873" s="28"/>
      <c r="N873" s="28"/>
      <c r="O873" s="28"/>
      <c r="P873" s="28"/>
      <c r="Q873" s="28"/>
      <c r="R873" s="28"/>
      <c r="S873" s="28"/>
      <c r="T873" s="28"/>
      <c r="U873" s="41"/>
      <c r="V873" s="41"/>
      <c r="W873" s="41"/>
      <c r="X873" s="28"/>
      <c r="Y873" s="28"/>
      <c r="Z873" s="28"/>
      <c r="AA873" s="28"/>
      <c r="AB873" s="28"/>
      <c r="AC873" s="28"/>
      <c r="AD873" s="28"/>
    </row>
    <row r="874" spans="9:30" x14ac:dyDescent="0.35">
      <c r="I874" s="28" t="s">
        <v>2109</v>
      </c>
      <c r="J874" s="28" t="s">
        <v>352</v>
      </c>
      <c r="K874" s="28" t="str">
        <f t="shared" si="19"/>
        <v>San PabloNariño</v>
      </c>
      <c r="L874" s="28"/>
      <c r="M874" s="28"/>
      <c r="N874" s="28"/>
      <c r="O874" s="28"/>
      <c r="P874" s="28"/>
      <c r="Q874" s="28"/>
      <c r="R874" s="28"/>
      <c r="S874" s="28"/>
      <c r="T874" s="28"/>
      <c r="U874" s="41"/>
      <c r="V874" s="41"/>
      <c r="W874" s="41"/>
      <c r="X874" s="28"/>
      <c r="Y874" s="28"/>
      <c r="Z874" s="28"/>
      <c r="AA874" s="28"/>
      <c r="AB874" s="28"/>
      <c r="AC874" s="28"/>
      <c r="AD874" s="28"/>
    </row>
    <row r="875" spans="9:30" x14ac:dyDescent="0.35">
      <c r="I875" s="28" t="s">
        <v>2110</v>
      </c>
      <c r="J875" s="28" t="s">
        <v>274</v>
      </c>
      <c r="K875" s="28" t="str">
        <f t="shared" si="19"/>
        <v>San Pablo de BorburBoyaca</v>
      </c>
      <c r="L875" s="28"/>
      <c r="M875" s="28"/>
      <c r="N875" s="28"/>
      <c r="O875" s="28"/>
      <c r="P875" s="28"/>
      <c r="Q875" s="28"/>
      <c r="R875" s="28"/>
      <c r="S875" s="28"/>
      <c r="T875" s="28"/>
      <c r="U875" s="41"/>
      <c r="V875" s="41"/>
      <c r="W875" s="41"/>
      <c r="X875" s="28"/>
      <c r="Y875" s="28"/>
      <c r="Z875" s="28"/>
      <c r="AA875" s="28"/>
      <c r="AB875" s="28"/>
      <c r="AC875" s="28"/>
      <c r="AD875" s="28"/>
    </row>
    <row r="876" spans="9:30" x14ac:dyDescent="0.35">
      <c r="I876" s="28" t="s">
        <v>2111</v>
      </c>
      <c r="J876" s="28" t="s">
        <v>154</v>
      </c>
      <c r="K876" s="28" t="str">
        <f t="shared" si="19"/>
        <v>San PedroAntioquia</v>
      </c>
      <c r="L876" s="28"/>
      <c r="M876" s="28"/>
      <c r="N876" s="28"/>
      <c r="O876" s="28"/>
      <c r="P876" s="28"/>
      <c r="Q876" s="28"/>
      <c r="R876" s="28"/>
      <c r="S876" s="28"/>
      <c r="T876" s="28"/>
      <c r="U876" s="41"/>
      <c r="V876" s="41"/>
      <c r="W876" s="41"/>
      <c r="X876" s="28"/>
      <c r="Y876" s="28"/>
      <c r="Z876" s="28"/>
      <c r="AA876" s="28"/>
      <c r="AB876" s="28"/>
      <c r="AC876" s="28"/>
      <c r="AD876" s="28"/>
    </row>
    <row r="877" spans="9:30" x14ac:dyDescent="0.35">
      <c r="I877" s="28" t="s">
        <v>2111</v>
      </c>
      <c r="J877" s="28" t="s">
        <v>413</v>
      </c>
      <c r="K877" s="28" t="str">
        <f t="shared" si="19"/>
        <v>San PedroSucre</v>
      </c>
      <c r="L877" s="28"/>
      <c r="M877" s="28"/>
      <c r="N877" s="28"/>
      <c r="O877" s="28"/>
      <c r="P877" s="28"/>
      <c r="Q877" s="28"/>
      <c r="R877" s="28"/>
      <c r="S877" s="28"/>
      <c r="T877" s="28"/>
      <c r="U877" s="41"/>
      <c r="V877" s="41"/>
      <c r="W877" s="41"/>
      <c r="X877" s="28"/>
      <c r="Y877" s="28"/>
      <c r="Z877" s="28"/>
      <c r="AA877" s="28"/>
      <c r="AB877" s="28"/>
      <c r="AC877" s="28"/>
      <c r="AD877" s="28"/>
    </row>
    <row r="878" spans="9:30" x14ac:dyDescent="0.35">
      <c r="I878" s="28" t="s">
        <v>2111</v>
      </c>
      <c r="J878" s="28" t="s">
        <v>381</v>
      </c>
      <c r="K878" s="28" t="str">
        <f t="shared" si="19"/>
        <v>San PedroValle del Cauca</v>
      </c>
      <c r="L878" s="28"/>
      <c r="M878" s="28"/>
      <c r="N878" s="28"/>
      <c r="O878" s="28"/>
      <c r="P878" s="28"/>
      <c r="Q878" s="28"/>
      <c r="R878" s="28"/>
      <c r="S878" s="28"/>
      <c r="T878" s="28"/>
      <c r="U878" s="41"/>
      <c r="V878" s="41"/>
      <c r="W878" s="41"/>
      <c r="X878" s="28"/>
      <c r="Y878" s="28"/>
      <c r="Z878" s="28"/>
      <c r="AA878" s="28"/>
      <c r="AB878" s="28"/>
      <c r="AC878" s="28"/>
      <c r="AD878" s="28"/>
    </row>
    <row r="879" spans="9:30" x14ac:dyDescent="0.35">
      <c r="I879" s="28" t="s">
        <v>2112</v>
      </c>
      <c r="J879" s="28" t="s">
        <v>352</v>
      </c>
      <c r="K879" s="28" t="str">
        <f t="shared" si="19"/>
        <v>San Pedro de CartagoNariño</v>
      </c>
      <c r="L879" s="28"/>
      <c r="M879" s="28"/>
      <c r="N879" s="28"/>
      <c r="O879" s="28"/>
      <c r="P879" s="28"/>
      <c r="Q879" s="28"/>
      <c r="R879" s="28"/>
      <c r="S879" s="28"/>
      <c r="T879" s="28"/>
      <c r="U879" s="41"/>
      <c r="V879" s="41"/>
      <c r="W879" s="41"/>
      <c r="X879" s="28"/>
      <c r="Y879" s="28"/>
      <c r="Z879" s="28"/>
      <c r="AA879" s="28"/>
      <c r="AB879" s="28"/>
      <c r="AC879" s="28"/>
      <c r="AD879" s="28"/>
    </row>
    <row r="880" spans="9:30" x14ac:dyDescent="0.35">
      <c r="I880" s="28" t="s">
        <v>2113</v>
      </c>
      <c r="J880" s="28" t="s">
        <v>154</v>
      </c>
      <c r="K880" s="28" t="str">
        <f t="shared" si="19"/>
        <v>San Pedro de UrabaAntioquia</v>
      </c>
      <c r="L880" s="28"/>
      <c r="M880" s="28"/>
      <c r="N880" s="28"/>
      <c r="O880" s="28"/>
      <c r="P880" s="28"/>
      <c r="Q880" s="28"/>
      <c r="R880" s="28"/>
      <c r="S880" s="28"/>
      <c r="T880" s="28"/>
      <c r="U880" s="41"/>
      <c r="V880" s="41"/>
      <c r="W880" s="41"/>
      <c r="X880" s="28"/>
      <c r="Y880" s="28"/>
      <c r="Z880" s="28"/>
      <c r="AA880" s="28"/>
      <c r="AB880" s="28"/>
      <c r="AC880" s="28"/>
      <c r="AD880" s="28"/>
    </row>
    <row r="881" spans="9:30" x14ac:dyDescent="0.35">
      <c r="I881" s="28" t="s">
        <v>2114</v>
      </c>
      <c r="J881" s="28" t="s">
        <v>337</v>
      </c>
      <c r="K881" s="28" t="str">
        <f t="shared" si="19"/>
        <v>San PelayoCordoba</v>
      </c>
      <c r="L881" s="28"/>
      <c r="M881" s="28"/>
      <c r="N881" s="28"/>
      <c r="O881" s="28"/>
      <c r="P881" s="28"/>
      <c r="Q881" s="28"/>
      <c r="R881" s="28"/>
      <c r="S881" s="28"/>
      <c r="T881" s="28"/>
      <c r="U881" s="41"/>
      <c r="V881" s="41"/>
      <c r="W881" s="41"/>
      <c r="X881" s="28"/>
      <c r="Y881" s="28"/>
      <c r="Z881" s="28"/>
      <c r="AA881" s="28"/>
      <c r="AB881" s="28"/>
      <c r="AC881" s="28"/>
      <c r="AD881" s="28"/>
    </row>
    <row r="882" spans="9:30" x14ac:dyDescent="0.35">
      <c r="I882" s="28" t="s">
        <v>2115</v>
      </c>
      <c r="J882" s="28" t="s">
        <v>154</v>
      </c>
      <c r="K882" s="28" t="str">
        <f t="shared" si="19"/>
        <v>San RafaelAntioquia</v>
      </c>
      <c r="L882" s="28"/>
      <c r="M882" s="28"/>
      <c r="N882" s="28"/>
      <c r="O882" s="28"/>
      <c r="P882" s="28"/>
      <c r="Q882" s="28"/>
      <c r="R882" s="28"/>
      <c r="S882" s="28"/>
      <c r="T882" s="28"/>
      <c r="U882" s="41"/>
      <c r="V882" s="41"/>
      <c r="W882" s="41"/>
      <c r="X882" s="28"/>
      <c r="Y882" s="28"/>
      <c r="Z882" s="28"/>
      <c r="AA882" s="28"/>
      <c r="AB882" s="28"/>
      <c r="AC882" s="28"/>
      <c r="AD882" s="28"/>
    </row>
    <row r="883" spans="9:30" x14ac:dyDescent="0.35">
      <c r="I883" s="28" t="s">
        <v>2116</v>
      </c>
      <c r="J883" s="28" t="s">
        <v>154</v>
      </c>
      <c r="K883" s="28" t="str">
        <f t="shared" si="19"/>
        <v>San RoqueAntioquia</v>
      </c>
      <c r="L883" s="28"/>
      <c r="M883" s="28"/>
      <c r="N883" s="28"/>
      <c r="O883" s="28"/>
      <c r="P883" s="28"/>
      <c r="Q883" s="28"/>
      <c r="R883" s="28"/>
      <c r="S883" s="28"/>
      <c r="T883" s="28"/>
      <c r="U883" s="41"/>
      <c r="V883" s="41"/>
      <c r="W883" s="41"/>
      <c r="X883" s="28"/>
      <c r="Y883" s="28"/>
      <c r="Z883" s="28"/>
      <c r="AA883" s="28"/>
      <c r="AB883" s="28"/>
      <c r="AC883" s="28"/>
      <c r="AD883" s="28"/>
    </row>
    <row r="884" spans="9:30" x14ac:dyDescent="0.35">
      <c r="I884" s="28" t="s">
        <v>2117</v>
      </c>
      <c r="J884" s="28" t="s">
        <v>315</v>
      </c>
      <c r="K884" s="28" t="str">
        <f t="shared" si="19"/>
        <v>San SebastiánCauca</v>
      </c>
      <c r="L884" s="28"/>
      <c r="M884" s="28"/>
      <c r="N884" s="28"/>
      <c r="O884" s="28"/>
      <c r="P884" s="28"/>
      <c r="Q884" s="28"/>
      <c r="R884" s="28"/>
      <c r="S884" s="28"/>
      <c r="T884" s="28"/>
      <c r="U884" s="41"/>
      <c r="V884" s="41"/>
      <c r="W884" s="41"/>
      <c r="X884" s="28"/>
      <c r="Y884" s="28"/>
      <c r="Z884" s="28"/>
      <c r="AA884" s="28"/>
      <c r="AB884" s="28"/>
      <c r="AC884" s="28"/>
      <c r="AD884" s="28"/>
    </row>
    <row r="885" spans="9:30" x14ac:dyDescent="0.35">
      <c r="I885" s="28" t="s">
        <v>2118</v>
      </c>
      <c r="J885" s="28" t="s">
        <v>382</v>
      </c>
      <c r="K885" s="28" t="str">
        <f t="shared" si="19"/>
        <v>San Sebastián de BuenavistaMagdalena</v>
      </c>
      <c r="L885" s="28"/>
      <c r="M885" s="28"/>
      <c r="N885" s="28"/>
      <c r="O885" s="28"/>
      <c r="P885" s="28"/>
      <c r="Q885" s="28"/>
      <c r="R885" s="28"/>
      <c r="S885" s="28"/>
      <c r="T885" s="28"/>
      <c r="U885" s="41"/>
      <c r="V885" s="41"/>
      <c r="W885" s="41"/>
      <c r="X885" s="28"/>
      <c r="Y885" s="28"/>
      <c r="Z885" s="28"/>
      <c r="AA885" s="28"/>
      <c r="AB885" s="28"/>
      <c r="AC885" s="28"/>
      <c r="AD885" s="28"/>
    </row>
    <row r="886" spans="9:30" x14ac:dyDescent="0.35">
      <c r="I886" s="28" t="s">
        <v>2119</v>
      </c>
      <c r="J886" s="28" t="s">
        <v>154</v>
      </c>
      <c r="K886" s="28" t="str">
        <f t="shared" si="19"/>
        <v>San VicenteAntioquia</v>
      </c>
      <c r="L886" s="28"/>
      <c r="M886" s="28"/>
      <c r="N886" s="28"/>
      <c r="O886" s="28"/>
      <c r="P886" s="28"/>
      <c r="Q886" s="28"/>
      <c r="R886" s="28"/>
      <c r="S886" s="28"/>
      <c r="T886" s="28"/>
      <c r="U886" s="41"/>
      <c r="V886" s="41"/>
      <c r="W886" s="41"/>
      <c r="X886" s="28"/>
      <c r="Y886" s="28"/>
      <c r="Z886" s="28"/>
      <c r="AA886" s="28"/>
      <c r="AB886" s="28"/>
      <c r="AC886" s="28"/>
      <c r="AD886" s="28"/>
    </row>
    <row r="887" spans="9:30" x14ac:dyDescent="0.35">
      <c r="I887" s="28" t="s">
        <v>2120</v>
      </c>
      <c r="J887" s="28" t="s">
        <v>304</v>
      </c>
      <c r="K887" s="28" t="str">
        <f t="shared" si="19"/>
        <v>San Vicente de ChucuríSantander</v>
      </c>
      <c r="L887" s="28"/>
      <c r="M887" s="28"/>
      <c r="N887" s="28"/>
      <c r="O887" s="28"/>
      <c r="P887" s="28"/>
      <c r="Q887" s="28"/>
      <c r="R887" s="28"/>
      <c r="S887" s="28"/>
      <c r="T887" s="28"/>
      <c r="U887" s="41"/>
      <c r="V887" s="41"/>
      <c r="W887" s="41"/>
      <c r="X887" s="28"/>
      <c r="Y887" s="28"/>
      <c r="Z887" s="28"/>
      <c r="AA887" s="28"/>
      <c r="AB887" s="28"/>
      <c r="AC887" s="28"/>
      <c r="AD887" s="28"/>
    </row>
    <row r="888" spans="9:30" x14ac:dyDescent="0.35">
      <c r="I888" s="28" t="s">
        <v>2121</v>
      </c>
      <c r="J888" s="28" t="s">
        <v>294</v>
      </c>
      <c r="K888" s="28" t="str">
        <f t="shared" si="19"/>
        <v>San Vicente del CaguánCaqueta</v>
      </c>
      <c r="L888" s="28"/>
      <c r="M888" s="28"/>
      <c r="N888" s="28"/>
      <c r="O888" s="28"/>
      <c r="P888" s="28"/>
      <c r="Q888" s="28"/>
      <c r="R888" s="28"/>
      <c r="S888" s="28"/>
      <c r="T888" s="28"/>
      <c r="U888" s="41"/>
      <c r="V888" s="41"/>
      <c r="W888" s="41"/>
      <c r="X888" s="28"/>
      <c r="Y888" s="28"/>
      <c r="Z888" s="28"/>
      <c r="AA888" s="28"/>
      <c r="AB888" s="28"/>
      <c r="AC888" s="28"/>
      <c r="AD888" s="28"/>
    </row>
    <row r="889" spans="9:30" x14ac:dyDescent="0.35">
      <c r="I889" s="28" t="s">
        <v>2122</v>
      </c>
      <c r="J889" s="28" t="s">
        <v>382</v>
      </c>
      <c r="K889" s="28" t="str">
        <f t="shared" si="19"/>
        <v>San ZenónMagdalena</v>
      </c>
      <c r="L889" s="28"/>
      <c r="M889" s="28"/>
      <c r="N889" s="28"/>
      <c r="O889" s="28"/>
      <c r="P889" s="28"/>
      <c r="Q889" s="28"/>
      <c r="R889" s="28"/>
      <c r="S889" s="28"/>
      <c r="T889" s="28"/>
      <c r="U889" s="41"/>
      <c r="V889" s="41"/>
      <c r="W889" s="41"/>
      <c r="X889" s="28"/>
      <c r="Y889" s="28"/>
      <c r="Z889" s="28"/>
      <c r="AA889" s="28"/>
      <c r="AB889" s="28"/>
      <c r="AC889" s="28"/>
      <c r="AD889" s="28"/>
    </row>
    <row r="890" spans="9:30" x14ac:dyDescent="0.35">
      <c r="I890" s="28" t="s">
        <v>2123</v>
      </c>
      <c r="J890" s="28" t="s">
        <v>352</v>
      </c>
      <c r="K890" s="28" t="str">
        <f t="shared" si="19"/>
        <v>SandonáNariño</v>
      </c>
      <c r="L890" s="28"/>
      <c r="M890" s="28"/>
      <c r="N890" s="28"/>
      <c r="O890" s="28"/>
      <c r="P890" s="28"/>
      <c r="Q890" s="28"/>
      <c r="R890" s="28"/>
      <c r="S890" s="28"/>
      <c r="T890" s="28"/>
      <c r="U890" s="41"/>
      <c r="V890" s="41"/>
      <c r="W890" s="41"/>
      <c r="X890" s="28"/>
      <c r="Y890" s="28"/>
      <c r="Z890" s="28"/>
      <c r="AA890" s="28"/>
      <c r="AB890" s="28"/>
      <c r="AC890" s="28"/>
      <c r="AD890" s="28"/>
    </row>
    <row r="891" spans="9:30" x14ac:dyDescent="0.35">
      <c r="I891" s="28" t="s">
        <v>2124</v>
      </c>
      <c r="J891" s="28" t="s">
        <v>382</v>
      </c>
      <c r="K891" s="28" t="str">
        <f t="shared" si="19"/>
        <v>Santa AnaMagdalena</v>
      </c>
      <c r="L891" s="28"/>
      <c r="M891" s="28"/>
      <c r="N891" s="28"/>
      <c r="O891" s="28"/>
      <c r="P891" s="28"/>
      <c r="Q891" s="28"/>
      <c r="R891" s="28"/>
      <c r="S891" s="28"/>
      <c r="T891" s="28"/>
      <c r="U891" s="41"/>
      <c r="V891" s="41"/>
      <c r="W891" s="41"/>
      <c r="X891" s="28"/>
      <c r="Y891" s="28"/>
      <c r="Z891" s="28"/>
      <c r="AA891" s="28"/>
      <c r="AB891" s="28"/>
      <c r="AC891" s="28"/>
      <c r="AD891" s="28"/>
    </row>
    <row r="892" spans="9:30" x14ac:dyDescent="0.35">
      <c r="I892" s="28" t="s">
        <v>2125</v>
      </c>
      <c r="J892" s="28" t="s">
        <v>154</v>
      </c>
      <c r="K892" s="28" t="str">
        <f t="shared" si="19"/>
        <v>Santa BárbaraAntioquia</v>
      </c>
      <c r="L892" s="28"/>
      <c r="M892" s="28"/>
      <c r="N892" s="28"/>
      <c r="O892" s="28"/>
      <c r="P892" s="28"/>
      <c r="Q892" s="28"/>
      <c r="R892" s="28"/>
      <c r="S892" s="28"/>
      <c r="T892" s="28"/>
      <c r="U892" s="41"/>
      <c r="V892" s="41"/>
      <c r="W892" s="41"/>
      <c r="X892" s="28"/>
      <c r="Y892" s="28"/>
      <c r="Z892" s="28"/>
      <c r="AA892" s="28"/>
      <c r="AB892" s="28"/>
      <c r="AC892" s="28"/>
      <c r="AD892" s="28"/>
    </row>
    <row r="893" spans="9:30" x14ac:dyDescent="0.35">
      <c r="I893" s="28" t="s">
        <v>2125</v>
      </c>
      <c r="J893" s="28" t="s">
        <v>352</v>
      </c>
      <c r="K893" s="28" t="str">
        <f t="shared" si="19"/>
        <v>Santa BárbaraNariño</v>
      </c>
      <c r="L893" s="28"/>
      <c r="M893" s="28"/>
      <c r="N893" s="28"/>
      <c r="O893" s="28"/>
      <c r="P893" s="28"/>
      <c r="Q893" s="28"/>
      <c r="R893" s="28"/>
      <c r="S893" s="28"/>
      <c r="T893" s="28"/>
      <c r="U893" s="41"/>
      <c r="V893" s="41"/>
      <c r="W893" s="41"/>
      <c r="X893" s="28"/>
      <c r="Y893" s="28"/>
      <c r="Z893" s="28"/>
      <c r="AA893" s="28"/>
      <c r="AB893" s="28"/>
      <c r="AC893" s="28"/>
      <c r="AD893" s="28"/>
    </row>
    <row r="894" spans="9:30" x14ac:dyDescent="0.35">
      <c r="I894" s="28" t="s">
        <v>2125</v>
      </c>
      <c r="J894" s="28" t="s">
        <v>304</v>
      </c>
      <c r="K894" s="28" t="str">
        <f t="shared" si="19"/>
        <v>Santa BárbaraSantander</v>
      </c>
      <c r="L894" s="28"/>
      <c r="M894" s="28"/>
      <c r="N894" s="28"/>
      <c r="O894" s="28"/>
      <c r="P894" s="28"/>
      <c r="Q894" s="28"/>
      <c r="R894" s="28"/>
      <c r="S894" s="28"/>
      <c r="T894" s="28"/>
      <c r="U894" s="41"/>
      <c r="V894" s="41"/>
      <c r="W894" s="41"/>
      <c r="X894" s="28"/>
      <c r="Y894" s="28"/>
      <c r="Z894" s="28"/>
      <c r="AA894" s="28"/>
      <c r="AB894" s="28"/>
      <c r="AC894" s="28"/>
      <c r="AD894" s="28"/>
    </row>
    <row r="895" spans="9:30" x14ac:dyDescent="0.35">
      <c r="I895" s="28" t="s">
        <v>2126</v>
      </c>
      <c r="J895" s="28" t="s">
        <v>382</v>
      </c>
      <c r="K895" s="28" t="str">
        <f t="shared" si="19"/>
        <v>Santa Bárbara de PintoMagdalena</v>
      </c>
      <c r="L895" s="28"/>
      <c r="M895" s="28"/>
      <c r="N895" s="28"/>
      <c r="O895" s="28"/>
      <c r="P895" s="28"/>
      <c r="Q895" s="28"/>
      <c r="R895" s="28"/>
      <c r="S895" s="28"/>
      <c r="T895" s="28"/>
      <c r="U895" s="41"/>
      <c r="V895" s="41"/>
      <c r="W895" s="41"/>
      <c r="X895" s="28"/>
      <c r="Y895" s="28"/>
      <c r="Z895" s="28"/>
      <c r="AA895" s="28"/>
      <c r="AB895" s="28"/>
      <c r="AC895" s="28"/>
      <c r="AD895" s="28"/>
    </row>
    <row r="896" spans="9:30" x14ac:dyDescent="0.35">
      <c r="I896" s="28" t="s">
        <v>2127</v>
      </c>
      <c r="J896" s="28" t="s">
        <v>260</v>
      </c>
      <c r="K896" s="28" t="str">
        <f t="shared" si="19"/>
        <v>Santa CatalinaBolivar</v>
      </c>
      <c r="L896" s="28"/>
      <c r="M896" s="28"/>
      <c r="N896" s="28"/>
      <c r="O896" s="28"/>
      <c r="P896" s="28"/>
      <c r="Q896" s="28"/>
      <c r="R896" s="28"/>
      <c r="S896" s="28"/>
      <c r="T896" s="28"/>
      <c r="U896" s="41"/>
      <c r="V896" s="41"/>
      <c r="W896" s="41"/>
      <c r="X896" s="28"/>
      <c r="Y896" s="28"/>
      <c r="Z896" s="28"/>
      <c r="AA896" s="28"/>
      <c r="AB896" s="28"/>
      <c r="AC896" s="28"/>
      <c r="AD896" s="28"/>
    </row>
    <row r="897" spans="9:30" x14ac:dyDescent="0.35">
      <c r="I897" s="28" t="s">
        <v>2128</v>
      </c>
      <c r="J897" s="28" t="s">
        <v>304</v>
      </c>
      <c r="K897" s="28" t="str">
        <f t="shared" ref="K897:K960" si="20">_xlfn.CONCAT(TRIM(I897),TRIM(J897))</f>
        <v>Santa Helena del OpónSantander</v>
      </c>
      <c r="L897" s="28"/>
      <c r="M897" s="28"/>
      <c r="N897" s="28"/>
      <c r="O897" s="28"/>
      <c r="P897" s="28"/>
      <c r="Q897" s="28"/>
      <c r="R897" s="28"/>
      <c r="S897" s="28"/>
      <c r="T897" s="28"/>
      <c r="U897" s="41"/>
      <c r="V897" s="41"/>
      <c r="W897" s="41"/>
      <c r="X897" s="28"/>
      <c r="Y897" s="28"/>
      <c r="Z897" s="28"/>
      <c r="AA897" s="28"/>
      <c r="AB897" s="28"/>
      <c r="AC897" s="28"/>
      <c r="AD897" s="28"/>
    </row>
    <row r="898" spans="9:30" x14ac:dyDescent="0.35">
      <c r="I898" s="28" t="s">
        <v>2129</v>
      </c>
      <c r="J898" s="28" t="s">
        <v>409</v>
      </c>
      <c r="K898" s="28" t="str">
        <f t="shared" si="20"/>
        <v>Santa IsabelTolima</v>
      </c>
      <c r="L898" s="28"/>
      <c r="M898" s="28"/>
      <c r="N898" s="28"/>
      <c r="O898" s="28"/>
      <c r="P898" s="28"/>
      <c r="Q898" s="28"/>
      <c r="R898" s="28"/>
      <c r="S898" s="28"/>
      <c r="T898" s="28"/>
      <c r="U898" s="41"/>
      <c r="V898" s="41"/>
      <c r="W898" s="41"/>
      <c r="X898" s="28"/>
      <c r="Y898" s="28"/>
      <c r="Z898" s="28"/>
      <c r="AA898" s="28"/>
      <c r="AB898" s="28"/>
      <c r="AC898" s="28"/>
      <c r="AD898" s="28"/>
    </row>
    <row r="899" spans="9:30" x14ac:dyDescent="0.35">
      <c r="I899" s="28" t="s">
        <v>2130</v>
      </c>
      <c r="J899" s="28" t="s">
        <v>231</v>
      </c>
      <c r="K899" s="28" t="str">
        <f t="shared" si="20"/>
        <v>Santa LucíaAtlantico</v>
      </c>
      <c r="L899" s="28"/>
      <c r="M899" s="28"/>
      <c r="N899" s="28"/>
      <c r="O899" s="28"/>
      <c r="P899" s="28"/>
      <c r="Q899" s="28"/>
      <c r="R899" s="28"/>
      <c r="S899" s="28"/>
      <c r="T899" s="28"/>
      <c r="U899" s="41"/>
      <c r="V899" s="41"/>
      <c r="W899" s="41"/>
      <c r="X899" s="28"/>
      <c r="Y899" s="28"/>
      <c r="Z899" s="28"/>
      <c r="AA899" s="28"/>
      <c r="AB899" s="28"/>
      <c r="AC899" s="28"/>
      <c r="AD899" s="28"/>
    </row>
    <row r="900" spans="9:30" x14ac:dyDescent="0.35">
      <c r="I900" s="28" t="s">
        <v>2131</v>
      </c>
      <c r="J900" s="28" t="s">
        <v>274</v>
      </c>
      <c r="K900" s="28" t="str">
        <f t="shared" si="20"/>
        <v>Santa MaríaBoyaca</v>
      </c>
      <c r="L900" s="28"/>
      <c r="M900" s="28"/>
      <c r="N900" s="28"/>
      <c r="O900" s="28"/>
      <c r="P900" s="28"/>
      <c r="Q900" s="28"/>
      <c r="R900" s="28"/>
      <c r="S900" s="28"/>
      <c r="T900" s="28"/>
      <c r="U900" s="41"/>
      <c r="V900" s="41"/>
      <c r="W900" s="41"/>
      <c r="X900" s="28"/>
      <c r="Y900" s="28"/>
      <c r="Z900" s="28"/>
      <c r="AA900" s="28"/>
      <c r="AB900" s="28"/>
      <c r="AC900" s="28"/>
      <c r="AD900" s="28"/>
    </row>
    <row r="901" spans="9:30" x14ac:dyDescent="0.35">
      <c r="I901" s="28" t="s">
        <v>2131</v>
      </c>
      <c r="J901" s="28" t="s">
        <v>245</v>
      </c>
      <c r="K901" s="28" t="str">
        <f t="shared" si="20"/>
        <v>Santa MaríaHuila</v>
      </c>
      <c r="L901" s="28"/>
      <c r="M901" s="28"/>
      <c r="N901" s="28"/>
      <c r="O901" s="28"/>
      <c r="P901" s="28"/>
      <c r="Q901" s="28"/>
      <c r="R901" s="28"/>
      <c r="S901" s="28"/>
      <c r="T901" s="28"/>
      <c r="U901" s="41"/>
      <c r="V901" s="41"/>
      <c r="W901" s="41"/>
      <c r="X901" s="28"/>
      <c r="Y901" s="28"/>
      <c r="Z901" s="28"/>
      <c r="AA901" s="28"/>
      <c r="AB901" s="28"/>
      <c r="AC901" s="28"/>
      <c r="AD901" s="28"/>
    </row>
    <row r="902" spans="9:30" x14ac:dyDescent="0.35">
      <c r="I902" s="28" t="s">
        <v>2132</v>
      </c>
      <c r="J902" s="28" t="s">
        <v>382</v>
      </c>
      <c r="K902" s="28" t="str">
        <f t="shared" si="20"/>
        <v>Santa MartaMagdalena</v>
      </c>
      <c r="L902" s="28"/>
      <c r="M902" s="28"/>
      <c r="N902" s="28"/>
      <c r="O902" s="28"/>
      <c r="P902" s="28"/>
      <c r="Q902" s="28"/>
      <c r="R902" s="28"/>
      <c r="S902" s="28"/>
      <c r="T902" s="28"/>
      <c r="U902" s="41"/>
      <c r="V902" s="41"/>
      <c r="W902" s="41"/>
      <c r="X902" s="28"/>
      <c r="Y902" s="28"/>
      <c r="Z902" s="28"/>
      <c r="AA902" s="28"/>
      <c r="AB902" s="28"/>
      <c r="AC902" s="28"/>
      <c r="AD902" s="28"/>
    </row>
    <row r="903" spans="9:30" x14ac:dyDescent="0.35">
      <c r="I903" s="28" t="s">
        <v>2133</v>
      </c>
      <c r="J903" s="28" t="s">
        <v>260</v>
      </c>
      <c r="K903" s="28" t="str">
        <f t="shared" si="20"/>
        <v>Santa RosaBolivar</v>
      </c>
      <c r="L903" s="28"/>
      <c r="M903" s="28"/>
      <c r="N903" s="28"/>
      <c r="O903" s="28"/>
      <c r="P903" s="28"/>
      <c r="Q903" s="28"/>
      <c r="R903" s="28"/>
      <c r="S903" s="28"/>
      <c r="T903" s="28"/>
      <c r="U903" s="41"/>
      <c r="V903" s="41"/>
      <c r="W903" s="41"/>
      <c r="X903" s="28"/>
      <c r="Y903" s="28"/>
      <c r="Z903" s="28"/>
      <c r="AA903" s="28"/>
      <c r="AB903" s="28"/>
      <c r="AC903" s="28"/>
      <c r="AD903" s="28"/>
    </row>
    <row r="904" spans="9:30" x14ac:dyDescent="0.35">
      <c r="I904" s="28" t="s">
        <v>2133</v>
      </c>
      <c r="J904" s="28" t="s">
        <v>315</v>
      </c>
      <c r="K904" s="28" t="str">
        <f t="shared" si="20"/>
        <v>Santa RosaCauca</v>
      </c>
      <c r="L904" s="28"/>
      <c r="M904" s="28"/>
      <c r="N904" s="28"/>
      <c r="O904" s="28"/>
      <c r="P904" s="28"/>
      <c r="Q904" s="28"/>
      <c r="R904" s="28"/>
      <c r="S904" s="28"/>
      <c r="T904" s="28"/>
      <c r="U904" s="41"/>
      <c r="V904" s="41"/>
      <c r="W904" s="41"/>
      <c r="X904" s="28"/>
      <c r="Y904" s="28"/>
      <c r="Z904" s="28"/>
      <c r="AA904" s="28"/>
      <c r="AB904" s="28"/>
      <c r="AC904" s="28"/>
      <c r="AD904" s="28"/>
    </row>
    <row r="905" spans="9:30" x14ac:dyDescent="0.35">
      <c r="I905" s="28" t="s">
        <v>2134</v>
      </c>
      <c r="J905" s="28" t="s">
        <v>405</v>
      </c>
      <c r="K905" s="28" t="str">
        <f t="shared" si="20"/>
        <v>Santa Rosa de CabalRisaralda</v>
      </c>
      <c r="L905" s="28"/>
      <c r="M905" s="28"/>
      <c r="N905" s="28"/>
      <c r="O905" s="28"/>
      <c r="P905" s="28"/>
      <c r="Q905" s="28"/>
      <c r="R905" s="28"/>
      <c r="S905" s="28"/>
      <c r="T905" s="28"/>
      <c r="U905" s="41"/>
      <c r="V905" s="41"/>
      <c r="W905" s="41"/>
      <c r="X905" s="28"/>
      <c r="Y905" s="28"/>
      <c r="Z905" s="28"/>
      <c r="AA905" s="28"/>
      <c r="AB905" s="28"/>
      <c r="AC905" s="28"/>
      <c r="AD905" s="28"/>
    </row>
    <row r="906" spans="9:30" x14ac:dyDescent="0.35">
      <c r="I906" s="28" t="s">
        <v>2135</v>
      </c>
      <c r="J906" s="28" t="s">
        <v>154</v>
      </c>
      <c r="K906" s="28" t="str">
        <f t="shared" si="20"/>
        <v>Santa Rosa de OsosAntioquia</v>
      </c>
      <c r="L906" s="28"/>
      <c r="M906" s="28"/>
      <c r="N906" s="28"/>
      <c r="O906" s="28"/>
      <c r="P906" s="28"/>
      <c r="Q906" s="28"/>
      <c r="R906" s="28"/>
      <c r="S906" s="28"/>
      <c r="T906" s="28"/>
      <c r="U906" s="41"/>
      <c r="V906" s="41"/>
      <c r="W906" s="41"/>
      <c r="X906" s="28"/>
      <c r="Y906" s="28"/>
      <c r="Z906" s="28"/>
      <c r="AA906" s="28"/>
      <c r="AB906" s="28"/>
      <c r="AC906" s="28"/>
      <c r="AD906" s="28"/>
    </row>
    <row r="907" spans="9:30" x14ac:dyDescent="0.35">
      <c r="I907" s="28" t="s">
        <v>2136</v>
      </c>
      <c r="J907" s="28" t="s">
        <v>274</v>
      </c>
      <c r="K907" s="28" t="str">
        <f t="shared" si="20"/>
        <v>Santa Rosa de ViterboBoyaca</v>
      </c>
      <c r="L907" s="28"/>
      <c r="M907" s="28"/>
      <c r="N907" s="28"/>
      <c r="O907" s="28"/>
      <c r="P907" s="28"/>
      <c r="Q907" s="28"/>
      <c r="R907" s="28"/>
      <c r="S907" s="28"/>
      <c r="T907" s="28"/>
      <c r="U907" s="41"/>
      <c r="V907" s="41"/>
      <c r="W907" s="41"/>
      <c r="X907" s="28"/>
      <c r="Y907" s="28"/>
      <c r="Z907" s="28"/>
      <c r="AA907" s="28"/>
      <c r="AB907" s="28"/>
      <c r="AC907" s="28"/>
      <c r="AD907" s="28"/>
    </row>
    <row r="908" spans="9:30" x14ac:dyDescent="0.35">
      <c r="I908" s="28" t="s">
        <v>2137</v>
      </c>
      <c r="J908" s="28" t="s">
        <v>260</v>
      </c>
      <c r="K908" s="28" t="str">
        <f t="shared" si="20"/>
        <v>Santa Rosa del SurBolivar</v>
      </c>
      <c r="L908" s="28"/>
      <c r="M908" s="28"/>
      <c r="N908" s="28"/>
      <c r="O908" s="28"/>
      <c r="P908" s="28"/>
      <c r="Q908" s="28"/>
      <c r="R908" s="28"/>
      <c r="S908" s="28"/>
      <c r="T908" s="28"/>
      <c r="U908" s="41"/>
      <c r="V908" s="41"/>
      <c r="W908" s="41"/>
      <c r="X908" s="28"/>
      <c r="Y908" s="28"/>
      <c r="Z908" s="28"/>
      <c r="AA908" s="28"/>
      <c r="AB908" s="28"/>
      <c r="AC908" s="28"/>
      <c r="AD908" s="28"/>
    </row>
    <row r="909" spans="9:30" x14ac:dyDescent="0.35">
      <c r="I909" s="28" t="s">
        <v>2138</v>
      </c>
      <c r="J909" s="28" t="s">
        <v>428</v>
      </c>
      <c r="K909" s="28" t="str">
        <f t="shared" si="20"/>
        <v>Santa RosalíaVichada</v>
      </c>
      <c r="L909" s="28"/>
      <c r="M909" s="28"/>
      <c r="N909" s="28"/>
      <c r="O909" s="28"/>
      <c r="P909" s="28"/>
      <c r="Q909" s="28"/>
      <c r="R909" s="28"/>
      <c r="S909" s="28"/>
      <c r="T909" s="28"/>
      <c r="U909" s="41"/>
      <c r="V909" s="41"/>
      <c r="W909" s="41"/>
      <c r="X909" s="28"/>
      <c r="Y909" s="28"/>
      <c r="Z909" s="28"/>
      <c r="AA909" s="28"/>
      <c r="AB909" s="28"/>
      <c r="AC909" s="28"/>
      <c r="AD909" s="28"/>
    </row>
    <row r="910" spans="9:30" x14ac:dyDescent="0.35">
      <c r="I910" s="28" t="s">
        <v>2139</v>
      </c>
      <c r="J910" s="28" t="s">
        <v>274</v>
      </c>
      <c r="K910" s="28" t="str">
        <f t="shared" si="20"/>
        <v>Santa SofíaBoyaca</v>
      </c>
      <c r="L910" s="28"/>
      <c r="M910" s="28"/>
      <c r="N910" s="28"/>
      <c r="O910" s="28"/>
      <c r="P910" s="28"/>
      <c r="Q910" s="28"/>
      <c r="R910" s="28"/>
      <c r="S910" s="28"/>
      <c r="T910" s="28"/>
      <c r="U910" s="41"/>
      <c r="V910" s="41"/>
      <c r="W910" s="41"/>
      <c r="X910" s="28"/>
      <c r="Y910" s="28"/>
      <c r="Z910" s="28"/>
      <c r="AA910" s="28"/>
      <c r="AB910" s="28"/>
      <c r="AC910" s="28"/>
      <c r="AD910" s="28"/>
    </row>
    <row r="911" spans="9:30" x14ac:dyDescent="0.35">
      <c r="I911" s="28" t="s">
        <v>2140</v>
      </c>
      <c r="J911" s="28" t="s">
        <v>352</v>
      </c>
      <c r="K911" s="28" t="str">
        <f t="shared" si="20"/>
        <v>SantacruzNariño</v>
      </c>
      <c r="L911" s="28"/>
      <c r="M911" s="28"/>
      <c r="N911" s="28"/>
      <c r="O911" s="28"/>
      <c r="P911" s="28"/>
      <c r="Q911" s="28"/>
      <c r="R911" s="28"/>
      <c r="S911" s="28"/>
      <c r="T911" s="28"/>
      <c r="U911" s="41"/>
      <c r="V911" s="41"/>
      <c r="W911" s="41"/>
      <c r="X911" s="28"/>
      <c r="Y911" s="28"/>
      <c r="Z911" s="28"/>
      <c r="AA911" s="28"/>
      <c r="AB911" s="28"/>
      <c r="AC911" s="28"/>
      <c r="AD911" s="28"/>
    </row>
    <row r="912" spans="9:30" x14ac:dyDescent="0.35">
      <c r="I912" s="28" t="s">
        <v>2141</v>
      </c>
      <c r="J912" s="28" t="s">
        <v>154</v>
      </c>
      <c r="K912" s="28" t="str">
        <f t="shared" si="20"/>
        <v>Santafé de AntioquiaAntioquia</v>
      </c>
      <c r="L912" s="28"/>
      <c r="M912" s="28"/>
      <c r="N912" s="28"/>
      <c r="O912" s="28"/>
      <c r="P912" s="28"/>
      <c r="Q912" s="28"/>
      <c r="R912" s="28"/>
      <c r="S912" s="28"/>
      <c r="T912" s="28"/>
      <c r="U912" s="41"/>
      <c r="V912" s="41"/>
      <c r="W912" s="41"/>
      <c r="X912" s="28"/>
      <c r="Y912" s="28"/>
      <c r="Z912" s="28"/>
      <c r="AA912" s="28"/>
      <c r="AB912" s="28"/>
      <c r="AC912" s="28"/>
      <c r="AD912" s="28"/>
    </row>
    <row r="913" spans="9:30" x14ac:dyDescent="0.35">
      <c r="I913" s="28" t="s">
        <v>2142</v>
      </c>
      <c r="J913" s="28" t="s">
        <v>274</v>
      </c>
      <c r="K913" s="28" t="str">
        <f t="shared" si="20"/>
        <v>SantanaBoyaca</v>
      </c>
      <c r="L913" s="28"/>
      <c r="M913" s="28"/>
      <c r="N913" s="28"/>
      <c r="O913" s="28"/>
      <c r="P913" s="28"/>
      <c r="Q913" s="28"/>
      <c r="R913" s="28"/>
      <c r="S913" s="28"/>
      <c r="T913" s="28"/>
      <c r="U913" s="41"/>
      <c r="V913" s="41"/>
      <c r="W913" s="41"/>
      <c r="X913" s="28"/>
      <c r="Y913" s="28"/>
      <c r="Z913" s="28"/>
      <c r="AA913" s="28"/>
      <c r="AB913" s="28"/>
      <c r="AC913" s="28"/>
      <c r="AD913" s="28"/>
    </row>
    <row r="914" spans="9:30" x14ac:dyDescent="0.35">
      <c r="I914" s="28" t="s">
        <v>2143</v>
      </c>
      <c r="J914" s="28" t="s">
        <v>315</v>
      </c>
      <c r="K914" s="28" t="str">
        <f t="shared" si="20"/>
        <v>Santander de QuilichaoCauca</v>
      </c>
      <c r="L914" s="28"/>
      <c r="M914" s="28"/>
      <c r="N914" s="28"/>
      <c r="O914" s="28"/>
      <c r="P914" s="28"/>
      <c r="Q914" s="28"/>
      <c r="R914" s="28"/>
      <c r="S914" s="28"/>
      <c r="T914" s="28"/>
      <c r="U914" s="41"/>
      <c r="V914" s="41"/>
      <c r="W914" s="41"/>
      <c r="X914" s="28"/>
      <c r="Y914" s="28"/>
      <c r="Z914" s="28"/>
      <c r="AA914" s="28"/>
      <c r="AB914" s="28"/>
      <c r="AC914" s="28"/>
      <c r="AD914" s="28"/>
    </row>
    <row r="915" spans="9:30" x14ac:dyDescent="0.35">
      <c r="I915" s="28" t="s">
        <v>2144</v>
      </c>
      <c r="J915" s="28" t="s">
        <v>190</v>
      </c>
      <c r="K915" s="28" t="str">
        <f t="shared" si="20"/>
        <v>SantiagoNorte de Santander</v>
      </c>
      <c r="L915" s="28"/>
      <c r="M915" s="28"/>
      <c r="N915" s="28"/>
      <c r="O915" s="28"/>
      <c r="P915" s="28"/>
      <c r="Q915" s="28"/>
      <c r="R915" s="28"/>
      <c r="S915" s="28"/>
      <c r="T915" s="28"/>
      <c r="U915" s="41"/>
      <c r="V915" s="41"/>
      <c r="W915" s="41"/>
      <c r="X915" s="28"/>
      <c r="Y915" s="28"/>
      <c r="Z915" s="28"/>
      <c r="AA915" s="28"/>
      <c r="AB915" s="28"/>
      <c r="AC915" s="28"/>
      <c r="AD915" s="28"/>
    </row>
    <row r="916" spans="9:30" x14ac:dyDescent="0.35">
      <c r="I916" s="28" t="s">
        <v>2144</v>
      </c>
      <c r="J916" s="28" t="s">
        <v>396</v>
      </c>
      <c r="K916" s="28" t="str">
        <f t="shared" si="20"/>
        <v>SantiagoPutumayo</v>
      </c>
      <c r="L916" s="28"/>
      <c r="M916" s="28"/>
      <c r="N916" s="28"/>
      <c r="O916" s="28"/>
      <c r="P916" s="28"/>
      <c r="Q916" s="28"/>
      <c r="R916" s="28"/>
      <c r="S916" s="28"/>
      <c r="T916" s="28"/>
      <c r="U916" s="41"/>
      <c r="V916" s="41"/>
      <c r="W916" s="41"/>
      <c r="X916" s="28"/>
      <c r="Y916" s="28"/>
      <c r="Z916" s="28"/>
      <c r="AA916" s="28"/>
      <c r="AB916" s="28"/>
      <c r="AC916" s="28"/>
      <c r="AD916" s="28"/>
    </row>
    <row r="917" spans="9:30" x14ac:dyDescent="0.35">
      <c r="I917" s="28" t="s">
        <v>2145</v>
      </c>
      <c r="J917" s="28" t="s">
        <v>413</v>
      </c>
      <c r="K917" s="28" t="str">
        <f t="shared" si="20"/>
        <v>Santiago de TolúSucre</v>
      </c>
      <c r="L917" s="28"/>
      <c r="M917" s="28"/>
      <c r="N917" s="28"/>
      <c r="O917" s="28"/>
      <c r="P917" s="28"/>
      <c r="Q917" s="28"/>
      <c r="R917" s="28"/>
      <c r="S917" s="28"/>
      <c r="T917" s="28"/>
      <c r="U917" s="41"/>
      <c r="V917" s="41"/>
      <c r="W917" s="41"/>
      <c r="X917" s="28"/>
      <c r="Y917" s="28"/>
      <c r="Z917" s="28"/>
      <c r="AA917" s="28"/>
      <c r="AB917" s="28"/>
      <c r="AC917" s="28"/>
      <c r="AD917" s="28"/>
    </row>
    <row r="918" spans="9:30" x14ac:dyDescent="0.35">
      <c r="I918" s="28" t="s">
        <v>2146</v>
      </c>
      <c r="J918" s="28" t="s">
        <v>154</v>
      </c>
      <c r="K918" s="28" t="str">
        <f t="shared" si="20"/>
        <v>Santo DomingoAntioquia</v>
      </c>
      <c r="L918" s="28"/>
      <c r="M918" s="28"/>
      <c r="N918" s="28"/>
      <c r="O918" s="28"/>
      <c r="P918" s="28"/>
      <c r="Q918" s="28"/>
      <c r="R918" s="28"/>
      <c r="S918" s="28"/>
      <c r="T918" s="28"/>
      <c r="U918" s="41"/>
      <c r="V918" s="41"/>
      <c r="W918" s="41"/>
      <c r="X918" s="28"/>
      <c r="Y918" s="28"/>
      <c r="Z918" s="28"/>
      <c r="AA918" s="28"/>
      <c r="AB918" s="28"/>
      <c r="AC918" s="28"/>
      <c r="AD918" s="28"/>
    </row>
    <row r="919" spans="9:30" x14ac:dyDescent="0.35">
      <c r="I919" s="28" t="s">
        <v>2147</v>
      </c>
      <c r="J919" s="28" t="s">
        <v>231</v>
      </c>
      <c r="K919" s="28" t="str">
        <f t="shared" si="20"/>
        <v>Santo TomásAtlantico</v>
      </c>
      <c r="L919" s="28"/>
      <c r="M919" s="28"/>
      <c r="N919" s="28"/>
      <c r="O919" s="28"/>
      <c r="P919" s="28"/>
      <c r="Q919" s="28"/>
      <c r="R919" s="28"/>
      <c r="S919" s="28"/>
      <c r="T919" s="28"/>
      <c r="U919" s="41"/>
      <c r="V919" s="41"/>
      <c r="W919" s="41"/>
      <c r="X919" s="28"/>
      <c r="Y919" s="28"/>
      <c r="Z919" s="28"/>
      <c r="AA919" s="28"/>
      <c r="AB919" s="28"/>
      <c r="AC919" s="28"/>
      <c r="AD919" s="28"/>
    </row>
    <row r="920" spans="9:30" x14ac:dyDescent="0.35">
      <c r="I920" s="28" t="s">
        <v>2148</v>
      </c>
      <c r="J920" s="28" t="s">
        <v>405</v>
      </c>
      <c r="K920" s="28" t="str">
        <f t="shared" si="20"/>
        <v>SantuarioRisaralda</v>
      </c>
      <c r="L920" s="28"/>
      <c r="M920" s="28"/>
      <c r="N920" s="28"/>
      <c r="O920" s="28"/>
      <c r="P920" s="28"/>
      <c r="Q920" s="28"/>
      <c r="R920" s="28"/>
      <c r="S920" s="28"/>
      <c r="T920" s="28"/>
      <c r="U920" s="41"/>
      <c r="V920" s="41"/>
      <c r="W920" s="41"/>
      <c r="X920" s="28"/>
      <c r="Y920" s="28"/>
      <c r="Z920" s="28"/>
      <c r="AA920" s="28"/>
      <c r="AB920" s="28"/>
      <c r="AC920" s="28"/>
      <c r="AD920" s="28"/>
    </row>
    <row r="921" spans="9:30" x14ac:dyDescent="0.35">
      <c r="I921" s="28" t="s">
        <v>2149</v>
      </c>
      <c r="J921" s="28" t="s">
        <v>352</v>
      </c>
      <c r="K921" s="28" t="str">
        <f t="shared" si="20"/>
        <v>SapuyesNariño</v>
      </c>
      <c r="L921" s="28"/>
      <c r="M921" s="28"/>
      <c r="N921" s="28"/>
      <c r="O921" s="28"/>
      <c r="P921" s="28"/>
      <c r="Q921" s="28"/>
      <c r="R921" s="28"/>
      <c r="S921" s="28"/>
      <c r="T921" s="28"/>
      <c r="U921" s="41"/>
      <c r="V921" s="41"/>
      <c r="W921" s="41"/>
      <c r="X921" s="28"/>
      <c r="Y921" s="28"/>
      <c r="Z921" s="28"/>
      <c r="AA921" s="28"/>
      <c r="AB921" s="28"/>
      <c r="AC921" s="28"/>
      <c r="AD921" s="28"/>
    </row>
    <row r="922" spans="9:30" x14ac:dyDescent="0.35">
      <c r="I922" s="28" t="s">
        <v>2150</v>
      </c>
      <c r="J922" s="28" t="s">
        <v>204</v>
      </c>
      <c r="K922" s="28" t="str">
        <f t="shared" si="20"/>
        <v>SaravenaArauca</v>
      </c>
      <c r="L922" s="28"/>
      <c r="M922" s="28"/>
      <c r="N922" s="28"/>
      <c r="O922" s="28"/>
      <c r="P922" s="28"/>
      <c r="Q922" s="28"/>
      <c r="R922" s="28"/>
      <c r="S922" s="28"/>
      <c r="T922" s="28"/>
      <c r="U922" s="41"/>
      <c r="V922" s="41"/>
      <c r="W922" s="41"/>
      <c r="X922" s="28"/>
      <c r="Y922" s="28"/>
      <c r="Z922" s="28"/>
      <c r="AA922" s="28"/>
      <c r="AB922" s="28"/>
      <c r="AC922" s="28"/>
      <c r="AD922" s="28"/>
    </row>
    <row r="923" spans="9:30" x14ac:dyDescent="0.35">
      <c r="I923" s="28" t="s">
        <v>2151</v>
      </c>
      <c r="J923" s="28" t="s">
        <v>190</v>
      </c>
      <c r="K923" s="28" t="str">
        <f t="shared" si="20"/>
        <v>SardinataNorte de Santander</v>
      </c>
      <c r="L923" s="28"/>
      <c r="M923" s="28"/>
      <c r="N923" s="28"/>
      <c r="O923" s="28"/>
      <c r="P923" s="28"/>
      <c r="Q923" s="28"/>
      <c r="R923" s="28"/>
      <c r="S923" s="28"/>
      <c r="T923" s="28"/>
      <c r="U923" s="41"/>
      <c r="V923" s="41"/>
      <c r="W923" s="41"/>
      <c r="X923" s="28"/>
      <c r="Y923" s="28"/>
      <c r="Z923" s="28"/>
      <c r="AA923" s="28"/>
      <c r="AB923" s="28"/>
      <c r="AC923" s="28"/>
      <c r="AD923" s="28"/>
    </row>
    <row r="924" spans="9:30" x14ac:dyDescent="0.35">
      <c r="I924" s="28" t="s">
        <v>2152</v>
      </c>
      <c r="J924" s="28" t="s">
        <v>283</v>
      </c>
      <c r="K924" s="28" t="str">
        <f t="shared" si="20"/>
        <v>SasaimaCundinamarca</v>
      </c>
      <c r="L924" s="28"/>
      <c r="M924" s="28"/>
      <c r="N924" s="28"/>
      <c r="O924" s="28"/>
      <c r="P924" s="28"/>
      <c r="Q924" s="28"/>
      <c r="R924" s="28"/>
      <c r="S924" s="28"/>
      <c r="T924" s="28"/>
      <c r="U924" s="41"/>
      <c r="V924" s="41"/>
      <c r="W924" s="41"/>
      <c r="X924" s="28"/>
      <c r="Y924" s="28"/>
      <c r="Z924" s="28"/>
      <c r="AA924" s="28"/>
      <c r="AB924" s="28"/>
      <c r="AC924" s="28"/>
      <c r="AD924" s="28"/>
    </row>
    <row r="925" spans="9:30" x14ac:dyDescent="0.35">
      <c r="I925" s="28" t="s">
        <v>2153</v>
      </c>
      <c r="J925" s="28" t="s">
        <v>274</v>
      </c>
      <c r="K925" s="28" t="str">
        <f t="shared" si="20"/>
        <v>SativanorteBoyaca</v>
      </c>
      <c r="L925" s="28"/>
      <c r="M925" s="28"/>
      <c r="N925" s="28"/>
      <c r="O925" s="28"/>
      <c r="P925" s="28"/>
      <c r="Q925" s="28"/>
      <c r="R925" s="28"/>
      <c r="S925" s="28"/>
      <c r="T925" s="28"/>
      <c r="U925" s="41"/>
      <c r="V925" s="41"/>
      <c r="W925" s="41"/>
      <c r="X925" s="28"/>
      <c r="Y925" s="28"/>
      <c r="Z925" s="28"/>
      <c r="AA925" s="28"/>
      <c r="AB925" s="28"/>
      <c r="AC925" s="28"/>
      <c r="AD925" s="28"/>
    </row>
    <row r="926" spans="9:30" x14ac:dyDescent="0.35">
      <c r="I926" s="28" t="s">
        <v>2154</v>
      </c>
      <c r="J926" s="28" t="s">
        <v>274</v>
      </c>
      <c r="K926" s="28" t="str">
        <f t="shared" si="20"/>
        <v>SativasurBoyaca</v>
      </c>
      <c r="L926" s="28"/>
      <c r="M926" s="28"/>
      <c r="N926" s="28"/>
      <c r="O926" s="28"/>
      <c r="P926" s="28"/>
      <c r="Q926" s="28"/>
      <c r="R926" s="28"/>
      <c r="S926" s="28"/>
      <c r="T926" s="28"/>
      <c r="U926" s="41"/>
      <c r="V926" s="41"/>
      <c r="W926" s="41"/>
      <c r="X926" s="28"/>
      <c r="Y926" s="28"/>
      <c r="Z926" s="28"/>
      <c r="AA926" s="28"/>
      <c r="AB926" s="28"/>
      <c r="AC926" s="28"/>
      <c r="AD926" s="28"/>
    </row>
    <row r="927" spans="9:30" x14ac:dyDescent="0.35">
      <c r="I927" s="28" t="s">
        <v>2155</v>
      </c>
      <c r="J927" s="28" t="s">
        <v>154</v>
      </c>
      <c r="K927" s="28" t="str">
        <f t="shared" si="20"/>
        <v>SegoviaAntioquia</v>
      </c>
      <c r="L927" s="28"/>
      <c r="M927" s="28"/>
      <c r="N927" s="28"/>
      <c r="O927" s="28"/>
      <c r="P927" s="28"/>
      <c r="Q927" s="28"/>
      <c r="R927" s="28"/>
      <c r="S927" s="28"/>
      <c r="T927" s="28"/>
      <c r="U927" s="41"/>
      <c r="V927" s="41"/>
      <c r="W927" s="41"/>
      <c r="X927" s="28"/>
      <c r="Y927" s="28"/>
      <c r="Z927" s="28"/>
      <c r="AA927" s="28"/>
      <c r="AB927" s="28"/>
      <c r="AC927" s="28"/>
      <c r="AD927" s="28"/>
    </row>
    <row r="928" spans="9:30" x14ac:dyDescent="0.35">
      <c r="I928" s="28" t="s">
        <v>2156</v>
      </c>
      <c r="J928" s="28" t="s">
        <v>283</v>
      </c>
      <c r="K928" s="28" t="str">
        <f t="shared" si="20"/>
        <v>SesquiléCundinamarca</v>
      </c>
      <c r="L928" s="28"/>
      <c r="M928" s="28"/>
      <c r="N928" s="28"/>
      <c r="O928" s="28"/>
      <c r="P928" s="28"/>
      <c r="Q928" s="28"/>
      <c r="R928" s="28"/>
      <c r="S928" s="28"/>
      <c r="T928" s="28"/>
      <c r="U928" s="41"/>
      <c r="V928" s="41"/>
      <c r="W928" s="41"/>
      <c r="X928" s="28"/>
      <c r="Y928" s="28"/>
      <c r="Z928" s="28"/>
      <c r="AA928" s="28"/>
      <c r="AB928" s="28"/>
      <c r="AC928" s="28"/>
      <c r="AD928" s="28"/>
    </row>
    <row r="929" spans="9:30" x14ac:dyDescent="0.35">
      <c r="I929" s="28" t="s">
        <v>2157</v>
      </c>
      <c r="J929" s="28" t="s">
        <v>381</v>
      </c>
      <c r="K929" s="28" t="str">
        <f t="shared" si="20"/>
        <v>SevillaValle del Cauca</v>
      </c>
      <c r="L929" s="28"/>
      <c r="M929" s="28"/>
      <c r="N929" s="28"/>
      <c r="O929" s="28"/>
      <c r="P929" s="28"/>
      <c r="Q929" s="28"/>
      <c r="R929" s="28"/>
      <c r="S929" s="28"/>
      <c r="T929" s="28"/>
      <c r="U929" s="41"/>
      <c r="V929" s="41"/>
      <c r="W929" s="41"/>
      <c r="X929" s="28"/>
      <c r="Y929" s="28"/>
      <c r="Z929" s="28"/>
      <c r="AA929" s="28"/>
      <c r="AB929" s="28"/>
      <c r="AC929" s="28"/>
      <c r="AD929" s="28"/>
    </row>
    <row r="930" spans="9:30" x14ac:dyDescent="0.35">
      <c r="I930" s="28" t="s">
        <v>2158</v>
      </c>
      <c r="J930" s="28" t="s">
        <v>274</v>
      </c>
      <c r="K930" s="28" t="str">
        <f t="shared" si="20"/>
        <v>SiachoqueBoyaca</v>
      </c>
      <c r="L930" s="28"/>
      <c r="M930" s="28"/>
      <c r="N930" s="28"/>
      <c r="O930" s="28"/>
      <c r="P930" s="28"/>
      <c r="Q930" s="28"/>
      <c r="R930" s="28"/>
      <c r="S930" s="28"/>
      <c r="T930" s="28"/>
      <c r="U930" s="41"/>
      <c r="V930" s="41"/>
      <c r="W930" s="41"/>
      <c r="X930" s="28"/>
      <c r="Y930" s="28"/>
      <c r="Z930" s="28"/>
      <c r="AA930" s="28"/>
      <c r="AB930" s="28"/>
      <c r="AC930" s="28"/>
      <c r="AD930" s="28"/>
    </row>
    <row r="931" spans="9:30" x14ac:dyDescent="0.35">
      <c r="I931" s="28" t="s">
        <v>2159</v>
      </c>
      <c r="J931" s="28" t="s">
        <v>283</v>
      </c>
      <c r="K931" s="28" t="str">
        <f t="shared" si="20"/>
        <v>SibatéCundinamarca</v>
      </c>
      <c r="L931" s="28"/>
      <c r="M931" s="28"/>
      <c r="N931" s="28"/>
      <c r="O931" s="28"/>
      <c r="P931" s="28"/>
      <c r="Q931" s="28"/>
      <c r="R931" s="28"/>
      <c r="S931" s="28"/>
      <c r="T931" s="28"/>
      <c r="U931" s="41"/>
      <c r="V931" s="41"/>
      <c r="W931" s="41"/>
      <c r="X931" s="28"/>
      <c r="Y931" s="28"/>
      <c r="Z931" s="28"/>
      <c r="AA931" s="28"/>
      <c r="AB931" s="28"/>
      <c r="AC931" s="28"/>
      <c r="AD931" s="28"/>
    </row>
    <row r="932" spans="9:30" x14ac:dyDescent="0.35">
      <c r="I932" s="28" t="s">
        <v>2160</v>
      </c>
      <c r="J932" s="28" t="s">
        <v>396</v>
      </c>
      <c r="K932" s="28" t="str">
        <f t="shared" si="20"/>
        <v>SibundoyPutumayo</v>
      </c>
      <c r="L932" s="28"/>
      <c r="M932" s="28"/>
      <c r="N932" s="28"/>
      <c r="O932" s="28"/>
      <c r="P932" s="28"/>
      <c r="Q932" s="28"/>
      <c r="R932" s="28"/>
      <c r="S932" s="28"/>
      <c r="T932" s="28"/>
      <c r="U932" s="41"/>
      <c r="V932" s="41"/>
      <c r="W932" s="41"/>
      <c r="X932" s="28"/>
      <c r="Y932" s="28"/>
      <c r="Z932" s="28"/>
      <c r="AA932" s="28"/>
      <c r="AB932" s="28"/>
      <c r="AC932" s="28"/>
      <c r="AD932" s="28"/>
    </row>
    <row r="933" spans="9:30" x14ac:dyDescent="0.35">
      <c r="I933" s="28" t="s">
        <v>2161</v>
      </c>
      <c r="J933" s="28" t="s">
        <v>190</v>
      </c>
      <c r="K933" s="28" t="str">
        <f t="shared" si="20"/>
        <v>SilosNorte de Santander</v>
      </c>
      <c r="L933" s="28"/>
      <c r="M933" s="28"/>
      <c r="N933" s="28"/>
      <c r="O933" s="28"/>
      <c r="P933" s="28"/>
      <c r="Q933" s="28"/>
      <c r="R933" s="28"/>
      <c r="S933" s="28"/>
      <c r="T933" s="28"/>
      <c r="U933" s="41"/>
      <c r="V933" s="41"/>
      <c r="W933" s="41"/>
      <c r="X933" s="28"/>
      <c r="Y933" s="28"/>
      <c r="Z933" s="28"/>
      <c r="AA933" s="28"/>
      <c r="AB933" s="28"/>
      <c r="AC933" s="28"/>
      <c r="AD933" s="28"/>
    </row>
    <row r="934" spans="9:30" x14ac:dyDescent="0.35">
      <c r="I934" s="28" t="s">
        <v>2162</v>
      </c>
      <c r="J934" s="28" t="s">
        <v>283</v>
      </c>
      <c r="K934" s="28" t="str">
        <f t="shared" si="20"/>
        <v>SilvaniaCundinamarca</v>
      </c>
      <c r="L934" s="28"/>
      <c r="M934" s="28"/>
      <c r="N934" s="28"/>
      <c r="O934" s="28"/>
      <c r="P934" s="28"/>
      <c r="Q934" s="28"/>
      <c r="R934" s="28"/>
      <c r="S934" s="28"/>
      <c r="T934" s="28"/>
      <c r="U934" s="41"/>
      <c r="V934" s="41"/>
      <c r="W934" s="41"/>
      <c r="X934" s="28"/>
      <c r="Y934" s="28"/>
      <c r="Z934" s="28"/>
      <c r="AA934" s="28"/>
      <c r="AB934" s="28"/>
      <c r="AC934" s="28"/>
      <c r="AD934" s="28"/>
    </row>
    <row r="935" spans="9:30" x14ac:dyDescent="0.35">
      <c r="I935" s="28" t="s">
        <v>2163</v>
      </c>
      <c r="J935" s="28" t="s">
        <v>315</v>
      </c>
      <c r="K935" s="28" t="str">
        <f t="shared" si="20"/>
        <v>SilviaCauca</v>
      </c>
      <c r="L935" s="28"/>
      <c r="M935" s="28"/>
      <c r="N935" s="28"/>
      <c r="O935" s="28"/>
      <c r="P935" s="28"/>
      <c r="Q935" s="28"/>
      <c r="R935" s="28"/>
      <c r="S935" s="28"/>
      <c r="T935" s="28"/>
      <c r="U935" s="41"/>
      <c r="V935" s="41"/>
      <c r="W935" s="41"/>
      <c r="X935" s="28"/>
      <c r="Y935" s="28"/>
      <c r="Z935" s="28"/>
      <c r="AA935" s="28"/>
      <c r="AB935" s="28"/>
      <c r="AC935" s="28"/>
      <c r="AD935" s="28"/>
    </row>
    <row r="936" spans="9:30" x14ac:dyDescent="0.35">
      <c r="I936" s="28" t="s">
        <v>2164</v>
      </c>
      <c r="J936" s="28" t="s">
        <v>304</v>
      </c>
      <c r="K936" s="28" t="str">
        <f t="shared" si="20"/>
        <v>SimacotaSantander</v>
      </c>
      <c r="L936" s="28"/>
      <c r="M936" s="28"/>
      <c r="N936" s="28"/>
      <c r="O936" s="28"/>
      <c r="P936" s="28"/>
      <c r="Q936" s="28"/>
      <c r="R936" s="28"/>
      <c r="S936" s="28"/>
      <c r="T936" s="28"/>
      <c r="U936" s="41"/>
      <c r="V936" s="41"/>
      <c r="W936" s="41"/>
      <c r="X936" s="28"/>
      <c r="Y936" s="28"/>
      <c r="Z936" s="28"/>
      <c r="AA936" s="28"/>
      <c r="AB936" s="28"/>
      <c r="AC936" s="28"/>
      <c r="AD936" s="28"/>
    </row>
    <row r="937" spans="9:30" x14ac:dyDescent="0.35">
      <c r="I937" s="28" t="s">
        <v>2165</v>
      </c>
      <c r="J937" s="28" t="s">
        <v>283</v>
      </c>
      <c r="K937" s="28" t="str">
        <f t="shared" si="20"/>
        <v>SimijacaCundinamarca</v>
      </c>
      <c r="L937" s="28"/>
      <c r="M937" s="28"/>
      <c r="N937" s="28"/>
      <c r="O937" s="28"/>
      <c r="P937" s="28"/>
      <c r="Q937" s="28"/>
      <c r="R937" s="28"/>
      <c r="S937" s="28"/>
      <c r="T937" s="28"/>
      <c r="U937" s="41"/>
      <c r="V937" s="41"/>
      <c r="W937" s="41"/>
      <c r="X937" s="28"/>
      <c r="Y937" s="28"/>
      <c r="Z937" s="28"/>
      <c r="AA937" s="28"/>
      <c r="AB937" s="28"/>
      <c r="AC937" s="28"/>
      <c r="AD937" s="28"/>
    </row>
    <row r="938" spans="9:30" x14ac:dyDescent="0.35">
      <c r="I938" s="28" t="s">
        <v>2166</v>
      </c>
      <c r="J938" s="28" t="s">
        <v>260</v>
      </c>
      <c r="K938" s="28" t="str">
        <f t="shared" si="20"/>
        <v>SimitíBolivar</v>
      </c>
      <c r="L938" s="28"/>
      <c r="M938" s="28"/>
      <c r="N938" s="28"/>
      <c r="O938" s="28"/>
      <c r="P938" s="28"/>
      <c r="Q938" s="28"/>
      <c r="R938" s="28"/>
      <c r="S938" s="28"/>
      <c r="T938" s="28"/>
      <c r="U938" s="41"/>
      <c r="V938" s="41"/>
      <c r="W938" s="41"/>
      <c r="X938" s="28"/>
      <c r="Y938" s="28"/>
      <c r="Z938" s="28"/>
      <c r="AA938" s="28"/>
      <c r="AB938" s="28"/>
      <c r="AC938" s="28"/>
      <c r="AD938" s="28"/>
    </row>
    <row r="939" spans="9:30" x14ac:dyDescent="0.35">
      <c r="I939" s="28" t="s">
        <v>2167</v>
      </c>
      <c r="J939" s="28" t="s">
        <v>413</v>
      </c>
      <c r="K939" s="28" t="str">
        <f t="shared" si="20"/>
        <v>SincelejoSucre</v>
      </c>
      <c r="L939" s="28"/>
      <c r="M939" s="28"/>
      <c r="N939" s="28"/>
      <c r="O939" s="28"/>
      <c r="P939" s="28"/>
      <c r="Q939" s="28"/>
      <c r="R939" s="28"/>
      <c r="S939" s="28"/>
      <c r="T939" s="28"/>
      <c r="U939" s="41"/>
      <c r="V939" s="41"/>
      <c r="W939" s="41"/>
      <c r="X939" s="28"/>
      <c r="Y939" s="28"/>
      <c r="Z939" s="28"/>
      <c r="AA939" s="28"/>
      <c r="AB939" s="28"/>
      <c r="AC939" s="28"/>
      <c r="AD939" s="28"/>
    </row>
    <row r="940" spans="9:30" x14ac:dyDescent="0.35">
      <c r="I940" s="28" t="s">
        <v>2168</v>
      </c>
      <c r="J940" s="28" t="s">
        <v>230</v>
      </c>
      <c r="K940" s="28" t="str">
        <f t="shared" si="20"/>
        <v>SipíChoco</v>
      </c>
      <c r="L940" s="28"/>
      <c r="M940" s="28"/>
      <c r="N940" s="28"/>
      <c r="O940" s="28"/>
      <c r="P940" s="28"/>
      <c r="Q940" s="28"/>
      <c r="R940" s="28"/>
      <c r="S940" s="28"/>
      <c r="T940" s="28"/>
      <c r="U940" s="41"/>
      <c r="V940" s="41"/>
      <c r="W940" s="41"/>
      <c r="X940" s="28"/>
      <c r="Y940" s="28"/>
      <c r="Z940" s="28"/>
      <c r="AA940" s="28"/>
      <c r="AB940" s="28"/>
      <c r="AC940" s="28"/>
      <c r="AD940" s="28"/>
    </row>
    <row r="941" spans="9:30" x14ac:dyDescent="0.35">
      <c r="I941" s="28" t="s">
        <v>2169</v>
      </c>
      <c r="J941" s="28" t="s">
        <v>382</v>
      </c>
      <c r="K941" s="28" t="str">
        <f t="shared" si="20"/>
        <v>SitionuevoMagdalena</v>
      </c>
      <c r="L941" s="28"/>
      <c r="M941" s="28"/>
      <c r="N941" s="28"/>
      <c r="O941" s="28"/>
      <c r="P941" s="28"/>
      <c r="Q941" s="28"/>
      <c r="R941" s="28"/>
      <c r="S941" s="28"/>
      <c r="T941" s="28"/>
      <c r="U941" s="41"/>
      <c r="V941" s="41"/>
      <c r="W941" s="41"/>
      <c r="X941" s="28"/>
      <c r="Y941" s="28"/>
      <c r="Z941" s="28"/>
      <c r="AA941" s="28"/>
      <c r="AB941" s="28"/>
      <c r="AC941" s="28"/>
      <c r="AD941" s="28"/>
    </row>
    <row r="942" spans="9:30" x14ac:dyDescent="0.35">
      <c r="I942" s="28" t="s">
        <v>2170</v>
      </c>
      <c r="J942" s="28" t="s">
        <v>283</v>
      </c>
      <c r="K942" s="28" t="str">
        <f t="shared" si="20"/>
        <v>SoachaCundinamarca</v>
      </c>
      <c r="L942" s="28"/>
      <c r="M942" s="28"/>
      <c r="N942" s="28"/>
      <c r="O942" s="28"/>
      <c r="P942" s="28"/>
      <c r="Q942" s="28"/>
      <c r="R942" s="28"/>
      <c r="S942" s="28"/>
      <c r="T942" s="28"/>
      <c r="U942" s="41"/>
      <c r="V942" s="41"/>
      <c r="W942" s="41"/>
      <c r="X942" s="28"/>
      <c r="Y942" s="28"/>
      <c r="Z942" s="28"/>
      <c r="AA942" s="28"/>
      <c r="AB942" s="28"/>
      <c r="AC942" s="28"/>
      <c r="AD942" s="28"/>
    </row>
    <row r="943" spans="9:30" x14ac:dyDescent="0.35">
      <c r="I943" s="28" t="s">
        <v>2171</v>
      </c>
      <c r="J943" s="28" t="s">
        <v>274</v>
      </c>
      <c r="K943" s="28" t="str">
        <f t="shared" si="20"/>
        <v>SoatáBoyaca</v>
      </c>
      <c r="L943" s="28"/>
      <c r="M943" s="28"/>
      <c r="N943" s="28"/>
      <c r="O943" s="28"/>
      <c r="P943" s="28"/>
      <c r="Q943" s="28"/>
      <c r="R943" s="28"/>
      <c r="S943" s="28"/>
      <c r="T943" s="28"/>
      <c r="U943" s="41"/>
      <c r="V943" s="41"/>
      <c r="W943" s="41"/>
      <c r="X943" s="28"/>
      <c r="Y943" s="28"/>
      <c r="Z943" s="28"/>
      <c r="AA943" s="28"/>
      <c r="AB943" s="28"/>
      <c r="AC943" s="28"/>
      <c r="AD943" s="28"/>
    </row>
    <row r="944" spans="9:30" x14ac:dyDescent="0.35">
      <c r="I944" s="28" t="s">
        <v>2172</v>
      </c>
      <c r="J944" s="28" t="s">
        <v>274</v>
      </c>
      <c r="K944" s="28" t="str">
        <f t="shared" si="20"/>
        <v>SochaBoyaca</v>
      </c>
      <c r="L944" s="28"/>
      <c r="M944" s="28"/>
      <c r="N944" s="28"/>
      <c r="O944" s="28"/>
      <c r="P944" s="28"/>
      <c r="Q944" s="28"/>
      <c r="R944" s="28"/>
      <c r="S944" s="28"/>
      <c r="T944" s="28"/>
      <c r="U944" s="41"/>
      <c r="V944" s="41"/>
      <c r="W944" s="41"/>
      <c r="X944" s="28"/>
      <c r="Y944" s="28"/>
      <c r="Z944" s="28"/>
      <c r="AA944" s="28"/>
      <c r="AB944" s="28"/>
      <c r="AC944" s="28"/>
      <c r="AD944" s="28"/>
    </row>
    <row r="945" spans="9:30" x14ac:dyDescent="0.35">
      <c r="I945" s="28" t="s">
        <v>2173</v>
      </c>
      <c r="J945" s="28" t="s">
        <v>304</v>
      </c>
      <c r="K945" s="28" t="str">
        <f t="shared" si="20"/>
        <v>SocorroSantander</v>
      </c>
      <c r="L945" s="28"/>
      <c r="M945" s="28"/>
      <c r="N945" s="28"/>
      <c r="O945" s="28"/>
      <c r="P945" s="28"/>
      <c r="Q945" s="28"/>
      <c r="R945" s="28"/>
      <c r="S945" s="28"/>
      <c r="T945" s="28"/>
      <c r="U945" s="41"/>
      <c r="V945" s="41"/>
      <c r="W945" s="41"/>
      <c r="X945" s="28"/>
      <c r="Y945" s="28"/>
      <c r="Z945" s="28"/>
      <c r="AA945" s="28"/>
      <c r="AB945" s="28"/>
      <c r="AC945" s="28"/>
      <c r="AD945" s="28"/>
    </row>
    <row r="946" spans="9:30" x14ac:dyDescent="0.35">
      <c r="I946" s="28" t="s">
        <v>2174</v>
      </c>
      <c r="J946" s="28" t="s">
        <v>274</v>
      </c>
      <c r="K946" s="28" t="str">
        <f t="shared" si="20"/>
        <v>SocotáBoyaca</v>
      </c>
      <c r="L946" s="28"/>
      <c r="M946" s="28"/>
      <c r="N946" s="28"/>
      <c r="O946" s="28"/>
      <c r="P946" s="28"/>
      <c r="Q946" s="28"/>
      <c r="R946" s="28"/>
      <c r="S946" s="28"/>
      <c r="T946" s="28"/>
      <c r="U946" s="41"/>
      <c r="V946" s="41"/>
      <c r="W946" s="41"/>
      <c r="X946" s="28"/>
      <c r="Y946" s="28"/>
      <c r="Z946" s="28"/>
      <c r="AA946" s="28"/>
      <c r="AB946" s="28"/>
      <c r="AC946" s="28"/>
      <c r="AD946" s="28"/>
    </row>
    <row r="947" spans="9:30" x14ac:dyDescent="0.35">
      <c r="I947" s="28" t="s">
        <v>2175</v>
      </c>
      <c r="J947" s="28" t="s">
        <v>274</v>
      </c>
      <c r="K947" s="28" t="str">
        <f t="shared" si="20"/>
        <v>SogamosoBoyaca</v>
      </c>
      <c r="L947" s="28"/>
      <c r="M947" s="28"/>
      <c r="N947" s="28"/>
      <c r="O947" s="28"/>
      <c r="P947" s="28"/>
      <c r="Q947" s="28"/>
      <c r="R947" s="28"/>
      <c r="S947" s="28"/>
      <c r="T947" s="28"/>
      <c r="U947" s="41"/>
      <c r="V947" s="41"/>
      <c r="W947" s="41"/>
      <c r="X947" s="28"/>
      <c r="Y947" s="28"/>
      <c r="Z947" s="28"/>
      <c r="AA947" s="28"/>
      <c r="AB947" s="28"/>
      <c r="AC947" s="28"/>
      <c r="AD947" s="28"/>
    </row>
    <row r="948" spans="9:30" x14ac:dyDescent="0.35">
      <c r="I948" s="28" t="s">
        <v>2176</v>
      </c>
      <c r="J948" s="28" t="s">
        <v>294</v>
      </c>
      <c r="K948" s="28" t="str">
        <f t="shared" si="20"/>
        <v>SolanoCaqueta</v>
      </c>
      <c r="L948" s="28"/>
      <c r="M948" s="28"/>
      <c r="N948" s="28"/>
      <c r="O948" s="28"/>
      <c r="P948" s="28"/>
      <c r="Q948" s="28"/>
      <c r="R948" s="28"/>
      <c r="S948" s="28"/>
      <c r="T948" s="28"/>
      <c r="U948" s="41"/>
      <c r="V948" s="41"/>
      <c r="W948" s="41"/>
      <c r="X948" s="28"/>
      <c r="Y948" s="28"/>
      <c r="Z948" s="28"/>
      <c r="AA948" s="28"/>
      <c r="AB948" s="28"/>
      <c r="AC948" s="28"/>
      <c r="AD948" s="28"/>
    </row>
    <row r="949" spans="9:30" x14ac:dyDescent="0.35">
      <c r="I949" s="28" t="s">
        <v>2177</v>
      </c>
      <c r="J949" s="28" t="s">
        <v>231</v>
      </c>
      <c r="K949" s="28" t="str">
        <f t="shared" si="20"/>
        <v>SoledadAtlantico</v>
      </c>
      <c r="L949" s="28"/>
      <c r="M949" s="28"/>
      <c r="N949" s="28"/>
      <c r="O949" s="28"/>
      <c r="P949" s="28"/>
      <c r="Q949" s="28"/>
      <c r="R949" s="28"/>
      <c r="S949" s="28"/>
      <c r="T949" s="28"/>
      <c r="U949" s="41"/>
      <c r="V949" s="41"/>
      <c r="W949" s="41"/>
      <c r="X949" s="28"/>
      <c r="Y949" s="28"/>
      <c r="Z949" s="28"/>
      <c r="AA949" s="28"/>
      <c r="AB949" s="28"/>
      <c r="AC949" s="28"/>
      <c r="AD949" s="28"/>
    </row>
    <row r="950" spans="9:30" x14ac:dyDescent="0.35">
      <c r="I950" s="28" t="s">
        <v>2178</v>
      </c>
      <c r="J950" s="28" t="s">
        <v>294</v>
      </c>
      <c r="K950" s="28" t="str">
        <f t="shared" si="20"/>
        <v>SolitaCaqueta</v>
      </c>
      <c r="L950" s="28"/>
      <c r="M950" s="28"/>
      <c r="N950" s="28"/>
      <c r="O950" s="28"/>
      <c r="P950" s="28"/>
      <c r="Q950" s="28"/>
      <c r="R950" s="28"/>
      <c r="S950" s="28"/>
      <c r="T950" s="28"/>
      <c r="U950" s="41"/>
      <c r="V950" s="41"/>
      <c r="W950" s="41"/>
      <c r="X950" s="28"/>
      <c r="Y950" s="28"/>
      <c r="Z950" s="28"/>
      <c r="AA950" s="28"/>
      <c r="AB950" s="28"/>
      <c r="AC950" s="28"/>
      <c r="AD950" s="28"/>
    </row>
    <row r="951" spans="9:30" x14ac:dyDescent="0.35">
      <c r="I951" s="28" t="s">
        <v>2179</v>
      </c>
      <c r="J951" s="28" t="s">
        <v>274</v>
      </c>
      <c r="K951" s="28" t="str">
        <f t="shared" si="20"/>
        <v>SomondocoBoyaca</v>
      </c>
      <c r="L951" s="28"/>
      <c r="M951" s="28"/>
      <c r="N951" s="28"/>
      <c r="O951" s="28"/>
      <c r="P951" s="28"/>
      <c r="Q951" s="28"/>
      <c r="R951" s="28"/>
      <c r="S951" s="28"/>
      <c r="T951" s="28"/>
      <c r="U951" s="41"/>
      <c r="V951" s="41"/>
      <c r="W951" s="41"/>
      <c r="X951" s="28"/>
      <c r="Y951" s="28"/>
      <c r="Z951" s="28"/>
      <c r="AA951" s="28"/>
      <c r="AB951" s="28"/>
      <c r="AC951" s="28"/>
      <c r="AD951" s="28"/>
    </row>
    <row r="952" spans="9:30" x14ac:dyDescent="0.35">
      <c r="I952" s="28" t="s">
        <v>2180</v>
      </c>
      <c r="J952" s="28" t="s">
        <v>154</v>
      </c>
      <c r="K952" s="28" t="str">
        <f t="shared" si="20"/>
        <v>SonsonAntioquia</v>
      </c>
      <c r="L952" s="28"/>
      <c r="M952" s="28"/>
      <c r="N952" s="28"/>
      <c r="O952" s="28"/>
      <c r="P952" s="28"/>
      <c r="Q952" s="28"/>
      <c r="R952" s="28"/>
      <c r="S952" s="28"/>
      <c r="T952" s="28"/>
      <c r="U952" s="41"/>
      <c r="V952" s="41"/>
      <c r="W952" s="41"/>
      <c r="X952" s="28"/>
      <c r="Y952" s="28"/>
      <c r="Z952" s="28"/>
      <c r="AA952" s="28"/>
      <c r="AB952" s="28"/>
      <c r="AC952" s="28"/>
      <c r="AD952" s="28"/>
    </row>
    <row r="953" spans="9:30" x14ac:dyDescent="0.35">
      <c r="I953" s="28" t="s">
        <v>2181</v>
      </c>
      <c r="J953" s="28" t="s">
        <v>154</v>
      </c>
      <c r="K953" s="28" t="str">
        <f t="shared" si="20"/>
        <v>SopetránAntioquia</v>
      </c>
      <c r="L953" s="28"/>
      <c r="M953" s="28"/>
      <c r="N953" s="28"/>
      <c r="O953" s="28"/>
      <c r="P953" s="28"/>
      <c r="Q953" s="28"/>
      <c r="R953" s="28"/>
      <c r="S953" s="28"/>
      <c r="T953" s="28"/>
      <c r="U953" s="41"/>
      <c r="V953" s="41"/>
      <c r="W953" s="41"/>
      <c r="X953" s="28"/>
      <c r="Y953" s="28"/>
      <c r="Z953" s="28"/>
      <c r="AA953" s="28"/>
      <c r="AB953" s="28"/>
      <c r="AC953" s="28"/>
      <c r="AD953" s="28"/>
    </row>
    <row r="954" spans="9:30" x14ac:dyDescent="0.35">
      <c r="I954" s="28" t="s">
        <v>2182</v>
      </c>
      <c r="J954" s="28" t="s">
        <v>260</v>
      </c>
      <c r="K954" s="28" t="str">
        <f t="shared" si="20"/>
        <v>SoplavientoBolivar</v>
      </c>
      <c r="L954" s="28"/>
      <c r="M954" s="28"/>
      <c r="N954" s="28"/>
      <c r="O954" s="28"/>
      <c r="P954" s="28"/>
      <c r="Q954" s="28"/>
      <c r="R954" s="28"/>
      <c r="S954" s="28"/>
      <c r="T954" s="28"/>
      <c r="U954" s="41"/>
      <c r="V954" s="41"/>
      <c r="W954" s="41"/>
      <c r="X954" s="28"/>
      <c r="Y954" s="28"/>
      <c r="Z954" s="28"/>
      <c r="AA954" s="28"/>
      <c r="AB954" s="28"/>
      <c r="AC954" s="28"/>
      <c r="AD954" s="28"/>
    </row>
    <row r="955" spans="9:30" x14ac:dyDescent="0.35">
      <c r="I955" s="28" t="s">
        <v>2183</v>
      </c>
      <c r="J955" s="28" t="s">
        <v>283</v>
      </c>
      <c r="K955" s="28" t="str">
        <f t="shared" si="20"/>
        <v>SopóCundinamarca</v>
      </c>
      <c r="L955" s="28"/>
      <c r="M955" s="28"/>
      <c r="N955" s="28"/>
      <c r="O955" s="28"/>
      <c r="P955" s="28"/>
      <c r="Q955" s="28"/>
      <c r="R955" s="28"/>
      <c r="S955" s="28"/>
      <c r="T955" s="28"/>
      <c r="U955" s="41"/>
      <c r="V955" s="41"/>
      <c r="W955" s="41"/>
      <c r="X955" s="28"/>
      <c r="Y955" s="28"/>
      <c r="Z955" s="28"/>
      <c r="AA955" s="28"/>
      <c r="AB955" s="28"/>
      <c r="AC955" s="28"/>
      <c r="AD955" s="28"/>
    </row>
    <row r="956" spans="9:30" x14ac:dyDescent="0.35">
      <c r="I956" s="28" t="s">
        <v>2184</v>
      </c>
      <c r="J956" s="28" t="s">
        <v>274</v>
      </c>
      <c r="K956" s="28" t="str">
        <f t="shared" si="20"/>
        <v>SoraBoyaca</v>
      </c>
      <c r="L956" s="28"/>
      <c r="M956" s="28"/>
      <c r="N956" s="28"/>
      <c r="O956" s="28"/>
      <c r="P956" s="28"/>
      <c r="Q956" s="28"/>
      <c r="R956" s="28"/>
      <c r="S956" s="28"/>
      <c r="T956" s="28"/>
      <c r="U956" s="41"/>
      <c r="V956" s="41"/>
      <c r="W956" s="41"/>
      <c r="X956" s="28"/>
      <c r="Y956" s="28"/>
      <c r="Z956" s="28"/>
      <c r="AA956" s="28"/>
      <c r="AB956" s="28"/>
      <c r="AC956" s="28"/>
      <c r="AD956" s="28"/>
    </row>
    <row r="957" spans="9:30" x14ac:dyDescent="0.35">
      <c r="I957" s="28" t="s">
        <v>2185</v>
      </c>
      <c r="J957" s="28" t="s">
        <v>274</v>
      </c>
      <c r="K957" s="28" t="str">
        <f t="shared" si="20"/>
        <v>SoracáBoyaca</v>
      </c>
      <c r="L957" s="28"/>
      <c r="M957" s="28"/>
      <c r="N957" s="28"/>
      <c r="O957" s="28"/>
      <c r="P957" s="28"/>
      <c r="Q957" s="28"/>
      <c r="R957" s="28"/>
      <c r="S957" s="28"/>
      <c r="T957" s="28"/>
      <c r="U957" s="41"/>
      <c r="V957" s="41"/>
      <c r="W957" s="41"/>
      <c r="X957" s="28"/>
      <c r="Y957" s="28"/>
      <c r="Z957" s="28"/>
      <c r="AA957" s="28"/>
      <c r="AB957" s="28"/>
      <c r="AC957" s="28"/>
      <c r="AD957" s="28"/>
    </row>
    <row r="958" spans="9:30" x14ac:dyDescent="0.35">
      <c r="I958" s="28" t="s">
        <v>2186</v>
      </c>
      <c r="J958" s="28" t="s">
        <v>274</v>
      </c>
      <c r="K958" s="28" t="str">
        <f t="shared" si="20"/>
        <v>SotaquiráBoyaca</v>
      </c>
      <c r="L958" s="28"/>
      <c r="M958" s="28"/>
      <c r="N958" s="28"/>
      <c r="O958" s="28"/>
      <c r="P958" s="28"/>
      <c r="Q958" s="28"/>
      <c r="R958" s="28"/>
      <c r="S958" s="28"/>
      <c r="T958" s="28"/>
      <c r="U958" s="41"/>
      <c r="V958" s="41"/>
      <c r="W958" s="41"/>
      <c r="X958" s="28"/>
      <c r="Y958" s="28"/>
      <c r="Z958" s="28"/>
      <c r="AA958" s="28"/>
      <c r="AB958" s="28"/>
      <c r="AC958" s="28"/>
      <c r="AD958" s="28"/>
    </row>
    <row r="959" spans="9:30" x14ac:dyDescent="0.35">
      <c r="I959" s="28" t="s">
        <v>2187</v>
      </c>
      <c r="J959" s="28" t="s">
        <v>315</v>
      </c>
      <c r="K959" s="28" t="str">
        <f t="shared" si="20"/>
        <v>SotaraCauca</v>
      </c>
      <c r="L959" s="28"/>
      <c r="M959" s="28"/>
      <c r="N959" s="28"/>
      <c r="O959" s="28"/>
      <c r="P959" s="28"/>
      <c r="Q959" s="28"/>
      <c r="R959" s="28"/>
      <c r="S959" s="28"/>
      <c r="T959" s="28"/>
      <c r="U959" s="41"/>
      <c r="V959" s="41"/>
      <c r="W959" s="41"/>
      <c r="X959" s="28"/>
      <c r="Y959" s="28"/>
      <c r="Z959" s="28"/>
      <c r="AA959" s="28"/>
      <c r="AB959" s="28"/>
      <c r="AC959" s="28"/>
      <c r="AD959" s="28"/>
    </row>
    <row r="960" spans="9:30" x14ac:dyDescent="0.35">
      <c r="I960" s="28" t="s">
        <v>2188</v>
      </c>
      <c r="J960" s="28" t="s">
        <v>304</v>
      </c>
      <c r="K960" s="28" t="str">
        <f t="shared" si="20"/>
        <v>SuaitaSantander</v>
      </c>
      <c r="L960" s="28"/>
      <c r="M960" s="28"/>
      <c r="N960" s="28"/>
      <c r="O960" s="28"/>
      <c r="P960" s="28"/>
      <c r="Q960" s="28"/>
      <c r="R960" s="28"/>
      <c r="S960" s="28"/>
      <c r="T960" s="28"/>
      <c r="U960" s="41"/>
      <c r="V960" s="41"/>
      <c r="W960" s="41"/>
      <c r="X960" s="28"/>
      <c r="Y960" s="28"/>
      <c r="Z960" s="28"/>
      <c r="AA960" s="28"/>
      <c r="AB960" s="28"/>
      <c r="AC960" s="28"/>
      <c r="AD960" s="28"/>
    </row>
    <row r="961" spans="9:30" x14ac:dyDescent="0.35">
      <c r="I961" s="28" t="s">
        <v>2189</v>
      </c>
      <c r="J961" s="28" t="s">
        <v>231</v>
      </c>
      <c r="K961" s="28" t="str">
        <f t="shared" ref="K961:K1024" si="21">_xlfn.CONCAT(TRIM(I961),TRIM(J961))</f>
        <v>SuanAtlantico</v>
      </c>
      <c r="L961" s="28"/>
      <c r="M961" s="28"/>
      <c r="N961" s="28"/>
      <c r="O961" s="28"/>
      <c r="P961" s="28"/>
      <c r="Q961" s="28"/>
      <c r="R961" s="28"/>
      <c r="S961" s="28"/>
      <c r="T961" s="28"/>
      <c r="U961" s="41"/>
      <c r="V961" s="41"/>
      <c r="W961" s="41"/>
      <c r="X961" s="28"/>
      <c r="Y961" s="28"/>
      <c r="Z961" s="28"/>
      <c r="AA961" s="28"/>
      <c r="AB961" s="28"/>
      <c r="AC961" s="28"/>
      <c r="AD961" s="28"/>
    </row>
    <row r="962" spans="9:30" x14ac:dyDescent="0.35">
      <c r="I962" s="28" t="s">
        <v>2190</v>
      </c>
      <c r="J962" s="28" t="s">
        <v>315</v>
      </c>
      <c r="K962" s="28" t="str">
        <f t="shared" si="21"/>
        <v>SuárezCauca</v>
      </c>
      <c r="L962" s="28"/>
      <c r="M962" s="28"/>
      <c r="N962" s="28"/>
      <c r="O962" s="28"/>
      <c r="P962" s="28"/>
      <c r="Q962" s="28"/>
      <c r="R962" s="28"/>
      <c r="S962" s="28"/>
      <c r="T962" s="28"/>
      <c r="U962" s="41"/>
      <c r="V962" s="41"/>
      <c r="W962" s="41"/>
      <c r="X962" s="28"/>
      <c r="Y962" s="28"/>
      <c r="Z962" s="28"/>
      <c r="AA962" s="28"/>
      <c r="AB962" s="28"/>
      <c r="AC962" s="28"/>
      <c r="AD962" s="28"/>
    </row>
    <row r="963" spans="9:30" x14ac:dyDescent="0.35">
      <c r="I963" s="28" t="s">
        <v>2190</v>
      </c>
      <c r="J963" s="28" t="s">
        <v>409</v>
      </c>
      <c r="K963" s="28" t="str">
        <f t="shared" si="21"/>
        <v>SuárezTolima</v>
      </c>
      <c r="L963" s="28"/>
      <c r="M963" s="28"/>
      <c r="N963" s="28"/>
      <c r="O963" s="28"/>
      <c r="P963" s="28"/>
      <c r="Q963" s="28"/>
      <c r="R963" s="28"/>
      <c r="S963" s="28"/>
      <c r="T963" s="28"/>
      <c r="U963" s="41"/>
      <c r="V963" s="41"/>
      <c r="W963" s="41"/>
      <c r="X963" s="28"/>
      <c r="Y963" s="28"/>
      <c r="Z963" s="28"/>
      <c r="AA963" s="28"/>
      <c r="AB963" s="28"/>
      <c r="AC963" s="28"/>
      <c r="AD963" s="28"/>
    </row>
    <row r="964" spans="9:30" x14ac:dyDescent="0.35">
      <c r="I964" s="28" t="s">
        <v>2191</v>
      </c>
      <c r="J964" s="28" t="s">
        <v>245</v>
      </c>
      <c r="K964" s="28" t="str">
        <f t="shared" si="21"/>
        <v>SuazaHuila</v>
      </c>
      <c r="L964" s="28"/>
      <c r="M964" s="28"/>
      <c r="N964" s="28"/>
      <c r="O964" s="28"/>
      <c r="P964" s="28"/>
      <c r="Q964" s="28"/>
      <c r="R964" s="28"/>
      <c r="S964" s="28"/>
      <c r="T964" s="28"/>
      <c r="U964" s="41"/>
      <c r="V964" s="41"/>
      <c r="W964" s="41"/>
      <c r="X964" s="28"/>
      <c r="Y964" s="28"/>
      <c r="Z964" s="28"/>
      <c r="AA964" s="28"/>
      <c r="AB964" s="28"/>
      <c r="AC964" s="28"/>
      <c r="AD964" s="28"/>
    </row>
    <row r="965" spans="9:30" x14ac:dyDescent="0.35">
      <c r="I965" s="28" t="s">
        <v>2192</v>
      </c>
      <c r="J965" s="28" t="s">
        <v>283</v>
      </c>
      <c r="K965" s="28" t="str">
        <f t="shared" si="21"/>
        <v>SubachoqueCundinamarca</v>
      </c>
      <c r="L965" s="28"/>
      <c r="M965" s="28"/>
      <c r="N965" s="28"/>
      <c r="O965" s="28"/>
      <c r="P965" s="28"/>
      <c r="Q965" s="28"/>
      <c r="R965" s="28"/>
      <c r="S965" s="28"/>
      <c r="T965" s="28"/>
      <c r="U965" s="41"/>
      <c r="V965" s="41"/>
      <c r="W965" s="41"/>
      <c r="X965" s="28"/>
      <c r="Y965" s="28"/>
      <c r="Z965" s="28"/>
      <c r="AA965" s="28"/>
      <c r="AB965" s="28"/>
      <c r="AC965" s="28"/>
      <c r="AD965" s="28"/>
    </row>
    <row r="966" spans="9:30" x14ac:dyDescent="0.35">
      <c r="I966" s="28" t="s">
        <v>413</v>
      </c>
      <c r="J966" s="28" t="s">
        <v>315</v>
      </c>
      <c r="K966" s="28" t="str">
        <f t="shared" si="21"/>
        <v>SucreCauca</v>
      </c>
      <c r="L966" s="28"/>
      <c r="M966" s="28"/>
      <c r="N966" s="28"/>
      <c r="O966" s="28"/>
      <c r="P966" s="28"/>
      <c r="Q966" s="28"/>
      <c r="R966" s="28"/>
      <c r="S966" s="28"/>
      <c r="T966" s="28"/>
      <c r="U966" s="41"/>
      <c r="V966" s="41"/>
      <c r="W966" s="41"/>
      <c r="X966" s="28"/>
      <c r="Y966" s="28"/>
      <c r="Z966" s="28"/>
      <c r="AA966" s="28"/>
      <c r="AB966" s="28"/>
      <c r="AC966" s="28"/>
      <c r="AD966" s="28"/>
    </row>
    <row r="967" spans="9:30" x14ac:dyDescent="0.35">
      <c r="I967" s="28" t="s">
        <v>413</v>
      </c>
      <c r="J967" s="28" t="s">
        <v>304</v>
      </c>
      <c r="K967" s="28" t="str">
        <f t="shared" si="21"/>
        <v>SucreSantander</v>
      </c>
      <c r="L967" s="28"/>
      <c r="M967" s="28"/>
      <c r="N967" s="28"/>
      <c r="O967" s="28"/>
      <c r="P967" s="28"/>
      <c r="Q967" s="28"/>
      <c r="R967" s="28"/>
      <c r="S967" s="28"/>
      <c r="T967" s="28"/>
      <c r="U967" s="41"/>
      <c r="V967" s="41"/>
      <c r="W967" s="41"/>
      <c r="X967" s="28"/>
      <c r="Y967" s="28"/>
      <c r="Z967" s="28"/>
      <c r="AA967" s="28"/>
      <c r="AB967" s="28"/>
      <c r="AC967" s="28"/>
      <c r="AD967" s="28"/>
    </row>
    <row r="968" spans="9:30" x14ac:dyDescent="0.35">
      <c r="I968" s="28" t="s">
        <v>413</v>
      </c>
      <c r="J968" s="28" t="s">
        <v>413</v>
      </c>
      <c r="K968" s="28" t="str">
        <f t="shared" si="21"/>
        <v>SucreSucre</v>
      </c>
      <c r="L968" s="28"/>
      <c r="M968" s="28"/>
      <c r="N968" s="28"/>
      <c r="O968" s="28"/>
      <c r="P968" s="28"/>
      <c r="Q968" s="28"/>
      <c r="R968" s="28"/>
      <c r="S968" s="28"/>
      <c r="T968" s="28"/>
      <c r="U968" s="41"/>
      <c r="V968" s="41"/>
      <c r="W968" s="41"/>
      <c r="X968" s="28"/>
      <c r="Y968" s="28"/>
      <c r="Z968" s="28"/>
      <c r="AA968" s="28"/>
      <c r="AB968" s="28"/>
      <c r="AC968" s="28"/>
      <c r="AD968" s="28"/>
    </row>
    <row r="969" spans="9:30" x14ac:dyDescent="0.35">
      <c r="I969" s="28" t="s">
        <v>2193</v>
      </c>
      <c r="J969" s="28" t="s">
        <v>283</v>
      </c>
      <c r="K969" s="28" t="str">
        <f t="shared" si="21"/>
        <v>SuescaCundinamarca</v>
      </c>
      <c r="L969" s="28"/>
      <c r="M969" s="28"/>
      <c r="N969" s="28"/>
      <c r="O969" s="28"/>
      <c r="P969" s="28"/>
      <c r="Q969" s="28"/>
      <c r="R969" s="28"/>
      <c r="S969" s="28"/>
      <c r="T969" s="28"/>
      <c r="U969" s="41"/>
      <c r="V969" s="41"/>
      <c r="W969" s="41"/>
      <c r="X969" s="28"/>
      <c r="Y969" s="28"/>
      <c r="Z969" s="28"/>
      <c r="AA969" s="28"/>
      <c r="AB969" s="28"/>
      <c r="AC969" s="28"/>
      <c r="AD969" s="28"/>
    </row>
    <row r="970" spans="9:30" x14ac:dyDescent="0.35">
      <c r="I970" s="28" t="s">
        <v>2194</v>
      </c>
      <c r="J970" s="28" t="s">
        <v>283</v>
      </c>
      <c r="K970" s="28" t="str">
        <f t="shared" si="21"/>
        <v>SupatáCundinamarca</v>
      </c>
      <c r="L970" s="28"/>
      <c r="M970" s="28"/>
      <c r="N970" s="28"/>
      <c r="O970" s="28"/>
      <c r="P970" s="28"/>
      <c r="Q970" s="28"/>
      <c r="R970" s="28"/>
      <c r="S970" s="28"/>
      <c r="T970" s="28"/>
      <c r="U970" s="41"/>
      <c r="V970" s="41"/>
      <c r="W970" s="41"/>
      <c r="X970" s="28"/>
      <c r="Y970" s="28"/>
      <c r="Z970" s="28"/>
      <c r="AA970" s="28"/>
      <c r="AB970" s="28"/>
      <c r="AC970" s="28"/>
      <c r="AD970" s="28"/>
    </row>
    <row r="971" spans="9:30" x14ac:dyDescent="0.35">
      <c r="I971" s="28" t="s">
        <v>2195</v>
      </c>
      <c r="J971" s="28" t="s">
        <v>284</v>
      </c>
      <c r="K971" s="28" t="str">
        <f t="shared" si="21"/>
        <v>SupíaCaldas</v>
      </c>
      <c r="L971" s="28"/>
      <c r="M971" s="28"/>
      <c r="N971" s="28"/>
      <c r="O971" s="28"/>
      <c r="P971" s="28"/>
      <c r="Q971" s="28"/>
      <c r="R971" s="28"/>
      <c r="S971" s="28"/>
      <c r="T971" s="28"/>
      <c r="U971" s="41"/>
      <c r="V971" s="41"/>
      <c r="W971" s="41"/>
      <c r="X971" s="28"/>
      <c r="Y971" s="28"/>
      <c r="Z971" s="28"/>
      <c r="AA971" s="28"/>
      <c r="AB971" s="28"/>
      <c r="AC971" s="28"/>
      <c r="AD971" s="28"/>
    </row>
    <row r="972" spans="9:30" x14ac:dyDescent="0.35">
      <c r="I972" s="28" t="s">
        <v>2196</v>
      </c>
      <c r="J972" s="28" t="s">
        <v>304</v>
      </c>
      <c r="K972" s="28" t="str">
        <f t="shared" si="21"/>
        <v>SuratáSantander</v>
      </c>
      <c r="L972" s="28"/>
      <c r="M972" s="28"/>
      <c r="N972" s="28"/>
      <c r="O972" s="28"/>
      <c r="P972" s="28"/>
      <c r="Q972" s="28"/>
      <c r="R972" s="28"/>
      <c r="S972" s="28"/>
      <c r="T972" s="28"/>
      <c r="U972" s="41"/>
      <c r="V972" s="41"/>
      <c r="W972" s="41"/>
      <c r="X972" s="28"/>
      <c r="Y972" s="28"/>
      <c r="Z972" s="28"/>
      <c r="AA972" s="28"/>
      <c r="AB972" s="28"/>
      <c r="AC972" s="28"/>
      <c r="AD972" s="28"/>
    </row>
    <row r="973" spans="9:30" x14ac:dyDescent="0.35">
      <c r="I973" s="28" t="s">
        <v>2197</v>
      </c>
      <c r="J973" s="28" t="s">
        <v>283</v>
      </c>
      <c r="K973" s="28" t="str">
        <f t="shared" si="21"/>
        <v>SusaCundinamarca</v>
      </c>
      <c r="L973" s="28"/>
      <c r="M973" s="28"/>
      <c r="N973" s="28"/>
      <c r="O973" s="28"/>
      <c r="P973" s="28"/>
      <c r="Q973" s="28"/>
      <c r="R973" s="28"/>
      <c r="S973" s="28"/>
      <c r="T973" s="28"/>
      <c r="U973" s="41"/>
      <c r="V973" s="41"/>
      <c r="W973" s="41"/>
      <c r="X973" s="28"/>
      <c r="Y973" s="28"/>
      <c r="Z973" s="28"/>
      <c r="AA973" s="28"/>
      <c r="AB973" s="28"/>
      <c r="AC973" s="28"/>
      <c r="AD973" s="28"/>
    </row>
    <row r="974" spans="9:30" x14ac:dyDescent="0.35">
      <c r="I974" s="28" t="s">
        <v>2198</v>
      </c>
      <c r="J974" s="28" t="s">
        <v>274</v>
      </c>
      <c r="K974" s="28" t="str">
        <f t="shared" si="21"/>
        <v>SusacónBoyaca</v>
      </c>
      <c r="L974" s="28"/>
      <c r="M974" s="28"/>
      <c r="N974" s="28"/>
      <c r="O974" s="28"/>
      <c r="P974" s="28"/>
      <c r="Q974" s="28"/>
      <c r="R974" s="28"/>
      <c r="S974" s="28"/>
      <c r="T974" s="28"/>
      <c r="U974" s="41"/>
      <c r="V974" s="41"/>
      <c r="W974" s="41"/>
      <c r="X974" s="28"/>
      <c r="Y974" s="28"/>
      <c r="Z974" s="28"/>
      <c r="AA974" s="28"/>
      <c r="AB974" s="28"/>
      <c r="AC974" s="28"/>
      <c r="AD974" s="28"/>
    </row>
    <row r="975" spans="9:30" x14ac:dyDescent="0.35">
      <c r="I975" s="28" t="s">
        <v>2199</v>
      </c>
      <c r="J975" s="28" t="s">
        <v>274</v>
      </c>
      <c r="K975" s="28" t="str">
        <f t="shared" si="21"/>
        <v>SutamarchánBoyaca</v>
      </c>
      <c r="L975" s="28"/>
      <c r="M975" s="28"/>
      <c r="N975" s="28"/>
      <c r="O975" s="28"/>
      <c r="P975" s="28"/>
      <c r="Q975" s="28"/>
      <c r="R975" s="28"/>
      <c r="S975" s="28"/>
      <c r="T975" s="28"/>
      <c r="U975" s="41"/>
      <c r="V975" s="41"/>
      <c r="W975" s="41"/>
      <c r="X975" s="28"/>
      <c r="Y975" s="28"/>
      <c r="Z975" s="28"/>
      <c r="AA975" s="28"/>
      <c r="AB975" s="28"/>
      <c r="AC975" s="28"/>
      <c r="AD975" s="28"/>
    </row>
    <row r="976" spans="9:30" x14ac:dyDescent="0.35">
      <c r="I976" s="28" t="s">
        <v>2200</v>
      </c>
      <c r="J976" s="28" t="s">
        <v>283</v>
      </c>
      <c r="K976" s="28" t="str">
        <f t="shared" si="21"/>
        <v>SutatausaCundinamarca</v>
      </c>
      <c r="L976" s="28"/>
      <c r="M976" s="28"/>
      <c r="N976" s="28"/>
      <c r="O976" s="28"/>
      <c r="P976" s="28"/>
      <c r="Q976" s="28"/>
      <c r="R976" s="28"/>
      <c r="S976" s="28"/>
      <c r="T976" s="28"/>
      <c r="U976" s="41"/>
      <c r="V976" s="41"/>
      <c r="W976" s="41"/>
      <c r="X976" s="28"/>
      <c r="Y976" s="28"/>
      <c r="Z976" s="28"/>
      <c r="AA976" s="28"/>
      <c r="AB976" s="28"/>
      <c r="AC976" s="28"/>
      <c r="AD976" s="28"/>
    </row>
    <row r="977" spans="9:30" x14ac:dyDescent="0.35">
      <c r="I977" s="28" t="s">
        <v>2201</v>
      </c>
      <c r="J977" s="28" t="s">
        <v>274</v>
      </c>
      <c r="K977" s="28" t="str">
        <f t="shared" si="21"/>
        <v>SutatenzaBoyaca</v>
      </c>
      <c r="L977" s="28"/>
      <c r="M977" s="28"/>
      <c r="N977" s="28"/>
      <c r="O977" s="28"/>
      <c r="P977" s="28"/>
      <c r="Q977" s="28"/>
      <c r="R977" s="28"/>
      <c r="S977" s="28"/>
      <c r="T977" s="28"/>
      <c r="U977" s="41"/>
      <c r="V977" s="41"/>
      <c r="W977" s="41"/>
      <c r="X977" s="28"/>
      <c r="Y977" s="28"/>
      <c r="Z977" s="28"/>
      <c r="AA977" s="28"/>
      <c r="AB977" s="28"/>
      <c r="AC977" s="28"/>
      <c r="AD977" s="28"/>
    </row>
    <row r="978" spans="9:30" x14ac:dyDescent="0.35">
      <c r="I978" s="28" t="s">
        <v>2202</v>
      </c>
      <c r="J978" s="28" t="s">
        <v>283</v>
      </c>
      <c r="K978" s="28" t="str">
        <f t="shared" si="21"/>
        <v>TabioCundinamarca</v>
      </c>
      <c r="L978" s="28"/>
      <c r="M978" s="28"/>
      <c r="N978" s="28"/>
      <c r="O978" s="28"/>
      <c r="P978" s="28"/>
      <c r="Q978" s="28"/>
      <c r="R978" s="28"/>
      <c r="S978" s="28"/>
      <c r="T978" s="28"/>
      <c r="U978" s="41"/>
      <c r="V978" s="41"/>
      <c r="W978" s="41"/>
      <c r="X978" s="28"/>
      <c r="Y978" s="28"/>
      <c r="Z978" s="28"/>
      <c r="AA978" s="28"/>
      <c r="AB978" s="28"/>
      <c r="AC978" s="28"/>
      <c r="AD978" s="28"/>
    </row>
    <row r="979" spans="9:30" x14ac:dyDescent="0.35">
      <c r="I979" s="28" t="s">
        <v>2203</v>
      </c>
      <c r="J979" s="28" t="s">
        <v>230</v>
      </c>
      <c r="K979" s="28" t="str">
        <f t="shared" si="21"/>
        <v>TadóChoco</v>
      </c>
      <c r="L979" s="28"/>
      <c r="M979" s="28"/>
      <c r="N979" s="28"/>
      <c r="O979" s="28"/>
      <c r="P979" s="28"/>
      <c r="Q979" s="28"/>
      <c r="R979" s="28"/>
      <c r="S979" s="28"/>
      <c r="T979" s="28"/>
      <c r="U979" s="41"/>
      <c r="V979" s="41"/>
      <c r="W979" s="41"/>
      <c r="X979" s="28"/>
      <c r="Y979" s="28"/>
      <c r="Z979" s="28"/>
      <c r="AA979" s="28"/>
      <c r="AB979" s="28"/>
      <c r="AC979" s="28"/>
      <c r="AD979" s="28"/>
    </row>
    <row r="980" spans="9:30" x14ac:dyDescent="0.35">
      <c r="I980" s="28" t="s">
        <v>2204</v>
      </c>
      <c r="J980" s="28" t="s">
        <v>260</v>
      </c>
      <c r="K980" s="28" t="str">
        <f t="shared" si="21"/>
        <v>Talaigua NuevoBolivar</v>
      </c>
      <c r="L980" s="28"/>
      <c r="M980" s="28"/>
      <c r="N980" s="28"/>
      <c r="O980" s="28"/>
      <c r="P980" s="28"/>
      <c r="Q980" s="28"/>
      <c r="R980" s="28"/>
      <c r="S980" s="28"/>
      <c r="T980" s="28"/>
      <c r="U980" s="41"/>
      <c r="V980" s="41"/>
      <c r="W980" s="41"/>
      <c r="X980" s="28"/>
      <c r="Y980" s="28"/>
      <c r="Z980" s="28"/>
      <c r="AA980" s="28"/>
      <c r="AB980" s="28"/>
      <c r="AC980" s="28"/>
      <c r="AD980" s="28"/>
    </row>
    <row r="981" spans="9:30" x14ac:dyDescent="0.35">
      <c r="I981" s="28" t="s">
        <v>2205</v>
      </c>
      <c r="J981" s="28" t="s">
        <v>293</v>
      </c>
      <c r="K981" s="28" t="str">
        <f t="shared" si="21"/>
        <v>TamalamequeCesar</v>
      </c>
      <c r="L981" s="28"/>
      <c r="M981" s="28"/>
      <c r="N981" s="28"/>
      <c r="O981" s="28"/>
      <c r="P981" s="28"/>
      <c r="Q981" s="28"/>
      <c r="R981" s="28"/>
      <c r="S981" s="28"/>
      <c r="T981" s="28"/>
      <c r="U981" s="41"/>
      <c r="V981" s="41"/>
      <c r="W981" s="41"/>
      <c r="X981" s="28"/>
      <c r="Y981" s="28"/>
      <c r="Z981" s="28"/>
      <c r="AA981" s="28"/>
      <c r="AB981" s="28"/>
      <c r="AC981" s="28"/>
      <c r="AD981" s="28"/>
    </row>
    <row r="982" spans="9:30" x14ac:dyDescent="0.35">
      <c r="I982" s="28" t="s">
        <v>2206</v>
      </c>
      <c r="J982" s="28" t="s">
        <v>305</v>
      </c>
      <c r="K982" s="28" t="str">
        <f t="shared" si="21"/>
        <v>TámaraCasanare</v>
      </c>
      <c r="L982" s="28"/>
      <c r="M982" s="28"/>
      <c r="N982" s="28"/>
      <c r="O982" s="28"/>
      <c r="P982" s="28"/>
      <c r="Q982" s="28"/>
      <c r="R982" s="28"/>
      <c r="S982" s="28"/>
      <c r="T982" s="28"/>
      <c r="U982" s="41"/>
      <c r="V982" s="41"/>
      <c r="W982" s="41"/>
      <c r="X982" s="28"/>
      <c r="Y982" s="28"/>
      <c r="Z982" s="28"/>
      <c r="AA982" s="28"/>
      <c r="AB982" s="28"/>
      <c r="AC982" s="28"/>
      <c r="AD982" s="28"/>
    </row>
    <row r="983" spans="9:30" x14ac:dyDescent="0.35">
      <c r="I983" s="28" t="s">
        <v>2207</v>
      </c>
      <c r="J983" s="28" t="s">
        <v>204</v>
      </c>
      <c r="K983" s="28" t="str">
        <f t="shared" si="21"/>
        <v>TameArauca</v>
      </c>
      <c r="L983" s="28"/>
      <c r="M983" s="28"/>
      <c r="N983" s="28"/>
      <c r="O983" s="28"/>
      <c r="P983" s="28"/>
      <c r="Q983" s="28"/>
      <c r="R983" s="28"/>
      <c r="S983" s="28"/>
      <c r="T983" s="28"/>
      <c r="U983" s="41"/>
      <c r="V983" s="41"/>
      <c r="W983" s="41"/>
      <c r="X983" s="28"/>
      <c r="Y983" s="28"/>
      <c r="Z983" s="28"/>
      <c r="AA983" s="28"/>
      <c r="AB983" s="28"/>
      <c r="AC983" s="28"/>
      <c r="AD983" s="28"/>
    </row>
    <row r="984" spans="9:30" x14ac:dyDescent="0.35">
      <c r="I984" s="28" t="s">
        <v>2208</v>
      </c>
      <c r="J984" s="28" t="s">
        <v>154</v>
      </c>
      <c r="K984" s="28" t="str">
        <f t="shared" si="21"/>
        <v>TámesisAntioquia</v>
      </c>
      <c r="L984" s="28"/>
      <c r="M984" s="28"/>
      <c r="N984" s="28"/>
      <c r="O984" s="28"/>
      <c r="P984" s="28"/>
      <c r="Q984" s="28"/>
      <c r="R984" s="28"/>
      <c r="S984" s="28"/>
      <c r="T984" s="28"/>
      <c r="U984" s="41"/>
      <c r="V984" s="41"/>
      <c r="W984" s="41"/>
      <c r="X984" s="28"/>
      <c r="Y984" s="28"/>
      <c r="Z984" s="28"/>
      <c r="AA984" s="28"/>
      <c r="AB984" s="28"/>
      <c r="AC984" s="28"/>
      <c r="AD984" s="28"/>
    </row>
    <row r="985" spans="9:30" x14ac:dyDescent="0.35">
      <c r="I985" s="28" t="s">
        <v>2209</v>
      </c>
      <c r="J985" s="28" t="s">
        <v>352</v>
      </c>
      <c r="K985" s="28" t="str">
        <f t="shared" si="21"/>
        <v>TaminangoNariño</v>
      </c>
      <c r="L985" s="28"/>
      <c r="M985" s="28"/>
      <c r="N985" s="28"/>
      <c r="O985" s="28"/>
      <c r="P985" s="28"/>
      <c r="Q985" s="28"/>
      <c r="R985" s="28"/>
      <c r="S985" s="28"/>
      <c r="T985" s="28"/>
      <c r="U985" s="41"/>
      <c r="V985" s="41"/>
      <c r="W985" s="41"/>
      <c r="X985" s="28"/>
      <c r="Y985" s="28"/>
      <c r="Z985" s="28"/>
      <c r="AA985" s="28"/>
      <c r="AB985" s="28"/>
      <c r="AC985" s="28"/>
      <c r="AD985" s="28"/>
    </row>
    <row r="986" spans="9:30" x14ac:dyDescent="0.35">
      <c r="I986" s="28" t="s">
        <v>2210</v>
      </c>
      <c r="J986" s="28" t="s">
        <v>352</v>
      </c>
      <c r="K986" s="28" t="str">
        <f t="shared" si="21"/>
        <v>TanguaNariño</v>
      </c>
      <c r="L986" s="28"/>
      <c r="M986" s="28"/>
      <c r="N986" s="28"/>
      <c r="O986" s="28"/>
      <c r="P986" s="28"/>
      <c r="Q986" s="28"/>
      <c r="R986" s="28"/>
      <c r="S986" s="28"/>
      <c r="T986" s="28"/>
      <c r="U986" s="41"/>
      <c r="V986" s="41"/>
      <c r="W986" s="41"/>
      <c r="X986" s="28"/>
      <c r="Y986" s="28"/>
      <c r="Z986" s="28"/>
      <c r="AA986" s="28"/>
      <c r="AB986" s="28"/>
      <c r="AC986" s="28"/>
      <c r="AD986" s="28"/>
    </row>
    <row r="987" spans="9:30" x14ac:dyDescent="0.35">
      <c r="I987" s="28" t="s">
        <v>2211</v>
      </c>
      <c r="J987" s="28" t="s">
        <v>424</v>
      </c>
      <c r="K987" s="28" t="str">
        <f t="shared" si="21"/>
        <v>TarairaVaupes</v>
      </c>
      <c r="L987" s="28"/>
      <c r="M987" s="28"/>
      <c r="N987" s="28"/>
      <c r="O987" s="28"/>
      <c r="P987" s="28"/>
      <c r="Q987" s="28"/>
      <c r="R987" s="28"/>
      <c r="S987" s="28"/>
      <c r="T987" s="28"/>
      <c r="U987" s="41"/>
      <c r="V987" s="41"/>
      <c r="W987" s="41"/>
      <c r="X987" s="28"/>
      <c r="Y987" s="28"/>
      <c r="Z987" s="28"/>
      <c r="AA987" s="28"/>
      <c r="AB987" s="28"/>
      <c r="AC987" s="28"/>
      <c r="AD987" s="28"/>
    </row>
    <row r="988" spans="9:30" x14ac:dyDescent="0.35">
      <c r="I988" s="28" t="s">
        <v>2212</v>
      </c>
      <c r="J988" s="28" t="s">
        <v>155</v>
      </c>
      <c r="K988" s="28" t="str">
        <f t="shared" si="21"/>
        <v>TarapacáAmazonas</v>
      </c>
      <c r="L988" s="28"/>
      <c r="M988" s="28"/>
      <c r="N988" s="28"/>
      <c r="O988" s="28"/>
      <c r="P988" s="28"/>
      <c r="Q988" s="28"/>
      <c r="R988" s="28"/>
      <c r="S988" s="28"/>
      <c r="T988" s="28"/>
      <c r="U988" s="41"/>
      <c r="V988" s="41"/>
      <c r="W988" s="41"/>
      <c r="X988" s="28"/>
      <c r="Y988" s="28"/>
      <c r="Z988" s="28"/>
      <c r="AA988" s="28"/>
      <c r="AB988" s="28"/>
      <c r="AC988" s="28"/>
      <c r="AD988" s="28"/>
    </row>
    <row r="989" spans="9:30" x14ac:dyDescent="0.35">
      <c r="I989" s="28" t="s">
        <v>2213</v>
      </c>
      <c r="J989" s="28" t="s">
        <v>154</v>
      </c>
      <c r="K989" s="28" t="str">
        <f t="shared" si="21"/>
        <v>TarazáAntioquia</v>
      </c>
      <c r="L989" s="28"/>
      <c r="M989" s="28"/>
      <c r="N989" s="28"/>
      <c r="O989" s="28"/>
      <c r="P989" s="28"/>
      <c r="Q989" s="28"/>
      <c r="R989" s="28"/>
      <c r="S989" s="28"/>
      <c r="T989" s="28"/>
      <c r="U989" s="41"/>
      <c r="V989" s="41"/>
      <c r="W989" s="41"/>
      <c r="X989" s="28"/>
      <c r="Y989" s="28"/>
      <c r="Z989" s="28"/>
      <c r="AA989" s="28"/>
      <c r="AB989" s="28"/>
      <c r="AC989" s="28"/>
      <c r="AD989" s="28"/>
    </row>
    <row r="990" spans="9:30" x14ac:dyDescent="0.35">
      <c r="I990" s="28" t="s">
        <v>2214</v>
      </c>
      <c r="J990" s="28" t="s">
        <v>245</v>
      </c>
      <c r="K990" s="28" t="str">
        <f t="shared" si="21"/>
        <v>TarquiHuila</v>
      </c>
      <c r="L990" s="28"/>
      <c r="M990" s="28"/>
      <c r="N990" s="28"/>
      <c r="O990" s="28"/>
      <c r="P990" s="28"/>
      <c r="Q990" s="28"/>
      <c r="R990" s="28"/>
      <c r="S990" s="28"/>
      <c r="T990" s="28"/>
      <c r="U990" s="41"/>
      <c r="V990" s="41"/>
      <c r="W990" s="41"/>
      <c r="X990" s="28"/>
      <c r="Y990" s="28"/>
      <c r="Z990" s="28"/>
      <c r="AA990" s="28"/>
      <c r="AB990" s="28"/>
      <c r="AC990" s="28"/>
      <c r="AD990" s="28"/>
    </row>
    <row r="991" spans="9:30" x14ac:dyDescent="0.35">
      <c r="I991" s="28" t="s">
        <v>2215</v>
      </c>
      <c r="J991" s="28" t="s">
        <v>154</v>
      </c>
      <c r="K991" s="28" t="str">
        <f t="shared" si="21"/>
        <v>TarsoAntioquia</v>
      </c>
      <c r="L991" s="28"/>
      <c r="M991" s="28"/>
      <c r="N991" s="28"/>
      <c r="O991" s="28"/>
      <c r="P991" s="28"/>
      <c r="Q991" s="28"/>
      <c r="R991" s="28"/>
      <c r="S991" s="28"/>
      <c r="T991" s="28"/>
      <c r="U991" s="41"/>
      <c r="V991" s="41"/>
      <c r="W991" s="41"/>
      <c r="X991" s="28"/>
      <c r="Y991" s="28"/>
      <c r="Z991" s="28"/>
      <c r="AA991" s="28"/>
      <c r="AB991" s="28"/>
      <c r="AC991" s="28"/>
      <c r="AD991" s="28"/>
    </row>
    <row r="992" spans="9:30" x14ac:dyDescent="0.35">
      <c r="I992" s="28" t="s">
        <v>2216</v>
      </c>
      <c r="J992" s="28" t="s">
        <v>274</v>
      </c>
      <c r="K992" s="28" t="str">
        <f t="shared" si="21"/>
        <v>TascoBoyaca</v>
      </c>
      <c r="L992" s="28"/>
      <c r="M992" s="28"/>
      <c r="N992" s="28"/>
      <c r="O992" s="28"/>
      <c r="P992" s="28"/>
      <c r="Q992" s="28"/>
      <c r="R992" s="28"/>
      <c r="S992" s="28"/>
      <c r="T992" s="28"/>
      <c r="U992" s="41"/>
      <c r="V992" s="41"/>
      <c r="W992" s="41"/>
      <c r="X992" s="28"/>
      <c r="Y992" s="28"/>
      <c r="Z992" s="28"/>
      <c r="AA992" s="28"/>
      <c r="AB992" s="28"/>
      <c r="AC992" s="28"/>
      <c r="AD992" s="28"/>
    </row>
    <row r="993" spans="9:30" x14ac:dyDescent="0.35">
      <c r="I993" s="28" t="s">
        <v>2217</v>
      </c>
      <c r="J993" s="28" t="s">
        <v>305</v>
      </c>
      <c r="K993" s="28" t="str">
        <f t="shared" si="21"/>
        <v>TauramenaCasanare</v>
      </c>
      <c r="L993" s="28"/>
      <c r="M993" s="28"/>
      <c r="N993" s="28"/>
      <c r="O993" s="28"/>
      <c r="P993" s="28"/>
      <c r="Q993" s="28"/>
      <c r="R993" s="28"/>
      <c r="S993" s="28"/>
      <c r="T993" s="28"/>
      <c r="U993" s="41"/>
      <c r="V993" s="41"/>
      <c r="W993" s="41"/>
      <c r="X993" s="28"/>
      <c r="Y993" s="28"/>
      <c r="Z993" s="28"/>
      <c r="AA993" s="28"/>
      <c r="AB993" s="28"/>
      <c r="AC993" s="28"/>
      <c r="AD993" s="28"/>
    </row>
    <row r="994" spans="9:30" x14ac:dyDescent="0.35">
      <c r="I994" s="28" t="s">
        <v>2218</v>
      </c>
      <c r="J994" s="28" t="s">
        <v>283</v>
      </c>
      <c r="K994" s="28" t="str">
        <f t="shared" si="21"/>
        <v>TausaCundinamarca</v>
      </c>
      <c r="L994" s="28"/>
      <c r="M994" s="28"/>
      <c r="N994" s="28"/>
      <c r="O994" s="28"/>
      <c r="P994" s="28"/>
      <c r="Q994" s="28"/>
      <c r="R994" s="28"/>
      <c r="S994" s="28"/>
      <c r="T994" s="28"/>
      <c r="U994" s="41"/>
      <c r="V994" s="41"/>
      <c r="W994" s="41"/>
      <c r="X994" s="28"/>
      <c r="Y994" s="28"/>
      <c r="Z994" s="28"/>
      <c r="AA994" s="28"/>
      <c r="AB994" s="28"/>
      <c r="AC994" s="28"/>
      <c r="AD994" s="28"/>
    </row>
    <row r="995" spans="9:30" x14ac:dyDescent="0.35">
      <c r="I995" s="28" t="s">
        <v>2219</v>
      </c>
      <c r="J995" s="28" t="s">
        <v>245</v>
      </c>
      <c r="K995" s="28" t="str">
        <f t="shared" si="21"/>
        <v>TelloHuila</v>
      </c>
      <c r="L995" s="28"/>
      <c r="M995" s="28"/>
      <c r="N995" s="28"/>
      <c r="O995" s="28"/>
      <c r="P995" s="28"/>
      <c r="Q995" s="28"/>
      <c r="R995" s="28"/>
      <c r="S995" s="28"/>
      <c r="T995" s="28"/>
      <c r="U995" s="41"/>
      <c r="V995" s="41"/>
      <c r="W995" s="41"/>
      <c r="X995" s="28"/>
      <c r="Y995" s="28"/>
      <c r="Z995" s="28"/>
      <c r="AA995" s="28"/>
      <c r="AB995" s="28"/>
      <c r="AC995" s="28"/>
      <c r="AD995" s="28"/>
    </row>
    <row r="996" spans="9:30" x14ac:dyDescent="0.35">
      <c r="I996" s="28" t="s">
        <v>2220</v>
      </c>
      <c r="J996" s="28" t="s">
        <v>283</v>
      </c>
      <c r="K996" s="28" t="str">
        <f t="shared" si="21"/>
        <v>TenaCundinamarca</v>
      </c>
      <c r="L996" s="28"/>
      <c r="M996" s="28"/>
      <c r="N996" s="28"/>
      <c r="O996" s="28"/>
      <c r="P996" s="28"/>
      <c r="Q996" s="28"/>
      <c r="R996" s="28"/>
      <c r="S996" s="28"/>
      <c r="T996" s="28"/>
      <c r="U996" s="41"/>
      <c r="V996" s="41"/>
      <c r="W996" s="41"/>
      <c r="X996" s="28"/>
      <c r="Y996" s="28"/>
      <c r="Z996" s="28"/>
      <c r="AA996" s="28"/>
      <c r="AB996" s="28"/>
      <c r="AC996" s="28"/>
      <c r="AD996" s="28"/>
    </row>
    <row r="997" spans="9:30" x14ac:dyDescent="0.35">
      <c r="I997" s="28" t="s">
        <v>2221</v>
      </c>
      <c r="J997" s="28" t="s">
        <v>382</v>
      </c>
      <c r="K997" s="28" t="str">
        <f t="shared" si="21"/>
        <v>TenerifeMagdalena</v>
      </c>
      <c r="L997" s="28"/>
      <c r="M997" s="28"/>
      <c r="N997" s="28"/>
      <c r="O997" s="28"/>
      <c r="P997" s="28"/>
      <c r="Q997" s="28"/>
      <c r="R997" s="28"/>
      <c r="S997" s="28"/>
      <c r="T997" s="28"/>
      <c r="U997" s="41"/>
      <c r="V997" s="41"/>
      <c r="W997" s="41"/>
      <c r="X997" s="28"/>
      <c r="Y997" s="28"/>
      <c r="Z997" s="28"/>
      <c r="AA997" s="28"/>
      <c r="AB997" s="28"/>
      <c r="AC997" s="28"/>
      <c r="AD997" s="28"/>
    </row>
    <row r="998" spans="9:30" x14ac:dyDescent="0.35">
      <c r="I998" s="28" t="s">
        <v>2222</v>
      </c>
      <c r="J998" s="28" t="s">
        <v>283</v>
      </c>
      <c r="K998" s="28" t="str">
        <f t="shared" si="21"/>
        <v>TenjoCundinamarca</v>
      </c>
      <c r="L998" s="28"/>
      <c r="M998" s="28"/>
      <c r="N998" s="28"/>
      <c r="O998" s="28"/>
      <c r="P998" s="28"/>
      <c r="Q998" s="28"/>
      <c r="R998" s="28"/>
      <c r="S998" s="28"/>
      <c r="T998" s="28"/>
      <c r="U998" s="41"/>
      <c r="V998" s="41"/>
      <c r="W998" s="41"/>
      <c r="X998" s="28"/>
      <c r="Y998" s="28"/>
      <c r="Z998" s="28"/>
      <c r="AA998" s="28"/>
      <c r="AB998" s="28"/>
      <c r="AC998" s="28"/>
      <c r="AD998" s="28"/>
    </row>
    <row r="999" spans="9:30" x14ac:dyDescent="0.35">
      <c r="I999" s="28" t="s">
        <v>2223</v>
      </c>
      <c r="J999" s="28" t="s">
        <v>274</v>
      </c>
      <c r="K999" s="28" t="str">
        <f t="shared" si="21"/>
        <v>TenzaBoyaca</v>
      </c>
      <c r="L999" s="28"/>
      <c r="M999" s="28"/>
      <c r="N999" s="28"/>
      <c r="O999" s="28"/>
      <c r="P999" s="28"/>
      <c r="Q999" s="28"/>
      <c r="R999" s="28"/>
      <c r="S999" s="28"/>
      <c r="T999" s="28"/>
      <c r="U999" s="41"/>
      <c r="V999" s="41"/>
      <c r="W999" s="41"/>
      <c r="X999" s="28"/>
      <c r="Y999" s="28"/>
      <c r="Z999" s="28"/>
      <c r="AA999" s="28"/>
      <c r="AB999" s="28"/>
      <c r="AC999" s="28"/>
      <c r="AD999" s="28"/>
    </row>
    <row r="1000" spans="9:30" x14ac:dyDescent="0.35">
      <c r="I1000" s="28" t="s">
        <v>2224</v>
      </c>
      <c r="J1000" s="28" t="s">
        <v>190</v>
      </c>
      <c r="K1000" s="28" t="str">
        <f t="shared" si="21"/>
        <v>TeoramaNorte de Santander</v>
      </c>
      <c r="L1000" s="28"/>
      <c r="M1000" s="28"/>
      <c r="N1000" s="28"/>
      <c r="O1000" s="28"/>
      <c r="P1000" s="28"/>
      <c r="Q1000" s="28"/>
      <c r="R1000" s="28"/>
      <c r="S1000" s="28"/>
      <c r="T1000" s="28"/>
      <c r="U1000" s="41"/>
      <c r="V1000" s="41"/>
      <c r="W1000" s="41"/>
      <c r="X1000" s="28"/>
      <c r="Y1000" s="28"/>
      <c r="Z1000" s="28"/>
      <c r="AA1000" s="28"/>
      <c r="AB1000" s="28"/>
      <c r="AC1000" s="28"/>
      <c r="AD1000" s="28"/>
    </row>
    <row r="1001" spans="9:30" x14ac:dyDescent="0.35">
      <c r="I1001" s="28" t="s">
        <v>2225</v>
      </c>
      <c r="J1001" s="28" t="s">
        <v>245</v>
      </c>
      <c r="K1001" s="28" t="str">
        <f t="shared" si="21"/>
        <v>TeruelHuila</v>
      </c>
      <c r="L1001" s="28"/>
      <c r="M1001" s="28"/>
      <c r="N1001" s="28"/>
      <c r="O1001" s="28"/>
      <c r="P1001" s="28"/>
      <c r="Q1001" s="28"/>
      <c r="R1001" s="28"/>
      <c r="S1001" s="28"/>
      <c r="T1001" s="28"/>
      <c r="U1001" s="41"/>
      <c r="V1001" s="41"/>
      <c r="W1001" s="41"/>
      <c r="X1001" s="28"/>
      <c r="Y1001" s="28"/>
      <c r="Z1001" s="28"/>
      <c r="AA1001" s="28"/>
      <c r="AB1001" s="28"/>
      <c r="AC1001" s="28"/>
      <c r="AD1001" s="28"/>
    </row>
    <row r="1002" spans="9:30" x14ac:dyDescent="0.35">
      <c r="I1002" s="28" t="s">
        <v>2226</v>
      </c>
      <c r="J1002" s="28" t="s">
        <v>245</v>
      </c>
      <c r="K1002" s="28" t="str">
        <f t="shared" si="21"/>
        <v>TesaliaHuila</v>
      </c>
      <c r="L1002" s="28"/>
      <c r="M1002" s="28"/>
      <c r="N1002" s="28"/>
      <c r="O1002" s="28"/>
      <c r="P1002" s="28"/>
      <c r="Q1002" s="28"/>
      <c r="R1002" s="28"/>
      <c r="S1002" s="28"/>
      <c r="T1002" s="28"/>
      <c r="U1002" s="41"/>
      <c r="V1002" s="41"/>
      <c r="W1002" s="41"/>
      <c r="X1002" s="28"/>
      <c r="Y1002" s="28"/>
      <c r="Z1002" s="28"/>
      <c r="AA1002" s="28"/>
      <c r="AB1002" s="28"/>
      <c r="AC1002" s="28"/>
      <c r="AD1002" s="28"/>
    </row>
    <row r="1003" spans="9:30" x14ac:dyDescent="0.35">
      <c r="I1003" s="28" t="s">
        <v>2227</v>
      </c>
      <c r="J1003" s="28" t="s">
        <v>283</v>
      </c>
      <c r="K1003" s="28" t="str">
        <f t="shared" si="21"/>
        <v>TibacuyCundinamarca</v>
      </c>
      <c r="L1003" s="28"/>
      <c r="M1003" s="28"/>
      <c r="N1003" s="28"/>
      <c r="O1003" s="28"/>
      <c r="P1003" s="28"/>
      <c r="Q1003" s="28"/>
      <c r="R1003" s="28"/>
      <c r="S1003" s="28"/>
      <c r="T1003" s="28"/>
      <c r="U1003" s="41"/>
      <c r="V1003" s="41"/>
      <c r="W1003" s="41"/>
      <c r="X1003" s="28"/>
      <c r="Y1003" s="28"/>
      <c r="Z1003" s="28"/>
      <c r="AA1003" s="28"/>
      <c r="AB1003" s="28"/>
      <c r="AC1003" s="28"/>
      <c r="AD1003" s="28"/>
    </row>
    <row r="1004" spans="9:30" x14ac:dyDescent="0.35">
      <c r="I1004" s="28" t="s">
        <v>2228</v>
      </c>
      <c r="J1004" s="28" t="s">
        <v>274</v>
      </c>
      <c r="K1004" s="28" t="str">
        <f t="shared" si="21"/>
        <v>TibanáBoyaca</v>
      </c>
      <c r="L1004" s="28"/>
      <c r="M1004" s="28"/>
      <c r="N1004" s="28"/>
      <c r="O1004" s="28"/>
      <c r="P1004" s="28"/>
      <c r="Q1004" s="28"/>
      <c r="R1004" s="28"/>
      <c r="S1004" s="28"/>
      <c r="T1004" s="28"/>
      <c r="U1004" s="41"/>
      <c r="V1004" s="41"/>
      <c r="W1004" s="41"/>
      <c r="X1004" s="28"/>
      <c r="Y1004" s="28"/>
      <c r="Z1004" s="28"/>
      <c r="AA1004" s="28"/>
      <c r="AB1004" s="28"/>
      <c r="AC1004" s="28"/>
      <c r="AD1004" s="28"/>
    </row>
    <row r="1005" spans="9:30" x14ac:dyDescent="0.35">
      <c r="I1005" s="28" t="s">
        <v>2229</v>
      </c>
      <c r="J1005" s="28" t="s">
        <v>274</v>
      </c>
      <c r="K1005" s="28" t="str">
        <f t="shared" si="21"/>
        <v>TibasosaBoyaca</v>
      </c>
      <c r="L1005" s="28"/>
      <c r="M1005" s="28"/>
      <c r="N1005" s="28"/>
      <c r="O1005" s="28"/>
      <c r="P1005" s="28"/>
      <c r="Q1005" s="28"/>
      <c r="R1005" s="28"/>
      <c r="S1005" s="28"/>
      <c r="T1005" s="28"/>
      <c r="U1005" s="41"/>
      <c r="V1005" s="41"/>
      <c r="W1005" s="41"/>
      <c r="X1005" s="28"/>
      <c r="Y1005" s="28"/>
      <c r="Z1005" s="28"/>
      <c r="AA1005" s="28"/>
      <c r="AB1005" s="28"/>
      <c r="AC1005" s="28"/>
      <c r="AD1005" s="28"/>
    </row>
    <row r="1006" spans="9:30" x14ac:dyDescent="0.35">
      <c r="I1006" s="28" t="s">
        <v>2230</v>
      </c>
      <c r="J1006" s="28" t="s">
        <v>283</v>
      </c>
      <c r="K1006" s="28" t="str">
        <f t="shared" si="21"/>
        <v>TibiritaCundinamarca</v>
      </c>
      <c r="L1006" s="28"/>
      <c r="M1006" s="28"/>
      <c r="N1006" s="28"/>
      <c r="O1006" s="28"/>
      <c r="P1006" s="28"/>
      <c r="Q1006" s="28"/>
      <c r="R1006" s="28"/>
      <c r="S1006" s="28"/>
      <c r="T1006" s="28"/>
      <c r="U1006" s="41"/>
      <c r="V1006" s="41"/>
      <c r="W1006" s="41"/>
      <c r="X1006" s="28"/>
      <c r="Y1006" s="28"/>
      <c r="Z1006" s="28"/>
      <c r="AA1006" s="28"/>
      <c r="AB1006" s="28"/>
      <c r="AC1006" s="28"/>
      <c r="AD1006" s="28"/>
    </row>
    <row r="1007" spans="9:30" x14ac:dyDescent="0.35">
      <c r="I1007" s="28" t="s">
        <v>2231</v>
      </c>
      <c r="J1007" s="28" t="s">
        <v>190</v>
      </c>
      <c r="K1007" s="28" t="str">
        <f t="shared" si="21"/>
        <v>TibúNorte de Santander</v>
      </c>
      <c r="L1007" s="28"/>
      <c r="M1007" s="28"/>
      <c r="N1007" s="28"/>
      <c r="O1007" s="28"/>
      <c r="P1007" s="28"/>
      <c r="Q1007" s="28"/>
      <c r="R1007" s="28"/>
      <c r="S1007" s="28"/>
      <c r="T1007" s="28"/>
      <c r="U1007" s="41"/>
      <c r="V1007" s="41"/>
      <c r="W1007" s="41"/>
      <c r="X1007" s="28"/>
      <c r="Y1007" s="28"/>
      <c r="Z1007" s="28"/>
      <c r="AA1007" s="28"/>
      <c r="AB1007" s="28"/>
      <c r="AC1007" s="28"/>
      <c r="AD1007" s="28"/>
    </row>
    <row r="1008" spans="9:30" x14ac:dyDescent="0.35">
      <c r="I1008" s="28" t="s">
        <v>2232</v>
      </c>
      <c r="J1008" s="28" t="s">
        <v>337</v>
      </c>
      <c r="K1008" s="28" t="str">
        <f t="shared" si="21"/>
        <v>TierraltaCordoba</v>
      </c>
      <c r="L1008" s="28"/>
      <c r="M1008" s="28"/>
      <c r="N1008" s="28"/>
      <c r="O1008" s="28"/>
      <c r="P1008" s="28"/>
      <c r="Q1008" s="28"/>
      <c r="R1008" s="28"/>
      <c r="S1008" s="28"/>
      <c r="T1008" s="28"/>
      <c r="U1008" s="41"/>
      <c r="V1008" s="41"/>
      <c r="W1008" s="41"/>
      <c r="X1008" s="28"/>
      <c r="Y1008" s="28"/>
      <c r="Z1008" s="28"/>
      <c r="AA1008" s="28"/>
      <c r="AB1008" s="28"/>
      <c r="AC1008" s="28"/>
      <c r="AD1008" s="28"/>
    </row>
    <row r="1009" spans="9:30" x14ac:dyDescent="0.35">
      <c r="I1009" s="28" t="s">
        <v>2233</v>
      </c>
      <c r="J1009" s="28" t="s">
        <v>245</v>
      </c>
      <c r="K1009" s="28" t="str">
        <f t="shared" si="21"/>
        <v>TimanáHuila</v>
      </c>
      <c r="L1009" s="28"/>
      <c r="M1009" s="28"/>
      <c r="N1009" s="28"/>
      <c r="O1009" s="28"/>
      <c r="P1009" s="28"/>
      <c r="Q1009" s="28"/>
      <c r="R1009" s="28"/>
      <c r="S1009" s="28"/>
      <c r="T1009" s="28"/>
      <c r="U1009" s="41"/>
      <c r="V1009" s="41"/>
      <c r="W1009" s="41"/>
      <c r="X1009" s="28"/>
      <c r="Y1009" s="28"/>
      <c r="Z1009" s="28"/>
      <c r="AA1009" s="28"/>
      <c r="AB1009" s="28"/>
      <c r="AC1009" s="28"/>
      <c r="AD1009" s="28"/>
    </row>
    <row r="1010" spans="9:30" x14ac:dyDescent="0.35">
      <c r="I1010" s="28" t="s">
        <v>2234</v>
      </c>
      <c r="J1010" s="28" t="s">
        <v>315</v>
      </c>
      <c r="K1010" s="28" t="str">
        <f t="shared" si="21"/>
        <v>TimbíoCauca</v>
      </c>
      <c r="L1010" s="28"/>
      <c r="M1010" s="28"/>
      <c r="N1010" s="28"/>
      <c r="O1010" s="28"/>
      <c r="P1010" s="28"/>
      <c r="Q1010" s="28"/>
      <c r="R1010" s="28"/>
      <c r="S1010" s="28"/>
      <c r="T1010" s="28"/>
      <c r="U1010" s="41"/>
      <c r="V1010" s="41"/>
      <c r="W1010" s="41"/>
      <c r="X1010" s="28"/>
      <c r="Y1010" s="28"/>
      <c r="Z1010" s="28"/>
      <c r="AA1010" s="28"/>
      <c r="AB1010" s="28"/>
      <c r="AC1010" s="28"/>
      <c r="AD1010" s="28"/>
    </row>
    <row r="1011" spans="9:30" x14ac:dyDescent="0.35">
      <c r="I1011" s="28" t="s">
        <v>2235</v>
      </c>
      <c r="J1011" s="28" t="s">
        <v>315</v>
      </c>
      <c r="K1011" s="28" t="str">
        <f t="shared" si="21"/>
        <v>TimbiquíCauca</v>
      </c>
      <c r="L1011" s="28"/>
      <c r="M1011" s="28"/>
      <c r="N1011" s="28"/>
      <c r="O1011" s="28"/>
      <c r="P1011" s="28"/>
      <c r="Q1011" s="28"/>
      <c r="R1011" s="28"/>
      <c r="S1011" s="28"/>
      <c r="T1011" s="28"/>
      <c r="U1011" s="41"/>
      <c r="V1011" s="41"/>
      <c r="W1011" s="41"/>
      <c r="X1011" s="28"/>
      <c r="Y1011" s="28"/>
      <c r="Z1011" s="28"/>
      <c r="AA1011" s="28"/>
      <c r="AB1011" s="28"/>
      <c r="AC1011" s="28"/>
      <c r="AD1011" s="28"/>
    </row>
    <row r="1012" spans="9:30" x14ac:dyDescent="0.35">
      <c r="I1012" s="28" t="s">
        <v>2236</v>
      </c>
      <c r="J1012" s="28" t="s">
        <v>274</v>
      </c>
      <c r="K1012" s="28" t="str">
        <f t="shared" si="21"/>
        <v>TinjacáBoyaca</v>
      </c>
      <c r="L1012" s="28"/>
      <c r="M1012" s="28"/>
      <c r="N1012" s="28"/>
      <c r="O1012" s="28"/>
      <c r="P1012" s="28"/>
      <c r="Q1012" s="28"/>
      <c r="R1012" s="28"/>
      <c r="S1012" s="28"/>
      <c r="T1012" s="28"/>
      <c r="U1012" s="41"/>
      <c r="V1012" s="41"/>
      <c r="W1012" s="41"/>
      <c r="X1012" s="28"/>
      <c r="Y1012" s="28"/>
      <c r="Z1012" s="28"/>
      <c r="AA1012" s="28"/>
      <c r="AB1012" s="28"/>
      <c r="AC1012" s="28"/>
      <c r="AD1012" s="28"/>
    </row>
    <row r="1013" spans="9:30" x14ac:dyDescent="0.35">
      <c r="I1013" s="28" t="s">
        <v>2237</v>
      </c>
      <c r="J1013" s="28" t="s">
        <v>274</v>
      </c>
      <c r="K1013" s="28" t="str">
        <f t="shared" si="21"/>
        <v>TipacoqueBoyaca</v>
      </c>
      <c r="L1013" s="28"/>
      <c r="M1013" s="28"/>
      <c r="N1013" s="28"/>
      <c r="O1013" s="28"/>
      <c r="P1013" s="28"/>
      <c r="Q1013" s="28"/>
      <c r="R1013" s="28"/>
      <c r="S1013" s="28"/>
      <c r="T1013" s="28"/>
      <c r="U1013" s="41"/>
      <c r="V1013" s="41"/>
      <c r="W1013" s="41"/>
      <c r="X1013" s="28"/>
      <c r="Y1013" s="28"/>
      <c r="Z1013" s="28"/>
      <c r="AA1013" s="28"/>
      <c r="AB1013" s="28"/>
      <c r="AC1013" s="28"/>
      <c r="AD1013" s="28"/>
    </row>
    <row r="1014" spans="9:30" x14ac:dyDescent="0.35">
      <c r="I1014" s="28" t="s">
        <v>2238</v>
      </c>
      <c r="J1014" s="28" t="s">
        <v>260</v>
      </c>
      <c r="K1014" s="28" t="str">
        <f t="shared" si="21"/>
        <v>TiquisioBolivar</v>
      </c>
      <c r="L1014" s="28"/>
      <c r="M1014" s="28"/>
      <c r="N1014" s="28"/>
      <c r="O1014" s="28"/>
      <c r="P1014" s="28"/>
      <c r="Q1014" s="28"/>
      <c r="R1014" s="28"/>
      <c r="S1014" s="28"/>
      <c r="T1014" s="28"/>
      <c r="U1014" s="41"/>
      <c r="V1014" s="41"/>
      <c r="W1014" s="41"/>
      <c r="X1014" s="28"/>
      <c r="Y1014" s="28"/>
      <c r="Z1014" s="28"/>
      <c r="AA1014" s="28"/>
      <c r="AB1014" s="28"/>
      <c r="AC1014" s="28"/>
      <c r="AD1014" s="28"/>
    </row>
    <row r="1015" spans="9:30" x14ac:dyDescent="0.35">
      <c r="I1015" s="28" t="s">
        <v>2239</v>
      </c>
      <c r="J1015" s="28" t="s">
        <v>154</v>
      </c>
      <c r="K1015" s="28" t="str">
        <f t="shared" si="21"/>
        <v>TitiribíAntioquia</v>
      </c>
      <c r="L1015" s="28"/>
      <c r="M1015" s="28"/>
      <c r="N1015" s="28"/>
      <c r="O1015" s="28"/>
      <c r="P1015" s="28"/>
      <c r="Q1015" s="28"/>
      <c r="R1015" s="28"/>
      <c r="S1015" s="28"/>
      <c r="T1015" s="28"/>
      <c r="U1015" s="41"/>
      <c r="V1015" s="41"/>
      <c r="W1015" s="41"/>
      <c r="X1015" s="28"/>
      <c r="Y1015" s="28"/>
      <c r="Z1015" s="28"/>
      <c r="AA1015" s="28"/>
      <c r="AB1015" s="28"/>
      <c r="AC1015" s="28"/>
      <c r="AD1015" s="28"/>
    </row>
    <row r="1016" spans="9:30" x14ac:dyDescent="0.35">
      <c r="I1016" s="28" t="s">
        <v>2240</v>
      </c>
      <c r="J1016" s="28" t="s">
        <v>274</v>
      </c>
      <c r="K1016" s="28" t="str">
        <f t="shared" si="21"/>
        <v>TocaBoyaca</v>
      </c>
      <c r="L1016" s="28"/>
      <c r="M1016" s="28"/>
      <c r="N1016" s="28"/>
      <c r="O1016" s="28"/>
      <c r="P1016" s="28"/>
      <c r="Q1016" s="28"/>
      <c r="R1016" s="28"/>
      <c r="S1016" s="28"/>
      <c r="T1016" s="28"/>
      <c r="U1016" s="41"/>
      <c r="V1016" s="41"/>
      <c r="W1016" s="41"/>
      <c r="X1016" s="28"/>
      <c r="Y1016" s="28"/>
      <c r="Z1016" s="28"/>
      <c r="AA1016" s="28"/>
      <c r="AB1016" s="28"/>
      <c r="AC1016" s="28"/>
      <c r="AD1016" s="28"/>
    </row>
    <row r="1017" spans="9:30" x14ac:dyDescent="0.35">
      <c r="I1017" s="28" t="s">
        <v>2241</v>
      </c>
      <c r="J1017" s="28" t="s">
        <v>283</v>
      </c>
      <c r="K1017" s="28" t="str">
        <f t="shared" si="21"/>
        <v>TocaimaCundinamarca</v>
      </c>
      <c r="L1017" s="28"/>
      <c r="M1017" s="28"/>
      <c r="N1017" s="28"/>
      <c r="O1017" s="28"/>
      <c r="P1017" s="28"/>
      <c r="Q1017" s="28"/>
      <c r="R1017" s="28"/>
      <c r="S1017" s="28"/>
      <c r="T1017" s="28"/>
      <c r="U1017" s="41"/>
      <c r="V1017" s="41"/>
      <c r="W1017" s="41"/>
      <c r="X1017" s="28"/>
      <c r="Y1017" s="28"/>
      <c r="Z1017" s="28"/>
      <c r="AA1017" s="28"/>
      <c r="AB1017" s="28"/>
      <c r="AC1017" s="28"/>
      <c r="AD1017" s="28"/>
    </row>
    <row r="1018" spans="9:30" x14ac:dyDescent="0.35">
      <c r="I1018" s="28" t="s">
        <v>2242</v>
      </c>
      <c r="J1018" s="28" t="s">
        <v>283</v>
      </c>
      <c r="K1018" s="28" t="str">
        <f t="shared" si="21"/>
        <v>TocancipáCundinamarca</v>
      </c>
      <c r="L1018" s="28"/>
      <c r="M1018" s="28"/>
      <c r="N1018" s="28"/>
      <c r="O1018" s="28"/>
      <c r="P1018" s="28"/>
      <c r="Q1018" s="28"/>
      <c r="R1018" s="28"/>
      <c r="S1018" s="28"/>
      <c r="T1018" s="28"/>
      <c r="U1018" s="41"/>
      <c r="V1018" s="41"/>
      <c r="W1018" s="41"/>
      <c r="X1018" s="28"/>
      <c r="Y1018" s="28"/>
      <c r="Z1018" s="28"/>
      <c r="AA1018" s="28"/>
      <c r="AB1018" s="28"/>
      <c r="AC1018" s="28"/>
      <c r="AD1018" s="28"/>
    </row>
    <row r="1019" spans="9:30" x14ac:dyDescent="0.35">
      <c r="I1019" s="28" t="s">
        <v>2243</v>
      </c>
      <c r="J1019" s="28" t="s">
        <v>274</v>
      </c>
      <c r="K1019" s="28" t="str">
        <f t="shared" si="21"/>
        <v>TogüíBoyaca</v>
      </c>
      <c r="L1019" s="28"/>
      <c r="M1019" s="28"/>
      <c r="N1019" s="28"/>
      <c r="O1019" s="28"/>
      <c r="P1019" s="28"/>
      <c r="Q1019" s="28"/>
      <c r="R1019" s="28"/>
      <c r="S1019" s="28"/>
      <c r="T1019" s="28"/>
      <c r="U1019" s="41"/>
      <c r="V1019" s="41"/>
      <c r="W1019" s="41"/>
      <c r="X1019" s="28"/>
      <c r="Y1019" s="28"/>
      <c r="Z1019" s="28"/>
      <c r="AA1019" s="28"/>
      <c r="AB1019" s="28"/>
      <c r="AC1019" s="28"/>
      <c r="AD1019" s="28"/>
    </row>
    <row r="1020" spans="9:30" x14ac:dyDescent="0.35">
      <c r="I1020" s="28" t="s">
        <v>2244</v>
      </c>
      <c r="J1020" s="28" t="s">
        <v>154</v>
      </c>
      <c r="K1020" s="28" t="str">
        <f t="shared" si="21"/>
        <v>ToledoAntioquia</v>
      </c>
      <c r="L1020" s="28"/>
      <c r="M1020" s="28"/>
      <c r="N1020" s="28"/>
      <c r="O1020" s="28"/>
      <c r="P1020" s="28"/>
      <c r="Q1020" s="28"/>
      <c r="R1020" s="28"/>
      <c r="S1020" s="28"/>
      <c r="T1020" s="28"/>
      <c r="U1020" s="41"/>
      <c r="V1020" s="41"/>
      <c r="W1020" s="41"/>
      <c r="X1020" s="28"/>
      <c r="Y1020" s="28"/>
      <c r="Z1020" s="28"/>
      <c r="AA1020" s="28"/>
      <c r="AB1020" s="28"/>
      <c r="AC1020" s="28"/>
      <c r="AD1020" s="28"/>
    </row>
    <row r="1021" spans="9:30" x14ac:dyDescent="0.35">
      <c r="I1021" s="28" t="s">
        <v>2244</v>
      </c>
      <c r="J1021" s="28" t="s">
        <v>190</v>
      </c>
      <c r="K1021" s="28" t="str">
        <f t="shared" si="21"/>
        <v>ToledoNorte de Santander</v>
      </c>
      <c r="L1021" s="28"/>
      <c r="M1021" s="28"/>
      <c r="N1021" s="28"/>
      <c r="O1021" s="28"/>
      <c r="P1021" s="28"/>
      <c r="Q1021" s="28"/>
      <c r="R1021" s="28"/>
      <c r="S1021" s="28"/>
      <c r="T1021" s="28"/>
      <c r="U1021" s="41"/>
      <c r="V1021" s="41"/>
      <c r="W1021" s="41"/>
      <c r="X1021" s="28"/>
      <c r="Y1021" s="28"/>
      <c r="Z1021" s="28"/>
      <c r="AA1021" s="28"/>
      <c r="AB1021" s="28"/>
      <c r="AC1021" s="28"/>
      <c r="AD1021" s="28"/>
    </row>
    <row r="1022" spans="9:30" x14ac:dyDescent="0.35">
      <c r="I1022" s="28" t="s">
        <v>2245</v>
      </c>
      <c r="J1022" s="28" t="s">
        <v>413</v>
      </c>
      <c r="K1022" s="28" t="str">
        <f t="shared" si="21"/>
        <v>Tolú ViejoSucre</v>
      </c>
      <c r="L1022" s="28"/>
      <c r="M1022" s="28"/>
      <c r="N1022" s="28"/>
      <c r="O1022" s="28"/>
      <c r="P1022" s="28"/>
      <c r="Q1022" s="28"/>
      <c r="R1022" s="28"/>
      <c r="S1022" s="28"/>
      <c r="T1022" s="28"/>
      <c r="U1022" s="41"/>
      <c r="V1022" s="41"/>
      <c r="W1022" s="41"/>
      <c r="X1022" s="28"/>
      <c r="Y1022" s="28"/>
      <c r="Z1022" s="28"/>
      <c r="AA1022" s="28"/>
      <c r="AB1022" s="28"/>
      <c r="AC1022" s="28"/>
      <c r="AD1022" s="28"/>
    </row>
    <row r="1023" spans="9:30" x14ac:dyDescent="0.35">
      <c r="I1023" s="28" t="s">
        <v>2246</v>
      </c>
      <c r="J1023" s="28" t="s">
        <v>304</v>
      </c>
      <c r="K1023" s="28" t="str">
        <f t="shared" si="21"/>
        <v>TonaSantander</v>
      </c>
      <c r="L1023" s="28"/>
      <c r="M1023" s="28"/>
      <c r="N1023" s="28"/>
      <c r="O1023" s="28"/>
      <c r="P1023" s="28"/>
      <c r="Q1023" s="28"/>
      <c r="R1023" s="28"/>
      <c r="S1023" s="28"/>
      <c r="T1023" s="28"/>
      <c r="U1023" s="41"/>
      <c r="V1023" s="41"/>
      <c r="W1023" s="41"/>
      <c r="X1023" s="28"/>
      <c r="Y1023" s="28"/>
      <c r="Z1023" s="28"/>
      <c r="AA1023" s="28"/>
      <c r="AB1023" s="28"/>
      <c r="AC1023" s="28"/>
      <c r="AD1023" s="28"/>
    </row>
    <row r="1024" spans="9:30" x14ac:dyDescent="0.35">
      <c r="I1024" s="28" t="s">
        <v>2247</v>
      </c>
      <c r="J1024" s="28" t="s">
        <v>274</v>
      </c>
      <c r="K1024" s="28" t="str">
        <f t="shared" si="21"/>
        <v>TópagaBoyaca</v>
      </c>
      <c r="L1024" s="28"/>
      <c r="M1024" s="28"/>
      <c r="N1024" s="28"/>
      <c r="O1024" s="28"/>
      <c r="P1024" s="28"/>
      <c r="Q1024" s="28"/>
      <c r="R1024" s="28"/>
      <c r="S1024" s="28"/>
      <c r="T1024" s="28"/>
      <c r="U1024" s="41"/>
      <c r="V1024" s="41"/>
      <c r="W1024" s="41"/>
      <c r="X1024" s="28"/>
      <c r="Y1024" s="28"/>
      <c r="Z1024" s="28"/>
      <c r="AA1024" s="28"/>
      <c r="AB1024" s="28"/>
      <c r="AC1024" s="28"/>
      <c r="AD1024" s="28"/>
    </row>
    <row r="1025" spans="9:30" x14ac:dyDescent="0.35">
      <c r="I1025" s="28" t="s">
        <v>2248</v>
      </c>
      <c r="J1025" s="28" t="s">
        <v>283</v>
      </c>
      <c r="K1025" s="28" t="str">
        <f t="shared" ref="K1025:K1088" si="22">_xlfn.CONCAT(TRIM(I1025),TRIM(J1025))</f>
        <v>TopaipíCundinamarca</v>
      </c>
      <c r="L1025" s="28"/>
      <c r="M1025" s="28"/>
      <c r="N1025" s="28"/>
      <c r="O1025" s="28"/>
      <c r="P1025" s="28"/>
      <c r="Q1025" s="28"/>
      <c r="R1025" s="28"/>
      <c r="S1025" s="28"/>
      <c r="T1025" s="28"/>
      <c r="U1025" s="41"/>
      <c r="V1025" s="41"/>
      <c r="W1025" s="41"/>
      <c r="X1025" s="28"/>
      <c r="Y1025" s="28"/>
      <c r="Z1025" s="28"/>
      <c r="AA1025" s="28"/>
      <c r="AB1025" s="28"/>
      <c r="AC1025" s="28"/>
      <c r="AD1025" s="28"/>
    </row>
    <row r="1026" spans="9:30" x14ac:dyDescent="0.35">
      <c r="I1026" s="28" t="s">
        <v>2249</v>
      </c>
      <c r="J1026" s="28" t="s">
        <v>315</v>
      </c>
      <c r="K1026" s="28" t="str">
        <f t="shared" si="22"/>
        <v>ToribioCauca</v>
      </c>
      <c r="L1026" s="28"/>
      <c r="M1026" s="28"/>
      <c r="N1026" s="28"/>
      <c r="O1026" s="28"/>
      <c r="P1026" s="28"/>
      <c r="Q1026" s="28"/>
      <c r="R1026" s="28"/>
      <c r="S1026" s="28"/>
      <c r="T1026" s="28"/>
      <c r="U1026" s="41"/>
      <c r="V1026" s="41"/>
      <c r="W1026" s="41"/>
      <c r="X1026" s="28"/>
      <c r="Y1026" s="28"/>
      <c r="Z1026" s="28"/>
      <c r="AA1026" s="28"/>
      <c r="AB1026" s="28"/>
      <c r="AC1026" s="28"/>
      <c r="AD1026" s="28"/>
    </row>
    <row r="1027" spans="9:30" x14ac:dyDescent="0.35">
      <c r="I1027" s="28" t="s">
        <v>2250</v>
      </c>
      <c r="J1027" s="28" t="s">
        <v>381</v>
      </c>
      <c r="K1027" s="28" t="str">
        <f t="shared" si="22"/>
        <v>ToroValle del Cauca</v>
      </c>
      <c r="L1027" s="28"/>
      <c r="M1027" s="28"/>
      <c r="N1027" s="28"/>
      <c r="O1027" s="28"/>
      <c r="P1027" s="28"/>
      <c r="Q1027" s="28"/>
      <c r="R1027" s="28"/>
      <c r="S1027" s="28"/>
      <c r="T1027" s="28"/>
      <c r="U1027" s="41"/>
      <c r="V1027" s="41"/>
      <c r="W1027" s="41"/>
      <c r="X1027" s="28"/>
      <c r="Y1027" s="28"/>
      <c r="Z1027" s="28"/>
      <c r="AA1027" s="28"/>
      <c r="AB1027" s="28"/>
      <c r="AC1027" s="28"/>
      <c r="AD1027" s="28"/>
    </row>
    <row r="1028" spans="9:30" x14ac:dyDescent="0.35">
      <c r="I1028" s="28" t="s">
        <v>2251</v>
      </c>
      <c r="J1028" s="28" t="s">
        <v>274</v>
      </c>
      <c r="K1028" s="28" t="str">
        <f t="shared" si="22"/>
        <v>TotaBoyaca</v>
      </c>
      <c r="L1028" s="28"/>
      <c r="M1028" s="28"/>
      <c r="N1028" s="28"/>
      <c r="O1028" s="28"/>
      <c r="P1028" s="28"/>
      <c r="Q1028" s="28"/>
      <c r="R1028" s="28"/>
      <c r="S1028" s="28"/>
      <c r="T1028" s="28"/>
      <c r="U1028" s="41"/>
      <c r="V1028" s="41"/>
      <c r="W1028" s="41"/>
      <c r="X1028" s="28"/>
      <c r="Y1028" s="28"/>
      <c r="Z1028" s="28"/>
      <c r="AA1028" s="28"/>
      <c r="AB1028" s="28"/>
      <c r="AC1028" s="28"/>
      <c r="AD1028" s="28"/>
    </row>
    <row r="1029" spans="9:30" x14ac:dyDescent="0.35">
      <c r="I1029" s="28" t="s">
        <v>2252</v>
      </c>
      <c r="J1029" s="28" t="s">
        <v>315</v>
      </c>
      <c r="K1029" s="28" t="str">
        <f t="shared" si="22"/>
        <v>TotoróCauca</v>
      </c>
      <c r="L1029" s="28"/>
      <c r="M1029" s="28"/>
      <c r="N1029" s="28"/>
      <c r="O1029" s="28"/>
      <c r="P1029" s="28"/>
      <c r="Q1029" s="28"/>
      <c r="R1029" s="28"/>
      <c r="S1029" s="28"/>
      <c r="T1029" s="28"/>
      <c r="U1029" s="41"/>
      <c r="V1029" s="41"/>
      <c r="W1029" s="41"/>
      <c r="X1029" s="28"/>
      <c r="Y1029" s="28"/>
      <c r="Z1029" s="28"/>
      <c r="AA1029" s="28"/>
      <c r="AB1029" s="28"/>
      <c r="AC1029" s="28"/>
      <c r="AD1029" s="28"/>
    </row>
    <row r="1030" spans="9:30" x14ac:dyDescent="0.35">
      <c r="I1030" s="28" t="s">
        <v>2253</v>
      </c>
      <c r="J1030" s="28" t="s">
        <v>305</v>
      </c>
      <c r="K1030" s="28" t="str">
        <f t="shared" si="22"/>
        <v>TrinidadCasanare</v>
      </c>
      <c r="L1030" s="28"/>
      <c r="M1030" s="28"/>
      <c r="N1030" s="28"/>
      <c r="O1030" s="28"/>
      <c r="P1030" s="28"/>
      <c r="Q1030" s="28"/>
      <c r="R1030" s="28"/>
      <c r="S1030" s="28"/>
      <c r="T1030" s="28"/>
      <c r="U1030" s="41"/>
      <c r="V1030" s="41"/>
      <c r="W1030" s="41"/>
      <c r="X1030" s="28"/>
      <c r="Y1030" s="28"/>
      <c r="Z1030" s="28"/>
      <c r="AA1030" s="28"/>
      <c r="AB1030" s="28"/>
      <c r="AC1030" s="28"/>
      <c r="AD1030" s="28"/>
    </row>
    <row r="1031" spans="9:30" x14ac:dyDescent="0.35">
      <c r="I1031" s="28" t="s">
        <v>2254</v>
      </c>
      <c r="J1031" s="28" t="s">
        <v>381</v>
      </c>
      <c r="K1031" s="28" t="str">
        <f t="shared" si="22"/>
        <v>TrujilloValle del Cauca</v>
      </c>
      <c r="L1031" s="28"/>
      <c r="M1031" s="28"/>
      <c r="N1031" s="28"/>
      <c r="O1031" s="28"/>
      <c r="P1031" s="28"/>
      <c r="Q1031" s="28"/>
      <c r="R1031" s="28"/>
      <c r="S1031" s="28"/>
      <c r="T1031" s="28"/>
      <c r="U1031" s="41"/>
      <c r="V1031" s="41"/>
      <c r="W1031" s="41"/>
      <c r="X1031" s="28"/>
      <c r="Y1031" s="28"/>
      <c r="Z1031" s="28"/>
      <c r="AA1031" s="28"/>
      <c r="AB1031" s="28"/>
      <c r="AC1031" s="28"/>
      <c r="AD1031" s="28"/>
    </row>
    <row r="1032" spans="9:30" x14ac:dyDescent="0.35">
      <c r="I1032" s="28" t="s">
        <v>2255</v>
      </c>
      <c r="J1032" s="28" t="s">
        <v>231</v>
      </c>
      <c r="K1032" s="28" t="str">
        <f t="shared" si="22"/>
        <v>TubaráAtlantico</v>
      </c>
      <c r="L1032" s="28"/>
      <c r="M1032" s="28"/>
      <c r="N1032" s="28"/>
      <c r="O1032" s="28"/>
      <c r="P1032" s="28"/>
      <c r="Q1032" s="28"/>
      <c r="R1032" s="28"/>
      <c r="S1032" s="28"/>
      <c r="T1032" s="28"/>
      <c r="U1032" s="41"/>
      <c r="V1032" s="41"/>
      <c r="W1032" s="41"/>
      <c r="X1032" s="28"/>
      <c r="Y1032" s="28"/>
      <c r="Z1032" s="28"/>
      <c r="AA1032" s="28"/>
      <c r="AB1032" s="28"/>
      <c r="AC1032" s="28"/>
      <c r="AD1032" s="28"/>
    </row>
    <row r="1033" spans="9:30" x14ac:dyDescent="0.35">
      <c r="I1033" s="28" t="s">
        <v>2256</v>
      </c>
      <c r="J1033" s="28" t="s">
        <v>381</v>
      </c>
      <c r="K1033" s="28" t="str">
        <f t="shared" si="22"/>
        <v>TuluáValle del Cauca</v>
      </c>
      <c r="L1033" s="28"/>
      <c r="M1033" s="28"/>
      <c r="N1033" s="28"/>
      <c r="O1033" s="28"/>
      <c r="P1033" s="28"/>
      <c r="Q1033" s="28"/>
      <c r="R1033" s="28"/>
      <c r="S1033" s="28"/>
      <c r="T1033" s="28"/>
      <c r="U1033" s="41"/>
      <c r="V1033" s="41"/>
      <c r="W1033" s="41"/>
      <c r="X1033" s="28"/>
      <c r="Y1033" s="28"/>
      <c r="Z1033" s="28"/>
      <c r="AA1033" s="28"/>
      <c r="AB1033" s="28"/>
      <c r="AC1033" s="28"/>
      <c r="AD1033" s="28"/>
    </row>
    <row r="1034" spans="9:30" x14ac:dyDescent="0.35">
      <c r="I1034" s="28" t="s">
        <v>2257</v>
      </c>
      <c r="J1034" s="28" t="s">
        <v>274</v>
      </c>
      <c r="K1034" s="28" t="str">
        <f t="shared" si="22"/>
        <v>TunjaBoyaca</v>
      </c>
      <c r="L1034" s="28"/>
      <c r="M1034" s="28"/>
      <c r="N1034" s="28"/>
      <c r="O1034" s="28"/>
      <c r="P1034" s="28"/>
      <c r="Q1034" s="28"/>
      <c r="R1034" s="28"/>
      <c r="S1034" s="28"/>
      <c r="T1034" s="28"/>
      <c r="U1034" s="41"/>
      <c r="V1034" s="41"/>
      <c r="W1034" s="41"/>
      <c r="X1034" s="28"/>
      <c r="Y1034" s="28"/>
      <c r="Z1034" s="28"/>
      <c r="AA1034" s="28"/>
      <c r="AB1034" s="28"/>
      <c r="AC1034" s="28"/>
      <c r="AD1034" s="28"/>
    </row>
    <row r="1035" spans="9:30" x14ac:dyDescent="0.35">
      <c r="I1035" s="28" t="s">
        <v>2258</v>
      </c>
      <c r="J1035" s="28" t="s">
        <v>274</v>
      </c>
      <c r="K1035" s="28" t="str">
        <f t="shared" si="22"/>
        <v>TununguáBoyaca</v>
      </c>
      <c r="L1035" s="28"/>
      <c r="M1035" s="28"/>
      <c r="N1035" s="28"/>
      <c r="O1035" s="28"/>
      <c r="P1035" s="28"/>
      <c r="Q1035" s="28"/>
      <c r="R1035" s="28"/>
      <c r="S1035" s="28"/>
      <c r="T1035" s="28"/>
      <c r="U1035" s="41"/>
      <c r="V1035" s="41"/>
      <c r="W1035" s="41"/>
      <c r="X1035" s="28"/>
      <c r="Y1035" s="28"/>
      <c r="Z1035" s="28"/>
      <c r="AA1035" s="28"/>
      <c r="AB1035" s="28"/>
      <c r="AC1035" s="28"/>
      <c r="AD1035" s="28"/>
    </row>
    <row r="1036" spans="9:30" x14ac:dyDescent="0.35">
      <c r="I1036" s="28" t="s">
        <v>2259</v>
      </c>
      <c r="J1036" s="28" t="s">
        <v>352</v>
      </c>
      <c r="K1036" s="28" t="str">
        <f t="shared" si="22"/>
        <v>TúquerresNariño</v>
      </c>
      <c r="L1036" s="28"/>
      <c r="M1036" s="28"/>
      <c r="N1036" s="28"/>
      <c r="O1036" s="28"/>
      <c r="P1036" s="28"/>
      <c r="Q1036" s="28"/>
      <c r="R1036" s="28"/>
      <c r="S1036" s="28"/>
      <c r="T1036" s="28"/>
      <c r="U1036" s="41"/>
      <c r="V1036" s="41"/>
      <c r="W1036" s="41"/>
      <c r="X1036" s="28"/>
      <c r="Y1036" s="28"/>
      <c r="Z1036" s="28"/>
      <c r="AA1036" s="28"/>
      <c r="AB1036" s="28"/>
      <c r="AC1036" s="28"/>
      <c r="AD1036" s="28"/>
    </row>
    <row r="1037" spans="9:30" x14ac:dyDescent="0.35">
      <c r="I1037" s="28" t="s">
        <v>2260</v>
      </c>
      <c r="J1037" s="28" t="s">
        <v>260</v>
      </c>
      <c r="K1037" s="28" t="str">
        <f t="shared" si="22"/>
        <v>TurbacoBolivar</v>
      </c>
      <c r="L1037" s="28"/>
      <c r="M1037" s="28"/>
      <c r="N1037" s="28"/>
      <c r="O1037" s="28"/>
      <c r="P1037" s="28"/>
      <c r="Q1037" s="28"/>
      <c r="R1037" s="28"/>
      <c r="S1037" s="28"/>
      <c r="T1037" s="28"/>
      <c r="U1037" s="41"/>
      <c r="V1037" s="41"/>
      <c r="W1037" s="41"/>
      <c r="X1037" s="28"/>
      <c r="Y1037" s="28"/>
      <c r="Z1037" s="28"/>
      <c r="AA1037" s="28"/>
      <c r="AB1037" s="28"/>
      <c r="AC1037" s="28"/>
      <c r="AD1037" s="28"/>
    </row>
    <row r="1038" spans="9:30" x14ac:dyDescent="0.35">
      <c r="I1038" s="28" t="s">
        <v>2261</v>
      </c>
      <c r="J1038" s="28" t="s">
        <v>260</v>
      </c>
      <c r="K1038" s="28" t="str">
        <f t="shared" si="22"/>
        <v>TurbanáBolivar</v>
      </c>
      <c r="L1038" s="28"/>
      <c r="M1038" s="28"/>
      <c r="N1038" s="28"/>
      <c r="O1038" s="28"/>
      <c r="P1038" s="28"/>
      <c r="Q1038" s="28"/>
      <c r="R1038" s="28"/>
      <c r="S1038" s="28"/>
      <c r="T1038" s="28"/>
      <c r="U1038" s="41"/>
      <c r="V1038" s="41"/>
      <c r="W1038" s="41"/>
      <c r="X1038" s="28"/>
      <c r="Y1038" s="28"/>
      <c r="Z1038" s="28"/>
      <c r="AA1038" s="28"/>
      <c r="AB1038" s="28"/>
      <c r="AC1038" s="28"/>
      <c r="AD1038" s="28"/>
    </row>
    <row r="1039" spans="9:30" x14ac:dyDescent="0.35">
      <c r="I1039" s="28" t="s">
        <v>2262</v>
      </c>
      <c r="J1039" s="28" t="s">
        <v>154</v>
      </c>
      <c r="K1039" s="28" t="str">
        <f t="shared" si="22"/>
        <v>TurboAntioquia</v>
      </c>
      <c r="L1039" s="28"/>
      <c r="M1039" s="28"/>
      <c r="N1039" s="28"/>
      <c r="O1039" s="28"/>
      <c r="P1039" s="28"/>
      <c r="Q1039" s="28"/>
      <c r="R1039" s="28"/>
      <c r="S1039" s="28"/>
      <c r="T1039" s="28"/>
      <c r="U1039" s="41"/>
      <c r="V1039" s="41"/>
      <c r="W1039" s="41"/>
      <c r="X1039" s="28"/>
      <c r="Y1039" s="28"/>
      <c r="Z1039" s="28"/>
      <c r="AA1039" s="28"/>
      <c r="AB1039" s="28"/>
      <c r="AC1039" s="28"/>
      <c r="AD1039" s="28"/>
    </row>
    <row r="1040" spans="9:30" x14ac:dyDescent="0.35">
      <c r="I1040" s="28" t="s">
        <v>2263</v>
      </c>
      <c r="J1040" s="28" t="s">
        <v>274</v>
      </c>
      <c r="K1040" s="28" t="str">
        <f t="shared" si="22"/>
        <v>TurmequéBoyaca</v>
      </c>
      <c r="L1040" s="28"/>
      <c r="M1040" s="28"/>
      <c r="N1040" s="28"/>
      <c r="O1040" s="28"/>
      <c r="P1040" s="28"/>
      <c r="Q1040" s="28"/>
      <c r="R1040" s="28"/>
      <c r="S1040" s="28"/>
      <c r="T1040" s="28"/>
      <c r="U1040" s="41"/>
      <c r="V1040" s="41"/>
      <c r="W1040" s="41"/>
      <c r="X1040" s="28"/>
      <c r="Y1040" s="28"/>
      <c r="Z1040" s="28"/>
      <c r="AA1040" s="28"/>
      <c r="AB1040" s="28"/>
      <c r="AC1040" s="28"/>
      <c r="AD1040" s="28"/>
    </row>
    <row r="1041" spans="9:30" x14ac:dyDescent="0.35">
      <c r="I1041" s="28" t="s">
        <v>2264</v>
      </c>
      <c r="J1041" s="28" t="s">
        <v>274</v>
      </c>
      <c r="K1041" s="28" t="str">
        <f t="shared" si="22"/>
        <v>TutaBoyaca</v>
      </c>
      <c r="L1041" s="28"/>
      <c r="M1041" s="28"/>
      <c r="N1041" s="28"/>
      <c r="O1041" s="28"/>
      <c r="P1041" s="28"/>
      <c r="Q1041" s="28"/>
      <c r="R1041" s="28"/>
      <c r="S1041" s="28"/>
      <c r="T1041" s="28"/>
      <c r="U1041" s="41"/>
      <c r="V1041" s="41"/>
      <c r="W1041" s="41"/>
      <c r="X1041" s="28"/>
      <c r="Y1041" s="28"/>
      <c r="Z1041" s="28"/>
      <c r="AA1041" s="28"/>
      <c r="AB1041" s="28"/>
      <c r="AC1041" s="28"/>
      <c r="AD1041" s="28"/>
    </row>
    <row r="1042" spans="9:30" x14ac:dyDescent="0.35">
      <c r="I1042" s="28" t="s">
        <v>2265</v>
      </c>
      <c r="J1042" s="28" t="s">
        <v>274</v>
      </c>
      <c r="K1042" s="28" t="str">
        <f t="shared" si="22"/>
        <v>TutazáBoyaca</v>
      </c>
      <c r="L1042" s="28"/>
      <c r="M1042" s="28"/>
      <c r="N1042" s="28"/>
      <c r="O1042" s="28"/>
      <c r="P1042" s="28"/>
      <c r="Q1042" s="28"/>
      <c r="R1042" s="28"/>
      <c r="S1042" s="28"/>
      <c r="T1042" s="28"/>
      <c r="U1042" s="41"/>
      <c r="V1042" s="41"/>
      <c r="W1042" s="41"/>
      <c r="X1042" s="28"/>
      <c r="Y1042" s="28"/>
      <c r="Z1042" s="28"/>
      <c r="AA1042" s="28"/>
      <c r="AB1042" s="28"/>
      <c r="AC1042" s="28"/>
      <c r="AD1042" s="28"/>
    </row>
    <row r="1043" spans="9:30" x14ac:dyDescent="0.35">
      <c r="I1043" s="28" t="s">
        <v>2266</v>
      </c>
      <c r="J1043" s="28" t="s">
        <v>283</v>
      </c>
      <c r="K1043" s="28" t="str">
        <f t="shared" si="22"/>
        <v>UbaláCundinamarca</v>
      </c>
      <c r="L1043" s="28"/>
      <c r="M1043" s="28"/>
      <c r="N1043" s="28"/>
      <c r="O1043" s="28"/>
      <c r="P1043" s="28"/>
      <c r="Q1043" s="28"/>
      <c r="R1043" s="28"/>
      <c r="S1043" s="28"/>
      <c r="T1043" s="28"/>
      <c r="U1043" s="41"/>
      <c r="V1043" s="41"/>
      <c r="W1043" s="41"/>
      <c r="X1043" s="28"/>
      <c r="Y1043" s="28"/>
      <c r="Z1043" s="28"/>
      <c r="AA1043" s="28"/>
      <c r="AB1043" s="28"/>
      <c r="AC1043" s="28"/>
      <c r="AD1043" s="28"/>
    </row>
    <row r="1044" spans="9:30" x14ac:dyDescent="0.35">
      <c r="I1044" s="28" t="s">
        <v>2267</v>
      </c>
      <c r="J1044" s="28" t="s">
        <v>283</v>
      </c>
      <c r="K1044" s="28" t="str">
        <f t="shared" si="22"/>
        <v>UbaqueCundinamarca</v>
      </c>
      <c r="L1044" s="28"/>
      <c r="M1044" s="28"/>
      <c r="N1044" s="28"/>
      <c r="O1044" s="28"/>
      <c r="P1044" s="28"/>
      <c r="Q1044" s="28"/>
      <c r="R1044" s="28"/>
      <c r="S1044" s="28"/>
      <c r="T1044" s="28"/>
      <c r="U1044" s="41"/>
      <c r="V1044" s="41"/>
      <c r="W1044" s="41"/>
      <c r="X1044" s="28"/>
      <c r="Y1044" s="28"/>
      <c r="Z1044" s="28"/>
      <c r="AA1044" s="28"/>
      <c r="AB1044" s="28"/>
      <c r="AC1044" s="28"/>
      <c r="AD1044" s="28"/>
    </row>
    <row r="1045" spans="9:30" x14ac:dyDescent="0.35">
      <c r="I1045" s="28" t="s">
        <v>2268</v>
      </c>
      <c r="J1045" s="28" t="s">
        <v>381</v>
      </c>
      <c r="K1045" s="28" t="str">
        <f t="shared" si="22"/>
        <v>UlloaValle del Cauca</v>
      </c>
      <c r="L1045" s="28"/>
      <c r="M1045" s="28"/>
      <c r="N1045" s="28"/>
      <c r="O1045" s="28"/>
      <c r="P1045" s="28"/>
      <c r="Q1045" s="28"/>
      <c r="R1045" s="28"/>
      <c r="S1045" s="28"/>
      <c r="T1045" s="28"/>
      <c r="U1045" s="41"/>
      <c r="V1045" s="41"/>
      <c r="W1045" s="41"/>
      <c r="X1045" s="28"/>
      <c r="Y1045" s="28"/>
      <c r="Z1045" s="28"/>
      <c r="AA1045" s="28"/>
      <c r="AB1045" s="28"/>
      <c r="AC1045" s="28"/>
      <c r="AD1045" s="28"/>
    </row>
    <row r="1046" spans="9:30" x14ac:dyDescent="0.35">
      <c r="I1046" s="28" t="s">
        <v>2269</v>
      </c>
      <c r="J1046" s="28" t="s">
        <v>274</v>
      </c>
      <c r="K1046" s="28" t="str">
        <f t="shared" si="22"/>
        <v>UmbitaBoyaca</v>
      </c>
      <c r="L1046" s="28"/>
      <c r="M1046" s="28"/>
      <c r="N1046" s="28"/>
      <c r="O1046" s="28"/>
      <c r="P1046" s="28"/>
      <c r="Q1046" s="28"/>
      <c r="R1046" s="28"/>
      <c r="S1046" s="28"/>
      <c r="T1046" s="28"/>
      <c r="U1046" s="41"/>
      <c r="V1046" s="41"/>
      <c r="W1046" s="41"/>
      <c r="X1046" s="28"/>
      <c r="Y1046" s="28"/>
      <c r="Z1046" s="28"/>
      <c r="AA1046" s="28"/>
      <c r="AB1046" s="28"/>
      <c r="AC1046" s="28"/>
      <c r="AD1046" s="28"/>
    </row>
    <row r="1047" spans="9:30" x14ac:dyDescent="0.35">
      <c r="I1047" s="28" t="s">
        <v>2270</v>
      </c>
      <c r="J1047" s="28" t="s">
        <v>283</v>
      </c>
      <c r="K1047" s="28" t="str">
        <f t="shared" si="22"/>
        <v>UneCundinamarca</v>
      </c>
      <c r="L1047" s="28"/>
      <c r="M1047" s="28"/>
      <c r="N1047" s="28"/>
      <c r="O1047" s="28"/>
      <c r="P1047" s="28"/>
      <c r="Q1047" s="28"/>
      <c r="R1047" s="28"/>
      <c r="S1047" s="28"/>
      <c r="T1047" s="28"/>
      <c r="U1047" s="41"/>
      <c r="V1047" s="41"/>
      <c r="W1047" s="41"/>
      <c r="X1047" s="28"/>
      <c r="Y1047" s="28"/>
      <c r="Z1047" s="28"/>
      <c r="AA1047" s="28"/>
      <c r="AB1047" s="28"/>
      <c r="AC1047" s="28"/>
      <c r="AD1047" s="28"/>
    </row>
    <row r="1048" spans="9:30" x14ac:dyDescent="0.35">
      <c r="I1048" s="28" t="s">
        <v>2271</v>
      </c>
      <c r="J1048" s="28" t="s">
        <v>230</v>
      </c>
      <c r="K1048" s="28" t="str">
        <f t="shared" si="22"/>
        <v>UnguíaChoco</v>
      </c>
      <c r="L1048" s="28"/>
      <c r="M1048" s="28"/>
      <c r="N1048" s="28"/>
      <c r="O1048" s="28"/>
      <c r="P1048" s="28"/>
      <c r="Q1048" s="28"/>
      <c r="R1048" s="28"/>
      <c r="S1048" s="28"/>
      <c r="T1048" s="28"/>
      <c r="U1048" s="41"/>
      <c r="V1048" s="41"/>
      <c r="W1048" s="41"/>
      <c r="X1048" s="28"/>
      <c r="Y1048" s="28"/>
      <c r="Z1048" s="28"/>
      <c r="AA1048" s="28"/>
      <c r="AB1048" s="28"/>
      <c r="AC1048" s="28"/>
      <c r="AD1048" s="28"/>
    </row>
    <row r="1049" spans="9:30" x14ac:dyDescent="0.35">
      <c r="I1049" s="28" t="s">
        <v>2272</v>
      </c>
      <c r="J1049" s="28" t="s">
        <v>230</v>
      </c>
      <c r="K1049" s="28" t="str">
        <f t="shared" si="22"/>
        <v>Unión PanamericanaChoco</v>
      </c>
      <c r="L1049" s="28"/>
      <c r="M1049" s="28"/>
      <c r="N1049" s="28"/>
      <c r="O1049" s="28"/>
      <c r="P1049" s="28"/>
      <c r="Q1049" s="28"/>
      <c r="R1049" s="28"/>
      <c r="S1049" s="28"/>
      <c r="T1049" s="28"/>
      <c r="U1049" s="41"/>
      <c r="V1049" s="41"/>
      <c r="W1049" s="41"/>
      <c r="X1049" s="28"/>
      <c r="Y1049" s="28"/>
      <c r="Z1049" s="28"/>
      <c r="AA1049" s="28"/>
      <c r="AB1049" s="28"/>
      <c r="AC1049" s="28"/>
      <c r="AD1049" s="28"/>
    </row>
    <row r="1050" spans="9:30" x14ac:dyDescent="0.35">
      <c r="I1050" s="28" t="s">
        <v>2273</v>
      </c>
      <c r="J1050" s="28" t="s">
        <v>154</v>
      </c>
      <c r="K1050" s="28" t="str">
        <f t="shared" si="22"/>
        <v>UramitaAntioquia</v>
      </c>
      <c r="L1050" s="28"/>
      <c r="M1050" s="28"/>
      <c r="N1050" s="28"/>
      <c r="O1050" s="28"/>
      <c r="P1050" s="28"/>
      <c r="Q1050" s="28"/>
      <c r="R1050" s="28"/>
      <c r="S1050" s="28"/>
      <c r="T1050" s="28"/>
      <c r="U1050" s="41"/>
      <c r="V1050" s="41"/>
      <c r="W1050" s="41"/>
      <c r="X1050" s="28"/>
      <c r="Y1050" s="28"/>
      <c r="Z1050" s="28"/>
      <c r="AA1050" s="28"/>
      <c r="AB1050" s="28"/>
      <c r="AC1050" s="28"/>
      <c r="AD1050" s="28"/>
    </row>
    <row r="1051" spans="9:30" x14ac:dyDescent="0.35">
      <c r="I1051" s="28" t="s">
        <v>2274</v>
      </c>
      <c r="J1051" s="28" t="s">
        <v>210</v>
      </c>
      <c r="K1051" s="28" t="str">
        <f t="shared" si="22"/>
        <v>UribeMeta</v>
      </c>
      <c r="L1051" s="28"/>
      <c r="M1051" s="28"/>
      <c r="N1051" s="28"/>
      <c r="O1051" s="28"/>
      <c r="P1051" s="28"/>
      <c r="Q1051" s="28"/>
      <c r="R1051" s="28"/>
      <c r="S1051" s="28"/>
      <c r="T1051" s="28"/>
      <c r="U1051" s="41"/>
      <c r="V1051" s="41"/>
      <c r="W1051" s="41"/>
      <c r="X1051" s="28"/>
      <c r="Y1051" s="28"/>
      <c r="Z1051" s="28"/>
      <c r="AA1051" s="28"/>
      <c r="AB1051" s="28"/>
      <c r="AC1051" s="28"/>
      <c r="AD1051" s="28"/>
    </row>
    <row r="1052" spans="9:30" x14ac:dyDescent="0.35">
      <c r="I1052" s="28" t="s">
        <v>2275</v>
      </c>
      <c r="J1052" s="28" t="s">
        <v>369</v>
      </c>
      <c r="K1052" s="28" t="str">
        <f t="shared" si="22"/>
        <v>UribiaLa Guajira</v>
      </c>
      <c r="L1052" s="28"/>
      <c r="M1052" s="28"/>
      <c r="N1052" s="28"/>
      <c r="O1052" s="28"/>
      <c r="P1052" s="28"/>
      <c r="Q1052" s="28"/>
      <c r="R1052" s="28"/>
      <c r="S1052" s="28"/>
      <c r="T1052" s="28"/>
      <c r="U1052" s="41"/>
      <c r="V1052" s="41"/>
      <c r="W1052" s="41"/>
      <c r="X1052" s="28"/>
      <c r="Y1052" s="28"/>
      <c r="Z1052" s="28"/>
      <c r="AA1052" s="28"/>
      <c r="AB1052" s="28"/>
      <c r="AC1052" s="28"/>
      <c r="AD1052" s="28"/>
    </row>
    <row r="1053" spans="9:30" x14ac:dyDescent="0.35">
      <c r="I1053" s="28" t="s">
        <v>2276</v>
      </c>
      <c r="J1053" s="28" t="s">
        <v>154</v>
      </c>
      <c r="K1053" s="28" t="str">
        <f t="shared" si="22"/>
        <v>UrraoAntioquia</v>
      </c>
      <c r="L1053" s="28"/>
      <c r="M1053" s="28"/>
      <c r="N1053" s="28"/>
      <c r="O1053" s="28"/>
      <c r="P1053" s="28"/>
      <c r="Q1053" s="28"/>
      <c r="R1053" s="28"/>
      <c r="S1053" s="28"/>
      <c r="T1053" s="28"/>
      <c r="U1053" s="41"/>
      <c r="V1053" s="41"/>
      <c r="W1053" s="41"/>
      <c r="X1053" s="28"/>
      <c r="Y1053" s="28"/>
      <c r="Z1053" s="28"/>
      <c r="AA1053" s="28"/>
      <c r="AB1053" s="28"/>
      <c r="AC1053" s="28"/>
      <c r="AD1053" s="28"/>
    </row>
    <row r="1054" spans="9:30" x14ac:dyDescent="0.35">
      <c r="I1054" s="28" t="s">
        <v>2277</v>
      </c>
      <c r="J1054" s="28" t="s">
        <v>369</v>
      </c>
      <c r="K1054" s="28" t="str">
        <f t="shared" si="22"/>
        <v>UrumitaLa Guajira</v>
      </c>
      <c r="L1054" s="28"/>
      <c r="M1054" s="28"/>
      <c r="N1054" s="28"/>
      <c r="O1054" s="28"/>
      <c r="P1054" s="28"/>
      <c r="Q1054" s="28"/>
      <c r="R1054" s="28"/>
      <c r="S1054" s="28"/>
      <c r="T1054" s="28"/>
      <c r="U1054" s="41"/>
      <c r="V1054" s="41"/>
      <c r="W1054" s="41"/>
      <c r="X1054" s="28"/>
      <c r="Y1054" s="28"/>
      <c r="Z1054" s="28"/>
      <c r="AA1054" s="28"/>
      <c r="AB1054" s="28"/>
      <c r="AC1054" s="28"/>
      <c r="AD1054" s="28"/>
    </row>
    <row r="1055" spans="9:30" x14ac:dyDescent="0.35">
      <c r="I1055" s="28" t="s">
        <v>2278</v>
      </c>
      <c r="J1055" s="28" t="s">
        <v>231</v>
      </c>
      <c r="K1055" s="28" t="str">
        <f t="shared" si="22"/>
        <v>UsiacuríAtlantico</v>
      </c>
      <c r="L1055" s="28"/>
      <c r="M1055" s="28"/>
      <c r="N1055" s="28"/>
      <c r="O1055" s="28"/>
      <c r="P1055" s="28"/>
      <c r="Q1055" s="28"/>
      <c r="R1055" s="28"/>
      <c r="S1055" s="28"/>
      <c r="T1055" s="28"/>
      <c r="U1055" s="41"/>
      <c r="V1055" s="41"/>
      <c r="W1055" s="41"/>
      <c r="X1055" s="28"/>
      <c r="Y1055" s="28"/>
      <c r="Z1055" s="28"/>
      <c r="AA1055" s="28"/>
      <c r="AB1055" s="28"/>
      <c r="AC1055" s="28"/>
      <c r="AD1055" s="28"/>
    </row>
    <row r="1056" spans="9:30" x14ac:dyDescent="0.35">
      <c r="I1056" s="28" t="s">
        <v>2279</v>
      </c>
      <c r="J1056" s="28" t="s">
        <v>283</v>
      </c>
      <c r="K1056" s="28" t="str">
        <f t="shared" si="22"/>
        <v>ÚticaCundinamarca</v>
      </c>
      <c r="L1056" s="28"/>
      <c r="M1056" s="28"/>
      <c r="N1056" s="28"/>
      <c r="O1056" s="28"/>
      <c r="P1056" s="28"/>
      <c r="Q1056" s="28"/>
      <c r="R1056" s="28"/>
      <c r="S1056" s="28"/>
      <c r="T1056" s="28"/>
      <c r="U1056" s="41"/>
      <c r="V1056" s="41"/>
      <c r="W1056" s="41"/>
      <c r="X1056" s="28"/>
      <c r="Y1056" s="28"/>
      <c r="Z1056" s="28"/>
      <c r="AA1056" s="28"/>
      <c r="AB1056" s="28"/>
      <c r="AC1056" s="28"/>
      <c r="AD1056" s="28"/>
    </row>
    <row r="1057" spans="9:30" x14ac:dyDescent="0.35">
      <c r="I1057" s="28" t="s">
        <v>2280</v>
      </c>
      <c r="J1057" s="28" t="s">
        <v>154</v>
      </c>
      <c r="K1057" s="28" t="str">
        <f t="shared" si="22"/>
        <v>ValdiviaAntioquia</v>
      </c>
      <c r="L1057" s="28"/>
      <c r="M1057" s="28"/>
      <c r="N1057" s="28"/>
      <c r="O1057" s="28"/>
      <c r="P1057" s="28"/>
      <c r="Q1057" s="28"/>
      <c r="R1057" s="28"/>
      <c r="S1057" s="28"/>
      <c r="T1057" s="28"/>
      <c r="U1057" s="41"/>
      <c r="V1057" s="41"/>
      <c r="W1057" s="41"/>
      <c r="X1057" s="28"/>
      <c r="Y1057" s="28"/>
      <c r="Z1057" s="28"/>
      <c r="AA1057" s="28"/>
      <c r="AB1057" s="28"/>
      <c r="AC1057" s="28"/>
      <c r="AD1057" s="28"/>
    </row>
    <row r="1058" spans="9:30" x14ac:dyDescent="0.35">
      <c r="I1058" s="28" t="s">
        <v>2281</v>
      </c>
      <c r="J1058" s="28" t="s">
        <v>337</v>
      </c>
      <c r="K1058" s="28" t="str">
        <f t="shared" si="22"/>
        <v>ValenciaCordoba</v>
      </c>
      <c r="L1058" s="28"/>
      <c r="M1058" s="28"/>
      <c r="N1058" s="28"/>
      <c r="O1058" s="28"/>
      <c r="P1058" s="28"/>
      <c r="Q1058" s="28"/>
      <c r="R1058" s="28"/>
      <c r="S1058" s="28"/>
      <c r="T1058" s="28"/>
      <c r="U1058" s="41"/>
      <c r="V1058" s="41"/>
      <c r="W1058" s="41"/>
      <c r="X1058" s="28"/>
      <c r="Y1058" s="28"/>
      <c r="Z1058" s="28"/>
      <c r="AA1058" s="28"/>
      <c r="AB1058" s="28"/>
      <c r="AC1058" s="28"/>
      <c r="AD1058" s="28"/>
    </row>
    <row r="1059" spans="9:30" x14ac:dyDescent="0.35">
      <c r="I1059" s="28" t="s">
        <v>2282</v>
      </c>
      <c r="J1059" s="28" t="s">
        <v>304</v>
      </c>
      <c r="K1059" s="28" t="str">
        <f t="shared" si="22"/>
        <v>Valle de San JoséSantander</v>
      </c>
      <c r="L1059" s="28"/>
      <c r="M1059" s="28"/>
      <c r="N1059" s="28"/>
      <c r="O1059" s="28"/>
      <c r="P1059" s="28"/>
      <c r="Q1059" s="28"/>
      <c r="R1059" s="28"/>
      <c r="S1059" s="28"/>
      <c r="T1059" s="28"/>
      <c r="U1059" s="41"/>
      <c r="V1059" s="41"/>
      <c r="W1059" s="41"/>
      <c r="X1059" s="28"/>
      <c r="Y1059" s="28"/>
      <c r="Z1059" s="28"/>
      <c r="AA1059" s="28"/>
      <c r="AB1059" s="28"/>
      <c r="AC1059" s="28"/>
      <c r="AD1059" s="28"/>
    </row>
    <row r="1060" spans="9:30" x14ac:dyDescent="0.35">
      <c r="I1060" s="28" t="s">
        <v>2283</v>
      </c>
      <c r="J1060" s="28" t="s">
        <v>409</v>
      </c>
      <c r="K1060" s="28" t="str">
        <f t="shared" si="22"/>
        <v>Valle de San JuanTolima</v>
      </c>
      <c r="L1060" s="28"/>
      <c r="M1060" s="28"/>
      <c r="N1060" s="28"/>
      <c r="O1060" s="28"/>
      <c r="P1060" s="28"/>
      <c r="Q1060" s="28"/>
      <c r="R1060" s="28"/>
      <c r="S1060" s="28"/>
      <c r="T1060" s="28"/>
      <c r="U1060" s="41"/>
      <c r="V1060" s="41"/>
      <c r="W1060" s="41"/>
      <c r="X1060" s="28"/>
      <c r="Y1060" s="28"/>
      <c r="Z1060" s="28"/>
      <c r="AA1060" s="28"/>
      <c r="AB1060" s="28"/>
      <c r="AC1060" s="28"/>
      <c r="AD1060" s="28"/>
    </row>
    <row r="1061" spans="9:30" x14ac:dyDescent="0.35">
      <c r="I1061" s="28" t="s">
        <v>2284</v>
      </c>
      <c r="J1061" s="28" t="s">
        <v>396</v>
      </c>
      <c r="K1061" s="28" t="str">
        <f t="shared" si="22"/>
        <v>Valle del GuamuezPutumayo</v>
      </c>
      <c r="L1061" s="28"/>
      <c r="M1061" s="28"/>
      <c r="N1061" s="28"/>
      <c r="O1061" s="28"/>
      <c r="P1061" s="28"/>
      <c r="Q1061" s="28"/>
      <c r="R1061" s="28"/>
      <c r="S1061" s="28"/>
      <c r="T1061" s="28"/>
      <c r="U1061" s="41"/>
      <c r="V1061" s="41"/>
      <c r="W1061" s="41"/>
      <c r="X1061" s="28"/>
      <c r="Y1061" s="28"/>
      <c r="Z1061" s="28"/>
      <c r="AA1061" s="28"/>
      <c r="AB1061" s="28"/>
      <c r="AC1061" s="28"/>
      <c r="AD1061" s="28"/>
    </row>
    <row r="1062" spans="9:30" x14ac:dyDescent="0.35">
      <c r="I1062" s="28" t="s">
        <v>2285</v>
      </c>
      <c r="J1062" s="28" t="s">
        <v>293</v>
      </c>
      <c r="K1062" s="28" t="str">
        <f t="shared" si="22"/>
        <v>ValleduparCesar</v>
      </c>
      <c r="L1062" s="28"/>
      <c r="M1062" s="28"/>
      <c r="N1062" s="28"/>
      <c r="O1062" s="28"/>
      <c r="P1062" s="28"/>
      <c r="Q1062" s="28"/>
      <c r="R1062" s="28"/>
      <c r="S1062" s="28"/>
      <c r="T1062" s="28"/>
      <c r="U1062" s="41"/>
      <c r="V1062" s="41"/>
      <c r="W1062" s="41"/>
      <c r="X1062" s="28"/>
      <c r="Y1062" s="28"/>
      <c r="Z1062" s="28"/>
      <c r="AA1062" s="28"/>
      <c r="AB1062" s="28"/>
      <c r="AC1062" s="28"/>
      <c r="AD1062" s="28"/>
    </row>
    <row r="1063" spans="9:30" x14ac:dyDescent="0.35">
      <c r="I1063" s="28" t="s">
        <v>2286</v>
      </c>
      <c r="J1063" s="28" t="s">
        <v>154</v>
      </c>
      <c r="K1063" s="28" t="str">
        <f t="shared" si="22"/>
        <v>ValparaísoAntioquia</v>
      </c>
      <c r="L1063" s="28"/>
      <c r="M1063" s="28"/>
      <c r="N1063" s="28"/>
      <c r="O1063" s="28"/>
      <c r="P1063" s="28"/>
      <c r="Q1063" s="28"/>
      <c r="R1063" s="28"/>
      <c r="S1063" s="28"/>
      <c r="T1063" s="28"/>
      <c r="U1063" s="41"/>
      <c r="V1063" s="41"/>
      <c r="W1063" s="41"/>
      <c r="X1063" s="28"/>
      <c r="Y1063" s="28"/>
      <c r="Z1063" s="28"/>
      <c r="AA1063" s="28"/>
      <c r="AB1063" s="28"/>
      <c r="AC1063" s="28"/>
      <c r="AD1063" s="28"/>
    </row>
    <row r="1064" spans="9:30" x14ac:dyDescent="0.35">
      <c r="I1064" s="28" t="s">
        <v>2286</v>
      </c>
      <c r="J1064" s="28" t="s">
        <v>294</v>
      </c>
      <c r="K1064" s="28" t="str">
        <f t="shared" si="22"/>
        <v>ValparaísoCaqueta</v>
      </c>
      <c r="L1064" s="28"/>
      <c r="M1064" s="28"/>
      <c r="N1064" s="28"/>
      <c r="O1064" s="28"/>
      <c r="P1064" s="28"/>
      <c r="Q1064" s="28"/>
      <c r="R1064" s="28"/>
      <c r="S1064" s="28"/>
      <c r="T1064" s="28"/>
      <c r="U1064" s="41"/>
      <c r="V1064" s="41"/>
      <c r="W1064" s="41"/>
      <c r="X1064" s="28"/>
      <c r="Y1064" s="28"/>
      <c r="Z1064" s="28"/>
      <c r="AA1064" s="28"/>
      <c r="AB1064" s="28"/>
      <c r="AC1064" s="28"/>
      <c r="AD1064" s="28"/>
    </row>
    <row r="1065" spans="9:30" x14ac:dyDescent="0.35">
      <c r="I1065" s="28" t="s">
        <v>2287</v>
      </c>
      <c r="J1065" s="28" t="s">
        <v>154</v>
      </c>
      <c r="K1065" s="28" t="str">
        <f t="shared" si="22"/>
        <v>VegachíAntioquia</v>
      </c>
      <c r="L1065" s="28"/>
      <c r="M1065" s="28"/>
      <c r="N1065" s="28"/>
      <c r="O1065" s="28"/>
      <c r="P1065" s="28"/>
      <c r="Q1065" s="28"/>
      <c r="R1065" s="28"/>
      <c r="S1065" s="28"/>
      <c r="T1065" s="28"/>
      <c r="U1065" s="41"/>
      <c r="V1065" s="41"/>
      <c r="W1065" s="41"/>
      <c r="X1065" s="28"/>
      <c r="Y1065" s="28"/>
      <c r="Z1065" s="28"/>
      <c r="AA1065" s="28"/>
      <c r="AB1065" s="28"/>
      <c r="AC1065" s="28"/>
      <c r="AD1065" s="28"/>
    </row>
    <row r="1066" spans="9:30" x14ac:dyDescent="0.35">
      <c r="I1066" s="28" t="s">
        <v>2288</v>
      </c>
      <c r="J1066" s="28" t="s">
        <v>304</v>
      </c>
      <c r="K1066" s="28" t="str">
        <f t="shared" si="22"/>
        <v>VélezSantander</v>
      </c>
      <c r="L1066" s="28"/>
      <c r="M1066" s="28"/>
      <c r="N1066" s="28"/>
      <c r="O1066" s="28"/>
      <c r="P1066" s="28"/>
      <c r="Q1066" s="28"/>
      <c r="R1066" s="28"/>
      <c r="S1066" s="28"/>
      <c r="T1066" s="28"/>
      <c r="U1066" s="41"/>
      <c r="V1066" s="41"/>
      <c r="W1066" s="41"/>
      <c r="X1066" s="28"/>
      <c r="Y1066" s="28"/>
      <c r="Z1066" s="28"/>
      <c r="AA1066" s="28"/>
      <c r="AB1066" s="28"/>
      <c r="AC1066" s="28"/>
      <c r="AD1066" s="28"/>
    </row>
    <row r="1067" spans="9:30" x14ac:dyDescent="0.35">
      <c r="I1067" s="28" t="s">
        <v>2289</v>
      </c>
      <c r="J1067" s="28" t="s">
        <v>409</v>
      </c>
      <c r="K1067" s="28" t="str">
        <f t="shared" si="22"/>
        <v>VenadilloTolima</v>
      </c>
      <c r="L1067" s="28"/>
      <c r="M1067" s="28"/>
      <c r="N1067" s="28"/>
      <c r="O1067" s="28"/>
      <c r="P1067" s="28"/>
      <c r="Q1067" s="28"/>
      <c r="R1067" s="28"/>
      <c r="S1067" s="28"/>
      <c r="T1067" s="28"/>
      <c r="U1067" s="41"/>
      <c r="V1067" s="41"/>
      <c r="W1067" s="41"/>
      <c r="X1067" s="28"/>
      <c r="Y1067" s="28"/>
      <c r="Z1067" s="28"/>
      <c r="AA1067" s="28"/>
      <c r="AB1067" s="28"/>
      <c r="AC1067" s="28"/>
      <c r="AD1067" s="28"/>
    </row>
    <row r="1068" spans="9:30" x14ac:dyDescent="0.35">
      <c r="I1068" s="28" t="s">
        <v>2290</v>
      </c>
      <c r="J1068" s="28" t="s">
        <v>154</v>
      </c>
      <c r="K1068" s="28" t="str">
        <f t="shared" si="22"/>
        <v>VeneciaAntioquia</v>
      </c>
      <c r="L1068" s="28"/>
      <c r="M1068" s="28"/>
      <c r="N1068" s="28"/>
      <c r="O1068" s="28"/>
      <c r="P1068" s="28"/>
      <c r="Q1068" s="28"/>
      <c r="R1068" s="28"/>
      <c r="S1068" s="28"/>
      <c r="T1068" s="28"/>
      <c r="U1068" s="41"/>
      <c r="V1068" s="41"/>
      <c r="W1068" s="41"/>
      <c r="X1068" s="28"/>
      <c r="Y1068" s="28"/>
      <c r="Z1068" s="28"/>
      <c r="AA1068" s="28"/>
      <c r="AB1068" s="28"/>
      <c r="AC1068" s="28"/>
      <c r="AD1068" s="28"/>
    </row>
    <row r="1069" spans="9:30" x14ac:dyDescent="0.35">
      <c r="I1069" s="28" t="s">
        <v>2290</v>
      </c>
      <c r="J1069" s="28" t="s">
        <v>283</v>
      </c>
      <c r="K1069" s="28" t="str">
        <f t="shared" si="22"/>
        <v>VeneciaCundinamarca</v>
      </c>
      <c r="L1069" s="28"/>
      <c r="M1069" s="28"/>
      <c r="N1069" s="28"/>
      <c r="O1069" s="28"/>
      <c r="P1069" s="28"/>
      <c r="Q1069" s="28"/>
      <c r="R1069" s="28"/>
      <c r="S1069" s="28"/>
      <c r="T1069" s="28"/>
      <c r="U1069" s="41"/>
      <c r="V1069" s="41"/>
      <c r="W1069" s="41"/>
      <c r="X1069" s="28"/>
      <c r="Y1069" s="28"/>
      <c r="Z1069" s="28"/>
      <c r="AA1069" s="28"/>
      <c r="AB1069" s="28"/>
      <c r="AC1069" s="28"/>
      <c r="AD1069" s="28"/>
    </row>
    <row r="1070" spans="9:30" x14ac:dyDescent="0.35">
      <c r="I1070" s="28" t="s">
        <v>2291</v>
      </c>
      <c r="J1070" s="28" t="s">
        <v>274</v>
      </c>
      <c r="K1070" s="28" t="str">
        <f t="shared" si="22"/>
        <v>VentaquemadaBoyaca</v>
      </c>
      <c r="L1070" s="28"/>
      <c r="M1070" s="28"/>
      <c r="N1070" s="28"/>
      <c r="O1070" s="28"/>
      <c r="P1070" s="28"/>
      <c r="Q1070" s="28"/>
      <c r="R1070" s="28"/>
      <c r="S1070" s="28"/>
      <c r="T1070" s="28"/>
      <c r="U1070" s="41"/>
      <c r="V1070" s="41"/>
      <c r="W1070" s="41"/>
      <c r="X1070" s="28"/>
      <c r="Y1070" s="28"/>
      <c r="Z1070" s="28"/>
      <c r="AA1070" s="28"/>
      <c r="AB1070" s="28"/>
      <c r="AC1070" s="28"/>
      <c r="AD1070" s="28"/>
    </row>
    <row r="1071" spans="9:30" x14ac:dyDescent="0.35">
      <c r="I1071" s="28" t="s">
        <v>2292</v>
      </c>
      <c r="J1071" s="28" t="s">
        <v>283</v>
      </c>
      <c r="K1071" s="28" t="str">
        <f t="shared" si="22"/>
        <v>VergaraCundinamarca</v>
      </c>
      <c r="L1071" s="28"/>
      <c r="M1071" s="28"/>
      <c r="N1071" s="28"/>
      <c r="O1071" s="28"/>
      <c r="P1071" s="28"/>
      <c r="Q1071" s="28"/>
      <c r="R1071" s="28"/>
      <c r="S1071" s="28"/>
      <c r="T1071" s="28"/>
      <c r="U1071" s="41"/>
      <c r="V1071" s="41"/>
      <c r="W1071" s="41"/>
      <c r="X1071" s="28"/>
      <c r="Y1071" s="28"/>
      <c r="Z1071" s="28"/>
      <c r="AA1071" s="28"/>
      <c r="AB1071" s="28"/>
      <c r="AC1071" s="28"/>
      <c r="AD1071" s="28"/>
    </row>
    <row r="1072" spans="9:30" x14ac:dyDescent="0.35">
      <c r="I1072" s="28" t="s">
        <v>2293</v>
      </c>
      <c r="J1072" s="28" t="s">
        <v>381</v>
      </c>
      <c r="K1072" s="28" t="str">
        <f t="shared" si="22"/>
        <v>VersallesValle del Cauca</v>
      </c>
      <c r="L1072" s="28"/>
      <c r="M1072" s="28"/>
      <c r="N1072" s="28"/>
      <c r="O1072" s="28"/>
      <c r="P1072" s="28"/>
      <c r="Q1072" s="28"/>
      <c r="R1072" s="28"/>
      <c r="S1072" s="28"/>
      <c r="T1072" s="28"/>
      <c r="U1072" s="41"/>
      <c r="V1072" s="41"/>
      <c r="W1072" s="41"/>
      <c r="X1072" s="28"/>
      <c r="Y1072" s="28"/>
      <c r="Z1072" s="28"/>
      <c r="AA1072" s="28"/>
      <c r="AB1072" s="28"/>
      <c r="AC1072" s="28"/>
      <c r="AD1072" s="28"/>
    </row>
    <row r="1073" spans="9:30" x14ac:dyDescent="0.35">
      <c r="I1073" s="28" t="s">
        <v>2294</v>
      </c>
      <c r="J1073" s="28" t="s">
        <v>304</v>
      </c>
      <c r="K1073" s="28" t="str">
        <f t="shared" si="22"/>
        <v>VetasSantander</v>
      </c>
      <c r="L1073" s="28"/>
      <c r="M1073" s="28"/>
      <c r="N1073" s="28"/>
      <c r="O1073" s="28"/>
      <c r="P1073" s="28"/>
      <c r="Q1073" s="28"/>
      <c r="R1073" s="28"/>
      <c r="S1073" s="28"/>
      <c r="T1073" s="28"/>
      <c r="U1073" s="41"/>
      <c r="V1073" s="41"/>
      <c r="W1073" s="41"/>
      <c r="X1073" s="28"/>
      <c r="Y1073" s="28"/>
      <c r="Z1073" s="28"/>
      <c r="AA1073" s="28"/>
      <c r="AB1073" s="28"/>
      <c r="AC1073" s="28"/>
      <c r="AD1073" s="28"/>
    </row>
    <row r="1074" spans="9:30" x14ac:dyDescent="0.35">
      <c r="I1074" s="28" t="s">
        <v>2295</v>
      </c>
      <c r="J1074" s="28" t="s">
        <v>283</v>
      </c>
      <c r="K1074" s="28" t="str">
        <f t="shared" si="22"/>
        <v>VianíCundinamarca</v>
      </c>
      <c r="L1074" s="28"/>
      <c r="M1074" s="28"/>
      <c r="N1074" s="28"/>
      <c r="O1074" s="28"/>
      <c r="P1074" s="28"/>
      <c r="Q1074" s="28"/>
      <c r="R1074" s="28"/>
      <c r="S1074" s="28"/>
      <c r="T1074" s="28"/>
      <c r="U1074" s="41"/>
      <c r="V1074" s="41"/>
      <c r="W1074" s="41"/>
      <c r="X1074" s="28"/>
      <c r="Y1074" s="28"/>
      <c r="Z1074" s="28"/>
      <c r="AA1074" s="28"/>
      <c r="AB1074" s="28"/>
      <c r="AC1074" s="28"/>
      <c r="AD1074" s="28"/>
    </row>
    <row r="1075" spans="9:30" x14ac:dyDescent="0.35">
      <c r="I1075" s="28" t="s">
        <v>2296</v>
      </c>
      <c r="J1075" s="28" t="s">
        <v>284</v>
      </c>
      <c r="K1075" s="28" t="str">
        <f t="shared" si="22"/>
        <v>VictoriaCaldas</v>
      </c>
      <c r="L1075" s="28"/>
      <c r="M1075" s="28"/>
      <c r="N1075" s="28"/>
      <c r="O1075" s="28"/>
      <c r="P1075" s="28"/>
      <c r="Q1075" s="28"/>
      <c r="R1075" s="28"/>
      <c r="S1075" s="28"/>
      <c r="T1075" s="28"/>
      <c r="U1075" s="41"/>
      <c r="V1075" s="41"/>
      <c r="W1075" s="41"/>
      <c r="X1075" s="28"/>
      <c r="Y1075" s="28"/>
      <c r="Z1075" s="28"/>
      <c r="AA1075" s="28"/>
      <c r="AB1075" s="28"/>
      <c r="AC1075" s="28"/>
      <c r="AD1075" s="28"/>
    </row>
    <row r="1076" spans="9:30" x14ac:dyDescent="0.35">
      <c r="I1076" s="28" t="s">
        <v>2297</v>
      </c>
      <c r="J1076" s="28" t="s">
        <v>154</v>
      </c>
      <c r="K1076" s="28" t="str">
        <f t="shared" si="22"/>
        <v>Vigía del FuerteAntioquia</v>
      </c>
      <c r="L1076" s="28"/>
      <c r="M1076" s="28"/>
      <c r="N1076" s="28"/>
      <c r="O1076" s="28"/>
      <c r="P1076" s="28"/>
      <c r="Q1076" s="28"/>
      <c r="R1076" s="28"/>
      <c r="S1076" s="28"/>
      <c r="T1076" s="28"/>
      <c r="U1076" s="41"/>
      <c r="V1076" s="41"/>
      <c r="W1076" s="41"/>
      <c r="X1076" s="28"/>
      <c r="Y1076" s="28"/>
      <c r="Z1076" s="28"/>
      <c r="AA1076" s="28"/>
      <c r="AB1076" s="28"/>
      <c r="AC1076" s="28"/>
      <c r="AD1076" s="28"/>
    </row>
    <row r="1077" spans="9:30" x14ac:dyDescent="0.35">
      <c r="I1077" s="28" t="s">
        <v>2298</v>
      </c>
      <c r="J1077" s="28" t="s">
        <v>381</v>
      </c>
      <c r="K1077" s="28" t="str">
        <f t="shared" si="22"/>
        <v>VijesValle del Cauca</v>
      </c>
      <c r="L1077" s="28"/>
      <c r="M1077" s="28"/>
      <c r="N1077" s="28"/>
      <c r="O1077" s="28"/>
      <c r="P1077" s="28"/>
      <c r="Q1077" s="28"/>
      <c r="R1077" s="28"/>
      <c r="S1077" s="28"/>
      <c r="T1077" s="28"/>
      <c r="U1077" s="41"/>
      <c r="V1077" s="41"/>
      <c r="W1077" s="41"/>
      <c r="X1077" s="28"/>
      <c r="Y1077" s="28"/>
      <c r="Z1077" s="28"/>
      <c r="AA1077" s="28"/>
      <c r="AB1077" s="28"/>
      <c r="AC1077" s="28"/>
      <c r="AD1077" s="28"/>
    </row>
    <row r="1078" spans="9:30" x14ac:dyDescent="0.35">
      <c r="I1078" s="28" t="s">
        <v>2299</v>
      </c>
      <c r="J1078" s="28" t="s">
        <v>190</v>
      </c>
      <c r="K1078" s="28" t="str">
        <f t="shared" si="22"/>
        <v>Villa CaroNorte de Santander</v>
      </c>
      <c r="L1078" s="28"/>
      <c r="M1078" s="28"/>
      <c r="N1078" s="28"/>
      <c r="O1078" s="28"/>
      <c r="P1078" s="28"/>
      <c r="Q1078" s="28"/>
      <c r="R1078" s="28"/>
      <c r="S1078" s="28"/>
      <c r="T1078" s="28"/>
      <c r="U1078" s="41"/>
      <c r="V1078" s="41"/>
      <c r="W1078" s="41"/>
      <c r="X1078" s="28"/>
      <c r="Y1078" s="28"/>
      <c r="Z1078" s="28"/>
      <c r="AA1078" s="28"/>
      <c r="AB1078" s="28"/>
      <c r="AC1078" s="28"/>
      <c r="AD1078" s="28"/>
    </row>
    <row r="1079" spans="9:30" x14ac:dyDescent="0.35">
      <c r="I1079" s="28" t="s">
        <v>2300</v>
      </c>
      <c r="J1079" s="28" t="s">
        <v>274</v>
      </c>
      <c r="K1079" s="28" t="str">
        <f t="shared" si="22"/>
        <v>Villa de LeyvaBoyaca</v>
      </c>
      <c r="L1079" s="28"/>
      <c r="M1079" s="28"/>
      <c r="N1079" s="28"/>
      <c r="O1079" s="28"/>
      <c r="P1079" s="28"/>
      <c r="Q1079" s="28"/>
      <c r="R1079" s="28"/>
      <c r="S1079" s="28"/>
      <c r="T1079" s="28"/>
      <c r="U1079" s="41"/>
      <c r="V1079" s="41"/>
      <c r="W1079" s="41"/>
      <c r="X1079" s="28"/>
      <c r="Y1079" s="28"/>
      <c r="Z1079" s="28"/>
      <c r="AA1079" s="28"/>
      <c r="AB1079" s="28"/>
      <c r="AC1079" s="28"/>
      <c r="AD1079" s="28"/>
    </row>
    <row r="1080" spans="9:30" x14ac:dyDescent="0.35">
      <c r="I1080" s="28" t="s">
        <v>2301</v>
      </c>
      <c r="J1080" s="28" t="s">
        <v>283</v>
      </c>
      <c r="K1080" s="28" t="str">
        <f t="shared" si="22"/>
        <v>Villa de San Diego de UbateCundinamarca</v>
      </c>
      <c r="L1080" s="28"/>
      <c r="M1080" s="28"/>
      <c r="N1080" s="28"/>
      <c r="O1080" s="28"/>
      <c r="P1080" s="28"/>
      <c r="Q1080" s="28"/>
      <c r="R1080" s="28"/>
      <c r="S1080" s="28"/>
      <c r="T1080" s="28"/>
      <c r="U1080" s="41"/>
      <c r="V1080" s="41"/>
      <c r="W1080" s="41"/>
      <c r="X1080" s="28"/>
      <c r="Y1080" s="28"/>
      <c r="Z1080" s="28"/>
      <c r="AA1080" s="28"/>
      <c r="AB1080" s="28"/>
      <c r="AC1080" s="28"/>
      <c r="AD1080" s="28"/>
    </row>
    <row r="1081" spans="9:30" x14ac:dyDescent="0.35">
      <c r="I1081" s="28" t="s">
        <v>2302</v>
      </c>
      <c r="J1081" s="28" t="s">
        <v>190</v>
      </c>
      <c r="K1081" s="28" t="str">
        <f t="shared" si="22"/>
        <v>Villa del RosarioNorte de Santander</v>
      </c>
      <c r="L1081" s="28"/>
      <c r="M1081" s="28"/>
      <c r="N1081" s="28"/>
      <c r="O1081" s="28"/>
      <c r="P1081" s="28"/>
      <c r="Q1081" s="28"/>
      <c r="R1081" s="28"/>
      <c r="S1081" s="28"/>
      <c r="T1081" s="28"/>
      <c r="U1081" s="41"/>
      <c r="V1081" s="41"/>
      <c r="W1081" s="41"/>
      <c r="X1081" s="28"/>
      <c r="Y1081" s="28"/>
      <c r="Z1081" s="28"/>
      <c r="AA1081" s="28"/>
      <c r="AB1081" s="28"/>
      <c r="AC1081" s="28"/>
      <c r="AD1081" s="28"/>
    </row>
    <row r="1082" spans="9:30" x14ac:dyDescent="0.35">
      <c r="I1082" s="28" t="s">
        <v>2303</v>
      </c>
      <c r="J1082" s="28" t="s">
        <v>315</v>
      </c>
      <c r="K1082" s="28" t="str">
        <f t="shared" si="22"/>
        <v>Villa RicaCauca</v>
      </c>
      <c r="L1082" s="28"/>
      <c r="M1082" s="28"/>
      <c r="N1082" s="28"/>
      <c r="O1082" s="28"/>
      <c r="P1082" s="28"/>
      <c r="Q1082" s="28"/>
      <c r="R1082" s="28"/>
      <c r="S1082" s="28"/>
      <c r="T1082" s="28"/>
      <c r="U1082" s="41"/>
      <c r="V1082" s="41"/>
      <c r="W1082" s="41"/>
      <c r="X1082" s="28"/>
      <c r="Y1082" s="28"/>
      <c r="Z1082" s="28"/>
      <c r="AA1082" s="28"/>
      <c r="AB1082" s="28"/>
      <c r="AC1082" s="28"/>
      <c r="AD1082" s="28"/>
    </row>
    <row r="1083" spans="9:30" x14ac:dyDescent="0.35">
      <c r="I1083" s="28" t="s">
        <v>2304</v>
      </c>
      <c r="J1083" s="28" t="s">
        <v>396</v>
      </c>
      <c r="K1083" s="28" t="str">
        <f t="shared" si="22"/>
        <v>VillagarzónPutumayo</v>
      </c>
      <c r="L1083" s="28"/>
      <c r="M1083" s="28"/>
      <c r="N1083" s="28"/>
      <c r="O1083" s="28"/>
      <c r="P1083" s="28"/>
      <c r="Q1083" s="28"/>
      <c r="R1083" s="28"/>
      <c r="S1083" s="28"/>
      <c r="T1083" s="28"/>
      <c r="U1083" s="41"/>
      <c r="V1083" s="41"/>
      <c r="W1083" s="41"/>
      <c r="X1083" s="28"/>
      <c r="Y1083" s="28"/>
      <c r="Z1083" s="28"/>
      <c r="AA1083" s="28"/>
      <c r="AB1083" s="28"/>
      <c r="AC1083" s="28"/>
      <c r="AD1083" s="28"/>
    </row>
    <row r="1084" spans="9:30" x14ac:dyDescent="0.35">
      <c r="I1084" s="28" t="s">
        <v>2305</v>
      </c>
      <c r="J1084" s="28" t="s">
        <v>283</v>
      </c>
      <c r="K1084" s="28" t="str">
        <f t="shared" si="22"/>
        <v>VillagómezCundinamarca</v>
      </c>
      <c r="L1084" s="28"/>
      <c r="M1084" s="28"/>
      <c r="N1084" s="28"/>
      <c r="O1084" s="28"/>
      <c r="P1084" s="28"/>
      <c r="Q1084" s="28"/>
      <c r="R1084" s="28"/>
      <c r="S1084" s="28"/>
      <c r="T1084" s="28"/>
      <c r="U1084" s="41"/>
      <c r="V1084" s="41"/>
      <c r="W1084" s="41"/>
      <c r="X1084" s="28"/>
      <c r="Y1084" s="28"/>
      <c r="Z1084" s="28"/>
      <c r="AA1084" s="28"/>
      <c r="AB1084" s="28"/>
      <c r="AC1084" s="28"/>
      <c r="AD1084" s="28"/>
    </row>
    <row r="1085" spans="9:30" x14ac:dyDescent="0.35">
      <c r="I1085" s="28" t="s">
        <v>2306</v>
      </c>
      <c r="J1085" s="28" t="s">
        <v>409</v>
      </c>
      <c r="K1085" s="28" t="str">
        <f t="shared" si="22"/>
        <v>VillahermosaTolima</v>
      </c>
      <c r="L1085" s="28"/>
      <c r="M1085" s="28"/>
      <c r="N1085" s="28"/>
      <c r="O1085" s="28"/>
      <c r="P1085" s="28"/>
      <c r="Q1085" s="28"/>
      <c r="R1085" s="28"/>
      <c r="S1085" s="28"/>
      <c r="T1085" s="28"/>
      <c r="U1085" s="41"/>
      <c r="V1085" s="41"/>
      <c r="W1085" s="41"/>
      <c r="X1085" s="28"/>
      <c r="Y1085" s="28"/>
      <c r="Z1085" s="28"/>
      <c r="AA1085" s="28"/>
      <c r="AB1085" s="28"/>
      <c r="AC1085" s="28"/>
      <c r="AD1085" s="28"/>
    </row>
    <row r="1086" spans="9:30" x14ac:dyDescent="0.35">
      <c r="I1086" s="28" t="s">
        <v>2307</v>
      </c>
      <c r="J1086" s="28" t="s">
        <v>284</v>
      </c>
      <c r="K1086" s="28" t="str">
        <f t="shared" si="22"/>
        <v>VillamaríaCaldas</v>
      </c>
      <c r="L1086" s="28"/>
      <c r="M1086" s="28"/>
      <c r="N1086" s="28"/>
      <c r="O1086" s="28"/>
      <c r="P1086" s="28"/>
      <c r="Q1086" s="28"/>
      <c r="R1086" s="28"/>
      <c r="S1086" s="28"/>
      <c r="T1086" s="28"/>
      <c r="U1086" s="41"/>
      <c r="V1086" s="41"/>
      <c r="W1086" s="41"/>
      <c r="X1086" s="28"/>
      <c r="Y1086" s="28"/>
      <c r="Z1086" s="28"/>
      <c r="AA1086" s="28"/>
      <c r="AB1086" s="28"/>
      <c r="AC1086" s="28"/>
      <c r="AD1086" s="28"/>
    </row>
    <row r="1087" spans="9:30" x14ac:dyDescent="0.35">
      <c r="I1087" s="28" t="s">
        <v>2308</v>
      </c>
      <c r="J1087" s="28" t="s">
        <v>260</v>
      </c>
      <c r="K1087" s="28" t="str">
        <f t="shared" si="22"/>
        <v>VillanuevaBolivar</v>
      </c>
      <c r="L1087" s="28"/>
      <c r="M1087" s="28"/>
      <c r="N1087" s="28"/>
      <c r="O1087" s="28"/>
      <c r="P1087" s="28"/>
      <c r="Q1087" s="28"/>
      <c r="R1087" s="28"/>
      <c r="S1087" s="28"/>
      <c r="T1087" s="28"/>
      <c r="U1087" s="41"/>
      <c r="V1087" s="41"/>
      <c r="W1087" s="41"/>
      <c r="X1087" s="28"/>
      <c r="Y1087" s="28"/>
      <c r="Z1087" s="28"/>
      <c r="AA1087" s="28"/>
      <c r="AB1087" s="28"/>
      <c r="AC1087" s="28"/>
      <c r="AD1087" s="28"/>
    </row>
    <row r="1088" spans="9:30" x14ac:dyDescent="0.35">
      <c r="I1088" s="28" t="s">
        <v>2308</v>
      </c>
      <c r="J1088" s="28" t="s">
        <v>369</v>
      </c>
      <c r="K1088" s="28" t="str">
        <f t="shared" si="22"/>
        <v>VillanuevaLa Guajira</v>
      </c>
      <c r="L1088" s="28"/>
      <c r="M1088" s="28"/>
      <c r="N1088" s="28"/>
      <c r="O1088" s="28"/>
      <c r="P1088" s="28"/>
      <c r="Q1088" s="28"/>
      <c r="R1088" s="28"/>
      <c r="S1088" s="28"/>
      <c r="T1088" s="28"/>
      <c r="U1088" s="41"/>
      <c r="V1088" s="41"/>
      <c r="W1088" s="41"/>
      <c r="X1088" s="28"/>
      <c r="Y1088" s="28"/>
      <c r="Z1088" s="28"/>
      <c r="AA1088" s="28"/>
      <c r="AB1088" s="28"/>
      <c r="AC1088" s="28"/>
      <c r="AD1088" s="28"/>
    </row>
    <row r="1089" spans="9:30" x14ac:dyDescent="0.35">
      <c r="I1089" s="28" t="s">
        <v>2308</v>
      </c>
      <c r="J1089" s="28" t="s">
        <v>304</v>
      </c>
      <c r="K1089" s="28" t="str">
        <f t="shared" ref="K1089:K1119" si="23">_xlfn.CONCAT(TRIM(I1089),TRIM(J1089))</f>
        <v>VillanuevaSantander</v>
      </c>
      <c r="L1089" s="28"/>
      <c r="M1089" s="28"/>
      <c r="N1089" s="28"/>
      <c r="O1089" s="28"/>
      <c r="P1089" s="28"/>
      <c r="Q1089" s="28"/>
      <c r="R1089" s="28"/>
      <c r="S1089" s="28"/>
      <c r="T1089" s="28"/>
      <c r="U1089" s="41"/>
      <c r="V1089" s="41"/>
      <c r="W1089" s="41"/>
      <c r="X1089" s="28"/>
      <c r="Y1089" s="28"/>
      <c r="Z1089" s="28"/>
      <c r="AA1089" s="28"/>
      <c r="AB1089" s="28"/>
      <c r="AC1089" s="28"/>
      <c r="AD1089" s="28"/>
    </row>
    <row r="1090" spans="9:30" x14ac:dyDescent="0.35">
      <c r="I1090" s="28" t="s">
        <v>2308</v>
      </c>
      <c r="J1090" s="28" t="s">
        <v>305</v>
      </c>
      <c r="K1090" s="28" t="str">
        <f t="shared" si="23"/>
        <v>VillanuevaCasanare</v>
      </c>
      <c r="L1090" s="28"/>
      <c r="M1090" s="28"/>
      <c r="N1090" s="28"/>
      <c r="O1090" s="28"/>
      <c r="P1090" s="28"/>
      <c r="Q1090" s="28"/>
      <c r="R1090" s="28"/>
      <c r="S1090" s="28"/>
      <c r="T1090" s="28"/>
      <c r="U1090" s="41"/>
      <c r="V1090" s="41"/>
      <c r="W1090" s="41"/>
      <c r="X1090" s="28"/>
      <c r="Y1090" s="28"/>
      <c r="Z1090" s="28"/>
      <c r="AA1090" s="28"/>
      <c r="AB1090" s="28"/>
      <c r="AC1090" s="28"/>
      <c r="AD1090" s="28"/>
    </row>
    <row r="1091" spans="9:30" x14ac:dyDescent="0.35">
      <c r="I1091" s="28" t="s">
        <v>2309</v>
      </c>
      <c r="J1091" s="28" t="s">
        <v>283</v>
      </c>
      <c r="K1091" s="28" t="str">
        <f t="shared" si="23"/>
        <v>VillapinzónCundinamarca</v>
      </c>
      <c r="L1091" s="28"/>
      <c r="M1091" s="28"/>
      <c r="N1091" s="28"/>
      <c r="O1091" s="28"/>
      <c r="P1091" s="28"/>
      <c r="Q1091" s="28"/>
      <c r="R1091" s="28"/>
      <c r="S1091" s="28"/>
      <c r="T1091" s="28"/>
      <c r="U1091" s="41"/>
      <c r="V1091" s="41"/>
      <c r="W1091" s="41"/>
      <c r="X1091" s="28"/>
      <c r="Y1091" s="28"/>
      <c r="Z1091" s="28"/>
      <c r="AA1091" s="28"/>
      <c r="AB1091" s="28"/>
      <c r="AC1091" s="28"/>
      <c r="AD1091" s="28"/>
    </row>
    <row r="1092" spans="9:30" x14ac:dyDescent="0.35">
      <c r="I1092" s="28" t="s">
        <v>2310</v>
      </c>
      <c r="J1092" s="28" t="s">
        <v>409</v>
      </c>
      <c r="K1092" s="28" t="str">
        <f t="shared" si="23"/>
        <v>VillarricaTolima</v>
      </c>
      <c r="L1092" s="28"/>
      <c r="M1092" s="28"/>
      <c r="N1092" s="28"/>
      <c r="O1092" s="28"/>
      <c r="P1092" s="28"/>
      <c r="Q1092" s="28"/>
      <c r="R1092" s="28"/>
      <c r="S1092" s="28"/>
      <c r="T1092" s="28"/>
      <c r="U1092" s="41"/>
      <c r="V1092" s="41"/>
      <c r="W1092" s="41"/>
      <c r="X1092" s="28"/>
      <c r="Y1092" s="28"/>
      <c r="Z1092" s="28"/>
      <c r="AA1092" s="28"/>
      <c r="AB1092" s="28"/>
      <c r="AC1092" s="28"/>
      <c r="AD1092" s="28"/>
    </row>
    <row r="1093" spans="9:30" x14ac:dyDescent="0.35">
      <c r="I1093" s="28" t="s">
        <v>2311</v>
      </c>
      <c r="J1093" s="28" t="s">
        <v>210</v>
      </c>
      <c r="K1093" s="28" t="str">
        <f t="shared" si="23"/>
        <v>VillavicencioMeta</v>
      </c>
      <c r="L1093" s="28"/>
      <c r="M1093" s="28"/>
      <c r="N1093" s="28"/>
      <c r="O1093" s="28"/>
      <c r="P1093" s="28"/>
      <c r="Q1093" s="28"/>
      <c r="R1093" s="28"/>
      <c r="S1093" s="28"/>
      <c r="T1093" s="28"/>
      <c r="U1093" s="41"/>
      <c r="V1093" s="41"/>
      <c r="W1093" s="41"/>
      <c r="X1093" s="28"/>
      <c r="Y1093" s="28"/>
      <c r="Z1093" s="28"/>
      <c r="AA1093" s="28"/>
      <c r="AB1093" s="28"/>
      <c r="AC1093" s="28"/>
      <c r="AD1093" s="28"/>
    </row>
    <row r="1094" spans="9:30" x14ac:dyDescent="0.35">
      <c r="I1094" s="28" t="s">
        <v>2312</v>
      </c>
      <c r="J1094" s="28" t="s">
        <v>245</v>
      </c>
      <c r="K1094" s="28" t="str">
        <f t="shared" si="23"/>
        <v>VillaviejaHuila</v>
      </c>
      <c r="L1094" s="28"/>
      <c r="M1094" s="28"/>
      <c r="N1094" s="28"/>
      <c r="O1094" s="28"/>
      <c r="P1094" s="28"/>
      <c r="Q1094" s="28"/>
      <c r="R1094" s="28"/>
      <c r="S1094" s="28"/>
      <c r="T1094" s="28"/>
      <c r="U1094" s="41"/>
      <c r="V1094" s="41"/>
      <c r="W1094" s="41"/>
      <c r="X1094" s="28"/>
      <c r="Y1094" s="28"/>
      <c r="Z1094" s="28"/>
      <c r="AA1094" s="28"/>
      <c r="AB1094" s="28"/>
      <c r="AC1094" s="28"/>
      <c r="AD1094" s="28"/>
    </row>
    <row r="1095" spans="9:30" x14ac:dyDescent="0.35">
      <c r="I1095" s="28" t="s">
        <v>2313</v>
      </c>
      <c r="J1095" s="28" t="s">
        <v>283</v>
      </c>
      <c r="K1095" s="28" t="str">
        <f t="shared" si="23"/>
        <v>VilletaCundinamarca</v>
      </c>
      <c r="L1095" s="28"/>
      <c r="M1095" s="28"/>
      <c r="N1095" s="28"/>
      <c r="O1095" s="28"/>
      <c r="P1095" s="28"/>
      <c r="Q1095" s="28"/>
      <c r="R1095" s="28"/>
      <c r="S1095" s="28"/>
      <c r="T1095" s="28"/>
      <c r="U1095" s="41"/>
      <c r="V1095" s="41"/>
      <c r="W1095" s="41"/>
      <c r="X1095" s="28"/>
      <c r="Y1095" s="28"/>
      <c r="Z1095" s="28"/>
      <c r="AA1095" s="28"/>
      <c r="AB1095" s="28"/>
      <c r="AC1095" s="28"/>
      <c r="AD1095" s="28"/>
    </row>
    <row r="1096" spans="9:30" x14ac:dyDescent="0.35">
      <c r="I1096" s="28" t="s">
        <v>2314</v>
      </c>
      <c r="J1096" s="28" t="s">
        <v>283</v>
      </c>
      <c r="K1096" s="28" t="str">
        <f t="shared" si="23"/>
        <v>ViotáCundinamarca</v>
      </c>
      <c r="L1096" s="28"/>
      <c r="M1096" s="28"/>
      <c r="N1096" s="28"/>
      <c r="O1096" s="28"/>
      <c r="P1096" s="28"/>
      <c r="Q1096" s="28"/>
      <c r="R1096" s="28"/>
      <c r="S1096" s="28"/>
      <c r="T1096" s="28"/>
      <c r="U1096" s="41"/>
      <c r="V1096" s="41"/>
      <c r="W1096" s="41"/>
      <c r="X1096" s="28"/>
      <c r="Y1096" s="28"/>
      <c r="Z1096" s="28"/>
      <c r="AA1096" s="28"/>
      <c r="AB1096" s="28"/>
      <c r="AC1096" s="28"/>
      <c r="AD1096" s="28"/>
    </row>
    <row r="1097" spans="9:30" x14ac:dyDescent="0.35">
      <c r="I1097" s="28" t="s">
        <v>2315</v>
      </c>
      <c r="J1097" s="28" t="s">
        <v>274</v>
      </c>
      <c r="K1097" s="28" t="str">
        <f t="shared" si="23"/>
        <v>ViracacháBoyaca</v>
      </c>
      <c r="L1097" s="28"/>
      <c r="M1097" s="28"/>
      <c r="N1097" s="28"/>
      <c r="O1097" s="28"/>
      <c r="P1097" s="28"/>
      <c r="Q1097" s="28"/>
      <c r="R1097" s="28"/>
      <c r="S1097" s="28"/>
      <c r="T1097" s="28"/>
      <c r="U1097" s="41"/>
      <c r="V1097" s="41"/>
      <c r="W1097" s="41"/>
      <c r="X1097" s="28"/>
      <c r="Y1097" s="28"/>
      <c r="Z1097" s="28"/>
      <c r="AA1097" s="28"/>
      <c r="AB1097" s="28"/>
      <c r="AC1097" s="28"/>
      <c r="AD1097" s="28"/>
    </row>
    <row r="1098" spans="9:30" x14ac:dyDescent="0.35">
      <c r="I1098" s="28" t="s">
        <v>2316</v>
      </c>
      <c r="J1098" s="28" t="s">
        <v>210</v>
      </c>
      <c r="K1098" s="28" t="str">
        <f t="shared" si="23"/>
        <v>VistahermosaMeta</v>
      </c>
      <c r="L1098" s="28"/>
      <c r="M1098" s="28"/>
      <c r="N1098" s="28"/>
      <c r="O1098" s="28"/>
      <c r="P1098" s="28"/>
      <c r="Q1098" s="28"/>
      <c r="R1098" s="28"/>
      <c r="S1098" s="28"/>
      <c r="T1098" s="28"/>
      <c r="U1098" s="41"/>
      <c r="V1098" s="41"/>
      <c r="W1098" s="41"/>
      <c r="X1098" s="28"/>
      <c r="Y1098" s="28"/>
      <c r="Z1098" s="28"/>
      <c r="AA1098" s="28"/>
      <c r="AB1098" s="28"/>
      <c r="AC1098" s="28"/>
      <c r="AD1098" s="28"/>
    </row>
    <row r="1099" spans="9:30" x14ac:dyDescent="0.35">
      <c r="I1099" s="28" t="s">
        <v>2317</v>
      </c>
      <c r="J1099" s="28" t="s">
        <v>284</v>
      </c>
      <c r="K1099" s="28" t="str">
        <f t="shared" si="23"/>
        <v>ViterboCaldas</v>
      </c>
      <c r="L1099" s="28"/>
      <c r="M1099" s="28"/>
      <c r="N1099" s="28"/>
      <c r="O1099" s="28"/>
      <c r="P1099" s="28"/>
      <c r="Q1099" s="28"/>
      <c r="R1099" s="28"/>
      <c r="S1099" s="28"/>
      <c r="T1099" s="28"/>
      <c r="U1099" s="41"/>
      <c r="V1099" s="41"/>
      <c r="W1099" s="41"/>
      <c r="X1099" s="28"/>
      <c r="Y1099" s="28"/>
      <c r="Z1099" s="28"/>
      <c r="AA1099" s="28"/>
      <c r="AB1099" s="28"/>
      <c r="AC1099" s="28"/>
      <c r="AD1099" s="28"/>
    </row>
    <row r="1100" spans="9:30" x14ac:dyDescent="0.35">
      <c r="I1100" s="28" t="s">
        <v>2318</v>
      </c>
      <c r="J1100" s="28" t="s">
        <v>283</v>
      </c>
      <c r="K1100" s="28" t="str">
        <f t="shared" si="23"/>
        <v>YacopíCundinamarca</v>
      </c>
      <c r="L1100" s="28"/>
      <c r="M1100" s="28"/>
      <c r="N1100" s="28"/>
      <c r="O1100" s="28"/>
      <c r="P1100" s="28"/>
      <c r="Q1100" s="28"/>
      <c r="R1100" s="28"/>
      <c r="S1100" s="28"/>
      <c r="T1100" s="28"/>
      <c r="U1100" s="41"/>
      <c r="V1100" s="41"/>
      <c r="W1100" s="41"/>
      <c r="X1100" s="28"/>
      <c r="Y1100" s="28"/>
      <c r="Z1100" s="28"/>
      <c r="AA1100" s="28"/>
      <c r="AB1100" s="28"/>
      <c r="AC1100" s="28"/>
      <c r="AD1100" s="28"/>
    </row>
    <row r="1101" spans="9:30" x14ac:dyDescent="0.35">
      <c r="I1101" s="28" t="s">
        <v>2319</v>
      </c>
      <c r="J1101" s="28" t="s">
        <v>352</v>
      </c>
      <c r="K1101" s="28" t="str">
        <f t="shared" si="23"/>
        <v>YacuanquerNariño</v>
      </c>
      <c r="L1101" s="28"/>
      <c r="M1101" s="28"/>
      <c r="N1101" s="28"/>
      <c r="O1101" s="28"/>
      <c r="P1101" s="28"/>
      <c r="Q1101" s="28"/>
      <c r="R1101" s="28"/>
      <c r="S1101" s="28"/>
      <c r="T1101" s="28"/>
      <c r="U1101" s="41"/>
      <c r="V1101" s="41"/>
      <c r="W1101" s="41"/>
      <c r="X1101" s="28"/>
      <c r="Y1101" s="28"/>
      <c r="Z1101" s="28"/>
      <c r="AA1101" s="28"/>
      <c r="AB1101" s="28"/>
      <c r="AC1101" s="28"/>
      <c r="AD1101" s="28"/>
    </row>
    <row r="1102" spans="9:30" x14ac:dyDescent="0.35">
      <c r="I1102" s="28" t="s">
        <v>2320</v>
      </c>
      <c r="J1102" s="28" t="s">
        <v>245</v>
      </c>
      <c r="K1102" s="28" t="str">
        <f t="shared" si="23"/>
        <v>YaguaráHuila</v>
      </c>
      <c r="L1102" s="28"/>
      <c r="M1102" s="28"/>
      <c r="N1102" s="28"/>
      <c r="O1102" s="28"/>
      <c r="P1102" s="28"/>
      <c r="Q1102" s="28"/>
      <c r="R1102" s="28"/>
      <c r="S1102" s="28"/>
      <c r="T1102" s="28"/>
      <c r="U1102" s="41"/>
      <c r="V1102" s="41"/>
      <c r="W1102" s="41"/>
      <c r="X1102" s="28"/>
      <c r="Y1102" s="28"/>
      <c r="Z1102" s="28"/>
      <c r="AA1102" s="28"/>
      <c r="AB1102" s="28"/>
      <c r="AC1102" s="28"/>
      <c r="AD1102" s="28"/>
    </row>
    <row r="1103" spans="9:30" x14ac:dyDescent="0.35">
      <c r="I1103" s="28" t="s">
        <v>2321</v>
      </c>
      <c r="J1103" s="28" t="s">
        <v>154</v>
      </c>
      <c r="K1103" s="28" t="str">
        <f t="shared" si="23"/>
        <v>YalíAntioquia</v>
      </c>
      <c r="L1103" s="28"/>
      <c r="M1103" s="28"/>
      <c r="N1103" s="28"/>
      <c r="O1103" s="28"/>
      <c r="P1103" s="28"/>
      <c r="Q1103" s="28"/>
      <c r="R1103" s="28"/>
      <c r="S1103" s="28"/>
      <c r="T1103" s="28"/>
      <c r="U1103" s="41"/>
      <c r="V1103" s="41"/>
      <c r="W1103" s="41"/>
      <c r="X1103" s="28"/>
      <c r="Y1103" s="28"/>
      <c r="Z1103" s="28"/>
      <c r="AA1103" s="28"/>
      <c r="AB1103" s="28"/>
      <c r="AC1103" s="28"/>
      <c r="AD1103" s="28"/>
    </row>
    <row r="1104" spans="9:30" x14ac:dyDescent="0.35">
      <c r="I1104" s="28" t="s">
        <v>2322</v>
      </c>
      <c r="J1104" s="28" t="s">
        <v>154</v>
      </c>
      <c r="K1104" s="28" t="str">
        <f t="shared" si="23"/>
        <v>YarumalAntioquia</v>
      </c>
      <c r="L1104" s="28"/>
      <c r="M1104" s="28"/>
      <c r="N1104" s="28"/>
      <c r="O1104" s="28"/>
      <c r="P1104" s="28"/>
      <c r="Q1104" s="28"/>
      <c r="R1104" s="28"/>
      <c r="S1104" s="28"/>
      <c r="T1104" s="28"/>
      <c r="U1104" s="41"/>
      <c r="V1104" s="41"/>
      <c r="W1104" s="41"/>
      <c r="X1104" s="28"/>
      <c r="Y1104" s="28"/>
      <c r="Z1104" s="28"/>
      <c r="AA1104" s="28"/>
      <c r="AB1104" s="28"/>
      <c r="AC1104" s="28"/>
      <c r="AD1104" s="28"/>
    </row>
    <row r="1105" spans="9:30" x14ac:dyDescent="0.35">
      <c r="I1105" s="28" t="s">
        <v>2323</v>
      </c>
      <c r="J1105" s="28" t="s">
        <v>424</v>
      </c>
      <c r="K1105" s="28" t="str">
        <f t="shared" si="23"/>
        <v>YavaratéVaupes</v>
      </c>
      <c r="L1105" s="28"/>
      <c r="M1105" s="28"/>
      <c r="N1105" s="28"/>
      <c r="O1105" s="28"/>
      <c r="P1105" s="28"/>
      <c r="Q1105" s="28"/>
      <c r="R1105" s="28"/>
      <c r="S1105" s="28"/>
      <c r="T1105" s="28"/>
      <c r="U1105" s="41"/>
      <c r="V1105" s="41"/>
      <c r="W1105" s="41"/>
      <c r="X1105" s="28"/>
      <c r="Y1105" s="28"/>
      <c r="Z1105" s="28"/>
      <c r="AA1105" s="28"/>
      <c r="AB1105" s="28"/>
      <c r="AC1105" s="28"/>
      <c r="AD1105" s="28"/>
    </row>
    <row r="1106" spans="9:30" x14ac:dyDescent="0.35">
      <c r="I1106" s="28" t="s">
        <v>2324</v>
      </c>
      <c r="J1106" s="28" t="s">
        <v>154</v>
      </c>
      <c r="K1106" s="28" t="str">
        <f t="shared" si="23"/>
        <v>YolombóAntioquia</v>
      </c>
      <c r="L1106" s="28"/>
      <c r="M1106" s="28"/>
      <c r="N1106" s="28"/>
      <c r="O1106" s="28"/>
      <c r="P1106" s="28"/>
      <c r="Q1106" s="28"/>
      <c r="R1106" s="28"/>
      <c r="S1106" s="28"/>
      <c r="T1106" s="28"/>
      <c r="U1106" s="41"/>
      <c r="V1106" s="41"/>
      <c r="W1106" s="41"/>
      <c r="X1106" s="28"/>
      <c r="Y1106" s="28"/>
      <c r="Z1106" s="28"/>
      <c r="AA1106" s="28"/>
      <c r="AB1106" s="28"/>
      <c r="AC1106" s="28"/>
      <c r="AD1106" s="28"/>
    </row>
    <row r="1107" spans="9:30" x14ac:dyDescent="0.35">
      <c r="I1107" s="28" t="s">
        <v>2325</v>
      </c>
      <c r="J1107" s="28" t="s">
        <v>154</v>
      </c>
      <c r="K1107" s="28" t="str">
        <f t="shared" si="23"/>
        <v>YondóAntioquia</v>
      </c>
      <c r="L1107" s="28"/>
      <c r="M1107" s="28"/>
      <c r="N1107" s="28"/>
      <c r="O1107" s="28"/>
      <c r="P1107" s="28"/>
      <c r="Q1107" s="28"/>
      <c r="R1107" s="28"/>
      <c r="S1107" s="28"/>
      <c r="T1107" s="28"/>
      <c r="U1107" s="41"/>
      <c r="V1107" s="41"/>
      <c r="W1107" s="41"/>
      <c r="X1107" s="28"/>
      <c r="Y1107" s="28"/>
      <c r="Z1107" s="28"/>
      <c r="AA1107" s="28"/>
      <c r="AB1107" s="28"/>
      <c r="AC1107" s="28"/>
      <c r="AD1107" s="28"/>
    </row>
    <row r="1108" spans="9:30" x14ac:dyDescent="0.35">
      <c r="I1108" s="28" t="s">
        <v>2326</v>
      </c>
      <c r="J1108" s="28" t="s">
        <v>305</v>
      </c>
      <c r="K1108" s="28" t="str">
        <f t="shared" si="23"/>
        <v>YopalCasanare</v>
      </c>
      <c r="L1108" s="28"/>
      <c r="M1108" s="28"/>
      <c r="N1108" s="28"/>
      <c r="O1108" s="28"/>
      <c r="P1108" s="28"/>
      <c r="Q1108" s="28"/>
      <c r="R1108" s="28"/>
      <c r="S1108" s="28"/>
      <c r="T1108" s="28"/>
      <c r="U1108" s="41"/>
      <c r="V1108" s="41"/>
      <c r="W1108" s="41"/>
      <c r="X1108" s="28"/>
      <c r="Y1108" s="28"/>
      <c r="Z1108" s="28"/>
      <c r="AA1108" s="28"/>
      <c r="AB1108" s="28"/>
      <c r="AC1108" s="28"/>
      <c r="AD1108" s="28"/>
    </row>
    <row r="1109" spans="9:30" x14ac:dyDescent="0.35">
      <c r="I1109" s="28" t="s">
        <v>2327</v>
      </c>
      <c r="J1109" s="28" t="s">
        <v>381</v>
      </c>
      <c r="K1109" s="28" t="str">
        <f t="shared" si="23"/>
        <v>YotocoValle del Cauca</v>
      </c>
      <c r="L1109" s="28"/>
      <c r="M1109" s="28"/>
      <c r="N1109" s="28"/>
      <c r="O1109" s="28"/>
      <c r="P1109" s="28"/>
      <c r="Q1109" s="28"/>
      <c r="R1109" s="28"/>
      <c r="S1109" s="28"/>
      <c r="T1109" s="28"/>
      <c r="U1109" s="41"/>
      <c r="V1109" s="41"/>
      <c r="W1109" s="41"/>
      <c r="X1109" s="28"/>
      <c r="Y1109" s="28"/>
      <c r="Z1109" s="28"/>
      <c r="AA1109" s="28"/>
      <c r="AB1109" s="28"/>
      <c r="AC1109" s="28"/>
      <c r="AD1109" s="28"/>
    </row>
    <row r="1110" spans="9:30" x14ac:dyDescent="0.35">
      <c r="I1110" s="28" t="s">
        <v>2328</v>
      </c>
      <c r="J1110" s="28" t="s">
        <v>381</v>
      </c>
      <c r="K1110" s="28" t="str">
        <f t="shared" si="23"/>
        <v>YumboValle del Cauca</v>
      </c>
      <c r="L1110" s="28"/>
      <c r="M1110" s="28"/>
      <c r="N1110" s="28"/>
      <c r="O1110" s="28"/>
      <c r="P1110" s="28"/>
      <c r="Q1110" s="28"/>
      <c r="R1110" s="28"/>
      <c r="S1110" s="28"/>
      <c r="T1110" s="28"/>
      <c r="U1110" s="41"/>
      <c r="V1110" s="41"/>
      <c r="W1110" s="41"/>
      <c r="X1110" s="28"/>
      <c r="Y1110" s="28"/>
      <c r="Z1110" s="28"/>
      <c r="AA1110" s="28"/>
      <c r="AB1110" s="28"/>
      <c r="AC1110" s="28"/>
      <c r="AD1110" s="28"/>
    </row>
    <row r="1111" spans="9:30" x14ac:dyDescent="0.35">
      <c r="I1111" s="28" t="s">
        <v>2329</v>
      </c>
      <c r="J1111" s="28" t="s">
        <v>260</v>
      </c>
      <c r="K1111" s="28" t="str">
        <f t="shared" si="23"/>
        <v>ZambranoBolivar</v>
      </c>
      <c r="L1111" s="28"/>
      <c r="M1111" s="28"/>
      <c r="N1111" s="28"/>
      <c r="O1111" s="28"/>
      <c r="P1111" s="28"/>
      <c r="Q1111" s="28"/>
      <c r="R1111" s="28"/>
      <c r="S1111" s="28"/>
      <c r="T1111" s="28"/>
      <c r="U1111" s="41"/>
      <c r="V1111" s="41"/>
      <c r="W1111" s="41"/>
      <c r="X1111" s="28"/>
      <c r="Y1111" s="28"/>
      <c r="Z1111" s="28"/>
      <c r="AA1111" s="28"/>
      <c r="AB1111" s="28"/>
      <c r="AC1111" s="28"/>
      <c r="AD1111" s="28"/>
    </row>
    <row r="1112" spans="9:30" x14ac:dyDescent="0.35">
      <c r="I1112" s="28" t="s">
        <v>2330</v>
      </c>
      <c r="J1112" s="28" t="s">
        <v>304</v>
      </c>
      <c r="K1112" s="28" t="str">
        <f t="shared" si="23"/>
        <v>ZapatocaSantander</v>
      </c>
      <c r="L1112" s="28"/>
      <c r="M1112" s="28"/>
      <c r="N1112" s="28"/>
      <c r="O1112" s="28"/>
      <c r="P1112" s="28"/>
      <c r="Q1112" s="28"/>
      <c r="R1112" s="28"/>
      <c r="S1112" s="28"/>
      <c r="T1112" s="28"/>
      <c r="U1112" s="41"/>
      <c r="V1112" s="41"/>
      <c r="W1112" s="41"/>
      <c r="X1112" s="28"/>
      <c r="Y1112" s="28"/>
      <c r="Z1112" s="28"/>
      <c r="AA1112" s="28"/>
      <c r="AB1112" s="28"/>
      <c r="AC1112" s="28"/>
      <c r="AD1112" s="28"/>
    </row>
    <row r="1113" spans="9:30" x14ac:dyDescent="0.35">
      <c r="I1113" s="28" t="s">
        <v>2331</v>
      </c>
      <c r="J1113" s="28" t="s">
        <v>382</v>
      </c>
      <c r="K1113" s="28" t="str">
        <f t="shared" si="23"/>
        <v>ZapayánMagdalena</v>
      </c>
      <c r="L1113" s="28"/>
      <c r="M1113" s="28"/>
      <c r="N1113" s="28"/>
      <c r="O1113" s="28"/>
      <c r="P1113" s="28"/>
      <c r="Q1113" s="28"/>
      <c r="R1113" s="28"/>
      <c r="S1113" s="28"/>
      <c r="T1113" s="28"/>
      <c r="U1113" s="41"/>
      <c r="V1113" s="41"/>
      <c r="W1113" s="41"/>
      <c r="X1113" s="28"/>
      <c r="Y1113" s="28"/>
      <c r="Z1113" s="28"/>
      <c r="AA1113" s="28"/>
      <c r="AB1113" s="28"/>
      <c r="AC1113" s="28"/>
      <c r="AD1113" s="28"/>
    </row>
    <row r="1114" spans="9:30" x14ac:dyDescent="0.35">
      <c r="I1114" s="28" t="s">
        <v>2332</v>
      </c>
      <c r="J1114" s="28" t="s">
        <v>154</v>
      </c>
      <c r="K1114" s="28" t="str">
        <f t="shared" si="23"/>
        <v>ZaragozaAntioquia</v>
      </c>
      <c r="L1114" s="28"/>
      <c r="M1114" s="28"/>
      <c r="N1114" s="28"/>
      <c r="O1114" s="28"/>
      <c r="P1114" s="28"/>
      <c r="Q1114" s="28"/>
      <c r="R1114" s="28"/>
      <c r="S1114" s="28"/>
      <c r="T1114" s="28"/>
      <c r="U1114" s="41"/>
      <c r="V1114" s="41"/>
      <c r="W1114" s="41"/>
      <c r="X1114" s="28"/>
      <c r="Y1114" s="28"/>
      <c r="Z1114" s="28"/>
      <c r="AA1114" s="28"/>
      <c r="AB1114" s="28"/>
      <c r="AC1114" s="28"/>
      <c r="AD1114" s="28"/>
    </row>
    <row r="1115" spans="9:30" x14ac:dyDescent="0.35">
      <c r="I1115" s="28" t="s">
        <v>2333</v>
      </c>
      <c r="J1115" s="28" t="s">
        <v>381</v>
      </c>
      <c r="K1115" s="28" t="str">
        <f t="shared" si="23"/>
        <v>ZarzalValle del Cauca</v>
      </c>
      <c r="L1115" s="28"/>
      <c r="M1115" s="28"/>
      <c r="N1115" s="28"/>
      <c r="O1115" s="28"/>
      <c r="P1115" s="28"/>
      <c r="Q1115" s="28"/>
      <c r="R1115" s="28"/>
      <c r="S1115" s="28"/>
      <c r="T1115" s="28"/>
      <c r="U1115" s="41"/>
      <c r="V1115" s="41"/>
      <c r="W1115" s="41"/>
      <c r="X1115" s="28"/>
      <c r="Y1115" s="28"/>
      <c r="Z1115" s="28"/>
      <c r="AA1115" s="28"/>
      <c r="AB1115" s="28"/>
      <c r="AC1115" s="28"/>
      <c r="AD1115" s="28"/>
    </row>
    <row r="1116" spans="9:30" x14ac:dyDescent="0.35">
      <c r="I1116" s="28" t="s">
        <v>2334</v>
      </c>
      <c r="J1116" s="28" t="s">
        <v>274</v>
      </c>
      <c r="K1116" s="28" t="str">
        <f t="shared" si="23"/>
        <v>ZetaquiraBoyaca</v>
      </c>
      <c r="L1116" s="28"/>
      <c r="M1116" s="28"/>
      <c r="N1116" s="28"/>
      <c r="O1116" s="28"/>
      <c r="P1116" s="28"/>
      <c r="Q1116" s="28"/>
      <c r="R1116" s="28"/>
      <c r="S1116" s="28"/>
      <c r="T1116" s="28"/>
      <c r="U1116" s="41"/>
      <c r="V1116" s="41"/>
      <c r="W1116" s="41"/>
      <c r="X1116" s="28"/>
      <c r="Y1116" s="28"/>
      <c r="Z1116" s="28"/>
      <c r="AA1116" s="28"/>
      <c r="AB1116" s="28"/>
      <c r="AC1116" s="28"/>
      <c r="AD1116" s="28"/>
    </row>
    <row r="1117" spans="9:30" x14ac:dyDescent="0.35">
      <c r="I1117" s="28" t="s">
        <v>2335</v>
      </c>
      <c r="J1117" s="28" t="s">
        <v>283</v>
      </c>
      <c r="K1117" s="28" t="str">
        <f t="shared" si="23"/>
        <v>ZipacónCundinamarca</v>
      </c>
      <c r="L1117" s="28"/>
      <c r="M1117" s="28"/>
      <c r="N1117" s="28"/>
      <c r="O1117" s="28"/>
      <c r="P1117" s="28"/>
      <c r="Q1117" s="28"/>
      <c r="R1117" s="28"/>
      <c r="S1117" s="28"/>
      <c r="T1117" s="28"/>
      <c r="U1117" s="41"/>
      <c r="V1117" s="41"/>
      <c r="W1117" s="41"/>
      <c r="X1117" s="28"/>
      <c r="Y1117" s="28"/>
      <c r="Z1117" s="28"/>
      <c r="AA1117" s="28"/>
      <c r="AB1117" s="28"/>
      <c r="AC1117" s="28"/>
      <c r="AD1117" s="28"/>
    </row>
    <row r="1118" spans="9:30" x14ac:dyDescent="0.35">
      <c r="I1118" s="28" t="s">
        <v>2336</v>
      </c>
      <c r="J1118" s="28" t="s">
        <v>283</v>
      </c>
      <c r="K1118" s="28" t="str">
        <f t="shared" si="23"/>
        <v>ZipaquiráCundinamarca</v>
      </c>
      <c r="L1118" s="28"/>
      <c r="M1118" s="28"/>
      <c r="N1118" s="28"/>
      <c r="O1118" s="28"/>
      <c r="P1118" s="28"/>
      <c r="Q1118" s="28"/>
      <c r="R1118" s="28"/>
      <c r="S1118" s="28"/>
      <c r="T1118" s="28"/>
      <c r="U1118" s="41"/>
      <c r="V1118" s="41"/>
      <c r="W1118" s="41"/>
      <c r="X1118" s="28"/>
      <c r="Y1118" s="28"/>
      <c r="Z1118" s="28"/>
      <c r="AA1118" s="28"/>
      <c r="AB1118" s="28"/>
      <c r="AC1118" s="28"/>
      <c r="AD1118" s="28"/>
    </row>
    <row r="1119" spans="9:30" x14ac:dyDescent="0.35">
      <c r="I1119" s="28" t="s">
        <v>2337</v>
      </c>
      <c r="J1119" s="28" t="s">
        <v>382</v>
      </c>
      <c r="K1119" s="28" t="str">
        <f t="shared" si="23"/>
        <v>Zona BananeraMagdalena</v>
      </c>
      <c r="L1119" s="28"/>
      <c r="M1119" s="28"/>
      <c r="N1119" s="28"/>
      <c r="O1119" s="28"/>
      <c r="P1119" s="28"/>
      <c r="Q1119" s="28"/>
      <c r="R1119" s="28"/>
      <c r="S1119" s="28"/>
      <c r="T1119" s="28"/>
      <c r="U1119" s="41"/>
      <c r="V1119" s="41"/>
      <c r="W1119" s="41"/>
      <c r="X1119" s="28"/>
      <c r="Y1119" s="28"/>
      <c r="Z1119" s="28"/>
      <c r="AA1119" s="28"/>
      <c r="AB1119" s="28"/>
      <c r="AC1119" s="28"/>
      <c r="AD1119" s="28"/>
    </row>
  </sheetData>
  <sheetProtection algorithmName="SHA-512" hashValue="nZcId6LZx7XHe9I83+GGmsjRgIR4xTy74U93OtFdjc0iM9CdAoihqBWnE0LZK6kQKOofmt+nE5Pn2tv3XMvnFA==" saltValue="0pMdihpATjQ3Gscztn767g==" spinCount="100000" sheet="1" scenarios="1"/>
  <autoFilter ref="AF1:AG268" xr:uid="{2172389A-5104-4B2A-82AD-AFCCBD331145}"/>
  <phoneticPr fontId="10" type="noConversion"/>
  <dataValidations disablePrompts="1" count="1">
    <dataValidation type="list" allowBlank="1" showInputMessage="1" showErrorMessage="1" sqref="AH2" xr:uid="{DCECFF00-88AE-494F-A626-E67EE61B17D3}">
      <formula1>$A$23:$A$36</formula1>
    </dataValidation>
  </dataValidations>
  <pageMargins left="0.7" right="0.7" top="0.75" bottom="0.75" header="0.3" footer="0.3"/>
  <legacy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9B66-7EAD-4A51-95ED-01DADFAA0EFE}">
  <sheetPr>
    <tabColor rgb="FFFFFF00"/>
  </sheetPr>
  <dimension ref="A1:Z17"/>
  <sheetViews>
    <sheetView view="pageBreakPreview" zoomScale="90" zoomScaleNormal="90" zoomScaleSheetLayoutView="90" workbookViewId="0"/>
  </sheetViews>
  <sheetFormatPr baseColWidth="10" defaultColWidth="10.90625" defaultRowHeight="14.5" x14ac:dyDescent="0.35"/>
  <cols>
    <col min="2" max="6" width="19.36328125" style="12" customWidth="1"/>
    <col min="7" max="7" width="12.08984375" style="12" bestFit="1" customWidth="1"/>
    <col min="8" max="8" width="12.6328125" style="12" bestFit="1" customWidth="1"/>
    <col min="9" max="9" width="15" style="12" bestFit="1" customWidth="1"/>
    <col min="10" max="11" width="13.6328125" style="12" customWidth="1"/>
    <col min="12" max="12" width="18.453125" style="12" customWidth="1"/>
    <col min="13" max="13" width="14.6328125" style="12" customWidth="1"/>
    <col min="14" max="14" width="10.90625" style="12"/>
    <col min="15" max="15" width="12.453125" style="12" customWidth="1"/>
    <col min="16" max="16" width="18.90625" style="12" customWidth="1"/>
    <col min="18" max="18" width="12.36328125" customWidth="1"/>
    <col min="22" max="22" width="13.90625" customWidth="1"/>
    <col min="25" max="25" width="14.36328125" customWidth="1"/>
    <col min="26" max="26" width="19.36328125" customWidth="1"/>
  </cols>
  <sheetData>
    <row r="1" spans="1:26" s="12" customFormat="1" ht="54" x14ac:dyDescent="0.35">
      <c r="A1" s="198" t="s">
        <v>2338</v>
      </c>
      <c r="B1" s="198" t="s">
        <v>2339</v>
      </c>
      <c r="C1" s="198" t="s">
        <v>138</v>
      </c>
      <c r="D1" s="198" t="s">
        <v>137</v>
      </c>
      <c r="E1" s="198" t="s">
        <v>2340</v>
      </c>
      <c r="F1" s="198" t="s">
        <v>2341</v>
      </c>
      <c r="G1" s="198" t="s">
        <v>2342</v>
      </c>
      <c r="H1" s="198" t="s">
        <v>139</v>
      </c>
      <c r="I1" s="198" t="s">
        <v>4</v>
      </c>
      <c r="J1" s="198" t="s">
        <v>79</v>
      </c>
      <c r="K1" s="198" t="s">
        <v>6</v>
      </c>
      <c r="L1" s="198" t="s">
        <v>7</v>
      </c>
      <c r="M1" s="193" t="s">
        <v>8</v>
      </c>
      <c r="N1" s="198" t="s">
        <v>9</v>
      </c>
      <c r="O1" s="198" t="s">
        <v>2343</v>
      </c>
      <c r="P1" s="198" t="s">
        <v>2344</v>
      </c>
      <c r="Q1" s="198" t="s">
        <v>12</v>
      </c>
      <c r="R1" s="198" t="s">
        <v>13</v>
      </c>
      <c r="S1" s="198" t="s">
        <v>14</v>
      </c>
      <c r="T1" s="198" t="s">
        <v>15</v>
      </c>
      <c r="U1" s="198" t="s">
        <v>16</v>
      </c>
      <c r="V1" s="198" t="s">
        <v>17</v>
      </c>
      <c r="W1" s="198" t="s">
        <v>18</v>
      </c>
      <c r="X1" s="198" t="s">
        <v>19</v>
      </c>
      <c r="Y1" s="198" t="s">
        <v>20</v>
      </c>
      <c r="Z1" s="198" t="s">
        <v>21</v>
      </c>
    </row>
    <row r="2" spans="1:26" s="60" customFormat="1" x14ac:dyDescent="0.35">
      <c r="A2" s="187" t="str" cm="1">
        <f t="array" ref="A2">IF(INDEX('Consolidado Punto'!A$6:A$21,ROW()-1)&lt;&gt;"",INDEX('Consolidado Punto'!A$6:A$21,ROW()-1),"")</f>
        <v/>
      </c>
      <c r="B2" s="194" t="e" cm="1">
        <f t="array" ref="B2">repetirNveces('Información Gral'!AE$31,COUNTA('Consolidado Punto'!A6:A17),)</f>
        <v>#VALUE!</v>
      </c>
      <c r="C2" s="187" t="e" cm="1">
        <f t="array" ref="C2">repetirNveces('Información Gral'!M$8,COUNTA('Consolidado Punto'!A6:A17),)</f>
        <v>#VALUE!</v>
      </c>
      <c r="D2" s="187" t="e" cm="1">
        <f t="array" ref="D2">repetirNveces('Información Gral'!C$8,COUNTA('Consolidado Punto'!A6:A17),)</f>
        <v>#VALUE!</v>
      </c>
      <c r="E2" s="187" t="e" cm="1">
        <f t="array" ref="E2">repetirNveces('Información Gral'!Z$11,COUNTA('Consolidado Punto'!A6:A17),)</f>
        <v>#VALUE!</v>
      </c>
      <c r="F2" s="187">
        <f>COUNT(F8:F12)</f>
        <v>0</v>
      </c>
      <c r="G2" s="187" t="e" cm="1">
        <f t="array" ref="G2">repetirNveces('Información Gral'!A$8,COUNTA('Consolidado Punto'!A6:A17),)</f>
        <v>#VALUE!</v>
      </c>
      <c r="H2" s="201" t="str">
        <f>RIGHT(A2,2)</f>
        <v/>
      </c>
      <c r="I2" s="187" t="str">
        <f>IFERROR(INDEX('Consolidado Punto'!$A$6:$T$17,MATCH($A2,'Consolidado Punto'!$A$6:$A$17,0),3),"")</f>
        <v/>
      </c>
      <c r="J2" s="187" t="str">
        <f>IFERROR(INDEX('Consolidado Punto'!$A$6:$T$17,MATCH($A2,'Consolidado Punto'!$A$6:$A$17,0),4),"")</f>
        <v/>
      </c>
      <c r="K2" s="187" t="str">
        <f>IFERROR(INDEX('Consolidado Punto'!$A$6:$T$17,MATCH($A2,'Consolidado Punto'!$A$6:$A$17,0),5),"")</f>
        <v/>
      </c>
      <c r="L2" s="187" t="str">
        <f>IFERROR(INDEX('Consolidado Punto'!$A$6:$T$17,MATCH($A2,'Consolidado Punto'!$A$6:$A$17,0),6),"")</f>
        <v/>
      </c>
      <c r="M2" s="187" t="str">
        <f>IFERROR(INDEX('Consolidado Punto'!$A$6:$T$17,MATCH($A2,'Consolidado Punto'!$A$6:$A$17,0),7),"")</f>
        <v/>
      </c>
      <c r="N2" s="205" t="str">
        <f>IFERROR(INDEX('Consolidado Punto'!$A$6:$T$17,MATCH($A2,'Consolidado Punto'!$A$6:$A$17,0),8),"")</f>
        <v/>
      </c>
      <c r="O2" s="206" t="str">
        <f>IFERROR(INDEX('Consolidado Punto'!$A$6:$T$17,MATCH($A2,'Consolidado Punto'!$A$6:$A$17,0),9),"")</f>
        <v/>
      </c>
      <c r="P2" s="187" t="str">
        <f>IFERROR(INDEX('Consolidado Punto'!$A$6:$T$17,MATCH($A2,'Consolidado Punto'!$A$6:$A$17,0),10),"")</f>
        <v/>
      </c>
      <c r="Q2" s="187" t="str">
        <f>IFERROR(INDEX('Consolidado Punto'!$A$6:$T$17,MATCH($A2,'Consolidado Punto'!$A$6:$A$17,0),11),"")</f>
        <v/>
      </c>
      <c r="R2" s="207" t="str">
        <f>IFERROR(INDEX('Consolidado Punto'!$A$6:$T$17,MATCH($A2,'Consolidado Punto'!$A$6:$A$17,0),12),"")</f>
        <v/>
      </c>
      <c r="S2" s="187" t="str">
        <f>IFERROR(INDEX('Consolidado Punto'!$A$6:$T$17,MATCH($A2,'Consolidado Punto'!$A$6:$A$17,0),13),"")</f>
        <v/>
      </c>
      <c r="T2" s="208" t="str">
        <f>IFERROR(INDEX('Consolidado Punto'!$A$6:$T$17,MATCH($A2,'Consolidado Punto'!$A$6:$A$17,0),14),"")</f>
        <v/>
      </c>
      <c r="U2" s="187" t="str">
        <f>IFERROR(INDEX('Consolidado Punto'!$A$6:$T$17,MATCH($A2,'Consolidado Punto'!$A$6:$A$17,0),15),"")</f>
        <v/>
      </c>
      <c r="V2" s="208" t="str">
        <f>IFERROR(INDEX('Consolidado Punto'!$A$6:$T$17,MATCH($A2,'Consolidado Punto'!$A$6:$A$17,0),16),"")</f>
        <v/>
      </c>
      <c r="W2" s="187" t="str">
        <f>IFERROR(INDEX('Consolidado Punto'!$A$6:$T$17,MATCH($A2,'Consolidado Punto'!$A$6:$A$17,0),17),"")</f>
        <v/>
      </c>
      <c r="X2" s="187" t="str">
        <f>IFERROR(INDEX('Consolidado Punto'!$A$6:$T$17,MATCH($A2,'Consolidado Punto'!$A$6:$A$17,0),18),"")</f>
        <v/>
      </c>
      <c r="Y2" s="187" t="str">
        <f>IFERROR(INDEX('Consolidado Punto'!$A$6:$T$17,MATCH($A2,'Consolidado Punto'!$A$6:$A$17,0),19),"")</f>
        <v/>
      </c>
      <c r="Z2" s="187" t="str">
        <f>IFERROR(INDEX('Consolidado Punto'!$A$6:$T$17,MATCH($A2,'Consolidado Punto'!$A$6:$A$17,0),20),"")</f>
        <v/>
      </c>
    </row>
    <row r="3" spans="1:26" s="60" customFormat="1" x14ac:dyDescent="0.35">
      <c r="A3" s="121" t="str" cm="1">
        <f t="array" ref="A3">IF(INDEX('Consolidado Punto'!A$6:A$21,ROW()-1)&lt;&gt;"",INDEX('Consolidado Punto'!A$6:A$21,ROW()-1),"")</f>
        <v/>
      </c>
      <c r="B3" s="120"/>
      <c r="C3" s="121"/>
      <c r="D3" s="121"/>
      <c r="E3" s="121"/>
      <c r="F3" s="121"/>
      <c r="G3" s="121"/>
      <c r="H3" s="169" t="str">
        <f t="shared" ref="H3:H13" si="0">RIGHT(A3,2)</f>
        <v/>
      </c>
      <c r="I3" s="121" t="str">
        <f>IFERROR(INDEX('Consolidado Punto'!$A$6:$T$17,MATCH($A3,'Consolidado Punto'!$A$6:$A$17,0),3),"")</f>
        <v/>
      </c>
      <c r="J3" s="121" t="str">
        <f>IFERROR(INDEX('Consolidado Punto'!$A$6:$T$17,MATCH($A3,'Consolidado Punto'!$A$6:$A$17,0),4),"")</f>
        <v/>
      </c>
      <c r="K3" s="121" t="str">
        <f>IFERROR(INDEX('Consolidado Punto'!$A$6:$T$17,MATCH($A3,'Consolidado Punto'!$A$6:$A$17,0),5),"")</f>
        <v/>
      </c>
      <c r="L3" s="121" t="str">
        <f>IFERROR(INDEX('Consolidado Punto'!$A$6:$T$17,MATCH($A3,'Consolidado Punto'!$A$6:$A$17,0),6),"")</f>
        <v/>
      </c>
      <c r="M3" s="121" t="str">
        <f>IFERROR(INDEX('Consolidado Punto'!$A$6:$T$17,MATCH($A3,'Consolidado Punto'!$A$6:$A$17,0),7),"")</f>
        <v/>
      </c>
      <c r="N3" s="171" t="str">
        <f>IFERROR(INDEX('Consolidado Punto'!$A$6:$T$17,MATCH($A3,'Consolidado Punto'!$A$6:$A$17,0),8),"")</f>
        <v/>
      </c>
      <c r="O3" s="172" t="str">
        <f>IFERROR(INDEX('Consolidado Punto'!$A$6:$T$17,MATCH($A3,'Consolidado Punto'!$A$6:$A$17,0),9),"")</f>
        <v/>
      </c>
      <c r="P3" s="121" t="str">
        <f>IFERROR(INDEX('Consolidado Punto'!$A$6:$T$17,MATCH($A3,'Consolidado Punto'!$A$6:$A$17,0),10),"")</f>
        <v/>
      </c>
      <c r="Q3" s="121" t="str">
        <f>IFERROR(INDEX('Consolidado Punto'!$A$6:$T$17,MATCH($A3,'Consolidado Punto'!$A$6:$A$17,0),11),"")</f>
        <v/>
      </c>
      <c r="R3" s="184" t="str">
        <f>IFERROR(INDEX('Consolidado Punto'!$A$6:$T$17,MATCH($A3,'Consolidado Punto'!$A$6:$A$17,0),12),"")</f>
        <v/>
      </c>
      <c r="S3" s="121" t="str">
        <f>IFERROR(INDEX('Consolidado Punto'!$A$6:$T$17,MATCH($A3,'Consolidado Punto'!$A$6:$A$17,0),13),"")</f>
        <v/>
      </c>
      <c r="T3" s="185" t="str">
        <f>IFERROR(INDEX('Consolidado Punto'!$A$6:$T$17,MATCH($A3,'Consolidado Punto'!$A$6:$A$17,0),14),"")</f>
        <v/>
      </c>
      <c r="U3" s="121" t="str">
        <f>IFERROR(INDEX('Consolidado Punto'!$A$6:$T$17,MATCH($A3,'Consolidado Punto'!$A$6:$A$17,0),15),"")</f>
        <v/>
      </c>
      <c r="V3" s="185" t="str">
        <f>IFERROR(INDEX('Consolidado Punto'!$A$6:$T$17,MATCH($A3,'Consolidado Punto'!$A$6:$A$17,0),16),"")</f>
        <v/>
      </c>
      <c r="W3" s="121" t="str">
        <f>IFERROR(INDEX('Consolidado Punto'!$A$6:$T$17,MATCH($A3,'Consolidado Punto'!$A$6:$A$17,0),17),"")</f>
        <v/>
      </c>
      <c r="X3" s="121" t="str">
        <f>IFERROR(INDEX('Consolidado Punto'!$A$6:$T$17,MATCH($A3,'Consolidado Punto'!$A$6:$A$17,0),18),"")</f>
        <v/>
      </c>
      <c r="Y3" s="121" t="str">
        <f>IFERROR(INDEX('Consolidado Punto'!$A$6:$T$17,MATCH($A3,'Consolidado Punto'!$A$6:$A$17,0),19),"")</f>
        <v/>
      </c>
      <c r="Z3" s="121" t="str">
        <f>IFERROR(INDEX('Consolidado Punto'!$A$6:$T$17,MATCH($A3,'Consolidado Punto'!$A$6:$A$17,0),20),"")</f>
        <v/>
      </c>
    </row>
    <row r="4" spans="1:26" s="60" customFormat="1" x14ac:dyDescent="0.35">
      <c r="A4" s="121" t="str" cm="1">
        <f t="array" ref="A4">IF(INDEX('Consolidado Punto'!A$6:A$21,ROW()-1)&lt;&gt;"",INDEX('Consolidado Punto'!A$6:A$21,ROW()-1),"")</f>
        <v/>
      </c>
      <c r="B4" s="120"/>
      <c r="C4" s="121"/>
      <c r="D4" s="121"/>
      <c r="E4" s="121"/>
      <c r="F4" s="121"/>
      <c r="G4" s="121"/>
      <c r="H4" s="169" t="str">
        <f t="shared" si="0"/>
        <v/>
      </c>
      <c r="I4" s="121" t="str">
        <f>IFERROR(INDEX('Consolidado Punto'!$A$6:$T$17,MATCH($A4,'Consolidado Punto'!$A$6:$A$17,0),3),"")</f>
        <v/>
      </c>
      <c r="J4" s="121" t="str">
        <f>IFERROR(INDEX('Consolidado Punto'!$A$6:$T$17,MATCH($A4,'Consolidado Punto'!$A$6:$A$17,0),4),"")</f>
        <v/>
      </c>
      <c r="K4" s="121" t="str">
        <f>IFERROR(INDEX('Consolidado Punto'!$A$6:$T$17,MATCH($A4,'Consolidado Punto'!$A$6:$A$17,0),5),"")</f>
        <v/>
      </c>
      <c r="L4" s="121" t="str">
        <f>IFERROR(INDEX('Consolidado Punto'!$A$6:$T$17,MATCH($A4,'Consolidado Punto'!$A$6:$A$17,0),6),"")</f>
        <v/>
      </c>
      <c r="M4" s="121" t="str">
        <f>IFERROR(INDEX('Consolidado Punto'!$A$6:$T$17,MATCH($A4,'Consolidado Punto'!$A$6:$A$17,0),7),"")</f>
        <v/>
      </c>
      <c r="N4" s="171" t="str">
        <f>IFERROR(INDEX('Consolidado Punto'!$A$6:$T$17,MATCH($A4,'Consolidado Punto'!$A$6:$A$17,0),8),"")</f>
        <v/>
      </c>
      <c r="O4" s="172" t="str">
        <f>IFERROR(INDEX('Consolidado Punto'!$A$6:$T$17,MATCH($A4,'Consolidado Punto'!$A$6:$A$17,0),9),"")</f>
        <v/>
      </c>
      <c r="P4" s="121" t="str">
        <f>IFERROR(INDEX('Consolidado Punto'!$A$6:$T$17,MATCH($A4,'Consolidado Punto'!$A$6:$A$17,0),10),"")</f>
        <v/>
      </c>
      <c r="Q4" s="121" t="str">
        <f>IFERROR(INDEX('Consolidado Punto'!$A$6:$T$17,MATCH($A4,'Consolidado Punto'!$A$6:$A$17,0),11),"")</f>
        <v/>
      </c>
      <c r="R4" s="184" t="str">
        <f>IFERROR(INDEX('Consolidado Punto'!$A$6:$T$17,MATCH($A4,'Consolidado Punto'!$A$6:$A$17,0),12),"")</f>
        <v/>
      </c>
      <c r="S4" s="121" t="str">
        <f>IFERROR(INDEX('Consolidado Punto'!$A$6:$T$17,MATCH($A4,'Consolidado Punto'!$A$6:$A$17,0),13),"")</f>
        <v/>
      </c>
      <c r="T4" s="185" t="str">
        <f>IFERROR(INDEX('Consolidado Punto'!$A$6:$T$17,MATCH($A4,'Consolidado Punto'!$A$6:$A$17,0),14),"")</f>
        <v/>
      </c>
      <c r="U4" s="121" t="str">
        <f>IFERROR(INDEX('Consolidado Punto'!$A$6:$T$17,MATCH($A4,'Consolidado Punto'!$A$6:$A$17,0),15),"")</f>
        <v/>
      </c>
      <c r="V4" s="185" t="str">
        <f>IFERROR(INDEX('Consolidado Punto'!$A$6:$T$17,MATCH($A4,'Consolidado Punto'!$A$6:$A$17,0),16),"")</f>
        <v/>
      </c>
      <c r="W4" s="121" t="str">
        <f>IFERROR(INDEX('Consolidado Punto'!$A$6:$T$17,MATCH($A4,'Consolidado Punto'!$A$6:$A$17,0),17),"")</f>
        <v/>
      </c>
      <c r="X4" s="121" t="str">
        <f>IFERROR(INDEX('Consolidado Punto'!$A$6:$T$17,MATCH($A4,'Consolidado Punto'!$A$6:$A$17,0),18),"")</f>
        <v/>
      </c>
      <c r="Y4" s="121" t="str">
        <f>IFERROR(INDEX('Consolidado Punto'!$A$6:$T$17,MATCH($A4,'Consolidado Punto'!$A$6:$A$17,0),19),"")</f>
        <v/>
      </c>
      <c r="Z4" s="121" t="str">
        <f>IFERROR(INDEX('Consolidado Punto'!$A$6:$T$17,MATCH($A4,'Consolidado Punto'!$A$6:$A$17,0),20),"")</f>
        <v/>
      </c>
    </row>
    <row r="5" spans="1:26" s="60" customFormat="1" x14ac:dyDescent="0.35">
      <c r="A5" s="121" t="str" cm="1">
        <f t="array" ref="A5">IF(INDEX('Consolidado Punto'!A$6:A$21,ROW()-1)&lt;&gt;"",INDEX('Consolidado Punto'!A$6:A$21,ROW()-1),"")</f>
        <v/>
      </c>
      <c r="B5" s="120"/>
      <c r="C5" s="121"/>
      <c r="D5" s="121"/>
      <c r="E5" s="121"/>
      <c r="F5" s="121"/>
      <c r="G5" s="121"/>
      <c r="H5" s="169" t="str">
        <f t="shared" si="0"/>
        <v/>
      </c>
      <c r="I5" s="121" t="str">
        <f>IFERROR(INDEX('Consolidado Punto'!$A$6:$T$17,MATCH($A5,'Consolidado Punto'!$A$6:$A$17,0),3),"")</f>
        <v/>
      </c>
      <c r="J5" s="121" t="str">
        <f>IFERROR(INDEX('Consolidado Punto'!$A$6:$T$17,MATCH($A5,'Consolidado Punto'!$A$6:$A$17,0),4),"")</f>
        <v/>
      </c>
      <c r="K5" s="121" t="str">
        <f>IFERROR(INDEX('Consolidado Punto'!$A$6:$T$17,MATCH($A5,'Consolidado Punto'!$A$6:$A$17,0),5),"")</f>
        <v/>
      </c>
      <c r="L5" s="121" t="str">
        <f>IFERROR(INDEX('Consolidado Punto'!$A$6:$T$17,MATCH($A5,'Consolidado Punto'!$A$6:$A$17,0),6),"")</f>
        <v/>
      </c>
      <c r="M5" s="121" t="str">
        <f>IFERROR(INDEX('Consolidado Punto'!$A$6:$T$17,MATCH($A5,'Consolidado Punto'!$A$6:$A$17,0),7),"")</f>
        <v/>
      </c>
      <c r="N5" s="171" t="str">
        <f>IFERROR(INDEX('Consolidado Punto'!$A$6:$T$17,MATCH($A5,'Consolidado Punto'!$A$6:$A$17,0),8),"")</f>
        <v/>
      </c>
      <c r="O5" s="172" t="str">
        <f>IFERROR(INDEX('Consolidado Punto'!$A$6:$T$17,MATCH($A5,'Consolidado Punto'!$A$6:$A$17,0),9),"")</f>
        <v/>
      </c>
      <c r="P5" s="121" t="str">
        <f>IFERROR(INDEX('Consolidado Punto'!$A$6:$T$17,MATCH($A5,'Consolidado Punto'!$A$6:$A$17,0),10),"")</f>
        <v/>
      </c>
      <c r="Q5" s="121" t="str">
        <f>IFERROR(INDEX('Consolidado Punto'!$A$6:$T$17,MATCH($A5,'Consolidado Punto'!$A$6:$A$17,0),11),"")</f>
        <v/>
      </c>
      <c r="R5" s="184" t="str">
        <f>IFERROR(INDEX('Consolidado Punto'!$A$6:$T$17,MATCH($A5,'Consolidado Punto'!$A$6:$A$17,0),12),"")</f>
        <v/>
      </c>
      <c r="S5" s="121" t="str">
        <f>IFERROR(INDEX('Consolidado Punto'!$A$6:$T$17,MATCH($A5,'Consolidado Punto'!$A$6:$A$17,0),13),"")</f>
        <v/>
      </c>
      <c r="T5" s="185" t="str">
        <f>IFERROR(INDEX('Consolidado Punto'!$A$6:$T$17,MATCH($A5,'Consolidado Punto'!$A$6:$A$17,0),14),"")</f>
        <v/>
      </c>
      <c r="U5" s="121" t="str">
        <f>IFERROR(INDEX('Consolidado Punto'!$A$6:$T$17,MATCH($A5,'Consolidado Punto'!$A$6:$A$17,0),15),"")</f>
        <v/>
      </c>
      <c r="V5" s="185" t="str">
        <f>IFERROR(INDEX('Consolidado Punto'!$A$6:$T$17,MATCH($A5,'Consolidado Punto'!$A$6:$A$17,0),16),"")</f>
        <v/>
      </c>
      <c r="W5" s="121" t="str">
        <f>IFERROR(INDEX('Consolidado Punto'!$A$6:$T$17,MATCH($A5,'Consolidado Punto'!$A$6:$A$17,0),17),"")</f>
        <v/>
      </c>
      <c r="X5" s="121" t="str">
        <f>IFERROR(INDEX('Consolidado Punto'!$A$6:$T$17,MATCH($A5,'Consolidado Punto'!$A$6:$A$17,0),18),"")</f>
        <v/>
      </c>
      <c r="Y5" s="121" t="str">
        <f>IFERROR(INDEX('Consolidado Punto'!$A$6:$T$17,MATCH($A5,'Consolidado Punto'!$A$6:$A$17,0),19),"")</f>
        <v/>
      </c>
      <c r="Z5" s="121" t="str">
        <f>IFERROR(INDEX('Consolidado Punto'!$A$6:$T$17,MATCH($A5,'Consolidado Punto'!$A$6:$A$17,0),20),"")</f>
        <v/>
      </c>
    </row>
    <row r="6" spans="1:26" s="60" customFormat="1" x14ac:dyDescent="0.35">
      <c r="A6" s="121" t="str" cm="1">
        <f t="array" ref="A6">IF(INDEX('Consolidado Punto'!A$6:A$21,ROW()-1)&lt;&gt;"",INDEX('Consolidado Punto'!A$6:A$21,ROW()-1),"")</f>
        <v/>
      </c>
      <c r="B6" s="120"/>
      <c r="C6" s="121"/>
      <c r="D6" s="121"/>
      <c r="E6" s="121"/>
      <c r="F6" s="121"/>
      <c r="G6" s="121"/>
      <c r="H6" s="169" t="str">
        <f t="shared" si="0"/>
        <v/>
      </c>
      <c r="I6" s="121" t="str">
        <f>IFERROR(INDEX('Consolidado Punto'!$A$6:$T$17,MATCH($A6,'Consolidado Punto'!$A$6:$A$17,0),3),"")</f>
        <v/>
      </c>
      <c r="J6" s="121" t="str">
        <f>IFERROR(INDEX('Consolidado Punto'!$A$6:$T$17,MATCH($A6,'Consolidado Punto'!$A$6:$A$17,0),4),"")</f>
        <v/>
      </c>
      <c r="K6" s="121" t="str">
        <f>IFERROR(INDEX('Consolidado Punto'!$A$6:$T$17,MATCH($A6,'Consolidado Punto'!$A$6:$A$17,0),5),"")</f>
        <v/>
      </c>
      <c r="L6" s="121" t="str">
        <f>IFERROR(INDEX('Consolidado Punto'!$A$6:$T$17,MATCH($A6,'Consolidado Punto'!$A$6:$A$17,0),6),"")</f>
        <v/>
      </c>
      <c r="M6" s="121" t="str">
        <f>IFERROR(INDEX('Consolidado Punto'!$A$6:$T$17,MATCH($A6,'Consolidado Punto'!$A$6:$A$17,0),7),"")</f>
        <v/>
      </c>
      <c r="N6" s="171" t="str">
        <f>IFERROR(INDEX('Consolidado Punto'!$A$6:$T$17,MATCH($A6,'Consolidado Punto'!$A$6:$A$17,0),8),"")</f>
        <v/>
      </c>
      <c r="O6" s="172" t="str">
        <f>IFERROR(INDEX('Consolidado Punto'!$A$6:$T$17,MATCH($A6,'Consolidado Punto'!$A$6:$A$17,0),9),"")</f>
        <v/>
      </c>
      <c r="P6" s="121" t="str">
        <f>IFERROR(INDEX('Consolidado Punto'!$A$6:$T$17,MATCH($A6,'Consolidado Punto'!$A$6:$A$17,0),10),"")</f>
        <v/>
      </c>
      <c r="Q6" s="121" t="str">
        <f>IFERROR(INDEX('Consolidado Punto'!$A$6:$T$17,MATCH($A6,'Consolidado Punto'!$A$6:$A$17,0),11),"")</f>
        <v/>
      </c>
      <c r="R6" s="184" t="str">
        <f>IFERROR(INDEX('Consolidado Punto'!$A$6:$T$17,MATCH($A6,'Consolidado Punto'!$A$6:$A$17,0),12),"")</f>
        <v/>
      </c>
      <c r="S6" s="121" t="str">
        <f>IFERROR(INDEX('Consolidado Punto'!$A$6:$T$17,MATCH($A6,'Consolidado Punto'!$A$6:$A$17,0),13),"")</f>
        <v/>
      </c>
      <c r="T6" s="185" t="str">
        <f>IFERROR(INDEX('Consolidado Punto'!$A$6:$T$17,MATCH($A6,'Consolidado Punto'!$A$6:$A$17,0),14),"")</f>
        <v/>
      </c>
      <c r="U6" s="121" t="str">
        <f>IFERROR(INDEX('Consolidado Punto'!$A$6:$T$17,MATCH($A6,'Consolidado Punto'!$A$6:$A$17,0),15),"")</f>
        <v/>
      </c>
      <c r="V6" s="185" t="str">
        <f>IFERROR(INDEX('Consolidado Punto'!$A$6:$T$17,MATCH($A6,'Consolidado Punto'!$A$6:$A$17,0),16),"")</f>
        <v/>
      </c>
      <c r="W6" s="121" t="str">
        <f>IFERROR(INDEX('Consolidado Punto'!$A$6:$T$17,MATCH($A6,'Consolidado Punto'!$A$6:$A$17,0),17),"")</f>
        <v/>
      </c>
      <c r="X6" s="121" t="str">
        <f>IFERROR(INDEX('Consolidado Punto'!$A$6:$T$17,MATCH($A6,'Consolidado Punto'!$A$6:$A$17,0),18),"")</f>
        <v/>
      </c>
      <c r="Y6" s="121" t="str">
        <f>IFERROR(INDEX('Consolidado Punto'!$A$6:$T$17,MATCH($A6,'Consolidado Punto'!$A$6:$A$17,0),19),"")</f>
        <v/>
      </c>
      <c r="Z6" s="121" t="str">
        <f>IFERROR(INDEX('Consolidado Punto'!$A$6:$T$17,MATCH($A6,'Consolidado Punto'!$A$6:$A$17,0),20),"")</f>
        <v/>
      </c>
    </row>
    <row r="7" spans="1:26" s="60" customFormat="1" x14ac:dyDescent="0.35">
      <c r="A7" s="121" t="str" cm="1">
        <f t="array" ref="A7">IF(INDEX('Consolidado Punto'!A$6:A$21,ROW()-1)&lt;&gt;"",INDEX('Consolidado Punto'!A$6:A$21,ROW()-1),"")</f>
        <v/>
      </c>
      <c r="B7" s="120"/>
      <c r="C7" s="121"/>
      <c r="D7" s="121"/>
      <c r="E7" s="121"/>
      <c r="F7" s="121"/>
      <c r="G7" s="121"/>
      <c r="H7" s="169" t="str">
        <f t="shared" si="0"/>
        <v/>
      </c>
      <c r="I7" s="121" t="str">
        <f>IFERROR(INDEX('Consolidado Punto'!$A$6:$T$17,MATCH($A7,'Consolidado Punto'!$A$6:$A$17,0),3),"")</f>
        <v/>
      </c>
      <c r="J7" s="121" t="str">
        <f>IFERROR(INDEX('Consolidado Punto'!$A$6:$T$17,MATCH($A7,'Consolidado Punto'!$A$6:$A$17,0),4),"")</f>
        <v/>
      </c>
      <c r="K7" s="121" t="str">
        <f>IFERROR(INDEX('Consolidado Punto'!$A$6:$T$17,MATCH($A7,'Consolidado Punto'!$A$6:$A$17,0),5),"")</f>
        <v/>
      </c>
      <c r="L7" s="121" t="str">
        <f>IFERROR(INDEX('Consolidado Punto'!$A$6:$T$17,MATCH($A7,'Consolidado Punto'!$A$6:$A$17,0),6),"")</f>
        <v/>
      </c>
      <c r="M7" s="121" t="str">
        <f>IFERROR(INDEX('Consolidado Punto'!$A$6:$T$17,MATCH($A7,'Consolidado Punto'!$A$6:$A$17,0),7),"")</f>
        <v/>
      </c>
      <c r="N7" s="171" t="str">
        <f>IFERROR(INDEX('Consolidado Punto'!$A$6:$T$17,MATCH($A7,'Consolidado Punto'!$A$6:$A$17,0),8),"")</f>
        <v/>
      </c>
      <c r="O7" s="172" t="str">
        <f>IFERROR(INDEX('Consolidado Punto'!$A$6:$T$17,MATCH($A7,'Consolidado Punto'!$A$6:$A$17,0),9),"")</f>
        <v/>
      </c>
      <c r="P7" s="121" t="str">
        <f>IFERROR(INDEX('Consolidado Punto'!$A$6:$T$17,MATCH($A7,'Consolidado Punto'!$A$6:$A$17,0),10),"")</f>
        <v/>
      </c>
      <c r="Q7" s="121" t="str">
        <f>IFERROR(INDEX('Consolidado Punto'!$A$6:$T$17,MATCH($A7,'Consolidado Punto'!$A$6:$A$17,0),11),"")</f>
        <v/>
      </c>
      <c r="R7" s="184" t="str">
        <f>IFERROR(INDEX('Consolidado Punto'!$A$6:$T$17,MATCH($A7,'Consolidado Punto'!$A$6:$A$17,0),12),"")</f>
        <v/>
      </c>
      <c r="S7" s="121" t="str">
        <f>IFERROR(INDEX('Consolidado Punto'!$A$6:$T$17,MATCH($A7,'Consolidado Punto'!$A$6:$A$17,0),13),"")</f>
        <v/>
      </c>
      <c r="T7" s="185" t="str">
        <f>IFERROR(INDEX('Consolidado Punto'!$A$6:$T$17,MATCH($A7,'Consolidado Punto'!$A$6:$A$17,0),14),"")</f>
        <v/>
      </c>
      <c r="U7" s="121" t="str">
        <f>IFERROR(INDEX('Consolidado Punto'!$A$6:$T$17,MATCH($A7,'Consolidado Punto'!$A$6:$A$17,0),15),"")</f>
        <v/>
      </c>
      <c r="V7" s="185" t="str">
        <f>IFERROR(INDEX('Consolidado Punto'!$A$6:$T$17,MATCH($A7,'Consolidado Punto'!$A$6:$A$17,0),16),"")</f>
        <v/>
      </c>
      <c r="W7" s="121" t="str">
        <f>IFERROR(INDEX('Consolidado Punto'!$A$6:$T$17,MATCH($A7,'Consolidado Punto'!$A$6:$A$17,0),17),"")</f>
        <v/>
      </c>
      <c r="X7" s="121" t="str">
        <f>IFERROR(INDEX('Consolidado Punto'!$A$6:$T$17,MATCH($A7,'Consolidado Punto'!$A$6:$A$17,0),18),"")</f>
        <v/>
      </c>
      <c r="Y7" s="121" t="str">
        <f>IFERROR(INDEX('Consolidado Punto'!$A$6:$T$17,MATCH($A7,'Consolidado Punto'!$A$6:$A$17,0),19),"")</f>
        <v/>
      </c>
      <c r="Z7" s="121" t="str">
        <f>IFERROR(INDEX('Consolidado Punto'!$A$6:$T$17,MATCH($A7,'Consolidado Punto'!$A$6:$A$17,0),20),"")</f>
        <v/>
      </c>
    </row>
    <row r="8" spans="1:26" s="60" customFormat="1" x14ac:dyDescent="0.35">
      <c r="A8" s="121" t="str" cm="1">
        <f t="array" ref="A8">IF(INDEX('Consolidado Punto'!A$6:A$21,ROW()-1)&lt;&gt;"",INDEX('Consolidado Punto'!A$6:A$21,ROW()-1),"")</f>
        <v/>
      </c>
      <c r="B8" s="120"/>
      <c r="C8" s="121"/>
      <c r="D8" s="121"/>
      <c r="E8" s="121"/>
      <c r="F8" s="121"/>
      <c r="G8" s="121"/>
      <c r="H8" s="169" t="str">
        <f t="shared" si="0"/>
        <v/>
      </c>
      <c r="I8" s="121" t="str">
        <f>IFERROR(INDEX('Consolidado Punto'!$A$6:$T$17,MATCH($A8,'Consolidado Punto'!$A$6:$A$17,0),3),"")</f>
        <v/>
      </c>
      <c r="J8" s="121" t="str">
        <f>IFERROR(INDEX('Consolidado Punto'!$A$6:$T$17,MATCH($A8,'Consolidado Punto'!$A$6:$A$17,0),4),"")</f>
        <v/>
      </c>
      <c r="K8" s="121" t="str">
        <f>IFERROR(INDEX('Consolidado Punto'!$A$6:$T$17,MATCH($A8,'Consolidado Punto'!$A$6:$A$17,0),5),"")</f>
        <v/>
      </c>
      <c r="L8" s="121" t="str">
        <f>IFERROR(INDEX('Consolidado Punto'!$A$6:$T$17,MATCH($A8,'Consolidado Punto'!$A$6:$A$17,0),6),"")</f>
        <v/>
      </c>
      <c r="M8" s="121" t="str">
        <f>IFERROR(INDEX('Consolidado Punto'!$A$6:$T$17,MATCH($A8,'Consolidado Punto'!$A$6:$A$17,0),7),"")</f>
        <v/>
      </c>
      <c r="N8" s="171" t="str">
        <f>IFERROR(INDEX('Consolidado Punto'!$A$6:$T$17,MATCH($A8,'Consolidado Punto'!$A$6:$A$17,0),8),"")</f>
        <v/>
      </c>
      <c r="O8" s="172" t="str">
        <f>IFERROR(INDEX('Consolidado Punto'!$A$6:$T$17,MATCH($A8,'Consolidado Punto'!$A$6:$A$17,0),9),"")</f>
        <v/>
      </c>
      <c r="P8" s="121" t="str">
        <f>IFERROR(INDEX('Consolidado Punto'!$A$6:$T$17,MATCH($A8,'Consolidado Punto'!$A$6:$A$17,0),10),"")</f>
        <v/>
      </c>
      <c r="Q8" s="121" t="str">
        <f>IFERROR(INDEX('Consolidado Punto'!$A$6:$T$17,MATCH($A8,'Consolidado Punto'!$A$6:$A$17,0),11),"")</f>
        <v/>
      </c>
      <c r="R8" s="184" t="str">
        <f>IFERROR(INDEX('Consolidado Punto'!$A$6:$T$17,MATCH($A8,'Consolidado Punto'!$A$6:$A$17,0),12),"")</f>
        <v/>
      </c>
      <c r="S8" s="121" t="str">
        <f>IFERROR(INDEX('Consolidado Punto'!$A$6:$T$17,MATCH($A8,'Consolidado Punto'!$A$6:$A$17,0),13),"")</f>
        <v/>
      </c>
      <c r="T8" s="185" t="str">
        <f>IFERROR(INDEX('Consolidado Punto'!$A$6:$T$17,MATCH($A8,'Consolidado Punto'!$A$6:$A$17,0),14),"")</f>
        <v/>
      </c>
      <c r="U8" s="121" t="str">
        <f>IFERROR(INDEX('Consolidado Punto'!$A$6:$T$17,MATCH($A8,'Consolidado Punto'!$A$6:$A$17,0),15),"")</f>
        <v/>
      </c>
      <c r="V8" s="185" t="str">
        <f>IFERROR(INDEX('Consolidado Punto'!$A$6:$T$17,MATCH($A8,'Consolidado Punto'!$A$6:$A$17,0),16),"")</f>
        <v/>
      </c>
      <c r="W8" s="121" t="str">
        <f>IFERROR(INDEX('Consolidado Punto'!$A$6:$T$17,MATCH($A8,'Consolidado Punto'!$A$6:$A$17,0),17),"")</f>
        <v/>
      </c>
      <c r="X8" s="121" t="str">
        <f>IFERROR(INDEX('Consolidado Punto'!$A$6:$T$17,MATCH($A8,'Consolidado Punto'!$A$6:$A$17,0),18),"")</f>
        <v/>
      </c>
      <c r="Y8" s="121" t="str">
        <f>IFERROR(INDEX('Consolidado Punto'!$A$6:$T$17,MATCH($A8,'Consolidado Punto'!$A$6:$A$17,0),19),"")</f>
        <v/>
      </c>
      <c r="Z8" s="121" t="str">
        <f>IFERROR(INDEX('Consolidado Punto'!$A$6:$T$17,MATCH($A8,'Consolidado Punto'!$A$6:$A$17,0),20),"")</f>
        <v/>
      </c>
    </row>
    <row r="9" spans="1:26" s="60" customFormat="1" x14ac:dyDescent="0.35">
      <c r="A9" s="121" t="str" cm="1">
        <f t="array" ref="A9">IF(INDEX('Consolidado Punto'!A$6:A$21,ROW()-1)&lt;&gt;"",INDEX('Consolidado Punto'!A$6:A$21,ROW()-1),"")</f>
        <v/>
      </c>
      <c r="B9" s="120"/>
      <c r="C9" s="121"/>
      <c r="D9" s="121"/>
      <c r="E9" s="121"/>
      <c r="F9" s="121"/>
      <c r="G9" s="121"/>
      <c r="H9" s="169" t="str">
        <f t="shared" si="0"/>
        <v/>
      </c>
      <c r="I9" s="121" t="str">
        <f>IFERROR(INDEX('Consolidado Punto'!$A$6:$T$17,MATCH($A9,'Consolidado Punto'!$A$6:$A$17,0),3),"")</f>
        <v/>
      </c>
      <c r="J9" s="121" t="str">
        <f>IFERROR(INDEX('Consolidado Punto'!$A$6:$T$17,MATCH($A9,'Consolidado Punto'!$A$6:$A$17,0),4),"")</f>
        <v/>
      </c>
      <c r="K9" s="121" t="str">
        <f>IFERROR(INDEX('Consolidado Punto'!$A$6:$T$17,MATCH($A9,'Consolidado Punto'!$A$6:$A$17,0),5),"")</f>
        <v/>
      </c>
      <c r="L9" s="121" t="str">
        <f>IFERROR(INDEX('Consolidado Punto'!$A$6:$T$17,MATCH($A9,'Consolidado Punto'!$A$6:$A$17,0),6),"")</f>
        <v/>
      </c>
      <c r="M9" s="121" t="str">
        <f>IFERROR(INDEX('Consolidado Punto'!$A$6:$T$17,MATCH($A9,'Consolidado Punto'!$A$6:$A$17,0),7),"")</f>
        <v/>
      </c>
      <c r="N9" s="171" t="str">
        <f>IFERROR(INDEX('Consolidado Punto'!$A$6:$T$17,MATCH($A9,'Consolidado Punto'!$A$6:$A$17,0),8),"")</f>
        <v/>
      </c>
      <c r="O9" s="172" t="str">
        <f>IFERROR(INDEX('Consolidado Punto'!$A$6:$T$17,MATCH($A9,'Consolidado Punto'!$A$6:$A$17,0),9),"")</f>
        <v/>
      </c>
      <c r="P9" s="121" t="str">
        <f>IFERROR(INDEX('Consolidado Punto'!$A$6:$T$17,MATCH($A9,'Consolidado Punto'!$A$6:$A$17,0),10),"")</f>
        <v/>
      </c>
      <c r="Q9" s="121" t="str">
        <f>IFERROR(INDEX('Consolidado Punto'!$A$6:$T$17,MATCH($A9,'Consolidado Punto'!$A$6:$A$17,0),11),"")</f>
        <v/>
      </c>
      <c r="R9" s="184" t="str">
        <f>IFERROR(INDEX('Consolidado Punto'!$A$6:$T$17,MATCH($A9,'Consolidado Punto'!$A$6:$A$17,0),12),"")</f>
        <v/>
      </c>
      <c r="S9" s="121" t="str">
        <f>IFERROR(INDEX('Consolidado Punto'!$A$6:$T$17,MATCH($A9,'Consolidado Punto'!$A$6:$A$17,0),13),"")</f>
        <v/>
      </c>
      <c r="T9" s="185" t="str">
        <f>IFERROR(INDEX('Consolidado Punto'!$A$6:$T$17,MATCH($A9,'Consolidado Punto'!$A$6:$A$17,0),14),"")</f>
        <v/>
      </c>
      <c r="U9" s="121" t="str">
        <f>IFERROR(INDEX('Consolidado Punto'!$A$6:$T$17,MATCH($A9,'Consolidado Punto'!$A$6:$A$17,0),15),"")</f>
        <v/>
      </c>
      <c r="V9" s="185" t="str">
        <f>IFERROR(INDEX('Consolidado Punto'!$A$6:$T$17,MATCH($A9,'Consolidado Punto'!$A$6:$A$17,0),16),"")</f>
        <v/>
      </c>
      <c r="W9" s="121" t="str">
        <f>IFERROR(INDEX('Consolidado Punto'!$A$6:$T$17,MATCH($A9,'Consolidado Punto'!$A$6:$A$17,0),17),"")</f>
        <v/>
      </c>
      <c r="X9" s="121" t="str">
        <f>IFERROR(INDEX('Consolidado Punto'!$A$6:$T$17,MATCH($A9,'Consolidado Punto'!$A$6:$A$17,0),18),"")</f>
        <v/>
      </c>
      <c r="Y9" s="121" t="str">
        <f>IFERROR(INDEX('Consolidado Punto'!$A$6:$T$17,MATCH($A9,'Consolidado Punto'!$A$6:$A$17,0),19),"")</f>
        <v/>
      </c>
      <c r="Z9" s="121" t="str">
        <f>IFERROR(INDEX('Consolidado Punto'!$A$6:$T$17,MATCH($A9,'Consolidado Punto'!$A$6:$A$17,0),20),"")</f>
        <v/>
      </c>
    </row>
    <row r="10" spans="1:26" s="60" customFormat="1" x14ac:dyDescent="0.35">
      <c r="A10" s="121" t="str" cm="1">
        <f t="array" ref="A10">IF(INDEX('Consolidado Punto'!A$6:A$21,ROW()-1)&lt;&gt;"",INDEX('Consolidado Punto'!A$6:A$21,ROW()-1),"")</f>
        <v/>
      </c>
      <c r="B10" s="120"/>
      <c r="C10" s="121"/>
      <c r="D10" s="121"/>
      <c r="E10" s="121"/>
      <c r="F10" s="121"/>
      <c r="G10" s="121"/>
      <c r="H10" s="169" t="str">
        <f t="shared" si="0"/>
        <v/>
      </c>
      <c r="I10" s="121" t="str">
        <f>IFERROR(INDEX('Consolidado Punto'!$A$6:$T$17,MATCH($A10,'Consolidado Punto'!$A$6:$A$17,0),3),"")</f>
        <v/>
      </c>
      <c r="J10" s="121" t="str">
        <f>IFERROR(INDEX('Consolidado Punto'!$A$6:$T$17,MATCH($A10,'Consolidado Punto'!$A$6:$A$17,0),4),"")</f>
        <v/>
      </c>
      <c r="K10" s="121" t="str">
        <f>IFERROR(INDEX('Consolidado Punto'!$A$6:$T$17,MATCH($A10,'Consolidado Punto'!$A$6:$A$17,0),5),"")</f>
        <v/>
      </c>
      <c r="L10" s="121" t="str">
        <f>IFERROR(INDEX('Consolidado Punto'!$A$6:$T$17,MATCH($A10,'Consolidado Punto'!$A$6:$A$17,0),6),"")</f>
        <v/>
      </c>
      <c r="M10" s="121" t="str">
        <f>IFERROR(INDEX('Consolidado Punto'!$A$6:$T$17,MATCH($A10,'Consolidado Punto'!$A$6:$A$17,0),7),"")</f>
        <v/>
      </c>
      <c r="N10" s="171" t="str">
        <f>IFERROR(INDEX('Consolidado Punto'!$A$6:$T$17,MATCH($A10,'Consolidado Punto'!$A$6:$A$17,0),8),"")</f>
        <v/>
      </c>
      <c r="O10" s="172" t="str">
        <f>IFERROR(INDEX('Consolidado Punto'!$A$6:$T$17,MATCH($A10,'Consolidado Punto'!$A$6:$A$17,0),9),"")</f>
        <v/>
      </c>
      <c r="P10" s="121" t="str">
        <f>IFERROR(INDEX('Consolidado Punto'!$A$6:$T$17,MATCH($A10,'Consolidado Punto'!$A$6:$A$17,0),10),"")</f>
        <v/>
      </c>
      <c r="Q10" s="121" t="str">
        <f>IFERROR(INDEX('Consolidado Punto'!$A$6:$T$17,MATCH($A10,'Consolidado Punto'!$A$6:$A$17,0),11),"")</f>
        <v/>
      </c>
      <c r="R10" s="184" t="str">
        <f>IFERROR(INDEX('Consolidado Punto'!$A$6:$T$17,MATCH($A10,'Consolidado Punto'!$A$6:$A$17,0),12),"")</f>
        <v/>
      </c>
      <c r="S10" s="121" t="str">
        <f>IFERROR(INDEX('Consolidado Punto'!$A$6:$T$17,MATCH($A10,'Consolidado Punto'!$A$6:$A$17,0),13),"")</f>
        <v/>
      </c>
      <c r="T10" s="185" t="str">
        <f>IFERROR(INDEX('Consolidado Punto'!$A$6:$T$17,MATCH($A10,'Consolidado Punto'!$A$6:$A$17,0),14),"")</f>
        <v/>
      </c>
      <c r="U10" s="121" t="str">
        <f>IFERROR(INDEX('Consolidado Punto'!$A$6:$T$17,MATCH($A10,'Consolidado Punto'!$A$6:$A$17,0),15),"")</f>
        <v/>
      </c>
      <c r="V10" s="185" t="str">
        <f>IFERROR(INDEX('Consolidado Punto'!$A$6:$T$17,MATCH($A10,'Consolidado Punto'!$A$6:$A$17,0),16),"")</f>
        <v/>
      </c>
      <c r="W10" s="121" t="str">
        <f>IFERROR(INDEX('Consolidado Punto'!$A$6:$T$17,MATCH($A10,'Consolidado Punto'!$A$6:$A$17,0),17),"")</f>
        <v/>
      </c>
      <c r="X10" s="121" t="str">
        <f>IFERROR(INDEX('Consolidado Punto'!$A$6:$T$17,MATCH($A10,'Consolidado Punto'!$A$6:$A$17,0),18),"")</f>
        <v/>
      </c>
      <c r="Y10" s="121" t="str">
        <f>IFERROR(INDEX('Consolidado Punto'!$A$6:$T$17,MATCH($A10,'Consolidado Punto'!$A$6:$A$17,0),19),"")</f>
        <v/>
      </c>
      <c r="Z10" s="121" t="str">
        <f>IFERROR(INDEX('Consolidado Punto'!$A$6:$T$17,MATCH($A10,'Consolidado Punto'!$A$6:$A$17,0),20),"")</f>
        <v/>
      </c>
    </row>
    <row r="11" spans="1:26" s="60" customFormat="1" x14ac:dyDescent="0.35">
      <c r="A11" s="121" t="str" cm="1">
        <f t="array" ref="A11">IF(INDEX('Consolidado Punto'!A$6:A$21,ROW()-1)&lt;&gt;"",INDEX('Consolidado Punto'!A$6:A$21,ROW()-1),"")</f>
        <v/>
      </c>
      <c r="B11" s="120"/>
      <c r="C11" s="121"/>
      <c r="D11" s="121"/>
      <c r="E11" s="121"/>
      <c r="F11" s="121"/>
      <c r="G11" s="121"/>
      <c r="H11" s="169" t="str">
        <f t="shared" si="0"/>
        <v/>
      </c>
      <c r="I11" s="121" t="str">
        <f>IFERROR(INDEX('Consolidado Punto'!$A$6:$T$17,MATCH($A11,'Consolidado Punto'!$A$6:$A$17,0),3),"")</f>
        <v/>
      </c>
      <c r="J11" s="121" t="str">
        <f>IFERROR(INDEX('Consolidado Punto'!$A$6:$T$17,MATCH($A11,'Consolidado Punto'!$A$6:$A$17,0),4),"")</f>
        <v/>
      </c>
      <c r="K11" s="121" t="str">
        <f>IFERROR(INDEX('Consolidado Punto'!$A$6:$T$17,MATCH($A11,'Consolidado Punto'!$A$6:$A$17,0),5),"")</f>
        <v/>
      </c>
      <c r="L11" s="121" t="str">
        <f>IFERROR(INDEX('Consolidado Punto'!$A$6:$T$17,MATCH($A11,'Consolidado Punto'!$A$6:$A$17,0),6),"")</f>
        <v/>
      </c>
      <c r="M11" s="121" t="str">
        <f>IFERROR(INDEX('Consolidado Punto'!$A$6:$T$17,MATCH($A11,'Consolidado Punto'!$A$6:$A$17,0),7),"")</f>
        <v/>
      </c>
      <c r="N11" s="171" t="str">
        <f>IFERROR(INDEX('Consolidado Punto'!$A$6:$T$17,MATCH($A11,'Consolidado Punto'!$A$6:$A$17,0),8),"")</f>
        <v/>
      </c>
      <c r="O11" s="172" t="str">
        <f>IFERROR(INDEX('Consolidado Punto'!$A$6:$T$17,MATCH($A11,'Consolidado Punto'!$A$6:$A$17,0),9),"")</f>
        <v/>
      </c>
      <c r="P11" s="121" t="str">
        <f>IFERROR(INDEX('Consolidado Punto'!$A$6:$T$17,MATCH($A11,'Consolidado Punto'!$A$6:$A$17,0),10),"")</f>
        <v/>
      </c>
      <c r="Q11" s="121" t="str">
        <f>IFERROR(INDEX('Consolidado Punto'!$A$6:$T$17,MATCH($A11,'Consolidado Punto'!$A$6:$A$17,0),11),"")</f>
        <v/>
      </c>
      <c r="R11" s="184" t="str">
        <f>IFERROR(INDEX('Consolidado Punto'!$A$6:$T$17,MATCH($A11,'Consolidado Punto'!$A$6:$A$17,0),12),"")</f>
        <v/>
      </c>
      <c r="S11" s="121" t="str">
        <f>IFERROR(INDEX('Consolidado Punto'!$A$6:$T$17,MATCH($A11,'Consolidado Punto'!$A$6:$A$17,0),13),"")</f>
        <v/>
      </c>
      <c r="T11" s="185" t="str">
        <f>IFERROR(INDEX('Consolidado Punto'!$A$6:$T$17,MATCH($A11,'Consolidado Punto'!$A$6:$A$17,0),14),"")</f>
        <v/>
      </c>
      <c r="U11" s="121" t="str">
        <f>IFERROR(INDEX('Consolidado Punto'!$A$6:$T$17,MATCH($A11,'Consolidado Punto'!$A$6:$A$17,0),15),"")</f>
        <v/>
      </c>
      <c r="V11" s="185" t="str">
        <f>IFERROR(INDEX('Consolidado Punto'!$A$6:$T$17,MATCH($A11,'Consolidado Punto'!$A$6:$A$17,0),16),"")</f>
        <v/>
      </c>
      <c r="W11" s="121" t="str">
        <f>IFERROR(INDEX('Consolidado Punto'!$A$6:$T$17,MATCH($A11,'Consolidado Punto'!$A$6:$A$17,0),17),"")</f>
        <v/>
      </c>
      <c r="X11" s="121" t="str">
        <f>IFERROR(INDEX('Consolidado Punto'!$A$6:$T$17,MATCH($A11,'Consolidado Punto'!$A$6:$A$17,0),18),"")</f>
        <v/>
      </c>
      <c r="Y11" s="121" t="str">
        <f>IFERROR(INDEX('Consolidado Punto'!$A$6:$T$17,MATCH($A11,'Consolidado Punto'!$A$6:$A$17,0),19),"")</f>
        <v/>
      </c>
      <c r="Z11" s="121" t="str">
        <f>IFERROR(INDEX('Consolidado Punto'!$A$6:$T$17,MATCH($A11,'Consolidado Punto'!$A$6:$A$17,0),20),"")</f>
        <v/>
      </c>
    </row>
    <row r="12" spans="1:26" s="60" customFormat="1" x14ac:dyDescent="0.35">
      <c r="A12" s="121" t="str" cm="1">
        <f t="array" ref="A12">IF(INDEX('Consolidado Punto'!A$6:A$21,ROW()-1)&lt;&gt;"",INDEX('Consolidado Punto'!A$6:A$21,ROW()-1),"")</f>
        <v/>
      </c>
      <c r="B12" s="120"/>
      <c r="C12" s="121"/>
      <c r="D12" s="121"/>
      <c r="E12" s="121"/>
      <c r="F12" s="121"/>
      <c r="G12" s="121"/>
      <c r="H12" s="169" t="str">
        <f t="shared" si="0"/>
        <v/>
      </c>
      <c r="I12" s="121" t="str">
        <f>IFERROR(INDEX('Consolidado Punto'!$A$6:$T$17,MATCH($A12,'Consolidado Punto'!$A$6:$A$17,0),3),"")</f>
        <v/>
      </c>
      <c r="J12" s="121" t="str">
        <f>IFERROR(INDEX('Consolidado Punto'!$A$6:$T$17,MATCH($A12,'Consolidado Punto'!$A$6:$A$17,0),4),"")</f>
        <v/>
      </c>
      <c r="K12" s="121" t="str">
        <f>IFERROR(INDEX('Consolidado Punto'!$A$6:$T$17,MATCH($A12,'Consolidado Punto'!$A$6:$A$17,0),5),"")</f>
        <v/>
      </c>
      <c r="L12" s="121" t="str">
        <f>IFERROR(INDEX('Consolidado Punto'!$A$6:$T$17,MATCH($A12,'Consolidado Punto'!$A$6:$A$17,0),6),"")</f>
        <v/>
      </c>
      <c r="M12" s="121" t="str">
        <f>IFERROR(INDEX('Consolidado Punto'!$A$6:$T$17,MATCH($A12,'Consolidado Punto'!$A$6:$A$17,0),7),"")</f>
        <v/>
      </c>
      <c r="N12" s="171" t="str">
        <f>IFERROR(INDEX('Consolidado Punto'!$A$6:$T$17,MATCH($A12,'Consolidado Punto'!$A$6:$A$17,0),8),"")</f>
        <v/>
      </c>
      <c r="O12" s="172" t="str">
        <f>IFERROR(INDEX('Consolidado Punto'!$A$6:$T$17,MATCH($A12,'Consolidado Punto'!$A$6:$A$17,0),9),"")</f>
        <v/>
      </c>
      <c r="P12" s="121" t="str">
        <f>IFERROR(INDEX('Consolidado Punto'!$A$6:$T$17,MATCH($A12,'Consolidado Punto'!$A$6:$A$17,0),10),"")</f>
        <v/>
      </c>
      <c r="Q12" s="121" t="str">
        <f>IFERROR(INDEX('Consolidado Punto'!$A$6:$T$17,MATCH($A12,'Consolidado Punto'!$A$6:$A$17,0),11),"")</f>
        <v/>
      </c>
      <c r="R12" s="184" t="str">
        <f>IFERROR(INDEX('Consolidado Punto'!$A$6:$T$17,MATCH($A12,'Consolidado Punto'!$A$6:$A$17,0),12),"")</f>
        <v/>
      </c>
      <c r="S12" s="121" t="str">
        <f>IFERROR(INDEX('Consolidado Punto'!$A$6:$T$17,MATCH($A12,'Consolidado Punto'!$A$6:$A$17,0),13),"")</f>
        <v/>
      </c>
      <c r="T12" s="185" t="str">
        <f>IFERROR(INDEX('Consolidado Punto'!$A$6:$T$17,MATCH($A12,'Consolidado Punto'!$A$6:$A$17,0),14),"")</f>
        <v/>
      </c>
      <c r="U12" s="121" t="str">
        <f>IFERROR(INDEX('Consolidado Punto'!$A$6:$T$17,MATCH($A12,'Consolidado Punto'!$A$6:$A$17,0),15),"")</f>
        <v/>
      </c>
      <c r="V12" s="185" t="str">
        <f>IFERROR(INDEX('Consolidado Punto'!$A$6:$T$17,MATCH($A12,'Consolidado Punto'!$A$6:$A$17,0),16),"")</f>
        <v/>
      </c>
      <c r="W12" s="121" t="str">
        <f>IFERROR(INDEX('Consolidado Punto'!$A$6:$T$17,MATCH($A12,'Consolidado Punto'!$A$6:$A$17,0),17),"")</f>
        <v/>
      </c>
      <c r="X12" s="121" t="str">
        <f>IFERROR(INDEX('Consolidado Punto'!$A$6:$T$17,MATCH($A12,'Consolidado Punto'!$A$6:$A$17,0),18),"")</f>
        <v/>
      </c>
      <c r="Y12" s="121" t="str">
        <f>IFERROR(INDEX('Consolidado Punto'!$A$6:$T$17,MATCH($A12,'Consolidado Punto'!$A$6:$A$17,0),19),"")</f>
        <v/>
      </c>
      <c r="Z12" s="121" t="str">
        <f>IFERROR(INDEX('Consolidado Punto'!$A$6:$T$17,MATCH($A12,'Consolidado Punto'!$A$6:$A$17,0),20),"")</f>
        <v/>
      </c>
    </row>
    <row r="13" spans="1:26" s="60" customFormat="1" x14ac:dyDescent="0.35">
      <c r="A13" s="121" t="str" cm="1">
        <f t="array" ref="A13">IF(INDEX('Consolidado Punto'!A$6:A$21,ROW()-1)&lt;&gt;"",INDEX('Consolidado Punto'!A$6:A$21,ROW()-1),"")</f>
        <v/>
      </c>
      <c r="B13" s="120"/>
      <c r="C13" s="121"/>
      <c r="D13" s="121"/>
      <c r="E13" s="121"/>
      <c r="F13" s="121"/>
      <c r="G13" s="121"/>
      <c r="H13" s="169" t="str">
        <f t="shared" si="0"/>
        <v/>
      </c>
      <c r="I13" s="121" t="str">
        <f>IFERROR(INDEX('Consolidado Punto'!$A$6:$T$17,MATCH($A13,'Consolidado Punto'!$A$6:$A$17,0),3),"")</f>
        <v/>
      </c>
      <c r="J13" s="121" t="str">
        <f>IFERROR(INDEX('Consolidado Punto'!$A$6:$T$17,MATCH($A13,'Consolidado Punto'!$A$6:$A$17,0),4),"")</f>
        <v/>
      </c>
      <c r="K13" s="121" t="str">
        <f>IFERROR(INDEX('Consolidado Punto'!$A$6:$T$17,MATCH($A13,'Consolidado Punto'!$A$6:$A$17,0),5),"")</f>
        <v/>
      </c>
      <c r="L13" s="121" t="str">
        <f>IFERROR(INDEX('Consolidado Punto'!$A$6:$T$17,MATCH($A13,'Consolidado Punto'!$A$6:$A$17,0),6),"")</f>
        <v/>
      </c>
      <c r="M13" s="121" t="str">
        <f>IFERROR(INDEX('Consolidado Punto'!$A$6:$T$17,MATCH($A13,'Consolidado Punto'!$A$6:$A$17,0),7),"")</f>
        <v/>
      </c>
      <c r="N13" s="171" t="str">
        <f>IFERROR(INDEX('Consolidado Punto'!$A$6:$T$17,MATCH($A13,'Consolidado Punto'!$A$6:$A$17,0),8),"")</f>
        <v/>
      </c>
      <c r="O13" s="172" t="str">
        <f>IFERROR(INDEX('Consolidado Punto'!$A$6:$T$17,MATCH($A13,'Consolidado Punto'!$A$6:$A$17,0),9),"")</f>
        <v/>
      </c>
      <c r="P13" s="121" t="str">
        <f>IFERROR(INDEX('Consolidado Punto'!$A$6:$T$17,MATCH($A13,'Consolidado Punto'!$A$6:$A$17,0),10),"")</f>
        <v/>
      </c>
      <c r="Q13" s="121" t="str">
        <f>IFERROR(INDEX('Consolidado Punto'!$A$6:$T$17,MATCH($A13,'Consolidado Punto'!$A$6:$A$17,0),11),"")</f>
        <v/>
      </c>
      <c r="R13" s="184" t="str">
        <f>IFERROR(INDEX('Consolidado Punto'!$A$6:$T$17,MATCH($A13,'Consolidado Punto'!$A$6:$A$17,0),12),"")</f>
        <v/>
      </c>
      <c r="S13" s="121" t="str">
        <f>IFERROR(INDEX('Consolidado Punto'!$A$6:$T$17,MATCH($A13,'Consolidado Punto'!$A$6:$A$17,0),13),"")</f>
        <v/>
      </c>
      <c r="T13" s="185" t="str">
        <f>IFERROR(INDEX('Consolidado Punto'!$A$6:$T$17,MATCH($A13,'Consolidado Punto'!$A$6:$A$17,0),14),"")</f>
        <v/>
      </c>
      <c r="U13" s="121" t="str">
        <f>IFERROR(INDEX('Consolidado Punto'!$A$6:$T$17,MATCH($A13,'Consolidado Punto'!$A$6:$A$17,0),15),"")</f>
        <v/>
      </c>
      <c r="V13" s="185" t="str">
        <f>IFERROR(INDEX('Consolidado Punto'!$A$6:$T$17,MATCH($A13,'Consolidado Punto'!$A$6:$A$17,0),16),"")</f>
        <v/>
      </c>
      <c r="W13" s="121" t="str">
        <f>IFERROR(INDEX('Consolidado Punto'!$A$6:$T$17,MATCH($A13,'Consolidado Punto'!$A$6:$A$17,0),17),"")</f>
        <v/>
      </c>
      <c r="X13" s="121" t="str">
        <f>IFERROR(INDEX('Consolidado Punto'!$A$6:$T$17,MATCH($A13,'Consolidado Punto'!$A$6:$A$17,0),18),"")</f>
        <v/>
      </c>
      <c r="Y13" s="121" t="str">
        <f>IFERROR(INDEX('Consolidado Punto'!$A$6:$T$17,MATCH($A13,'Consolidado Punto'!$A$6:$A$17,0),19),"")</f>
        <v/>
      </c>
      <c r="Z13" s="121" t="str">
        <f>IFERROR(INDEX('Consolidado Punto'!$A$6:$T$17,MATCH($A13,'Consolidado Punto'!$A$6:$A$17,0),20),"")</f>
        <v/>
      </c>
    </row>
    <row r="14" spans="1:26" x14ac:dyDescent="0.35">
      <c r="A14" s="121" t="str" cm="1">
        <f t="array" ref="A14">IF(INDEX('Consolidado Punto'!A$6:A$21,ROW()-1)&lt;&gt;"",INDEX('Consolidado Punto'!A$6:A$21,ROW()-1),"")</f>
        <v/>
      </c>
      <c r="B14" s="120"/>
      <c r="C14" s="121"/>
      <c r="D14" s="121"/>
      <c r="E14" s="121"/>
      <c r="F14" s="121"/>
      <c r="G14" s="121"/>
      <c r="H14" s="169" t="str">
        <f t="shared" ref="H14:H17" si="1">RIGHT(A14,2)</f>
        <v/>
      </c>
      <c r="I14" s="121" t="str">
        <f>IFERROR(INDEX('Consolidado Punto'!$A$6:$T$17,MATCH($A14,'Consolidado Punto'!$A$6:$A$17,0),3),"")</f>
        <v/>
      </c>
      <c r="J14" s="121" t="str">
        <f>IFERROR(INDEX('Consolidado Punto'!$A$6:$T$17,MATCH($A14,'Consolidado Punto'!$A$6:$A$17,0),4),"")</f>
        <v/>
      </c>
      <c r="K14" s="121" t="str">
        <f>IFERROR(INDEX('Consolidado Punto'!$A$6:$T$17,MATCH($A14,'Consolidado Punto'!$A$6:$A$17,0),5),"")</f>
        <v/>
      </c>
      <c r="L14" s="121" t="str">
        <f>IFERROR(INDEX('Consolidado Punto'!$A$6:$T$17,MATCH($A14,'Consolidado Punto'!$A$6:$A$17,0),6),"")</f>
        <v/>
      </c>
      <c r="M14" s="121" t="str">
        <f>IFERROR(INDEX('Consolidado Punto'!$A$6:$T$17,MATCH($A14,'Consolidado Punto'!$A$6:$A$17,0),7),"")</f>
        <v/>
      </c>
      <c r="N14" s="171" t="str">
        <f>IFERROR(INDEX('Consolidado Punto'!$A$6:$T$17,MATCH($A14,'Consolidado Punto'!$A$6:$A$17,0),8),"")</f>
        <v/>
      </c>
      <c r="O14" s="172" t="str">
        <f>IFERROR(INDEX('Consolidado Punto'!$A$6:$T$17,MATCH($A14,'Consolidado Punto'!$A$6:$A$17,0),9),"")</f>
        <v/>
      </c>
      <c r="P14" s="121" t="str">
        <f>IFERROR(INDEX('Consolidado Punto'!$A$6:$T$17,MATCH($A14,'Consolidado Punto'!$A$6:$A$17,0),10),"")</f>
        <v/>
      </c>
      <c r="Q14" s="121" t="str">
        <f>IFERROR(INDEX('Consolidado Punto'!$A$6:$T$17,MATCH($A14,'Consolidado Punto'!$A$6:$A$17,0),11),"")</f>
        <v/>
      </c>
      <c r="R14" s="184" t="str">
        <f>IFERROR(INDEX('Consolidado Punto'!$A$6:$T$17,MATCH($A14,'Consolidado Punto'!$A$6:$A$17,0),12),"")</f>
        <v/>
      </c>
      <c r="S14" s="121" t="str">
        <f>IFERROR(INDEX('Consolidado Punto'!$A$6:$T$17,MATCH($A14,'Consolidado Punto'!$A$6:$A$17,0),13),"")</f>
        <v/>
      </c>
      <c r="T14" s="185" t="str">
        <f>IFERROR(INDEX('Consolidado Punto'!$A$6:$T$17,MATCH($A14,'Consolidado Punto'!$A$6:$A$17,0),14),"")</f>
        <v/>
      </c>
      <c r="U14" s="121" t="str">
        <f>IFERROR(INDEX('Consolidado Punto'!$A$6:$T$17,MATCH($A14,'Consolidado Punto'!$A$6:$A$17,0),15),"")</f>
        <v/>
      </c>
      <c r="V14" s="185" t="str">
        <f>IFERROR(INDEX('Consolidado Punto'!$A$6:$T$17,MATCH($A14,'Consolidado Punto'!$A$6:$A$17,0),16),"")</f>
        <v/>
      </c>
      <c r="W14" s="121" t="str">
        <f>IFERROR(INDEX('Consolidado Punto'!$A$6:$T$17,MATCH($A14,'Consolidado Punto'!$A$6:$A$17,0),17),"")</f>
        <v/>
      </c>
      <c r="X14" s="121" t="str">
        <f>IFERROR(INDEX('Consolidado Punto'!$A$6:$T$17,MATCH($A14,'Consolidado Punto'!$A$6:$A$17,0),18),"")</f>
        <v/>
      </c>
      <c r="Y14" s="121" t="str">
        <f>IFERROR(INDEX('Consolidado Punto'!$A$6:$T$17,MATCH($A14,'Consolidado Punto'!$A$6:$A$17,0),19),"")</f>
        <v/>
      </c>
      <c r="Z14" s="121" t="str">
        <f>IFERROR(INDEX('Consolidado Punto'!$A$6:$T$17,MATCH($A14,'Consolidado Punto'!$A$6:$A$17,0),20),"")</f>
        <v/>
      </c>
    </row>
    <row r="15" spans="1:26" x14ac:dyDescent="0.35">
      <c r="A15" s="121" t="str" cm="1">
        <f t="array" ref="A15">IF(INDEX('Consolidado Punto'!A$6:A$21,ROW()-1)&lt;&gt;"",INDEX('Consolidado Punto'!A$6:A$21,ROW()-1),"")</f>
        <v/>
      </c>
      <c r="B15" s="120"/>
      <c r="C15" s="121"/>
      <c r="D15" s="121"/>
      <c r="E15" s="121"/>
      <c r="F15" s="121"/>
      <c r="G15" s="121"/>
      <c r="H15" s="169" t="str">
        <f t="shared" si="1"/>
        <v/>
      </c>
      <c r="I15" s="121" t="str">
        <f>IFERROR(INDEX('Consolidado Punto'!$A$6:$T$17,MATCH($A15,'Consolidado Punto'!$A$6:$A$17,0),3),"")</f>
        <v/>
      </c>
      <c r="J15" s="121" t="str">
        <f>IFERROR(INDEX('Consolidado Punto'!$A$6:$T$17,MATCH($A15,'Consolidado Punto'!$A$6:$A$17,0),4),"")</f>
        <v/>
      </c>
      <c r="K15" s="121" t="str">
        <f>IFERROR(INDEX('Consolidado Punto'!$A$6:$T$17,MATCH($A15,'Consolidado Punto'!$A$6:$A$17,0),5),"")</f>
        <v/>
      </c>
      <c r="L15" s="121" t="str">
        <f>IFERROR(INDEX('Consolidado Punto'!$A$6:$T$17,MATCH($A15,'Consolidado Punto'!$A$6:$A$17,0),6),"")</f>
        <v/>
      </c>
      <c r="M15" s="121" t="str">
        <f>IFERROR(INDEX('Consolidado Punto'!$A$6:$T$17,MATCH($A15,'Consolidado Punto'!$A$6:$A$17,0),7),"")</f>
        <v/>
      </c>
      <c r="N15" s="171" t="str">
        <f>IFERROR(INDEX('Consolidado Punto'!$A$6:$T$17,MATCH($A15,'Consolidado Punto'!$A$6:$A$17,0),8),"")</f>
        <v/>
      </c>
      <c r="O15" s="172" t="str">
        <f>IFERROR(INDEX('Consolidado Punto'!$A$6:$T$17,MATCH($A15,'Consolidado Punto'!$A$6:$A$17,0),9),"")</f>
        <v/>
      </c>
      <c r="P15" s="121" t="str">
        <f>IFERROR(INDEX('Consolidado Punto'!$A$6:$T$17,MATCH($A15,'Consolidado Punto'!$A$6:$A$17,0),10),"")</f>
        <v/>
      </c>
      <c r="Q15" s="121" t="str">
        <f>IFERROR(INDEX('Consolidado Punto'!$A$6:$T$17,MATCH($A15,'Consolidado Punto'!$A$6:$A$17,0),11),"")</f>
        <v/>
      </c>
      <c r="R15" s="184" t="str">
        <f>IFERROR(INDEX('Consolidado Punto'!$A$6:$T$17,MATCH($A15,'Consolidado Punto'!$A$6:$A$17,0),12),"")</f>
        <v/>
      </c>
      <c r="S15" s="121" t="str">
        <f>IFERROR(INDEX('Consolidado Punto'!$A$6:$T$17,MATCH($A15,'Consolidado Punto'!$A$6:$A$17,0),13),"")</f>
        <v/>
      </c>
      <c r="T15" s="185" t="str">
        <f>IFERROR(INDEX('Consolidado Punto'!$A$6:$T$17,MATCH($A15,'Consolidado Punto'!$A$6:$A$17,0),14),"")</f>
        <v/>
      </c>
      <c r="U15" s="121" t="str">
        <f>IFERROR(INDEX('Consolidado Punto'!$A$6:$T$17,MATCH($A15,'Consolidado Punto'!$A$6:$A$17,0),15),"")</f>
        <v/>
      </c>
      <c r="V15" s="185" t="str">
        <f>IFERROR(INDEX('Consolidado Punto'!$A$6:$T$17,MATCH($A15,'Consolidado Punto'!$A$6:$A$17,0),16),"")</f>
        <v/>
      </c>
      <c r="W15" s="121" t="str">
        <f>IFERROR(INDEX('Consolidado Punto'!$A$6:$T$17,MATCH($A15,'Consolidado Punto'!$A$6:$A$17,0),17),"")</f>
        <v/>
      </c>
      <c r="X15" s="121" t="str">
        <f>IFERROR(INDEX('Consolidado Punto'!$A$6:$T$17,MATCH($A15,'Consolidado Punto'!$A$6:$A$17,0),18),"")</f>
        <v/>
      </c>
      <c r="Y15" s="121" t="str">
        <f>IFERROR(INDEX('Consolidado Punto'!$A$6:$T$17,MATCH($A15,'Consolidado Punto'!$A$6:$A$17,0),19),"")</f>
        <v/>
      </c>
      <c r="Z15" s="121" t="str">
        <f>IFERROR(INDEX('Consolidado Punto'!$A$6:$T$17,MATCH($A15,'Consolidado Punto'!$A$6:$A$17,0),20),"")</f>
        <v/>
      </c>
    </row>
    <row r="16" spans="1:26" x14ac:dyDescent="0.35">
      <c r="A16" s="121" t="str" cm="1">
        <f t="array" ref="A16">IF(INDEX('Consolidado Punto'!A$6:A$21,ROW()-1)&lt;&gt;"",INDEX('Consolidado Punto'!A$6:A$21,ROW()-1),"")</f>
        <v/>
      </c>
      <c r="B16" s="120"/>
      <c r="C16" s="121"/>
      <c r="D16" s="121"/>
      <c r="E16" s="121"/>
      <c r="F16" s="121"/>
      <c r="G16" s="121"/>
      <c r="H16" s="169" t="str">
        <f t="shared" si="1"/>
        <v/>
      </c>
      <c r="I16" s="121" t="str">
        <f>IFERROR(INDEX('Consolidado Punto'!$A$6:$T$17,MATCH($A16,'Consolidado Punto'!$A$6:$A$17,0),3),"")</f>
        <v/>
      </c>
      <c r="J16" s="121" t="str">
        <f>IFERROR(INDEX('Consolidado Punto'!$A$6:$T$17,MATCH($A16,'Consolidado Punto'!$A$6:$A$17,0),4),"")</f>
        <v/>
      </c>
      <c r="K16" s="121" t="str">
        <f>IFERROR(INDEX('Consolidado Punto'!$A$6:$T$17,MATCH($A16,'Consolidado Punto'!$A$6:$A$17,0),5),"")</f>
        <v/>
      </c>
      <c r="L16" s="121" t="str">
        <f>IFERROR(INDEX('Consolidado Punto'!$A$6:$T$17,MATCH($A16,'Consolidado Punto'!$A$6:$A$17,0),6),"")</f>
        <v/>
      </c>
      <c r="M16" s="121" t="str">
        <f>IFERROR(INDEX('Consolidado Punto'!$A$6:$T$17,MATCH($A16,'Consolidado Punto'!$A$6:$A$17,0),7),"")</f>
        <v/>
      </c>
      <c r="N16" s="171" t="str">
        <f>IFERROR(INDEX('Consolidado Punto'!$A$6:$T$17,MATCH($A16,'Consolidado Punto'!$A$6:$A$17,0),8),"")</f>
        <v/>
      </c>
      <c r="O16" s="172" t="str">
        <f>IFERROR(INDEX('Consolidado Punto'!$A$6:$T$17,MATCH($A16,'Consolidado Punto'!$A$6:$A$17,0),9),"")</f>
        <v/>
      </c>
      <c r="P16" s="121" t="str">
        <f>IFERROR(INDEX('Consolidado Punto'!$A$6:$T$17,MATCH($A16,'Consolidado Punto'!$A$6:$A$17,0),10),"")</f>
        <v/>
      </c>
      <c r="Q16" s="121" t="str">
        <f>IFERROR(INDEX('Consolidado Punto'!$A$6:$T$17,MATCH($A16,'Consolidado Punto'!$A$6:$A$17,0),11),"")</f>
        <v/>
      </c>
      <c r="R16" s="184" t="str">
        <f>IFERROR(INDEX('Consolidado Punto'!$A$6:$T$17,MATCH($A16,'Consolidado Punto'!$A$6:$A$17,0),12),"")</f>
        <v/>
      </c>
      <c r="S16" s="121" t="str">
        <f>IFERROR(INDEX('Consolidado Punto'!$A$6:$T$17,MATCH($A16,'Consolidado Punto'!$A$6:$A$17,0),13),"")</f>
        <v/>
      </c>
      <c r="T16" s="185" t="str">
        <f>IFERROR(INDEX('Consolidado Punto'!$A$6:$T$17,MATCH($A16,'Consolidado Punto'!$A$6:$A$17,0),14),"")</f>
        <v/>
      </c>
      <c r="U16" s="121" t="str">
        <f>IFERROR(INDEX('Consolidado Punto'!$A$6:$T$17,MATCH($A16,'Consolidado Punto'!$A$6:$A$17,0),15),"")</f>
        <v/>
      </c>
      <c r="V16" s="185" t="str">
        <f>IFERROR(INDEX('Consolidado Punto'!$A$6:$T$17,MATCH($A16,'Consolidado Punto'!$A$6:$A$17,0),16),"")</f>
        <v/>
      </c>
      <c r="W16" s="121" t="str">
        <f>IFERROR(INDEX('Consolidado Punto'!$A$6:$T$17,MATCH($A16,'Consolidado Punto'!$A$6:$A$17,0),17),"")</f>
        <v/>
      </c>
      <c r="X16" s="121" t="str">
        <f>IFERROR(INDEX('Consolidado Punto'!$A$6:$T$17,MATCH($A16,'Consolidado Punto'!$A$6:$A$17,0),18),"")</f>
        <v/>
      </c>
      <c r="Y16" s="121" t="str">
        <f>IFERROR(INDEX('Consolidado Punto'!$A$6:$T$17,MATCH($A16,'Consolidado Punto'!$A$6:$A$17,0),19),"")</f>
        <v/>
      </c>
      <c r="Z16" s="121" t="str">
        <f>IFERROR(INDEX('Consolidado Punto'!$A$6:$T$17,MATCH($A16,'Consolidado Punto'!$A$6:$A$17,0),20),"")</f>
        <v/>
      </c>
    </row>
    <row r="17" spans="1:26" x14ac:dyDescent="0.35">
      <c r="A17" s="121" t="str" cm="1">
        <f t="array" ref="A17">IF(INDEX('Consolidado Punto'!A$6:A$21,ROW()-1)&lt;&gt;"",INDEX('Consolidado Punto'!A$6:A$21,ROW()-1),"")</f>
        <v/>
      </c>
      <c r="B17" s="120"/>
      <c r="C17" s="121"/>
      <c r="D17" s="121"/>
      <c r="E17" s="121"/>
      <c r="F17" s="121"/>
      <c r="G17" s="121"/>
      <c r="H17" s="169" t="str">
        <f t="shared" si="1"/>
        <v/>
      </c>
      <c r="I17" s="121" t="str">
        <f>IFERROR(INDEX('Consolidado Punto'!$A$6:$T$17,MATCH($A17,'Consolidado Punto'!$A$6:$A$17,0),3),"")</f>
        <v/>
      </c>
      <c r="J17" s="121" t="str">
        <f>IFERROR(INDEX('Consolidado Punto'!$A$6:$T$17,MATCH($A17,'Consolidado Punto'!$A$6:$A$17,0),4),"")</f>
        <v/>
      </c>
      <c r="K17" s="121" t="str">
        <f>IFERROR(INDEX('Consolidado Punto'!$A$6:$T$17,MATCH($A17,'Consolidado Punto'!$A$6:$A$17,0),5),"")</f>
        <v/>
      </c>
      <c r="L17" s="121" t="str">
        <f>IFERROR(INDEX('Consolidado Punto'!$A$6:$T$17,MATCH($A17,'Consolidado Punto'!$A$6:$A$17,0),6),"")</f>
        <v/>
      </c>
      <c r="M17" s="121" t="str">
        <f>IFERROR(INDEX('Consolidado Punto'!$A$6:$T$17,MATCH($A17,'Consolidado Punto'!$A$6:$A$17,0),7),"")</f>
        <v/>
      </c>
      <c r="N17" s="171" t="str">
        <f>IFERROR(INDEX('Consolidado Punto'!$A$6:$T$17,MATCH($A17,'Consolidado Punto'!$A$6:$A$17,0),8),"")</f>
        <v/>
      </c>
      <c r="O17" s="172" t="str">
        <f>IFERROR(INDEX('Consolidado Punto'!$A$6:$T$17,MATCH($A17,'Consolidado Punto'!$A$6:$A$17,0),9),"")</f>
        <v/>
      </c>
      <c r="P17" s="121" t="str">
        <f>IFERROR(INDEX('Consolidado Punto'!$A$6:$T$17,MATCH($A17,'Consolidado Punto'!$A$6:$A$17,0),10),"")</f>
        <v/>
      </c>
      <c r="Q17" s="121" t="str">
        <f>IFERROR(INDEX('Consolidado Punto'!$A$6:$T$17,MATCH($A17,'Consolidado Punto'!$A$6:$A$17,0),11),"")</f>
        <v/>
      </c>
      <c r="R17" s="184" t="str">
        <f>IFERROR(INDEX('Consolidado Punto'!$A$6:$T$17,MATCH($A17,'Consolidado Punto'!$A$6:$A$17,0),12),"")</f>
        <v/>
      </c>
      <c r="S17" s="121" t="str">
        <f>IFERROR(INDEX('Consolidado Punto'!$A$6:$T$17,MATCH($A17,'Consolidado Punto'!$A$6:$A$17,0),13),"")</f>
        <v/>
      </c>
      <c r="T17" s="185" t="str">
        <f>IFERROR(INDEX('Consolidado Punto'!$A$6:$T$17,MATCH($A17,'Consolidado Punto'!$A$6:$A$17,0),14),"")</f>
        <v/>
      </c>
      <c r="U17" s="121" t="str">
        <f>IFERROR(INDEX('Consolidado Punto'!$A$6:$T$17,MATCH($A17,'Consolidado Punto'!$A$6:$A$17,0),15),"")</f>
        <v/>
      </c>
      <c r="V17" s="185" t="str">
        <f>IFERROR(INDEX('Consolidado Punto'!$A$6:$T$17,MATCH($A17,'Consolidado Punto'!$A$6:$A$17,0),16),"")</f>
        <v/>
      </c>
      <c r="W17" s="121" t="str">
        <f>IFERROR(INDEX('Consolidado Punto'!$A$6:$T$17,MATCH($A17,'Consolidado Punto'!$A$6:$A$17,0),17),"")</f>
        <v/>
      </c>
      <c r="X17" s="121" t="str">
        <f>IFERROR(INDEX('Consolidado Punto'!$A$6:$T$17,MATCH($A17,'Consolidado Punto'!$A$6:$A$17,0),18),"")</f>
        <v/>
      </c>
      <c r="Y17" s="121" t="str">
        <f>IFERROR(INDEX('Consolidado Punto'!$A$6:$T$17,MATCH($A17,'Consolidado Punto'!$A$6:$A$17,0),19),"")</f>
        <v/>
      </c>
      <c r="Z17" s="121" t="str">
        <f>IFERROR(INDEX('Consolidado Punto'!$A$6:$T$17,MATCH($A17,'Consolidado Punto'!$A$6:$A$17,0),20),"")</f>
        <v/>
      </c>
    </row>
  </sheetData>
  <sheetProtection algorithmName="SHA-512" hashValue="4Thqcqm8tV8Pn/IK+xowsPgOKWsEVutxKlVfJtIWjSdZX84azX525pRuFFQLRut9kCOMr56ITS0ZOnGLkPa8UQ==" saltValue="YpsEUJUswRPCtcXX/tfQUQ==" spinCount="100000" sheet="1" objects="1" scenarios="1"/>
  <pageMargins left="0.7" right="0.7" top="0.75" bottom="0.75" header="0.3" footer="0.3"/>
  <pageSetup scale="2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7A8-EA71-4901-BCBC-80BE024568F0}">
  <dimension ref="A1:F10"/>
  <sheetViews>
    <sheetView view="pageBreakPreview" zoomScaleNormal="100" zoomScaleSheetLayoutView="100" zoomScalePageLayoutView="90" workbookViewId="0">
      <selection sqref="A1:F1"/>
    </sheetView>
  </sheetViews>
  <sheetFormatPr baseColWidth="10" defaultColWidth="11.54296875" defaultRowHeight="12.5" x14ac:dyDescent="0.25"/>
  <cols>
    <col min="1" max="1" width="8.36328125" style="63" customWidth="1"/>
    <col min="2" max="2" width="11.6328125" style="63" bestFit="1" customWidth="1"/>
    <col min="3" max="3" width="34.6328125" style="63" customWidth="1"/>
    <col min="4" max="4" width="25" style="63" customWidth="1"/>
    <col min="5" max="5" width="18.08984375" style="63" customWidth="1"/>
    <col min="6" max="6" width="27" style="63" customWidth="1"/>
    <col min="7" max="16384" width="11.54296875" style="63"/>
  </cols>
  <sheetData>
    <row r="1" spans="1:6" ht="17.5" x14ac:dyDescent="0.35">
      <c r="A1" s="372" t="s">
        <v>2345</v>
      </c>
      <c r="B1" s="372"/>
      <c r="C1" s="372"/>
      <c r="D1" s="372"/>
      <c r="E1" s="372"/>
      <c r="F1" s="372"/>
    </row>
    <row r="2" spans="1:6" ht="13.5" x14ac:dyDescent="0.3">
      <c r="A2" s="173"/>
      <c r="B2" s="173"/>
      <c r="C2" s="174"/>
      <c r="D2" s="174"/>
      <c r="E2" s="174"/>
      <c r="F2" s="174"/>
    </row>
    <row r="3" spans="1:6" x14ac:dyDescent="0.25">
      <c r="A3" s="175" t="s">
        <v>2346</v>
      </c>
      <c r="B3" s="175" t="s">
        <v>2347</v>
      </c>
      <c r="C3" s="175" t="s">
        <v>2348</v>
      </c>
      <c r="D3" s="175" t="s">
        <v>2349</v>
      </c>
      <c r="E3" s="175" t="s">
        <v>2350</v>
      </c>
      <c r="F3" s="175" t="s">
        <v>2351</v>
      </c>
    </row>
    <row r="4" spans="1:6" ht="30" x14ac:dyDescent="0.25">
      <c r="A4" s="176">
        <v>0</v>
      </c>
      <c r="B4" s="177">
        <v>44292</v>
      </c>
      <c r="C4" s="176" t="s">
        <v>2352</v>
      </c>
      <c r="D4" s="176" t="s">
        <v>2353</v>
      </c>
      <c r="E4" s="178" t="s">
        <v>2354</v>
      </c>
      <c r="F4" s="178" t="s">
        <v>2355</v>
      </c>
    </row>
    <row r="5" spans="1:6" ht="30" x14ac:dyDescent="0.25">
      <c r="A5" s="179">
        <v>1</v>
      </c>
      <c r="B5" s="177">
        <v>44650</v>
      </c>
      <c r="C5" s="180" t="s">
        <v>2356</v>
      </c>
      <c r="D5" s="181" t="s">
        <v>2357</v>
      </c>
      <c r="E5" s="181" t="s">
        <v>2358</v>
      </c>
      <c r="F5" s="181" t="s">
        <v>2358</v>
      </c>
    </row>
    <row r="6" spans="1:6" ht="18" customHeight="1" x14ac:dyDescent="0.25">
      <c r="A6" s="179">
        <v>2</v>
      </c>
      <c r="B6" s="177">
        <v>44909</v>
      </c>
      <c r="C6" s="176" t="s">
        <v>2359</v>
      </c>
      <c r="D6" s="181" t="s">
        <v>2360</v>
      </c>
      <c r="E6" s="181" t="s">
        <v>2361</v>
      </c>
      <c r="F6" s="181" t="s">
        <v>2358</v>
      </c>
    </row>
    <row r="7" spans="1:6" ht="106.25" customHeight="1" x14ac:dyDescent="0.25">
      <c r="A7" s="179">
        <v>3</v>
      </c>
      <c r="B7" s="177">
        <v>45061</v>
      </c>
      <c r="C7" s="180" t="s">
        <v>2362</v>
      </c>
      <c r="D7" s="181" t="s">
        <v>2363</v>
      </c>
      <c r="E7" s="181" t="s">
        <v>2364</v>
      </c>
      <c r="F7" s="179" t="s">
        <v>2365</v>
      </c>
    </row>
    <row r="8" spans="1:6" ht="146.4" customHeight="1" x14ac:dyDescent="0.25">
      <c r="A8" s="179">
        <v>4</v>
      </c>
      <c r="B8" s="177">
        <v>45103</v>
      </c>
      <c r="C8" s="180" t="s">
        <v>2366</v>
      </c>
      <c r="D8" s="181" t="s">
        <v>2363</v>
      </c>
      <c r="E8" s="181" t="s">
        <v>2367</v>
      </c>
      <c r="F8" s="179" t="s">
        <v>2365</v>
      </c>
    </row>
    <row r="9" spans="1:6" ht="156.75" customHeight="1" x14ac:dyDescent="0.25">
      <c r="A9" s="179">
        <v>5</v>
      </c>
      <c r="B9" s="177">
        <v>45211</v>
      </c>
      <c r="C9" s="180" t="s">
        <v>2368</v>
      </c>
      <c r="D9" s="179" t="s">
        <v>2363</v>
      </c>
      <c r="E9" s="176" t="s">
        <v>2369</v>
      </c>
      <c r="F9" s="179" t="s">
        <v>2365</v>
      </c>
    </row>
    <row r="10" spans="1:6" ht="93.75" customHeight="1" x14ac:dyDescent="0.25">
      <c r="A10" s="179">
        <v>6</v>
      </c>
      <c r="B10" s="177">
        <v>45485</v>
      </c>
      <c r="C10" s="180" t="s">
        <v>2370</v>
      </c>
      <c r="D10" s="179" t="s">
        <v>2363</v>
      </c>
      <c r="E10" s="176" t="s">
        <v>2369</v>
      </c>
      <c r="F10" s="179" t="s">
        <v>2365</v>
      </c>
    </row>
  </sheetData>
  <mergeCells count="1">
    <mergeCell ref="A1:F1"/>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b258d9e-66a9-4cc9-909a-ca8ef90222e8" xsi:nil="true"/>
    <lcf76f155ced4ddcb4097134ff3c332f xmlns="b0a1024f-5946-4464-91e6-43e00d29079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00641F5AF4E994D8EAA3091B9DE0EE9" ma:contentTypeVersion="18" ma:contentTypeDescription="Crear nuevo documento." ma:contentTypeScope="" ma:versionID="f09174cad9819a2dfe313c1093b1063d">
  <xsd:schema xmlns:xsd="http://www.w3.org/2001/XMLSchema" xmlns:xs="http://www.w3.org/2001/XMLSchema" xmlns:p="http://schemas.microsoft.com/office/2006/metadata/properties" xmlns:ns2="b0a1024f-5946-4464-91e6-43e00d29079d" xmlns:ns3="db258d9e-66a9-4cc9-909a-ca8ef90222e8" targetNamespace="http://schemas.microsoft.com/office/2006/metadata/properties" ma:root="true" ma:fieldsID="96101350548b60f2f984c3c8490c9e85" ns2:_="" ns3:_="">
    <xsd:import namespace="b0a1024f-5946-4464-91e6-43e00d29079d"/>
    <xsd:import namespace="db258d9e-66a9-4cc9-909a-ca8ef90222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1024f-5946-4464-91e6-43e00d290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31a7018-8169-4f7c-b91c-e2150692b4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258d9e-66a9-4cc9-909a-ca8ef90222e8"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3594d84-c369-4106-9adc-97579f4a90fa}" ma:internalName="TaxCatchAll" ma:showField="CatchAllData" ma:web="db258d9e-66a9-4cc9-909a-ca8ef90222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530BC7-8B3A-4648-9D0C-3EAA1936558B}">
  <ds:schemaRefs>
    <ds:schemaRef ds:uri="http://schemas.microsoft.com/office/2006/metadata/properties"/>
    <ds:schemaRef ds:uri="http://schemas.microsoft.com/office/infopath/2007/PartnerControls"/>
    <ds:schemaRef ds:uri="db258d9e-66a9-4cc9-909a-ca8ef90222e8"/>
    <ds:schemaRef ds:uri="b0a1024f-5946-4464-91e6-43e00d29079d"/>
  </ds:schemaRefs>
</ds:datastoreItem>
</file>

<file path=customXml/itemProps2.xml><?xml version="1.0" encoding="utf-8"?>
<ds:datastoreItem xmlns:ds="http://schemas.openxmlformats.org/officeDocument/2006/customXml" ds:itemID="{F9D6A11A-B635-4335-A7C2-9A6498666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1024f-5946-4464-91e6-43e00d29079d"/>
    <ds:schemaRef ds:uri="db258d9e-66a9-4cc9-909a-ca8ef90222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2E0EAA-72F6-43EE-94B2-A313FF3EB9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11</vt:i4>
      </vt:variant>
    </vt:vector>
  </HeadingPairs>
  <TitlesOfParts>
    <vt:vector size="18" baseType="lpstr">
      <vt:lpstr>Consolidado Punto</vt:lpstr>
      <vt:lpstr>Información Gral</vt:lpstr>
      <vt:lpstr>template</vt:lpstr>
      <vt:lpstr>SEGUIMIENTO_ANE</vt:lpstr>
      <vt:lpstr>referencias</vt:lpstr>
      <vt:lpstr>TRANSACCION_ANE_TDT</vt:lpstr>
      <vt:lpstr>Control de Cambios</vt:lpstr>
      <vt:lpstr>'Consolidado Punto'!Área_de_impresión</vt:lpstr>
      <vt:lpstr>'Control de Cambios'!Área_de_impresión</vt:lpstr>
      <vt:lpstr>'Información Gral'!Área_de_impresión</vt:lpstr>
      <vt:lpstr>SEGUIMIENTO_ANE!Área_de_impresión</vt:lpstr>
      <vt:lpstr>TRANSACCION_ANE_TDT!Área_de_impresión</vt:lpstr>
      <vt:lpstr>Estación_de_procedencia</vt:lpstr>
      <vt:lpstr>Fecha_de_medición</vt:lpstr>
      <vt:lpstr>Ingeniero</vt:lpstr>
      <vt:lpstr>LLAVE_X_RES</vt:lpstr>
      <vt:lpstr>OPERADOR</vt:lpstr>
      <vt:lpstr>TX_TDT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Heider Jair Lopez Giraldo</dc:creator>
  <cp:keywords/>
  <dc:description/>
  <cp:lastModifiedBy>Sebastian Chavez Martinez</cp:lastModifiedBy>
  <cp:revision/>
  <dcterms:created xsi:type="dcterms:W3CDTF">2023-05-04T15:32:22Z</dcterms:created>
  <dcterms:modified xsi:type="dcterms:W3CDTF">2025-02-17T00:11:52Z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0x010100200641F5AF4E994D8EAA3091B9DE0EE9</vt:lpwstr>
  </property>
  <property fmtid="{D5CDD505-2E9C-101B-9397-08002B2CF9AE}" pid="3" name="MediaServiceImageTags">
    <vt:lpwstr/>
  </property>
</Properties>
</file>