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mc:AlternateContent xmlns:mc="http://schemas.openxmlformats.org/markup-compatibility/2006">
    <mc:Choice Requires="x15">
      <x15ac:absPath xmlns:x15ac="http://schemas.microsoft.com/office/spreadsheetml/2010/11/ac" url="/Users/atahanergin/Desktop/"/>
    </mc:Choice>
  </mc:AlternateContent>
  <xr:revisionPtr revIDLastSave="0" documentId="8_{6CCECDFA-D148-B44B-906C-B0D6902B75B5}" xr6:coauthVersionLast="47" xr6:coauthVersionMax="47" xr10:uidLastSave="{00000000-0000-0000-0000-000000000000}"/>
  <bookViews>
    <workbookView xWindow="0" yWindow="660" windowWidth="29400" windowHeight="16660" xr2:uid="{00000000-000D-0000-FFFF-FFFF00000000}"/>
  </bookViews>
  <sheets>
    <sheet name="Inputs" sheetId="2" r:id="rId1"/>
    <sheet name="Feed" sheetId="3" r:id="rId2"/>
    <sheet name="Flash" sheetId="4" r:id="rId3"/>
    <sheet name="Column" sheetId="5" r:id="rId4"/>
    <sheet name="Hydraulics" sheetId="6" r:id="rId5"/>
    <sheet name="Energy_Cost" sheetId="7" r:id="rId6"/>
    <sheet name="Sensitivity" sheetId="8" r:id="rId7"/>
    <sheet name="References" sheetId="9" r:id="rId8"/>
    <sheet name="McCabe_Thiele" sheetId="10" r:id="rId9"/>
    <sheet name="Stream_Summary_Final" sheetId="11" r:id="rId10"/>
    <sheet name="Hydraulics_TopBottom" sheetId="12" r:id="rId11"/>
    <sheet name="Equipment_List" sheetId="13"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 i="12" l="1"/>
  <c r="B18" i="12"/>
  <c r="B19" i="12" s="1"/>
  <c r="E12" i="13"/>
  <c r="B14" i="12"/>
  <c r="F13" i="12"/>
  <c r="F14" i="12" s="1"/>
  <c r="F15" i="12" s="1"/>
  <c r="F12" i="12"/>
  <c r="F11" i="12"/>
  <c r="F10" i="12"/>
  <c r="F11" i="11"/>
  <c r="I27" i="10"/>
  <c r="H27" i="10"/>
  <c r="I26" i="10"/>
  <c r="I25" i="10"/>
  <c r="H25" i="10"/>
  <c r="I24" i="10"/>
  <c r="I23" i="10"/>
  <c r="H23" i="10"/>
  <c r="C23" i="10"/>
  <c r="I22" i="10"/>
  <c r="H22" i="10"/>
  <c r="I21" i="10"/>
  <c r="H21" i="10"/>
  <c r="I20" i="10"/>
  <c r="H20" i="10"/>
  <c r="I19" i="10"/>
  <c r="I18" i="10"/>
  <c r="H18" i="10"/>
  <c r="I17" i="10"/>
  <c r="H17" i="10"/>
  <c r="I16" i="10"/>
  <c r="H16" i="10"/>
  <c r="I15" i="10"/>
  <c r="H15" i="10"/>
  <c r="I14" i="10"/>
  <c r="C14" i="10"/>
  <c r="I13" i="10"/>
  <c r="H13" i="10"/>
  <c r="I12" i="10"/>
  <c r="H12" i="10"/>
  <c r="I11" i="10"/>
  <c r="H11" i="10"/>
  <c r="I10" i="10"/>
  <c r="H10" i="10"/>
  <c r="C10" i="10"/>
  <c r="I9" i="10"/>
  <c r="C9" i="10"/>
  <c r="H26" i="10" s="1"/>
  <c r="I8" i="10"/>
  <c r="H8" i="10"/>
  <c r="I7" i="10"/>
  <c r="H7" i="10"/>
  <c r="C7" i="10"/>
  <c r="C6" i="10"/>
  <c r="B11" i="6"/>
  <c r="B12" i="6" s="1"/>
  <c r="B14" i="6" s="1"/>
  <c r="B9" i="6"/>
  <c r="C26" i="4"/>
  <c r="C25" i="4"/>
  <c r="D12" i="4"/>
  <c r="I11" i="4"/>
  <c r="G11" i="4"/>
  <c r="D11" i="4"/>
  <c r="C11" i="4"/>
  <c r="E11" i="4" s="1"/>
  <c r="F11" i="4" s="1"/>
  <c r="E6" i="11" s="1"/>
  <c r="D10" i="4"/>
  <c r="G10" i="4" s="1"/>
  <c r="C10" i="4"/>
  <c r="B7" i="4" s="1"/>
  <c r="B8" i="3"/>
  <c r="C6" i="3"/>
  <c r="E6" i="3" s="1"/>
  <c r="C5" i="3"/>
  <c r="E5" i="11" s="1"/>
  <c r="C4" i="3"/>
  <c r="D5" i="11" s="1"/>
  <c r="F22" i="12" l="1"/>
  <c r="B22" i="12"/>
  <c r="F19" i="12"/>
  <c r="F20" i="12" s="1"/>
  <c r="F21" i="12" s="1"/>
  <c r="B20" i="12"/>
  <c r="B21" i="12" s="1"/>
  <c r="D7" i="11"/>
  <c r="E10" i="4"/>
  <c r="F5" i="11"/>
  <c r="E12" i="4"/>
  <c r="F12" i="4" s="1"/>
  <c r="G12" i="4"/>
  <c r="G14" i="4" s="1"/>
  <c r="D14" i="4"/>
  <c r="E7" i="11"/>
  <c r="H11" i="4"/>
  <c r="E5" i="3"/>
  <c r="H9" i="10"/>
  <c r="H14" i="10"/>
  <c r="H19" i="10"/>
  <c r="H24" i="10"/>
  <c r="B32" i="10"/>
  <c r="C32" i="10" s="1"/>
  <c r="C8" i="3"/>
  <c r="E4" i="3"/>
  <c r="B5" i="7" l="1"/>
  <c r="B17" i="4"/>
  <c r="C7" i="11"/>
  <c r="H7" i="11"/>
  <c r="C5" i="11"/>
  <c r="B4" i="7"/>
  <c r="F32" i="10"/>
  <c r="H32" i="10"/>
  <c r="F6" i="11"/>
  <c r="H12" i="4"/>
  <c r="F5" i="3"/>
  <c r="E8" i="3"/>
  <c r="F4" i="3"/>
  <c r="F6" i="3"/>
  <c r="I12" i="4"/>
  <c r="F7" i="11"/>
  <c r="I7" i="11" s="1"/>
  <c r="G7" i="11"/>
  <c r="E14" i="4"/>
  <c r="F10" i="4"/>
  <c r="F8" i="3" l="1"/>
  <c r="H10" i="4"/>
  <c r="D6" i="11"/>
  <c r="F14" i="4"/>
  <c r="I10" i="4"/>
  <c r="G5" i="11"/>
  <c r="H5" i="11"/>
  <c r="I5" i="11"/>
  <c r="F26" i="4"/>
  <c r="G27" i="4"/>
  <c r="F27" i="4"/>
  <c r="G26" i="4"/>
  <c r="B25" i="4"/>
  <c r="B26" i="4"/>
  <c r="D26" i="4" s="1"/>
  <c r="E26" i="4" s="1"/>
  <c r="B27" i="4"/>
  <c r="D27" i="4" s="1"/>
  <c r="E27" i="4" s="1"/>
  <c r="E9" i="11" l="1"/>
  <c r="I26" i="4"/>
  <c r="C4" i="7"/>
  <c r="C6" i="11"/>
  <c r="G6" i="11"/>
  <c r="D25" i="4"/>
  <c r="B21" i="4"/>
  <c r="H27" i="4"/>
  <c r="F8" i="11"/>
  <c r="B6" i="5"/>
  <c r="F9" i="11"/>
  <c r="I27" i="4"/>
  <c r="J6" i="5"/>
  <c r="H26" i="4"/>
  <c r="E8" i="11"/>
  <c r="B5" i="5"/>
  <c r="F10" i="11" l="1"/>
  <c r="F6" i="5"/>
  <c r="D4" i="7"/>
  <c r="E10" i="11"/>
  <c r="D29" i="4"/>
  <c r="E25" i="4"/>
  <c r="G25" i="4"/>
  <c r="H6" i="11"/>
  <c r="I6" i="11"/>
  <c r="D9" i="11" l="1"/>
  <c r="G29" i="4"/>
  <c r="E29" i="4"/>
  <c r="F25" i="4"/>
  <c r="E5" i="13"/>
  <c r="F12" i="11"/>
  <c r="D8" i="11" l="1"/>
  <c r="H25" i="4"/>
  <c r="F29" i="4"/>
  <c r="B4" i="5"/>
  <c r="I25" i="4"/>
  <c r="C9" i="11"/>
  <c r="B22" i="4"/>
  <c r="G9" i="11"/>
  <c r="I9" i="11" l="1"/>
  <c r="C21" i="11" s="1"/>
  <c r="H9" i="11"/>
  <c r="C4" i="5"/>
  <c r="D10" i="11"/>
  <c r="B22" i="5"/>
  <c r="B15" i="5"/>
  <c r="C6" i="5"/>
  <c r="C5" i="5"/>
  <c r="C8" i="11"/>
  <c r="C5" i="7"/>
  <c r="G8" i="11"/>
  <c r="D4" i="5" l="1"/>
  <c r="E6" i="5"/>
  <c r="B16" i="5"/>
  <c r="G6" i="5" s="1"/>
  <c r="D5" i="5"/>
  <c r="B17" i="5"/>
  <c r="B18" i="5" s="1"/>
  <c r="C8" i="10"/>
  <c r="D5" i="7"/>
  <c r="C9" i="7"/>
  <c r="D9" i="7" s="1"/>
  <c r="B8" i="7"/>
  <c r="D8" i="7" s="1"/>
  <c r="C10" i="11"/>
  <c r="D11" i="7"/>
  <c r="I8" i="11"/>
  <c r="H8" i="11"/>
  <c r="B7" i="8" l="1"/>
  <c r="B6" i="8"/>
  <c r="B4" i="8"/>
  <c r="B19" i="5"/>
  <c r="B8" i="8"/>
  <c r="B5" i="8"/>
  <c r="E5" i="5"/>
  <c r="E11" i="11"/>
  <c r="H11" i="11" s="1"/>
  <c r="F5" i="5"/>
  <c r="E11" i="13"/>
  <c r="E7" i="13"/>
  <c r="E13" i="13"/>
  <c r="D35" i="7"/>
  <c r="E4" i="5"/>
  <c r="C11" i="11"/>
  <c r="J4" i="5"/>
  <c r="D11" i="11"/>
  <c r="D22" i="5"/>
  <c r="F4" i="5"/>
  <c r="H10" i="11"/>
  <c r="I10" i="11"/>
  <c r="L27" i="10"/>
  <c r="L25" i="10"/>
  <c r="L23" i="10"/>
  <c r="L18" i="10"/>
  <c r="L13" i="10"/>
  <c r="L8" i="10"/>
  <c r="L21" i="10"/>
  <c r="L16" i="10"/>
  <c r="L11" i="10"/>
  <c r="L24" i="10"/>
  <c r="L19" i="10"/>
  <c r="L20" i="10"/>
  <c r="L15" i="10"/>
  <c r="L10" i="10"/>
  <c r="L26" i="10"/>
  <c r="L9" i="10"/>
  <c r="L22" i="10"/>
  <c r="C11" i="10"/>
  <c r="C12" i="10" s="1"/>
  <c r="C13" i="10" s="1"/>
  <c r="C15" i="10" s="1"/>
  <c r="L17" i="10"/>
  <c r="L14" i="10"/>
  <c r="L7" i="10"/>
  <c r="L12" i="10"/>
  <c r="D32" i="10"/>
  <c r="G32" i="10"/>
  <c r="E14" i="13"/>
  <c r="G10" i="11"/>
  <c r="C16" i="10" l="1"/>
  <c r="C17" i="10"/>
  <c r="F5" i="12"/>
  <c r="F9" i="12" s="1"/>
  <c r="B20" i="5"/>
  <c r="B13" i="8"/>
  <c r="B5" i="12"/>
  <c r="B25" i="5"/>
  <c r="B26" i="5" s="1"/>
  <c r="G4" i="5"/>
  <c r="F7" i="12" s="1"/>
  <c r="C12" i="11"/>
  <c r="C17" i="11" s="1"/>
  <c r="D12" i="11"/>
  <c r="F22" i="5"/>
  <c r="E12" i="11"/>
  <c r="J5" i="5"/>
  <c r="G5" i="5"/>
  <c r="B24" i="5" s="1"/>
  <c r="B27" i="5" s="1"/>
  <c r="B28" i="5" s="1"/>
  <c r="B29" i="5" s="1"/>
  <c r="E6" i="8"/>
  <c r="C22" i="11"/>
  <c r="G11" i="11"/>
  <c r="C19" i="11" s="1"/>
  <c r="I11" i="11"/>
  <c r="B7" i="12"/>
  <c r="G12" i="11" l="1"/>
  <c r="B10" i="12"/>
  <c r="B30" i="5"/>
  <c r="B33" i="5"/>
  <c r="C23" i="11"/>
  <c r="H12" i="11"/>
  <c r="C20" i="11" s="1"/>
  <c r="I12" i="11"/>
  <c r="C18" i="11"/>
  <c r="B9" i="12"/>
  <c r="E8" i="8"/>
  <c r="E4" i="8"/>
  <c r="C7" i="7"/>
  <c r="D7" i="7" s="1"/>
  <c r="B6" i="12"/>
  <c r="B8" i="12" s="1"/>
  <c r="C6" i="7"/>
  <c r="D6" i="7" s="1"/>
  <c r="F6" i="12"/>
  <c r="F8" i="12" s="1"/>
  <c r="E5" i="8"/>
  <c r="E7" i="8"/>
  <c r="J20" i="10"/>
  <c r="J21" i="10"/>
  <c r="J27" i="10"/>
  <c r="J25" i="10"/>
  <c r="J23" i="10"/>
  <c r="J18" i="10"/>
  <c r="J13" i="10"/>
  <c r="J8" i="10"/>
  <c r="J22" i="10"/>
  <c r="J17" i="10"/>
  <c r="J12" i="10"/>
  <c r="J7" i="10"/>
  <c r="J15" i="10"/>
  <c r="J10" i="10"/>
  <c r="C18" i="10"/>
  <c r="C19" i="10" s="1"/>
  <c r="J16" i="10"/>
  <c r="J24" i="10"/>
  <c r="J9" i="10"/>
  <c r="J14" i="10"/>
  <c r="J11" i="10"/>
  <c r="J19" i="10"/>
  <c r="J26" i="10"/>
  <c r="E32" i="10"/>
  <c r="B33" i="10" s="1"/>
  <c r="C33" i="10" s="1"/>
  <c r="B29" i="7" l="1"/>
  <c r="E18" i="13"/>
  <c r="D33" i="7"/>
  <c r="C46" i="7"/>
  <c r="D12" i="7"/>
  <c r="C45" i="7" s="1"/>
  <c r="C48" i="7"/>
  <c r="D34" i="7"/>
  <c r="D13" i="7"/>
  <c r="C47" i="7" s="1"/>
  <c r="E16" i="13"/>
  <c r="B15" i="12"/>
  <c r="K20" i="10"/>
  <c r="K15" i="10"/>
  <c r="K10" i="10"/>
  <c r="K23" i="10"/>
  <c r="K18" i="10"/>
  <c r="K8" i="10"/>
  <c r="C20" i="10"/>
  <c r="K13" i="10" s="1"/>
  <c r="K16" i="10"/>
  <c r="K27" i="10"/>
  <c r="K25" i="10"/>
  <c r="K24" i="10"/>
  <c r="K12" i="10"/>
  <c r="K14" i="10"/>
  <c r="K19" i="10"/>
  <c r="K7" i="10"/>
  <c r="D33" i="10"/>
  <c r="E33" i="10"/>
  <c r="B34" i="10" s="1"/>
  <c r="C34" i="10" s="1"/>
  <c r="H33" i="10"/>
  <c r="G33" i="10"/>
  <c r="F33" i="10"/>
  <c r="G34" i="10" l="1"/>
  <c r="E34" i="10"/>
  <c r="B35" i="10" s="1"/>
  <c r="C35" i="10" s="1"/>
  <c r="D34" i="10"/>
  <c r="H34" i="10"/>
  <c r="F34" i="10"/>
  <c r="K26" i="10"/>
  <c r="K11" i="10"/>
  <c r="K17" i="10"/>
  <c r="K21" i="10"/>
  <c r="K9" i="10"/>
  <c r="K22" i="10"/>
  <c r="H35" i="10" l="1"/>
  <c r="F35" i="10"/>
  <c r="G35" i="10"/>
  <c r="E35" i="10"/>
  <c r="B36" i="10" s="1"/>
  <c r="C36" i="10" s="1"/>
  <c r="D35" i="10"/>
  <c r="B31" i="5"/>
  <c r="H36" i="10" l="1"/>
  <c r="D36" i="10"/>
  <c r="G36" i="10"/>
  <c r="F36" i="10"/>
  <c r="E36" i="10"/>
  <c r="B37" i="10" s="1"/>
  <c r="C37" i="10" s="1"/>
  <c r="C50" i="7"/>
  <c r="F6" i="8"/>
  <c r="F5" i="8"/>
  <c r="B15" i="6"/>
  <c r="F4" i="8"/>
  <c r="B24" i="7"/>
  <c r="F7" i="8"/>
  <c r="F8" i="8"/>
  <c r="B25" i="7"/>
  <c r="F37" i="10" l="1"/>
  <c r="D37" i="10"/>
  <c r="G37" i="10"/>
  <c r="E37" i="10"/>
  <c r="B38" i="10" s="1"/>
  <c r="C38" i="10" s="1"/>
  <c r="H37" i="10"/>
  <c r="B30" i="7"/>
  <c r="B31" i="7" s="1"/>
  <c r="D32" i="7" s="1"/>
  <c r="D36" i="7" s="1"/>
  <c r="C49" i="7" s="1"/>
  <c r="H38" i="10" l="1"/>
  <c r="G38" i="10"/>
  <c r="E38" i="10"/>
  <c r="B39" i="10" s="1"/>
  <c r="C39" i="10" s="1"/>
  <c r="F38" i="10"/>
  <c r="D38" i="10"/>
  <c r="H39" i="10" l="1"/>
  <c r="G39" i="10"/>
  <c r="F39" i="10"/>
  <c r="D39" i="10"/>
  <c r="E39" i="10"/>
  <c r="B40" i="10" s="1"/>
  <c r="C40" i="10" s="1"/>
  <c r="E40" i="10" l="1"/>
  <c r="B41" i="10" s="1"/>
  <c r="C41" i="10" s="1"/>
  <c r="F40" i="10"/>
  <c r="D40" i="10"/>
  <c r="H40" i="10"/>
  <c r="G40" i="10"/>
  <c r="H41" i="10" l="1"/>
  <c r="F41" i="10"/>
  <c r="D41" i="10"/>
  <c r="E41" i="10"/>
  <c r="B42" i="10" s="1"/>
  <c r="C42" i="10" s="1"/>
  <c r="G41" i="10"/>
  <c r="H42" i="10" l="1"/>
  <c r="G42" i="10"/>
  <c r="F42" i="10"/>
  <c r="D42" i="10"/>
  <c r="E42" i="10"/>
  <c r="B43" i="10" s="1"/>
  <c r="C43" i="10" s="1"/>
  <c r="D43" i="10" l="1"/>
  <c r="E43" i="10"/>
  <c r="B44" i="10" s="1"/>
  <c r="C44" i="10" s="1"/>
  <c r="G43" i="10"/>
  <c r="H43" i="10"/>
  <c r="F43" i="10"/>
  <c r="G44" i="10" l="1"/>
  <c r="E44" i="10"/>
  <c r="B45" i="10" s="1"/>
  <c r="C45" i="10" s="1"/>
  <c r="D44" i="10"/>
  <c r="H44" i="10"/>
  <c r="F44" i="10"/>
  <c r="H45" i="10" l="1"/>
  <c r="F45" i="10"/>
  <c r="C21" i="10" s="1"/>
  <c r="C22" i="10" s="1"/>
  <c r="C24" i="10" s="1"/>
  <c r="G45" i="10"/>
  <c r="E45" i="10"/>
  <c r="D45" i="10"/>
</calcChain>
</file>

<file path=xl/sharedStrings.xml><?xml version="1.0" encoding="utf-8"?>
<sst xmlns="http://schemas.openxmlformats.org/spreadsheetml/2006/main" count="831" uniqueCount="593">
  <si>
    <t>Inputs and Assumptions</t>
  </si>
  <si>
    <t>Source(given or asumed)</t>
  </si>
  <si>
    <t>Total feed, F (kmol/h)</t>
  </si>
  <si>
    <t>Given in the project statement as 100 kmol/h total feed to the downstream separation section.</t>
  </si>
  <si>
    <t>MeOH feed mole fraction</t>
  </si>
  <si>
    <t>Given in the Group 20 feed composition as 12.92 mol% methanol.</t>
  </si>
  <si>
    <t>Water feed mole fraction</t>
  </si>
  <si>
    <t>Given in the Group 20 feed composition as 61.18 mol% water.</t>
  </si>
  <si>
    <t>Glycerol feed mole fraction</t>
  </si>
  <si>
    <t>Given in the Group 20 feed composition as 25.90 mol% glycerol.</t>
  </si>
  <si>
    <t>Minimum MeOH product purity</t>
  </si>
  <si>
    <t>Given in the project specification. Methanol product must reach at least 95 mol% purity.</t>
  </si>
  <si>
    <t>Minimum water product purity</t>
  </si>
  <si>
    <t>Given in the project specification. Water product must reach at least 95 mol% purity.</t>
  </si>
  <si>
    <t>Minimum glycerol product purity</t>
  </si>
  <si>
    <t>Given in the project specification. Glycerol product must reach at least 95 mol% purity.</t>
  </si>
  <si>
    <t>Operating hours (h/year)</t>
  </si>
  <si>
    <t>Assumed annual operating time for preliminary utility and annual cost calculations.</t>
  </si>
  <si>
    <t>Component</t>
  </si>
  <si>
    <t>Formula</t>
  </si>
  <si>
    <t>MW (kg/kmol)</t>
  </si>
  <si>
    <t>Cp_liq (kJ/mol-K)</t>
  </si>
  <si>
    <t>Hvap (kJ/mol)</t>
  </si>
  <si>
    <t>rho_liq ref (kg/m3)</t>
  </si>
  <si>
    <t>Role</t>
  </si>
  <si>
    <t>Notes</t>
  </si>
  <si>
    <t>Methanol</t>
  </si>
  <si>
    <t>CH4O</t>
  </si>
  <si>
    <t>Light key</t>
  </si>
  <si>
    <t>NIST Chemistry WebBook</t>
  </si>
  <si>
    <t>Water</t>
  </si>
  <si>
    <t>H2O</t>
  </si>
  <si>
    <t>Heavy key</t>
  </si>
  <si>
    <t>Glycerol</t>
  </si>
  <si>
    <t>C3H8O3</t>
  </si>
  <si>
    <t>Heavy nonvolatile</t>
  </si>
  <si>
    <t>Constant set</t>
  </si>
  <si>
    <t>T range/usage</t>
  </si>
  <si>
    <t>A</t>
  </si>
  <si>
    <t>B</t>
  </si>
  <si>
    <t>C</t>
  </si>
  <si>
    <t>Equation</t>
  </si>
  <si>
    <t>Source</t>
  </si>
  <si>
    <t>Flash 1</t>
  </si>
  <si>
    <t>90 degC</t>
  </si>
  <si>
    <t>log10(Pbar)=A-B/(T_K+C)</t>
  </si>
  <si>
    <t>Flash 2</t>
  </si>
  <si>
    <t>120 degC</t>
  </si>
  <si>
    <t>120 degC; NIST high-temperature range</t>
  </si>
  <si>
    <t>Source(selected ones)</t>
  </si>
  <si>
    <t>Flash 1 T (degC)</t>
  </si>
  <si>
    <t>Selected design temperature for Flash 1 to vaporize a significant fraction of methanol and water while keeping glycerol mostly in the liquid phase.</t>
  </si>
  <si>
    <t>Hydraulic assumptions</t>
  </si>
  <si>
    <t>Value</t>
  </si>
  <si>
    <t>Unit</t>
  </si>
  <si>
    <t>Basis</t>
  </si>
  <si>
    <t>Flash 1 P (bar abs)</t>
  </si>
  <si>
    <t>Selected reduced pressure for Flash 1 to increase methanol and water volatility and improve vapor recovery.</t>
  </si>
  <si>
    <t>rho_G</t>
  </si>
  <si>
    <t>kg/m3</t>
  </si>
  <si>
    <t>Bottom vapor, preliminary</t>
  </si>
  <si>
    <t>Flash 1 vapor fraction beta</t>
  </si>
  <si>
    <t>Calculated from the Rachford–Rice flash equation. Beta is adjusted until the flash residual becomes approximately zero.</t>
  </si>
  <si>
    <t>rho_L</t>
  </si>
  <si>
    <t>Bottom liquid, preliminary</t>
  </si>
  <si>
    <t>Flash 2 T (degC)</t>
  </si>
  <si>
    <t>Selected design temperature for Flash 2 to remove additional methanol and water from the glycerol-rich liquid stream.</t>
  </si>
  <si>
    <t>surface tension</t>
  </si>
  <si>
    <t>N/m</t>
  </si>
  <si>
    <t>Methanol-water at column bottom, screening</t>
  </si>
  <si>
    <t>Flash 2 P (bar abs)</t>
  </si>
  <si>
    <t>Selected low pressure for Flash 2 to vaporize water and methanol at a lower temperature and concentrate glycerol in the liquid product.</t>
  </si>
  <si>
    <t>K1 chart</t>
  </si>
  <si>
    <t>m/s</t>
  </si>
  <si>
    <t>Read from course capacity chart</t>
  </si>
  <si>
    <t>Flash 2 vapor fraction beta</t>
  </si>
  <si>
    <t>Calculated from the Rachford–Rice flash equation using the corrected Flash 2 water Antoine constants.</t>
  </si>
  <si>
    <t>Flooding design fraction</t>
  </si>
  <si>
    <t>-</t>
  </si>
  <si>
    <t>Used for diameter sizing</t>
  </si>
  <si>
    <t>Column pressure (bar abs)</t>
  </si>
  <si>
    <t>Selected as atmospheric pressure for preliminary distillation column design.</t>
  </si>
  <si>
    <t>Plate spacing</t>
  </si>
  <si>
    <t>m</t>
  </si>
  <si>
    <t>Course guideline for Dc &lt; 1.2 m</t>
  </si>
  <si>
    <t>Relative volatility alpha_MeOH/H2O</t>
  </si>
  <si>
    <t>Assumed constant relative volatility for preliminary methanol–water distillation calculations.</t>
  </si>
  <si>
    <t>Pre-column condenser outlet T</t>
  </si>
  <si>
    <t>degC</t>
  </si>
  <si>
    <t>Screening assumption for fully condensed S6 before pumping</t>
  </si>
  <si>
    <t>Reflux ratio multiplier R/Rmin</t>
  </si>
  <si>
    <t>Selected after sensitivity analysis. A value of 1.20 gives the lowest preliminary total annualized cost among the tested cases.</t>
  </si>
  <si>
    <t>Column feed T for q=1</t>
  </si>
  <si>
    <t>Estimated saturated-liquid feed temperature at 1.013 bar</t>
  </si>
  <si>
    <t>Overall tray efficiency</t>
  </si>
  <si>
    <t>Assumed overall tray efficiency for converting theoretical stages into actual trays in preliminary sieve-plate column design.</t>
  </si>
  <si>
    <t>Liquid pump efficiency</t>
  </si>
  <si>
    <t>Screening assumption</t>
  </si>
  <si>
    <t>Feed Balance: Group 20</t>
  </si>
  <si>
    <t>z_i</t>
  </si>
  <si>
    <t>F_i (kmol/h)</t>
  </si>
  <si>
    <t>Mass flow (kg/h)</t>
  </si>
  <si>
    <t>Mass fraction</t>
  </si>
  <si>
    <t>Total</t>
  </si>
  <si>
    <t>Two-Flash Separation Calculations</t>
  </si>
  <si>
    <t>Flash 1 feed F (kmol/h)</t>
  </si>
  <si>
    <t>Flash 1 P (bar)</t>
  </si>
  <si>
    <t>Flash 1 beta = V/F</t>
  </si>
  <si>
    <t>RR residual</t>
  </si>
  <si>
    <t>K_i</t>
  </si>
  <si>
    <t>x_i</t>
  </si>
  <si>
    <t>y_i</t>
  </si>
  <si>
    <t>V_i (kmol/h)</t>
  </si>
  <si>
    <t>L_i (kmol/h)</t>
  </si>
  <si>
    <t>V_i/F_i</t>
  </si>
  <si>
    <t>L_i/F_i</t>
  </si>
  <si>
    <t>Note</t>
  </si>
  <si>
    <t>K from Antoine</t>
  </si>
  <si>
    <t>Nonvolatile K</t>
  </si>
  <si>
    <t>Totals</t>
  </si>
  <si>
    <t>Flash 2 feed F (kmol/h)</t>
  </si>
  <si>
    <t>Flash 2 P (bar)</t>
  </si>
  <si>
    <t>Flash 2 beta = V/F</t>
  </si>
  <si>
    <t>Final glycerol purity</t>
  </si>
  <si>
    <t>K from NIST high-temperature Antoine set</t>
  </si>
  <si>
    <t>Continuous Multistage Distillation Column Design</t>
  </si>
  <si>
    <t>Column feed kmol/h</t>
  </si>
  <si>
    <t>Distillate kmol/h</t>
  </si>
  <si>
    <t>x_D</t>
  </si>
  <si>
    <t>Bottoms kmol/h</t>
  </si>
  <si>
    <t>x_B</t>
  </si>
  <si>
    <t>Feed source</t>
  </si>
  <si>
    <t>Product role</t>
  </si>
  <si>
    <t>Recovery basis</t>
  </si>
  <si>
    <t>Flash 1 vapor + Flash 2 vapor</t>
  </si>
  <si>
    <t>Methanol product</t>
  </si>
  <si>
    <t>Water product</t>
  </si>
  <si>
    <t>Trace only</t>
  </si>
  <si>
    <t>Trace in bottoms</t>
  </si>
  <si>
    <t>MeOH distillate purity xD</t>
  </si>
  <si>
    <t>MeOH bottoms mole fraction xB</t>
  </si>
  <si>
    <t>Relative volatility alpha</t>
  </si>
  <si>
    <t>A constant relative volatility of 4.5 was assumed for the preliminary methanol-water column design. This is a simplifying assumption, a rigorous final design should use experimental VLE data or an activity coefficient model.</t>
  </si>
  <si>
    <t>q-value</t>
  </si>
  <si>
    <t>Assumption: S2 and S4 leave the flash drums as vapor, are fully condensed/mixed, pumped to 1.013 bar, and heated to the column bubble-point condition. Therefore S6 enters as saturated liquid and q = 1.</t>
  </si>
  <si>
    <t>R/Rmin selected</t>
  </si>
  <si>
    <t>design choice</t>
  </si>
  <si>
    <t>Tray efficiency</t>
  </si>
  <si>
    <t>An overall tray efficiency of 70% was assumed for preliminary design. This means that actual trays are less efficient than ideal theoretical stages. Therefore, the number of actual trays was calculated by dividing the theoretical stages by 0.70.</t>
  </si>
  <si>
    <t>Distillate total D (kmol/h)</t>
  </si>
  <si>
    <t>Bottoms total B (kmol/h)</t>
  </si>
  <si>
    <t>yF equilibrium at zF</t>
  </si>
  <si>
    <t>yF* = equilibrium vapor composition at xF on the VLE curve; it is used for Rmin and is not the actual feed vapor composition.</t>
  </si>
  <si>
    <t>Rmin</t>
  </si>
  <si>
    <t>R selected</t>
  </si>
  <si>
    <t>Vapor boilup V=(R+1)D</t>
  </si>
  <si>
    <t>Minimum stages, Nmin</t>
  </si>
  <si>
    <t>Fenske equation</t>
  </si>
  <si>
    <t>Gilliland X</t>
  </si>
  <si>
    <t>Gilliland Y</t>
  </si>
  <si>
    <t>Theoretical stages</t>
  </si>
  <si>
    <t>Rounded theoretical stages</t>
  </si>
  <si>
    <t>Actual trays</t>
  </si>
  <si>
    <t>Estimated feed tray from top</t>
  </si>
  <si>
    <t>Column diameter selected (m)</t>
  </si>
  <si>
    <t>Tray spacing (m)</t>
  </si>
  <si>
    <t>Approx. tangent-to-tangent height (m)</t>
  </si>
  <si>
    <t>Sieve-Plate Column Hydraulic Design</t>
  </si>
  <si>
    <t>Parameter</t>
  </si>
  <si>
    <t>Criterion</t>
  </si>
  <si>
    <t>Status</t>
  </si>
  <si>
    <t>Vapor mass flow Gdot</t>
  </si>
  <si>
    <t>kg/s</t>
  </si>
  <si>
    <t>Downcomer area fraction a</t>
  </si>
  <si>
    <t>Lw/Dc=0.715 -&gt; a=0.0945</t>
  </si>
  <si>
    <t>Liquid mass flow Ldot</t>
  </si>
  <si>
    <t>Active area Aa</t>
  </si>
  <si>
    <t>m2</t>
  </si>
  <si>
    <t>Aa=Ac-2Ad</t>
  </si>
  <si>
    <t>Assumed</t>
  </si>
  <si>
    <t>Hole area Ah</t>
  </si>
  <si>
    <t>Ah/Aa=0.05 within 0.05-0.15</t>
  </si>
  <si>
    <t>Number of holes</t>
  </si>
  <si>
    <t>holes</t>
  </si>
  <si>
    <t>dh=5 mm</t>
  </si>
  <si>
    <t>Surface tension sigma</t>
  </si>
  <si>
    <t>Hole pitch</t>
  </si>
  <si>
    <t>mm</t>
  </si>
  <si>
    <t>2.5-5 dh</t>
  </si>
  <si>
    <t>Flow parameter FLG</t>
  </si>
  <si>
    <t>Weir length Lw</t>
  </si>
  <si>
    <t>Lw/Dc=0.715</t>
  </si>
  <si>
    <t>Weir crest how</t>
  </si>
  <si>
    <t>hw+how &gt; 50 mm</t>
  </si>
  <si>
    <t>K1 corrected</t>
  </si>
  <si>
    <t>Hole velocity uh</t>
  </si>
  <si>
    <t>uh &gt; uhm</t>
  </si>
  <si>
    <t>Flooding velocity uGF</t>
  </si>
  <si>
    <t>Minimum hole velocity uhm</t>
  </si>
  <si>
    <t>weeping limit</t>
  </si>
  <si>
    <t>Design flooding fraction</t>
  </si>
  <si>
    <t>Dry pressure drop ho</t>
  </si>
  <si>
    <t>mm liq</t>
  </si>
  <si>
    <t>screening</t>
  </si>
  <si>
    <t>Required diameter</t>
  </si>
  <si>
    <t>Aerated liquid drop ha</t>
  </si>
  <si>
    <t>Selected diameter</t>
  </si>
  <si>
    <t>Total gas pressure drop hT</t>
  </si>
  <si>
    <t>Actual flooding percent</t>
  </si>
  <si>
    <t>Downcomer backup hda</t>
  </si>
  <si>
    <t>hda &lt;= 0.5*PS*1000 = 225 mm</t>
  </si>
  <si>
    <t>Downcomer residence time</t>
  </si>
  <si>
    <t>s</t>
  </si>
  <si>
    <t>&gt; 5 s</t>
  </si>
  <si>
    <t>Estimated entrainment E</t>
  </si>
  <si>
    <t>&lt; 0.1</t>
  </si>
  <si>
    <t>Energy Balance and Preliminary Cost Model</t>
  </si>
  <si>
    <t>Sensible (kW)</t>
  </si>
  <si>
    <t>Latent/Condensing (kW)</t>
  </si>
  <si>
    <t>Total duty / power (kW)</t>
  </si>
  <si>
    <t>Equation / Basis</t>
  </si>
  <si>
    <t>Cost treatment</t>
  </si>
  <si>
    <t>Flash 1 heater</t>
  </si>
  <si>
    <t>Sensible feed heating from 25 C to 90 C + vaporization</t>
  </si>
  <si>
    <t>Duty only; excluded from TAC</t>
  </si>
  <si>
    <t>Flash 2 heater</t>
  </si>
  <si>
    <t>Liquid heating from 90 C to 120 C + vaporization</t>
  </si>
  <si>
    <t>Column reboiler</t>
  </si>
  <si>
    <t>V=(R+1)D times latent heat of water-rich vapor</t>
  </si>
  <si>
    <t>Included in TAC</t>
  </si>
  <si>
    <t>Column condenser</t>
  </si>
  <si>
    <t>Top vapor condensation, methanol-rich</t>
  </si>
  <si>
    <t>Column feed heater</t>
  </si>
  <si>
    <t>Heat condensed S6 from assumed 40 C to saturated-liquid feed condition at 85 C</t>
  </si>
  <si>
    <t>Pre-column condenser (S2+S4 -&gt; S6)</t>
  </si>
  <si>
    <t>Full condensation of Flash 1 and Flash 2 vapor streams</t>
  </si>
  <si>
    <t>Vacuum pump</t>
  </si>
  <si>
    <t>Liquid-ring vacuum pump screening power</t>
  </si>
  <si>
    <t>Electricity included in TAC</t>
  </si>
  <si>
    <t>Liquid feed pump</t>
  </si>
  <si>
    <t>Pump S6 from 0.08 bar to 1.013 bar; hydraulic power/efficiency</t>
  </si>
  <si>
    <t>Total heating duty</t>
  </si>
  <si>
    <t>Flash 1 + Flash 2 + feed heater + column reboiler</t>
  </si>
  <si>
    <t>Energy-balance total</t>
  </si>
  <si>
    <t>Total cooling duty</t>
  </si>
  <si>
    <t>Pre-column condenser + column condenser</t>
  </si>
  <si>
    <t>Cost parameter</t>
  </si>
  <si>
    <t>Formula/assumption</t>
  </si>
  <si>
    <t>Operating hours</t>
  </si>
  <si>
    <t>h/year</t>
  </si>
  <si>
    <t>Input</t>
  </si>
  <si>
    <t>Steam cost</t>
  </si>
  <si>
    <t>$/GJ</t>
  </si>
  <si>
    <t>Cooling cost</t>
  </si>
  <si>
    <t>Electricity cost</t>
  </si>
  <si>
    <t>$/kWh</t>
  </si>
  <si>
    <t>Installed factor</t>
  </si>
  <si>
    <t>Installed = bare x factor</t>
  </si>
  <si>
    <t>Capital recovery factor</t>
  </si>
  <si>
    <t>1/year</t>
  </si>
  <si>
    <t>Annualized capital = CRF x installed</t>
  </si>
  <si>
    <t>Cost item</t>
  </si>
  <si>
    <t>Bare cost ($)</t>
  </si>
  <si>
    <t>Annualized / operating ($/year)</t>
  </si>
  <si>
    <t>Category</t>
  </si>
  <si>
    <t>Column shell</t>
  </si>
  <si>
    <t>60000*(D/0.5)^1.1*(H/10)^0.8</t>
  </si>
  <si>
    <t>Capital</t>
  </si>
  <si>
    <t>Sieve trays</t>
  </si>
  <si>
    <t>1200*Ntrays*(D/0.5)^1.2</t>
  </si>
  <si>
    <t>Flash drum 1</t>
  </si>
  <si>
    <t>18000*(Vessel volume/1 m3)^0.6</t>
  </si>
  <si>
    <t>Flash drum 2</t>
  </si>
  <si>
    <t>Vacuum + liquid feed pumps</t>
  </si>
  <si>
    <t>$35,000 vacuum pump + $5,000 small liquid pump allowance</t>
  </si>
  <si>
    <t>Column reboiler + total condenser</t>
  </si>
  <si>
    <t>SUM[15000*(Q/100)^0.65] for column thermal equipment only</t>
  </si>
  <si>
    <t>Bare module subtotal</t>
  </si>
  <si>
    <t>Sum of included bare equipment only</t>
  </si>
  <si>
    <t>Installed capital</t>
  </si>
  <si>
    <t>Bare subtotal*installed factor</t>
  </si>
  <si>
    <t>Annualized capital</t>
  </si>
  <si>
    <t>Installed capital*capital recovery factor</t>
  </si>
  <si>
    <t>Annual</t>
  </si>
  <si>
    <t>Steam utility</t>
  </si>
  <si>
    <t>Column reboiler duty only</t>
  </si>
  <si>
    <t>Operating</t>
  </si>
  <si>
    <t>Cooling utility</t>
  </si>
  <si>
    <t>Column total condenser duty only</t>
  </si>
  <si>
    <t>Pump electricity</t>
  </si>
  <si>
    <t>(Vacuum + liquid pump power)*hours*electricity price</t>
  </si>
  <si>
    <t>Total annualized cost</t>
  </si>
  <si>
    <t>Annualized capital + included utilities</t>
  </si>
  <si>
    <t>TAC</t>
  </si>
  <si>
    <t>Reuse justification</t>
  </si>
  <si>
    <t>Recycle to biodiesel transesterification reactor after quality check</t>
  </si>
  <si>
    <t>Reuse as process wash/utility water if residual methanol specification is met</t>
  </si>
  <si>
    <t>Glycerol product</t>
  </si>
  <si>
    <t>Sell/use as crude glycerol feedstock; further polishing may be needed for pharma-grade glycerol</t>
  </si>
  <si>
    <t>Safety note</t>
  </si>
  <si>
    <t>Methanol service requires closed equipment, grounding, ventilation, relief devices, and LEL/toxic exposure controls.</t>
  </si>
  <si>
    <t>V4 cost-treatment summary</t>
  </si>
  <si>
    <t>Energy-balance heating duty</t>
  </si>
  <si>
    <t>kW</t>
  </si>
  <si>
    <t>Costed heating duty</t>
  </si>
  <si>
    <t>Column reboiler only</t>
  </si>
  <si>
    <t>Energy-balance cooling duty</t>
  </si>
  <si>
    <t>Costed cooling duty</t>
  </si>
  <si>
    <t>Column total condenser only</t>
  </si>
  <si>
    <t>TAC basis</t>
  </si>
  <si>
    <t>Pre-column heater/HEX duties excluded from TAC</t>
  </si>
  <si>
    <t>$/year</t>
  </si>
  <si>
    <t>Selected column diameter</t>
  </si>
  <si>
    <t>Top/bottom hydraulic screening</t>
  </si>
  <si>
    <t>Reflux Ratio Sensitivity</t>
  </si>
  <si>
    <t>R/Rmin</t>
  </si>
  <si>
    <t>R</t>
  </si>
  <si>
    <t>Reboiler duty (kW)</t>
  </si>
  <si>
    <t>Estimated TAC ($/year)</t>
  </si>
  <si>
    <t>Selected case</t>
  </si>
  <si>
    <t>The 1.20 R/Rmin case gives the lowest screening TAC under the revised rule: pre-column heaters/HEX duties are calculated but excluded from TAC.</t>
  </si>
  <si>
    <t>Interpretation</t>
  </si>
  <si>
    <t>Higher reflux reduces stages but increases the costed column reboiler/condenser duties. Pre-column duties remain outside TAC.</t>
  </si>
  <si>
    <t>Caution</t>
  </si>
  <si>
    <t>Cost functions are order-of-magnitude screening estimates. Electricity price and pump costs are assumptions.</t>
  </si>
  <si>
    <t>Final selected R</t>
  </si>
  <si>
    <t>Used in Column and Hydraulics sheets.</t>
  </si>
  <si>
    <t>References and Source Notes</t>
  </si>
  <si>
    <t>No.</t>
  </si>
  <si>
    <t>Used for</t>
  </si>
  <si>
    <t>CHE 312 Course Staff, CHE 312 Term Project Description - Spring 2026</t>
  </si>
  <si>
    <t>Project statement: 100 kmol/h feed, allowed units, purity targets, report requirements</t>
  </si>
  <si>
    <t>CHE 312 Course Staff, CHE 312 Project Groups - Spring 2026</t>
  </si>
  <si>
    <t>Group 20 feed composition and group assignment</t>
  </si>
  <si>
    <t>CHE 312 Course Staff, Chapter 6: Internal Design of a Sieve-Plate Column</t>
  </si>
  <si>
    <t>Sieve-tray diameter, flooding, weeping, pressure drop, downcomer backup and residence time</t>
  </si>
  <si>
    <t>CHE 312 Course Staff, Handout 1: Multicomponent Mixtures and Shortcut Distillation Methods</t>
  </si>
  <si>
    <t>Shortcut column calculations, Fenske/Underwood/Gilliland basis and feed-stage logic</t>
  </si>
  <si>
    <t>CHE 312 Course Staff, Handout 2: Internal Design of Plate Columns</t>
  </si>
  <si>
    <t>Capacity factor, entrainment, orifice, aeration and K2 charts</t>
  </si>
  <si>
    <t>NIST Chemistry WebBook: Methyl Alcohol (Methanol), CAS No. 67-56-1</t>
  </si>
  <si>
    <t>Antoine equation and molecular-weight/property basis for methanol</t>
  </si>
  <si>
    <t>NIST Chemistry WebBook: Water, CAS No. 7732-18-5</t>
  </si>
  <si>
    <t>Antoine equation and molecular-weight/property basis for water</t>
  </si>
  <si>
    <t>NIST Chemistry WebBook: Glycerol (Glycerin), CAS No. 56-81-5</t>
  </si>
  <si>
    <t>Glycerol molecular weight and property identity</t>
  </si>
  <si>
    <t>OSHA Chemical Data: Methyl Alcohol (Methanol), CAS No. 67-56-1</t>
  </si>
  <si>
    <t>Methanol flammability limits, flash point and safety properties</t>
  </si>
  <si>
    <t>NIOSH Pocket Guide to Chemical Hazards: Methyl Alcohol</t>
  </si>
  <si>
    <t>Methanol emergency exposure and handling basis</t>
  </si>
  <si>
    <t>G. Towler and R. K. Sinnott, Chemical Engineering Design, 2nd ed.</t>
  </si>
  <si>
    <t>Preliminary cost functions and design economics context</t>
  </si>
  <si>
    <t>R. K. Sinnott, Coulson &amp; Richardson's Chemical Engineering, Vol. 6, 4th ed.</t>
  </si>
  <si>
    <t>Column design and cost-estimation background</t>
  </si>
  <si>
    <t>A. A. Kiss and R. M. Ignat, Enhanced methanol recovery and glycerol separation in biodiesel production</t>
  </si>
  <si>
    <t>Biodiesel methanol recovery and glycerol separation discussion</t>
  </si>
  <si>
    <t>Y. Liu, B. Zhong, and A. Lawal, Recovery and utilization of crude glycerol, a biodiesel byproduct</t>
  </si>
  <si>
    <t>Glycerol reuse / crude glycerol product discussion</t>
  </si>
  <si>
    <t>D. W. Green and M. Z. Southard, Perry's Chemical Engineers' Handbook, 9th ed.</t>
  </si>
  <si>
    <t>Physical-property and general process-design reference</t>
  </si>
  <si>
    <t>McCabe–Thiele Check for Methanol–Water Column</t>
  </si>
  <si>
    <t>Input / parameter</t>
  </si>
  <si>
    <t>Symbol</t>
  </si>
  <si>
    <t>Value / Formula</t>
  </si>
  <si>
    <t>Short note</t>
  </si>
  <si>
    <t>Distillate methanol mole fraction</t>
  </si>
  <si>
    <t>xD</t>
  </si>
  <si>
    <t>Top product specification</t>
  </si>
  <si>
    <t>x</t>
  </si>
  <si>
    <t>Equilibrium y</t>
  </si>
  <si>
    <t>Diagonal y=x</t>
  </si>
  <si>
    <t>Rectifying y</t>
  </si>
  <si>
    <t>Stripping y</t>
  </si>
  <si>
    <t>q-line x=xF</t>
  </si>
  <si>
    <t>Bottoms methanol mole fraction</t>
  </si>
  <si>
    <t>xB</t>
  </si>
  <si>
    <t>Chosen to make water product about 99.5 mol%</t>
  </si>
  <si>
    <t>Column feed methanol mole fraction</t>
  </si>
  <si>
    <t>xF</t>
  </si>
  <si>
    <t>Combined Flash 1 vapor + Flash 2 vapor</t>
  </si>
  <si>
    <t>Relative volatility</t>
  </si>
  <si>
    <t>alpha</t>
  </si>
  <si>
    <t>Assumed constant average MeOH/H2O relative volatility</t>
  </si>
  <si>
    <t>Feed thermal condition</t>
  </si>
  <si>
    <t>q</t>
  </si>
  <si>
    <t>q = 1 means saturated liquid feed</t>
  </si>
  <si>
    <t>Equilibrium vapor at xF</t>
  </si>
  <si>
    <t>yF*</t>
  </si>
  <si>
    <t>Point on equilibrium curve at x = xF, not actual feed vapor composition</t>
  </si>
  <si>
    <t>Minimum line slope</t>
  </si>
  <si>
    <t>mmin</t>
  </si>
  <si>
    <t>Slope of line through (xD,xD) and (xF,yF*)</t>
  </si>
  <si>
    <t>Minimum reflux ratio</t>
  </si>
  <si>
    <t>Since rectifying slope m = R/(R+1)</t>
  </si>
  <si>
    <t>Selected R/Rmin</t>
  </si>
  <si>
    <t>Design choice from sensitivity table</t>
  </si>
  <si>
    <t>Selected reflux ratio</t>
  </si>
  <si>
    <t>Actual reflux ratio used in McCabe stepping</t>
  </si>
  <si>
    <t>Rectifying slope</t>
  </si>
  <si>
    <t>mR</t>
  </si>
  <si>
    <t>Slope of rectifying operating line</t>
  </si>
  <si>
    <t>Rectifying intercept</t>
  </si>
  <si>
    <t>bR</t>
  </si>
  <si>
    <t>Intercept of rectifying operating line</t>
  </si>
  <si>
    <t>Intersection at feed</t>
  </si>
  <si>
    <t>yint</t>
  </si>
  <si>
    <t>Where q-line x=xF meets rectifying line</t>
  </si>
  <si>
    <t>Stripping slope</t>
  </si>
  <si>
    <t>mS</t>
  </si>
  <si>
    <t>Line through (xF,yint) and (xB,xB)</t>
  </si>
  <si>
    <t>Stripping intercept</t>
  </si>
  <si>
    <t>bS</t>
  </si>
  <si>
    <t>Intercept of stripping line</t>
  </si>
  <si>
    <t>McCabe theoretical stages</t>
  </si>
  <si>
    <t>N_th</t>
  </si>
  <si>
    <t>Full horizontal-equilibrium steps listed below</t>
  </si>
  <si>
    <t>N_round</t>
  </si>
  <si>
    <t>Used to compare with shortcut result</t>
  </si>
  <si>
    <t>E</t>
  </si>
  <si>
    <t>Assumed efficiency for preliminary design</t>
  </si>
  <si>
    <t>N_actual</t>
  </si>
  <si>
    <t>trays</t>
  </si>
  <si>
    <t>Actual trays = theoretical stages / efficiency</t>
  </si>
  <si>
    <t>McCabe stepping table</t>
  </si>
  <si>
    <t>Course-note logic used</t>
  </si>
  <si>
    <t>Explanation</t>
  </si>
  <si>
    <t>Stage</t>
  </si>
  <si>
    <t>y start</t>
  </si>
  <si>
    <t>x from equilibrium</t>
  </si>
  <si>
    <t>Section used</t>
  </si>
  <si>
    <t>y next from operating line</t>
  </si>
  <si>
    <t>Stop check</t>
  </si>
  <si>
    <t>Short meaning</t>
  </si>
  <si>
    <t>Count</t>
  </si>
  <si>
    <t>CMO / Lewis method</t>
  </si>
  <si>
    <t>As in the Chapter 4 notes, constant molal overflow allows use of operating lines instead of full energy balances.</t>
  </si>
  <si>
    <t>Total condenser</t>
  </si>
  <si>
    <t>For a total condenser, y1 = xD. The first horizontal step starts at y = xD.</t>
  </si>
  <si>
    <t>Rectifying operating line</t>
  </si>
  <si>
    <t>y = [R/(R+1)] x + [xD/(R+1)]. This matches the course notes for the enriching section.</t>
  </si>
  <si>
    <t>q-line</t>
  </si>
  <si>
    <t>q = 1 is saturated liquid, so the q-line is vertical at x = xF. This is valid only if the combined flash vapor feed is condensed before entering the column.</t>
  </si>
  <si>
    <t>yF* is the equilibrium vapor composition at xF. It is read/calculated from the equilibrium curve and used to estimate Rmin.</t>
  </si>
  <si>
    <t>Stripping operating line</t>
  </si>
  <si>
    <t>For q = 1, the stripping line is drawn through the feed intersection point and (xB, xB).</t>
  </si>
  <si>
    <t>Stage count</t>
  </si>
  <si>
    <t>Stepping between the equilibrium curve and operating lines gives approximately 14 theoretical stages, consistent with the shortcut result.</t>
  </si>
  <si>
    <t>E = 0.70 is an assumed overall tray efficiency. Actual trays = theoretical stages / E.</t>
  </si>
  <si>
    <t>Final Stream Summary for Report Synchronization</t>
  </si>
  <si>
    <t>Stream</t>
  </si>
  <si>
    <t>Description</t>
  </si>
  <si>
    <t>Total kmol/h</t>
  </si>
  <si>
    <t>MeOH kmol/h</t>
  </si>
  <si>
    <t>Water kmol/h</t>
  </si>
  <si>
    <t>Glycerol kmol/h</t>
  </si>
  <si>
    <t>MeOH mol%</t>
  </si>
  <si>
    <t>Water mol%</t>
  </si>
  <si>
    <t>Glycerol mol%</t>
  </si>
  <si>
    <t>Phase before/after conditioning</t>
  </si>
  <si>
    <t>S1</t>
  </si>
  <si>
    <t>Fresh feed</t>
  </si>
  <si>
    <t>Liquid feed</t>
  </si>
  <si>
    <t>S2</t>
  </si>
  <si>
    <t>Flash 1 vapor</t>
  </si>
  <si>
    <t>Vapor</t>
  </si>
  <si>
    <t>S3</t>
  </si>
  <si>
    <t>Flash 1 liquid</t>
  </si>
  <si>
    <t>Liquid</t>
  </si>
  <si>
    <t>S4</t>
  </si>
  <si>
    <t>Flash 2 vapor</t>
  </si>
  <si>
    <t>S5</t>
  </si>
  <si>
    <t>Liquid product</t>
  </si>
  <si>
    <t>S6</t>
  </si>
  <si>
    <t>Column feed after condenser/pump/feed heater</t>
  </si>
  <si>
    <t>Saturated liquid</t>
  </si>
  <si>
    <t>S7</t>
  </si>
  <si>
    <t>Methanol product / distillate</t>
  </si>
  <si>
    <t>S8</t>
  </si>
  <si>
    <t>Water product / bottoms</t>
  </si>
  <si>
    <t>Check</t>
  </si>
  <si>
    <t>Formula / basis</t>
  </si>
  <si>
    <t>Overall total balance</t>
  </si>
  <si>
    <t>S1 - S5 - S7 - S8</t>
  </si>
  <si>
    <t>Column total balance</t>
  </si>
  <si>
    <t>S6 - S7 - S8</t>
  </si>
  <si>
    <t>Methanol purity</t>
  </si>
  <si>
    <t>S7 MeOH mol%</t>
  </si>
  <si>
    <t>Water purity</t>
  </si>
  <si>
    <t>S8 Water mol%</t>
  </si>
  <si>
    <t>Glycerol purity</t>
  </si>
  <si>
    <t>S5 Gly mol%</t>
  </si>
  <si>
    <t>Methanol recovery</t>
  </si>
  <si>
    <t>S7 MeOH / S1 MeOH</t>
  </si>
  <si>
    <t>Water recovery</t>
  </si>
  <si>
    <t>S8 Water / S1 Water</t>
  </si>
  <si>
    <t>Top/Bottom Section Hydraulic Screening</t>
  </si>
  <si>
    <t>Rectifying section</t>
  </si>
  <si>
    <t>Basis / formula</t>
  </si>
  <si>
    <t>Stripping section</t>
  </si>
  <si>
    <t>Main liquid flow L</t>
  </si>
  <si>
    <t>kmol/h</t>
  </si>
  <si>
    <t>R*D</t>
  </si>
  <si>
    <t>Info</t>
  </si>
  <si>
    <t>Approx. Lbar = L + F for q=1</t>
  </si>
  <si>
    <t>Main vapor flow V</t>
  </si>
  <si>
    <t>(R+1)D</t>
  </si>
  <si>
    <t>CMO screening same vapor molar flow</t>
  </si>
  <si>
    <t>Average liquid/vapor MW</t>
  </si>
  <si>
    <t>kg/kmol</t>
  </si>
  <si>
    <t>distillate composition</t>
  </si>
  <si>
    <t>bottom composition</t>
  </si>
  <si>
    <t>Gdot</t>
  </si>
  <si>
    <t>V*MW/3600</t>
  </si>
  <si>
    <t>Ldot</t>
  </si>
  <si>
    <t>L*MW/3600</t>
  </si>
  <si>
    <t>Lbar*feed MW/3600 approx.</t>
  </si>
  <si>
    <t>Assumed vapor density rhoG</t>
  </si>
  <si>
    <t>ideal vapor at 68 C, 1.013 bar</t>
  </si>
  <si>
    <t>from existing Hydraulics sheet</t>
  </si>
  <si>
    <t>Assumed liquid density rhoL</t>
  </si>
  <si>
    <t>methanol-rich liquid estimate</t>
  </si>
  <si>
    <t>methanol-rich estimate</t>
  </si>
  <si>
    <t>same chart basis</t>
  </si>
  <si>
    <t>surface tension correction</t>
  </si>
  <si>
    <t>Calc</t>
  </si>
  <si>
    <t>K1c*sqrt((rhoL-rhoG)/rhoG)</t>
  </si>
  <si>
    <t>selected design fraction</t>
  </si>
  <si>
    <t>same tray layout</t>
  </si>
  <si>
    <t>from vapor continuity</t>
  </si>
  <si>
    <t>Selected standard diameter</t>
  </si>
  <si>
    <t>max top/bottom, rounded up</t>
  </si>
  <si>
    <t>same column shell diameter</t>
  </si>
  <si>
    <t>Actual flooding fraction</t>
  </si>
  <si>
    <t>actual vapor velocity / uGF</t>
  </si>
  <si>
    <t>Flooding status</t>
  </si>
  <si>
    <t>target below 70%</t>
  </si>
  <si>
    <t>Final selected diameter</t>
  </si>
  <si>
    <t>transferred to Column and Hydraulics</t>
  </si>
  <si>
    <t>same diameter used for both sections</t>
  </si>
  <si>
    <t>Tagged Equipment List and Cost-Treatment Summary</t>
  </si>
  <si>
    <t>Tag</t>
  </si>
  <si>
    <t>Equipment</t>
  </si>
  <si>
    <t>Quantity</t>
  </si>
  <si>
    <t>Main function</t>
  </si>
  <si>
    <t>Duty / power</t>
  </si>
  <si>
    <t>E-01</t>
  </si>
  <si>
    <t>Flash 1 Heater</t>
  </si>
  <si>
    <t>Heat S1 to Flash 1 operating condition</t>
  </si>
  <si>
    <t>FD-01</t>
  </si>
  <si>
    <t>Flash Drum 1</t>
  </si>
  <si>
    <t>Initial methanol-water vapor recovery</t>
  </si>
  <si>
    <t>90 C, 0.50 bar</t>
  </si>
  <si>
    <t>E-02</t>
  </si>
  <si>
    <t>Flash 2 Heater</t>
  </si>
  <si>
    <t>Heat S3 to Flash 2 operating condition</t>
  </si>
  <si>
    <t>V-01</t>
  </si>
  <si>
    <t>Pressure-Reducing Valve to FD-02</t>
  </si>
  <si>
    <t>Reduce S3 pressure before Flash 2</t>
  </si>
  <si>
    <t>0.50 -&gt; 0.08 bar</t>
  </si>
  <si>
    <t>FD-02</t>
  </si>
  <si>
    <t>Flash Drum 2</t>
  </si>
  <si>
    <t>Concentrate glycerol product</t>
  </si>
  <si>
    <t>120 C, 0.08 bar</t>
  </si>
  <si>
    <t>V-02</t>
  </si>
  <si>
    <t>S2 Pressure-Reducing Valve</t>
  </si>
  <si>
    <t>Match S2 pressure to pre-column condenser</t>
  </si>
  <si>
    <t>E-03</t>
  </si>
  <si>
    <t>Pre-column Condenser &amp; Mixer</t>
  </si>
  <si>
    <t>Fully condense S2+S4 before column</t>
  </si>
  <si>
    <t>VP-01</t>
  </si>
  <si>
    <t>Liquid-ring Vacuum Pump</t>
  </si>
  <si>
    <t>Maintain vacuum on Flash 2/pre-column vapor system</t>
  </si>
  <si>
    <t>P-01</t>
  </si>
  <si>
    <t>Column Feed Pump</t>
  </si>
  <si>
    <t>Pump condensed S6 to column pressure</t>
  </si>
  <si>
    <t>E-04</t>
  </si>
  <si>
    <t>Column Feed Heater</t>
  </si>
  <si>
    <t>Bring S6 to saturated-liquid condition</t>
  </si>
  <si>
    <t>COL-01</t>
  </si>
  <si>
    <t>Sieve-Plate Distillation Column</t>
  </si>
  <si>
    <t>Methanol-water separation</t>
  </si>
  <si>
    <t>20 trays, D = 0.70 m</t>
  </si>
  <si>
    <t>E-05</t>
  </si>
  <si>
    <t>Column Total Condenser</t>
  </si>
  <si>
    <t>Condense column overhead vapor</t>
  </si>
  <si>
    <t>RD-01</t>
  </si>
  <si>
    <t>Reflux Drum</t>
  </si>
  <si>
    <t>Collect condensate and provide reflux</t>
  </si>
  <si>
    <t>R = Column!B19</t>
  </si>
  <si>
    <t>E-06</t>
  </si>
  <si>
    <t>Partial Reboiler</t>
  </si>
  <si>
    <t>Provide boilup to column</t>
  </si>
  <si>
    <t>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</si>
</sst>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
    <numFmt numFmtId="166" formatCode="0.0"/>
    <numFmt numFmtId="167" formatCode="\$#,##0"/>
  </numFmts>
  <fonts count="13">
    <font>
      <sz val="11"/>
      <name val="Carlito"/>
    </font>
    <font>
      <b/>
      <sz val="14"/>
      <color rgb="FFFFFFFF"/>
      <name val="Carlito"/>
    </font>
    <font>
      <b/>
      <sz val="11"/>
      <name val="Carlito"/>
    </font>
    <font>
      <b/>
      <sz val="11"/>
      <color rgb="FF006100"/>
      <name val="Carlito"/>
    </font>
    <font>
      <sz val="9"/>
      <name val="Carlito"/>
    </font>
    <font>
      <sz val="8"/>
      <name val="Carlito"/>
    </font>
    <font>
      <i/>
      <sz val="11"/>
      <name val="Carlito"/>
    </font>
    <font>
      <b/>
      <sz val="11"/>
      <color rgb="FF000000"/>
      <name val="Carlito"/>
    </font>
    <font>
      <sz val="11"/>
      <color rgb="FF000000"/>
      <name val="Carlito"/>
    </font>
    <font>
      <b/>
      <sz val="11"/>
      <color rgb="FFFFFFFF"/>
      <name val="Carlito"/>
    </font>
    <font>
      <b/>
      <sz val="11"/>
      <color rgb="FF1F4E79"/>
      <name val="Carlito"/>
    </font>
    <font>
      <b/>
      <sz val="11"/>
      <color theme="0"/>
      <name val="Carlito"/>
    </font>
    <font>
      <b/>
      <sz val="11"/>
      <color theme="1"/>
      <name val="Carlito"/>
    </font>
  </fonts>
  <fills count="13">
    <fill>
      <patternFill patternType="none"/>
    </fill>
    <fill>
      <patternFill patternType="gray125"/>
    </fill>
    <fill>
      <patternFill patternType="solid">
        <fgColor rgb="FFE2F0D9"/>
      </patternFill>
    </fill>
    <fill>
      <patternFill patternType="solid">
        <fgColor rgb="FFFFF2CC"/>
      </patternFill>
    </fill>
    <fill>
      <patternFill patternType="solid">
        <fgColor rgb="FFD9EAF7"/>
      </patternFill>
    </fill>
    <fill>
      <patternFill patternType="solid">
        <fgColor rgb="FFD9EAD3"/>
      </patternFill>
    </fill>
    <fill>
      <patternFill patternType="solid">
        <fgColor rgb="FFFFF2CC"/>
      </patternFill>
    </fill>
    <fill>
      <patternFill patternType="solid">
        <fgColor rgb="FFFFFFFF"/>
      </patternFill>
    </fill>
    <fill>
      <patternFill patternType="solid">
        <fgColor rgb="FFD9EAF7"/>
      </patternFill>
    </fill>
    <fill>
      <patternFill patternType="solid">
        <fgColor rgb="FFD9EAF7"/>
      </patternFill>
    </fill>
    <fill>
      <patternFill patternType="solid">
        <fgColor theme="0"/>
        <bgColor indexed="64"/>
      </patternFill>
    </fill>
    <fill>
      <patternFill patternType="solid">
        <fgColor rgb="FFD9EAD4"/>
        <bgColor indexed="64"/>
      </patternFill>
    </fill>
    <fill>
      <patternFill patternType="solid">
        <fgColor theme="5" tint="0.39997558519241921"/>
        <bgColor indexed="64"/>
      </patternFill>
    </fill>
  </fills>
  <borders count="12">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n">
        <color indexed="64"/>
      </bottom>
      <diagonal/>
    </border>
  </borders>
  <cellStyleXfs count="1">
    <xf numFmtId="0" fontId="0" fillId="0" borderId="9"/>
  </cellStyleXfs>
  <cellXfs count="87">
    <xf numFmtId="0" fontId="0" fillId="0" borderId="0" xfId="0" applyBorder="1"/>
    <xf numFmtId="0" fontId="2" fillId="4" borderId="0" xfId="0" applyFont="1" applyFill="1" applyBorder="1" applyAlignment="1">
      <alignment horizontal="center" vertical="center" wrapText="1"/>
    </xf>
    <xf numFmtId="164" fontId="2" fillId="4" borderId="0" xfId="0" applyNumberFormat="1" applyFont="1" applyFill="1" applyBorder="1" applyAlignment="1">
      <alignment horizontal="center" vertical="center" wrapText="1"/>
    </xf>
    <xf numFmtId="0" fontId="0" fillId="0" borderId="0" xfId="0" applyBorder="1" applyAlignment="1">
      <alignment vertical="center" wrapText="1"/>
    </xf>
    <xf numFmtId="0" fontId="2" fillId="2" borderId="0" xfId="0" applyFont="1" applyFill="1" applyBorder="1" applyAlignment="1">
      <alignment horizontal="left" vertical="center" wrapText="1"/>
    </xf>
    <xf numFmtId="0" fontId="0" fillId="3" borderId="0" xfId="0" applyFill="1" applyBorder="1" applyAlignment="1">
      <alignment vertical="center" wrapText="1"/>
    </xf>
    <xf numFmtId="10" fontId="0" fillId="0" borderId="0" xfId="0" applyNumberFormat="1" applyBorder="1" applyAlignment="1">
      <alignment vertical="center" wrapText="1"/>
    </xf>
    <xf numFmtId="165" fontId="0" fillId="0" borderId="0" xfId="0" applyNumberFormat="1" applyBorder="1" applyAlignment="1">
      <alignment vertical="center" wrapText="1"/>
    </xf>
    <xf numFmtId="164" fontId="0" fillId="0" borderId="0" xfId="0" applyNumberFormat="1" applyBorder="1" applyAlignment="1">
      <alignment vertical="center" wrapText="1"/>
    </xf>
    <xf numFmtId="2" fontId="0" fillId="0" borderId="0" xfId="0" applyNumberFormat="1" applyBorder="1" applyAlignment="1">
      <alignment vertical="center" wrapText="1"/>
    </xf>
    <xf numFmtId="164" fontId="2" fillId="2" borderId="0" xfId="0" applyNumberFormat="1" applyFont="1" applyFill="1" applyBorder="1" applyAlignment="1">
      <alignment horizontal="left" vertical="center" wrapText="1"/>
    </xf>
    <xf numFmtId="2" fontId="2" fillId="2" borderId="0" xfId="0" applyNumberFormat="1" applyFont="1" applyFill="1" applyBorder="1" applyAlignment="1">
      <alignment horizontal="left" vertical="center" wrapText="1"/>
    </xf>
    <xf numFmtId="10" fontId="2" fillId="2" borderId="0" xfId="0" applyNumberFormat="1" applyFont="1" applyFill="1" applyBorder="1" applyAlignment="1">
      <alignment horizontal="left" vertical="center" wrapText="1"/>
    </xf>
    <xf numFmtId="166" fontId="0" fillId="0" borderId="0" xfId="0" applyNumberFormat="1" applyBorder="1" applyAlignment="1">
      <alignment vertical="center" wrapText="1"/>
    </xf>
    <xf numFmtId="167" fontId="0" fillId="0" borderId="0" xfId="0" applyNumberFormat="1" applyBorder="1" applyAlignment="1">
      <alignment vertical="center" wrapText="1"/>
    </xf>
    <xf numFmtId="10" fontId="0" fillId="3" borderId="0" xfId="0" applyNumberFormat="1" applyFill="1" applyBorder="1" applyAlignment="1">
      <alignment vertical="center" wrapText="1"/>
    </xf>
    <xf numFmtId="164" fontId="0" fillId="3" borderId="0" xfId="0" applyNumberFormat="1" applyFill="1" applyBorder="1" applyAlignment="1">
      <alignment vertical="center" wrapText="1"/>
    </xf>
    <xf numFmtId="2" fontId="0" fillId="3" borderId="0" xfId="0" applyNumberFormat="1" applyFill="1" applyBorder="1" applyAlignment="1">
      <alignment vertical="center" wrapText="1"/>
    </xf>
    <xf numFmtId="164" fontId="4" fillId="0" borderId="0" xfId="0" applyNumberFormat="1" applyFont="1" applyBorder="1" applyAlignment="1">
      <alignment vertical="center" wrapText="1"/>
    </xf>
    <xf numFmtId="164" fontId="5" fillId="0" borderId="0" xfId="0" applyNumberFormat="1" applyFont="1" applyBorder="1" applyAlignment="1">
      <alignment vertical="center" wrapText="1"/>
    </xf>
    <xf numFmtId="0" fontId="2" fillId="5" borderId="1" xfId="0" applyFont="1" applyFill="1" applyBorder="1" applyAlignment="1">
      <alignment horizontal="center" wrapText="1"/>
    </xf>
    <xf numFmtId="0" fontId="2" fillId="5" borderId="2" xfId="0" applyFont="1" applyFill="1" applyBorder="1" applyAlignment="1">
      <alignment horizontal="center" wrapText="1"/>
    </xf>
    <xf numFmtId="0" fontId="2" fillId="5" borderId="3" xfId="0" applyFont="1" applyFill="1" applyBorder="1" applyAlignment="1">
      <alignment horizontal="center" wrapText="1"/>
    </xf>
    <xf numFmtId="164" fontId="0" fillId="0" borderId="6" xfId="0" applyNumberFormat="1" applyBorder="1"/>
    <xf numFmtId="164" fontId="0" fillId="0" borderId="9" xfId="0" applyNumberFormat="1"/>
    <xf numFmtId="0" fontId="0" fillId="0" borderId="0" xfId="0" applyBorder="1" applyAlignment="1">
      <alignment wrapText="1"/>
    </xf>
    <xf numFmtId="0" fontId="0" fillId="0" borderId="4" xfId="0" applyBorder="1" applyAlignment="1">
      <alignment wrapText="1"/>
    </xf>
    <xf numFmtId="0" fontId="0" fillId="0" borderId="5" xfId="0" applyBorder="1" applyAlignment="1">
      <alignment wrapText="1"/>
    </xf>
    <xf numFmtId="164" fontId="0" fillId="0" borderId="5" xfId="0" applyNumberFormat="1" applyBorder="1" applyAlignment="1">
      <alignment wrapText="1"/>
    </xf>
    <xf numFmtId="0" fontId="0" fillId="0" borderId="6" xfId="0" applyBorder="1" applyAlignment="1">
      <alignment wrapText="1"/>
    </xf>
    <xf numFmtId="164" fontId="0" fillId="0" borderId="4" xfId="0" applyNumberFormat="1" applyBorder="1" applyAlignment="1">
      <alignment wrapText="1"/>
    </xf>
    <xf numFmtId="164" fontId="0" fillId="0" borderId="7" xfId="0" applyNumberFormat="1" applyBorder="1" applyAlignment="1">
      <alignment wrapText="1"/>
    </xf>
    <xf numFmtId="164" fontId="0" fillId="0" borderId="8" xfId="0" applyNumberFormat="1"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9" xfId="0" applyAlignment="1">
      <alignment wrapText="1"/>
    </xf>
    <xf numFmtId="2" fontId="0" fillId="0" borderId="0" xfId="0" applyNumberFormat="1" applyBorder="1" applyAlignment="1">
      <alignment wrapText="1"/>
    </xf>
    <xf numFmtId="2" fontId="0" fillId="6" borderId="0" xfId="0" applyNumberFormat="1" applyFill="1" applyBorder="1" applyAlignment="1">
      <alignment vertical="center" wrapText="1"/>
    </xf>
    <xf numFmtId="0" fontId="8" fillId="7" borderId="0" xfId="0" applyFont="1" applyFill="1" applyBorder="1" applyAlignment="1">
      <alignment vertical="center" wrapText="1"/>
    </xf>
    <xf numFmtId="0" fontId="0" fillId="7" borderId="0" xfId="0" applyFill="1" applyBorder="1" applyAlignment="1">
      <alignment wrapText="1"/>
    </xf>
    <xf numFmtId="167" fontId="0" fillId="7" borderId="0" xfId="0" applyNumberFormat="1" applyFill="1" applyBorder="1" applyAlignment="1">
      <alignment wrapText="1"/>
    </xf>
    <xf numFmtId="0" fontId="0" fillId="7" borderId="0" xfId="0" applyFill="1" applyBorder="1" applyAlignment="1">
      <alignment vertical="center" wrapText="1"/>
    </xf>
    <xf numFmtId="167" fontId="0" fillId="7" borderId="0" xfId="0" applyNumberFormat="1" applyFill="1" applyBorder="1" applyAlignment="1">
      <alignment vertical="center" wrapText="1"/>
    </xf>
    <xf numFmtId="0" fontId="8" fillId="7" borderId="0" xfId="0" applyFont="1" applyFill="1" applyBorder="1" applyAlignment="1">
      <alignment horizontal="left" vertical="center" wrapText="1"/>
    </xf>
    <xf numFmtId="164" fontId="0" fillId="0" borderId="0" xfId="0" applyNumberFormat="1" applyBorder="1"/>
    <xf numFmtId="0" fontId="7" fillId="4" borderId="0" xfId="0" applyFont="1" applyFill="1" applyBorder="1" applyAlignment="1">
      <alignment horizontal="center" vertical="center" wrapText="1"/>
    </xf>
    <xf numFmtId="167" fontId="7" fillId="4" borderId="0" xfId="0" applyNumberFormat="1" applyFont="1" applyFill="1" applyBorder="1" applyAlignment="1">
      <alignment horizontal="center" vertical="center" wrapText="1"/>
    </xf>
    <xf numFmtId="2" fontId="8" fillId="3" borderId="0" xfId="0" applyNumberFormat="1" applyFont="1" applyFill="1" applyBorder="1" applyAlignment="1">
      <alignment vertical="center" wrapText="1"/>
    </xf>
    <xf numFmtId="2" fontId="7" fillId="4" borderId="0" xfId="0" applyNumberFormat="1" applyFont="1" applyFill="1" applyBorder="1" applyAlignment="1">
      <alignment horizontal="center" vertical="center" wrapText="1"/>
    </xf>
    <xf numFmtId="0" fontId="7" fillId="2" borderId="0" xfId="0" applyFont="1" applyFill="1" applyBorder="1" applyAlignment="1">
      <alignment horizontal="left" vertical="center" wrapText="1"/>
    </xf>
    <xf numFmtId="165" fontId="0" fillId="0" borderId="0" xfId="0" applyNumberFormat="1" applyBorder="1"/>
    <xf numFmtId="10" fontId="0" fillId="0" borderId="0" xfId="0" applyNumberFormat="1" applyBorder="1"/>
    <xf numFmtId="0" fontId="2" fillId="0" borderId="0" xfId="0" applyFont="1" applyBorder="1"/>
    <xf numFmtId="2" fontId="0" fillId="0" borderId="0" xfId="0" applyNumberFormat="1" applyBorder="1"/>
    <xf numFmtId="165" fontId="0" fillId="3" borderId="0" xfId="0" applyNumberFormat="1" applyFill="1" applyBorder="1" applyAlignment="1">
      <alignment vertical="center" wrapText="1"/>
    </xf>
    <xf numFmtId="0" fontId="10" fillId="8" borderId="0" xfId="0" applyFont="1" applyFill="1" applyBorder="1" applyAlignment="1">
      <alignment horizontal="left" vertical="center" wrapText="1"/>
    </xf>
    <xf numFmtId="0" fontId="11" fillId="10" borderId="0" xfId="0" applyFont="1" applyFill="1" applyBorder="1" applyAlignment="1">
      <alignment horizontal="center" vertical="center" wrapText="1"/>
    </xf>
    <xf numFmtId="0" fontId="6" fillId="10" borderId="0" xfId="0" applyFont="1" applyFill="1" applyBorder="1" applyAlignment="1">
      <alignment wrapText="1"/>
    </xf>
    <xf numFmtId="0" fontId="6" fillId="0" borderId="11" xfId="0" applyFont="1" applyFill="1" applyBorder="1" applyAlignment="1">
      <alignment wrapText="1"/>
    </xf>
    <xf numFmtId="0" fontId="9" fillId="0" borderId="0" xfId="0" applyFont="1" applyFill="1" applyBorder="1" applyAlignment="1">
      <alignment horizontal="center" vertical="center" wrapText="1"/>
    </xf>
    <xf numFmtId="0" fontId="0" fillId="0" borderId="0" xfId="0" applyFill="1" applyBorder="1"/>
    <xf numFmtId="0" fontId="6" fillId="0" borderId="0" xfId="0" applyFont="1" applyFill="1" applyBorder="1" applyAlignment="1">
      <alignment wrapText="1"/>
    </xf>
    <xf numFmtId="0" fontId="6" fillId="0" borderId="0" xfId="0" applyFont="1" applyFill="1" applyBorder="1" applyAlignment="1">
      <alignment wrapText="1"/>
    </xf>
    <xf numFmtId="0" fontId="1" fillId="0" borderId="0" xfId="0" applyFont="1" applyFill="1" applyBorder="1" applyAlignment="1">
      <alignment horizontal="center" vertical="center" wrapText="1"/>
    </xf>
    <xf numFmtId="0" fontId="2" fillId="11" borderId="2" xfId="0" applyFont="1" applyFill="1" applyBorder="1" applyAlignment="1">
      <alignment horizontal="center" wrapText="1"/>
    </xf>
    <xf numFmtId="0" fontId="12" fillId="11"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0" fillId="0" borderId="0" xfId="0" applyFill="1" applyBorder="1" applyAlignment="1">
      <alignment vertical="center" wrapText="1"/>
    </xf>
    <xf numFmtId="0" fontId="9" fillId="0" borderId="0" xfId="0" applyFont="1" applyFill="1" applyBorder="1" applyAlignment="1">
      <alignment vertical="center" wrapText="1"/>
    </xf>
    <xf numFmtId="0" fontId="2" fillId="0" borderId="0" xfId="0" applyFont="1" applyFill="1" applyBorder="1" applyAlignment="1">
      <alignment horizontal="left" vertical="center" wrapText="1"/>
    </xf>
    <xf numFmtId="0" fontId="6" fillId="0" borderId="0" xfId="0" applyFont="1" applyFill="1" applyBorder="1" applyAlignment="1">
      <alignment vertical="center" wrapText="1"/>
    </xf>
    <xf numFmtId="164" fontId="0" fillId="0" borderId="0" xfId="0" applyNumberFormat="1" applyFill="1" applyBorder="1" applyAlignment="1">
      <alignment vertical="center" wrapText="1"/>
    </xf>
    <xf numFmtId="164" fontId="2" fillId="0" borderId="0" xfId="0" applyNumberFormat="1" applyFont="1" applyFill="1" applyBorder="1" applyAlignment="1">
      <alignment horizontal="left" vertical="center" wrapText="1"/>
    </xf>
    <xf numFmtId="0" fontId="3" fillId="0" borderId="0" xfId="0" applyFont="1" applyFill="1" applyBorder="1" applyAlignment="1">
      <alignment horizontal="center" vertical="center" wrapText="1"/>
    </xf>
    <xf numFmtId="0" fontId="10" fillId="0" borderId="10" xfId="0" applyFont="1" applyFill="1" applyBorder="1" applyAlignment="1">
      <alignment horizontal="left" vertical="center"/>
    </xf>
    <xf numFmtId="165" fontId="10" fillId="0" borderId="10" xfId="0" applyNumberFormat="1" applyFont="1" applyFill="1" applyBorder="1" applyAlignment="1">
      <alignment horizontal="left" vertical="center"/>
    </xf>
    <xf numFmtId="0" fontId="7" fillId="0" borderId="0" xfId="0" applyFont="1" applyFill="1" applyBorder="1" applyAlignment="1">
      <alignment horizontal="center" vertical="center" wrapText="1"/>
    </xf>
    <xf numFmtId="0" fontId="0" fillId="0" borderId="0" xfId="0" applyFill="1" applyBorder="1" applyAlignment="1">
      <alignment wrapText="1"/>
    </xf>
    <xf numFmtId="0" fontId="8" fillId="0" borderId="0" xfId="0" applyFont="1" applyFill="1" applyBorder="1" applyAlignment="1">
      <alignment vertical="center" wrapText="1"/>
    </xf>
    <xf numFmtId="0" fontId="1" fillId="12" borderId="9" xfId="0" applyFont="1" applyFill="1" applyAlignment="1">
      <alignment horizontal="center" vertical="center" wrapText="1"/>
    </xf>
    <xf numFmtId="0" fontId="0" fillId="12" borderId="0" xfId="0" applyFill="1" applyBorder="1"/>
    <xf numFmtId="0" fontId="1" fillId="12" borderId="0" xfId="0" applyFont="1" applyFill="1" applyBorder="1" applyAlignment="1">
      <alignment horizontal="center" vertical="center" wrapText="1"/>
    </xf>
    <xf numFmtId="0" fontId="0" fillId="12" borderId="0" xfId="0" applyFill="1" applyBorder="1" applyAlignment="1">
      <alignment wrapText="1"/>
    </xf>
    <xf numFmtId="0" fontId="1" fillId="12" borderId="9" xfId="0" applyFont="1" applyFill="1" applyAlignment="1">
      <alignment horizontal="center" wrapText="1"/>
    </xf>
    <xf numFmtId="0" fontId="6" fillId="0" borderId="9" xfId="0" applyFont="1" applyFill="1" applyAlignment="1">
      <alignment wrapText="1"/>
    </xf>
    <xf numFmtId="0" fontId="12" fillId="9" borderId="10" xfId="0" applyFont="1" applyFill="1" applyBorder="1" applyAlignment="1">
      <alignment horizontal="left" vertical="center"/>
    </xf>
    <xf numFmtId="165" fontId="12" fillId="9" borderId="10" xfId="0" applyNumberFormat="1" applyFont="1" applyFill="1" applyBorder="1" applyAlignment="1">
      <alignment horizontal="left" vertical="center"/>
    </xf>
  </cellXfs>
  <cellStyles count="1">
    <cellStyle name="Normal" xfId="0" builtinId="0"/>
  </cellStyles>
  <dxfs count="0"/>
  <tableStyles count="0" defaultTableStyle="TableStyleMedium2" defaultPivotStyle="PivotStyleLight16"/>
  <colors>
    <mruColors>
      <color rgb="FFD9EA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c:style val="2"/>
  <c:chart>
    <c:title>
      <c:tx>
        <c:rich>
          <a:bodyPr/>
          <a:lstStyle/>
          <a:p>
            <a:r>
              <a:rPr lang="tr-TR"/>
              <a:t>McCabe-Thiele Lines (x-y)</a:t>
            </a:r>
          </a:p>
        </c:rich>
      </c:tx>
      <c:overlay val="0"/>
    </c:title>
    <c:autoTitleDeleted val="0"/>
    <c:plotArea>
      <c:layout/>
      <c:lineChart>
        <c:grouping val="standard"/>
        <c:varyColors val="1"/>
        <c:ser>
          <c:idx val="0"/>
          <c:order val="0"/>
          <c:tx>
            <c:v>Equilibrium y</c:v>
          </c:tx>
          <c:spPr>
            <a:ln>
              <a:prstDash val="solid"/>
            </a:ln>
          </c:spPr>
          <c:marker>
            <c:symbol val="none"/>
          </c:marker>
          <c:cat>
            <c:numRef>
              <c:f>McCabe_Thiele!$G$7:$G$27</c:f>
              <c:numCache>
                <c:formatCode>0.0000</c:formatCode>
                <c:ptCount val="2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numCache>
            </c:numRef>
          </c:cat>
          <c:val>
            <c:numRef>
              <c:f>McCabe_Thiele!$H$7:$H$27</c:f>
              <c:numCache>
                <c:formatCode>0.0000</c:formatCode>
                <c:ptCount val="21"/>
                <c:pt idx="0">
                  <c:v>0</c:v>
                </c:pt>
                <c:pt idx="1">
                  <c:v>0.19148936170212766</c:v>
                </c:pt>
                <c:pt idx="2">
                  <c:v>0.33333333333333331</c:v>
                </c:pt>
                <c:pt idx="3">
                  <c:v>0.44262295081967212</c:v>
                </c:pt>
                <c:pt idx="4">
                  <c:v>0.52941176470588236</c:v>
                </c:pt>
                <c:pt idx="5">
                  <c:v>0.6</c:v>
                </c:pt>
                <c:pt idx="6">
                  <c:v>0.65853658536585369</c:v>
                </c:pt>
                <c:pt idx="7">
                  <c:v>0.70786516853932591</c:v>
                </c:pt>
                <c:pt idx="8">
                  <c:v>0.74999999999999989</c:v>
                </c:pt>
                <c:pt idx="9">
                  <c:v>0.78640776699029113</c:v>
                </c:pt>
                <c:pt idx="10">
                  <c:v>0.81818181818181823</c:v>
                </c:pt>
                <c:pt idx="11">
                  <c:v>0.84615384615384615</c:v>
                </c:pt>
                <c:pt idx="12">
                  <c:v>0.87096774193548376</c:v>
                </c:pt>
                <c:pt idx="13">
                  <c:v>0.89312977099236657</c:v>
                </c:pt>
                <c:pt idx="14">
                  <c:v>0.91304347826086962</c:v>
                </c:pt>
                <c:pt idx="15">
                  <c:v>0.93103448275862066</c:v>
                </c:pt>
                <c:pt idx="16">
                  <c:v>0.94736842105263153</c:v>
                </c:pt>
                <c:pt idx="17">
                  <c:v>0.96226415094339612</c:v>
                </c:pt>
                <c:pt idx="18">
                  <c:v>0.97590361445783125</c:v>
                </c:pt>
                <c:pt idx="19">
                  <c:v>0.98843930635838151</c:v>
                </c:pt>
                <c:pt idx="20">
                  <c:v>1</c:v>
                </c:pt>
              </c:numCache>
            </c:numRef>
          </c:val>
          <c:smooth val="0"/>
          <c:extLst>
            <c:ext xmlns:c16="http://schemas.microsoft.com/office/drawing/2014/chart" uri="{C3380CC4-5D6E-409C-BE32-E72D297353CC}">
              <c16:uniqueId val="{00000000-E2DF-F84A-997E-EFC1FED3452E}"/>
            </c:ext>
          </c:extLst>
        </c:ser>
        <c:ser>
          <c:idx val="1"/>
          <c:order val="1"/>
          <c:tx>
            <c:v>Diagonal y=x</c:v>
          </c:tx>
          <c:spPr>
            <a:ln>
              <a:prstDash val="solid"/>
            </a:ln>
          </c:spPr>
          <c:marker>
            <c:symbol val="none"/>
          </c:marker>
          <c:cat>
            <c:numRef>
              <c:f>McCabe_Thiele!$G$7:$G$27</c:f>
              <c:numCache>
                <c:formatCode>0.0000</c:formatCode>
                <c:ptCount val="2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numCache>
            </c:numRef>
          </c:cat>
          <c:val>
            <c:numRef>
              <c:f>McCabe_Thiele!$I$7:$I$27</c:f>
              <c:numCache>
                <c:formatCode>0.0000</c:formatCode>
                <c:ptCount val="2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numCache>
            </c:numRef>
          </c:val>
          <c:smooth val="0"/>
          <c:extLst>
            <c:ext xmlns:c16="http://schemas.microsoft.com/office/drawing/2014/chart" uri="{C3380CC4-5D6E-409C-BE32-E72D297353CC}">
              <c16:uniqueId val="{00000001-E2DF-F84A-997E-EFC1FED3452E}"/>
            </c:ext>
          </c:extLst>
        </c:ser>
        <c:ser>
          <c:idx val="2"/>
          <c:order val="2"/>
          <c:tx>
            <c:v>Rectifying y</c:v>
          </c:tx>
          <c:spPr>
            <a:ln>
              <a:prstDash val="solid"/>
            </a:ln>
          </c:spPr>
          <c:marker>
            <c:symbol val="none"/>
          </c:marker>
          <c:cat>
            <c:numRef>
              <c:f>McCabe_Thiele!$G$7:$G$27</c:f>
              <c:numCache>
                <c:formatCode>0.0000</c:formatCode>
                <c:ptCount val="2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numCache>
            </c:numRef>
          </c:cat>
          <c:val>
            <c:numRef>
              <c:f>McCabe_Thiele!$J$7:$J$27</c:f>
              <c:numCache>
                <c:formatCode>0.0000</c:formatCode>
                <c:ptCount val="21"/>
                <c:pt idx="0">
                  <c:v>0.34530354523322593</c:v>
                </c:pt>
                <c:pt idx="1">
                  <c:v>0.37712967443147721</c:v>
                </c:pt>
                <c:pt idx="2">
                  <c:v>0.4089558036297285</c:v>
                </c:pt>
                <c:pt idx="3">
                  <c:v>0.44078193282797973</c:v>
                </c:pt>
                <c:pt idx="4">
                  <c:v>0.47260806202623107</c:v>
                </c:pt>
                <c:pt idx="5">
                  <c:v>0.5044341912244823</c:v>
                </c:pt>
                <c:pt idx="6">
                  <c:v>0.53626032042273353</c:v>
                </c:pt>
                <c:pt idx="7">
                  <c:v>0.56808644962098487</c:v>
                </c:pt>
                <c:pt idx="8">
                  <c:v>0.5999125788192361</c:v>
                </c:pt>
                <c:pt idx="9">
                  <c:v>0.63173870801748744</c:v>
                </c:pt>
                <c:pt idx="10">
                  <c:v>0.66356483721573867</c:v>
                </c:pt>
                <c:pt idx="11">
                  <c:v>0.6953909664139899</c:v>
                </c:pt>
                <c:pt idx="12">
                  <c:v>0.72721709561224124</c:v>
                </c:pt>
                <c:pt idx="13">
                  <c:v>0.75904322481049258</c:v>
                </c:pt>
                <c:pt idx="14">
                  <c:v>0.7908693540087437</c:v>
                </c:pt>
                <c:pt idx="15">
                  <c:v>0.82269548320699504</c:v>
                </c:pt>
                <c:pt idx="16">
                  <c:v>0.85452161240524638</c:v>
                </c:pt>
                <c:pt idx="17">
                  <c:v>0.88634774160349761</c:v>
                </c:pt>
                <c:pt idx="18">
                  <c:v>0.91817387080174884</c:v>
                </c:pt>
                <c:pt idx="19">
                  <c:v>0.95000000000000007</c:v>
                </c:pt>
                <c:pt idx="20">
                  <c:v>0.98182612919825141</c:v>
                </c:pt>
              </c:numCache>
            </c:numRef>
          </c:val>
          <c:smooth val="0"/>
          <c:extLst>
            <c:ext xmlns:c16="http://schemas.microsoft.com/office/drawing/2014/chart" uri="{C3380CC4-5D6E-409C-BE32-E72D297353CC}">
              <c16:uniqueId val="{00000002-E2DF-F84A-997E-EFC1FED3452E}"/>
            </c:ext>
          </c:extLst>
        </c:ser>
        <c:ser>
          <c:idx val="3"/>
          <c:order val="3"/>
          <c:tx>
            <c:v>Stripping y</c:v>
          </c:tx>
          <c:spPr>
            <a:ln>
              <a:prstDash val="solid"/>
            </a:ln>
          </c:spPr>
          <c:marker>
            <c:symbol val="none"/>
          </c:marker>
          <c:cat>
            <c:numRef>
              <c:f>McCabe_Thiele!$G$7:$G$27</c:f>
              <c:numCache>
                <c:formatCode>0.0000</c:formatCode>
                <c:ptCount val="21"/>
                <c:pt idx="0">
                  <c:v>0</c:v>
                </c:pt>
                <c:pt idx="1">
                  <c:v>0.05</c:v>
                </c:pt>
                <c:pt idx="2">
                  <c:v>0.1</c:v>
                </c:pt>
                <c:pt idx="3">
                  <c:v>0.15</c:v>
                </c:pt>
                <c:pt idx="4">
                  <c:v>0.2</c:v>
                </c:pt>
                <c:pt idx="5">
                  <c:v>0.25</c:v>
                </c:pt>
                <c:pt idx="6">
                  <c:v>0.3</c:v>
                </c:pt>
                <c:pt idx="7">
                  <c:v>0.35</c:v>
                </c:pt>
                <c:pt idx="8">
                  <c:v>0.4</c:v>
                </c:pt>
                <c:pt idx="9">
                  <c:v>0.45</c:v>
                </c:pt>
                <c:pt idx="10">
                  <c:v>0.5</c:v>
                </c:pt>
                <c:pt idx="11">
                  <c:v>0.55000000000000004</c:v>
                </c:pt>
                <c:pt idx="12">
                  <c:v>0.6</c:v>
                </c:pt>
                <c:pt idx="13">
                  <c:v>0.65</c:v>
                </c:pt>
                <c:pt idx="14">
                  <c:v>0.7</c:v>
                </c:pt>
                <c:pt idx="15">
                  <c:v>0.75</c:v>
                </c:pt>
                <c:pt idx="16">
                  <c:v>0.8</c:v>
                </c:pt>
                <c:pt idx="17">
                  <c:v>0.85</c:v>
                </c:pt>
                <c:pt idx="18">
                  <c:v>0.9</c:v>
                </c:pt>
                <c:pt idx="19">
                  <c:v>0.95</c:v>
                </c:pt>
                <c:pt idx="20">
                  <c:v>1</c:v>
                </c:pt>
              </c:numCache>
            </c:numRef>
          </c:cat>
          <c:val>
            <c:numRef>
              <c:f>McCabe_Thiele!$K$7:$K$27</c:f>
              <c:numCache>
                <c:formatCode>0.0000</c:formatCode>
                <c:ptCount val="21"/>
                <c:pt idx="0">
                  <c:v>-8.1938733191238983E-3</c:v>
                </c:pt>
                <c:pt idx="1">
                  <c:v>0.12374485987211507</c:v>
                </c:pt>
                <c:pt idx="2">
                  <c:v>0.25568359306335403</c:v>
                </c:pt>
                <c:pt idx="3">
                  <c:v>0.38762232625459297</c:v>
                </c:pt>
                <c:pt idx="4">
                  <c:v>0.51956105944583197</c:v>
                </c:pt>
                <c:pt idx="5">
                  <c:v>0.65149979263707092</c:v>
                </c:pt>
                <c:pt idx="6">
                  <c:v>0.78343852582830986</c:v>
                </c:pt>
                <c:pt idx="7">
                  <c:v>0.91537725901954881</c:v>
                </c:pt>
                <c:pt idx="8">
                  <c:v>1.047315992210788</c:v>
                </c:pt>
                <c:pt idx="9">
                  <c:v>1.1792547254020269</c:v>
                </c:pt>
                <c:pt idx="10">
                  <c:v>1.3111934585932659</c:v>
                </c:pt>
                <c:pt idx="11">
                  <c:v>1.443132191784505</c:v>
                </c:pt>
                <c:pt idx="12">
                  <c:v>1.5750709249757437</c:v>
                </c:pt>
                <c:pt idx="13">
                  <c:v>1.7070096581669829</c:v>
                </c:pt>
                <c:pt idx="14">
                  <c:v>1.8389483913582216</c:v>
                </c:pt>
                <c:pt idx="15">
                  <c:v>1.9708871245494606</c:v>
                </c:pt>
                <c:pt idx="16">
                  <c:v>2.1028258577406995</c:v>
                </c:pt>
                <c:pt idx="17">
                  <c:v>2.2347645909319382</c:v>
                </c:pt>
                <c:pt idx="18">
                  <c:v>2.3667033241231774</c:v>
                </c:pt>
                <c:pt idx="19">
                  <c:v>2.4986420573144161</c:v>
                </c:pt>
                <c:pt idx="20">
                  <c:v>2.6305807905056553</c:v>
                </c:pt>
              </c:numCache>
            </c:numRef>
          </c:val>
          <c:smooth val="0"/>
          <c:extLst>
            <c:ext xmlns:c16="http://schemas.microsoft.com/office/drawing/2014/chart" uri="{C3380CC4-5D6E-409C-BE32-E72D297353CC}">
              <c16:uniqueId val="{00000003-E2DF-F84A-997E-EFC1FED3452E}"/>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0.0000"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965200</xdr:colOff>
      <xdr:row>2</xdr:row>
      <xdr:rowOff>101600</xdr:rowOff>
    </xdr:from>
    <xdr:to>
      <xdr:col>20</xdr:col>
      <xdr:colOff>635000</xdr:colOff>
      <xdr:row>12</xdr:row>
      <xdr:rowOff>391749</xdr:rowOff>
    </xdr:to>
    <xdr:pic>
      <xdr:nvPicPr>
        <xdr:cNvPr id="2" name="Resim 1">
          <a:extLst>
            <a:ext uri="{FF2B5EF4-FFF2-40B4-BE49-F238E27FC236}">
              <a16:creationId xmlns:a16="http://schemas.microsoft.com/office/drawing/2014/main" id="{CFEA2199-9EA9-3256-A5E1-33B5E54964EF}"/>
            </a:ext>
          </a:extLst>
        </xdr:cNvPr>
        <xdr:cNvPicPr>
          <a:picLocks noChangeAspect="1"/>
        </xdr:cNvPicPr>
      </xdr:nvPicPr>
      <xdr:blipFill>
        <a:blip xmlns:r="http://schemas.openxmlformats.org/officeDocument/2006/relationships" r:embed="rId1"/>
        <a:stretch>
          <a:fillRect/>
        </a:stretch>
      </xdr:blipFill>
      <xdr:spPr>
        <a:xfrm>
          <a:off x="11531600" y="596900"/>
          <a:ext cx="7772400" cy="48367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29</xdr:row>
      <xdr:rowOff>0</xdr:rowOff>
    </xdr:from>
    <xdr:to>
      <xdr:col>9</xdr:col>
      <xdr:colOff>0</xdr:colOff>
      <xdr:row>50</xdr:row>
      <xdr:rowOff>0</xdr:rowOff>
    </xdr:to>
    <xdr:graphicFrame macro="">
      <xdr:nvGraphicFramePr>
        <xdr:cNvPr id="2" name="Chart">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1188825</xdr:colOff>
      <xdr:row>46</xdr:row>
      <xdr:rowOff>120888</xdr:rowOff>
    </xdr:from>
    <xdr:to>
      <xdr:col>4</xdr:col>
      <xdr:colOff>2702033</xdr:colOff>
      <xdr:row>69</xdr:row>
      <xdr:rowOff>86058</xdr:rowOff>
    </xdr:to>
    <xdr:pic>
      <xdr:nvPicPr>
        <xdr:cNvPr id="3" name="/xl/media/image.png">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0"/>
  <sheetViews>
    <sheetView tabSelected="1" workbookViewId="0">
      <selection activeCell="F4" sqref="F4"/>
    </sheetView>
  </sheetViews>
  <sheetFormatPr baseColWidth="10" defaultColWidth="8.83203125" defaultRowHeight="15"/>
  <cols>
    <col min="1" max="1" width="22" customWidth="1"/>
    <col min="2" max="7" width="18" customWidth="1"/>
    <col min="8" max="8" width="24" customWidth="1"/>
    <col min="9" max="10" width="18" customWidth="1"/>
  </cols>
  <sheetData>
    <row r="1" spans="1:10" ht="24" customHeight="1">
      <c r="A1" s="79" t="s">
        <v>0</v>
      </c>
      <c r="B1" s="80"/>
      <c r="C1" s="80"/>
      <c r="D1" s="80"/>
      <c r="E1" s="80"/>
      <c r="F1" s="80"/>
      <c r="G1" s="80"/>
      <c r="H1" s="80"/>
      <c r="I1" s="3"/>
      <c r="J1" s="3"/>
    </row>
    <row r="2" spans="1:10" ht="42.75" customHeight="1">
      <c r="A2" s="3"/>
      <c r="B2" s="3"/>
      <c r="C2" s="1" t="s">
        <v>1</v>
      </c>
      <c r="D2" s="3"/>
      <c r="E2" s="3"/>
      <c r="F2" s="3"/>
      <c r="G2" s="3"/>
      <c r="H2" s="3"/>
      <c r="I2" s="3"/>
      <c r="J2" s="3"/>
    </row>
    <row r="3" spans="1:10" ht="106.75" customHeight="1">
      <c r="A3" s="4" t="s">
        <v>2</v>
      </c>
      <c r="B3" s="5">
        <v>100</v>
      </c>
      <c r="C3" s="3" t="s">
        <v>3</v>
      </c>
      <c r="D3" s="3"/>
      <c r="E3" s="3"/>
      <c r="F3" s="3"/>
      <c r="G3" s="3"/>
      <c r="H3" s="3"/>
      <c r="I3" s="3"/>
      <c r="J3" s="3"/>
    </row>
    <row r="4" spans="1:10" ht="85.25" customHeight="1">
      <c r="A4" s="4" t="s">
        <v>4</v>
      </c>
      <c r="B4" s="5">
        <v>0.12920000000000001</v>
      </c>
      <c r="C4" s="3" t="s">
        <v>5</v>
      </c>
      <c r="D4" s="3"/>
      <c r="E4" s="3"/>
      <c r="F4" s="3"/>
      <c r="G4" s="3"/>
      <c r="H4" s="3"/>
      <c r="I4" s="3"/>
      <c r="J4" s="3"/>
    </row>
    <row r="5" spans="1:10" ht="85.25" customHeight="1">
      <c r="A5" s="4" t="s">
        <v>6</v>
      </c>
      <c r="B5" s="15">
        <v>0.61180000000000001</v>
      </c>
      <c r="C5" s="3" t="s">
        <v>7</v>
      </c>
      <c r="D5" s="3"/>
      <c r="E5" s="3"/>
      <c r="F5" s="3"/>
      <c r="G5" s="3"/>
      <c r="H5" s="3"/>
      <c r="I5" s="3"/>
      <c r="J5" s="3"/>
    </row>
    <row r="6" spans="1:10" ht="85.25" customHeight="1">
      <c r="A6" s="4" t="s">
        <v>8</v>
      </c>
      <c r="B6" s="15">
        <v>0.25900000000000001</v>
      </c>
      <c r="C6" s="3" t="s">
        <v>9</v>
      </c>
      <c r="D6" s="3"/>
      <c r="E6" s="3"/>
      <c r="F6" s="3"/>
      <c r="G6" s="3"/>
      <c r="H6" s="3"/>
      <c r="I6" s="3"/>
      <c r="J6" s="3"/>
    </row>
    <row r="7" spans="1:10" ht="106.75" customHeight="1">
      <c r="A7" s="4" t="s">
        <v>10</v>
      </c>
      <c r="B7" s="15">
        <v>0.95</v>
      </c>
      <c r="C7" s="3" t="s">
        <v>11</v>
      </c>
      <c r="D7" s="3"/>
      <c r="E7" s="3"/>
      <c r="F7" s="3"/>
      <c r="G7" s="3"/>
      <c r="H7" s="3"/>
      <c r="I7" s="3"/>
      <c r="J7" s="3"/>
    </row>
    <row r="8" spans="1:10" ht="106.75" customHeight="1">
      <c r="A8" s="4" t="s">
        <v>12</v>
      </c>
      <c r="B8" s="15">
        <v>0.95</v>
      </c>
      <c r="C8" s="3" t="s">
        <v>13</v>
      </c>
      <c r="D8" s="3"/>
      <c r="E8" s="3"/>
      <c r="F8" s="3"/>
      <c r="G8" s="3"/>
      <c r="H8" s="3"/>
      <c r="I8" s="3"/>
      <c r="J8" s="3"/>
    </row>
    <row r="9" spans="1:10" ht="106.75" customHeight="1">
      <c r="A9" s="4" t="s">
        <v>14</v>
      </c>
      <c r="B9" s="15">
        <v>0.95</v>
      </c>
      <c r="C9" s="3" t="s">
        <v>15</v>
      </c>
      <c r="D9" s="3"/>
      <c r="E9" s="3"/>
      <c r="F9" s="3"/>
      <c r="G9" s="3"/>
      <c r="H9" s="3"/>
      <c r="I9" s="3"/>
      <c r="J9" s="3"/>
    </row>
    <row r="10" spans="1:10" ht="106.75" customHeight="1">
      <c r="A10" s="4" t="s">
        <v>16</v>
      </c>
      <c r="B10" s="5">
        <v>8000</v>
      </c>
      <c r="C10" s="3" t="s">
        <v>17</v>
      </c>
      <c r="D10" s="3"/>
      <c r="E10" s="3"/>
      <c r="F10" s="3"/>
      <c r="G10" s="3"/>
      <c r="H10" s="3"/>
      <c r="I10" s="3"/>
      <c r="J10" s="3"/>
    </row>
    <row r="11" spans="1:10">
      <c r="A11" s="3"/>
      <c r="B11" s="3"/>
      <c r="C11" s="3"/>
      <c r="D11" s="3"/>
      <c r="E11" s="3"/>
      <c r="F11" s="3"/>
      <c r="G11" s="3"/>
      <c r="H11" s="3"/>
      <c r="I11" s="3"/>
      <c r="J11" s="3"/>
    </row>
    <row r="12" spans="1:10" ht="21.25" customHeight="1">
      <c r="A12" s="1" t="s">
        <v>18</v>
      </c>
      <c r="B12" s="1" t="s">
        <v>19</v>
      </c>
      <c r="C12" s="1" t="s">
        <v>20</v>
      </c>
      <c r="D12" s="1" t="s">
        <v>21</v>
      </c>
      <c r="E12" s="1" t="s">
        <v>22</v>
      </c>
      <c r="F12" s="1" t="s">
        <v>23</v>
      </c>
      <c r="G12" s="1" t="s">
        <v>24</v>
      </c>
      <c r="H12" s="1" t="s">
        <v>25</v>
      </c>
      <c r="I12" s="3"/>
      <c r="J12" s="3"/>
    </row>
    <row r="13" spans="1:10" ht="21.25" customHeight="1">
      <c r="A13" s="3" t="s">
        <v>26</v>
      </c>
      <c r="B13" s="3" t="s">
        <v>27</v>
      </c>
      <c r="C13" s="7">
        <v>32.041899999999998</v>
      </c>
      <c r="D13" s="7">
        <v>8.1000000000000003E-2</v>
      </c>
      <c r="E13" s="7">
        <v>35.299999999999997</v>
      </c>
      <c r="F13" s="7">
        <v>792</v>
      </c>
      <c r="G13" s="3" t="s">
        <v>28</v>
      </c>
      <c r="H13" s="3" t="s">
        <v>29</v>
      </c>
      <c r="I13" s="3"/>
      <c r="J13" s="3"/>
    </row>
    <row r="14" spans="1:10" ht="21.25" customHeight="1">
      <c r="A14" s="3" t="s">
        <v>30</v>
      </c>
      <c r="B14" s="3" t="s">
        <v>31</v>
      </c>
      <c r="C14" s="7">
        <v>18.0153</v>
      </c>
      <c r="D14" s="7">
        <v>7.5300000000000006E-2</v>
      </c>
      <c r="E14" s="7">
        <v>40.700000000000003</v>
      </c>
      <c r="F14" s="7">
        <v>958</v>
      </c>
      <c r="G14" s="3" t="s">
        <v>32</v>
      </c>
      <c r="H14" s="3" t="s">
        <v>29</v>
      </c>
      <c r="I14" s="3"/>
      <c r="J14" s="3"/>
    </row>
    <row r="15" spans="1:10" ht="21.25" customHeight="1">
      <c r="A15" s="3" t="s">
        <v>33</v>
      </c>
      <c r="B15" s="3" t="s">
        <v>34</v>
      </c>
      <c r="C15" s="7">
        <v>92.093800000000002</v>
      </c>
      <c r="D15" s="7">
        <v>0.24</v>
      </c>
      <c r="E15" s="7">
        <v>0</v>
      </c>
      <c r="F15" s="7">
        <v>1260</v>
      </c>
      <c r="G15" s="3" t="s">
        <v>35</v>
      </c>
      <c r="H15" s="3" t="s">
        <v>29</v>
      </c>
      <c r="I15" s="3"/>
      <c r="J15" s="3"/>
    </row>
    <row r="16" spans="1:10">
      <c r="A16" s="3"/>
      <c r="B16" s="3"/>
      <c r="C16" s="3"/>
      <c r="D16" s="3"/>
      <c r="E16" s="3"/>
      <c r="F16" s="3"/>
      <c r="G16" s="3"/>
      <c r="H16" s="3"/>
      <c r="I16" s="3"/>
      <c r="J16" s="3"/>
    </row>
    <row r="17" spans="1:10" ht="21.25" customHeight="1">
      <c r="A17" s="1" t="s">
        <v>36</v>
      </c>
      <c r="B17" s="1" t="s">
        <v>18</v>
      </c>
      <c r="C17" s="1" t="s">
        <v>37</v>
      </c>
      <c r="D17" s="1" t="s">
        <v>38</v>
      </c>
      <c r="E17" s="1" t="s">
        <v>39</v>
      </c>
      <c r="F17" s="1" t="s">
        <v>40</v>
      </c>
      <c r="G17" s="1" t="s">
        <v>41</v>
      </c>
      <c r="H17" s="1" t="s">
        <v>42</v>
      </c>
      <c r="I17" s="3"/>
      <c r="J17" s="3"/>
    </row>
    <row r="18" spans="1:10" ht="42.75" customHeight="1">
      <c r="A18" s="3" t="s">
        <v>43</v>
      </c>
      <c r="B18" s="3" t="s">
        <v>26</v>
      </c>
      <c r="C18" s="3" t="s">
        <v>44</v>
      </c>
      <c r="D18" s="7">
        <v>5.1585299999999998</v>
      </c>
      <c r="E18" s="7">
        <v>1569.6130000000001</v>
      </c>
      <c r="F18" s="7">
        <v>-34.845999999999997</v>
      </c>
      <c r="G18" s="3" t="s">
        <v>45</v>
      </c>
      <c r="H18" s="3" t="s">
        <v>29</v>
      </c>
      <c r="I18" s="3"/>
      <c r="J18" s="3"/>
    </row>
    <row r="19" spans="1:10" ht="42.75" customHeight="1">
      <c r="A19" s="3" t="s">
        <v>43</v>
      </c>
      <c r="B19" s="3" t="s">
        <v>30</v>
      </c>
      <c r="C19" s="3" t="s">
        <v>44</v>
      </c>
      <c r="D19" s="7">
        <v>5.0768000000000004</v>
      </c>
      <c r="E19" s="7">
        <v>1659.7929999999999</v>
      </c>
      <c r="F19" s="7">
        <v>-45.853999999999999</v>
      </c>
      <c r="G19" s="3" t="s">
        <v>45</v>
      </c>
      <c r="H19" s="3" t="s">
        <v>29</v>
      </c>
      <c r="I19" s="3"/>
      <c r="J19" s="3"/>
    </row>
    <row r="20" spans="1:10" ht="42.75" customHeight="1">
      <c r="A20" s="3" t="s">
        <v>46</v>
      </c>
      <c r="B20" s="3" t="s">
        <v>26</v>
      </c>
      <c r="C20" s="3" t="s">
        <v>47</v>
      </c>
      <c r="D20" s="7">
        <v>5.1585299999999998</v>
      </c>
      <c r="E20" s="7">
        <v>1569.6130000000001</v>
      </c>
      <c r="F20" s="7">
        <v>-34.845999999999997</v>
      </c>
      <c r="G20" s="3" t="s">
        <v>45</v>
      </c>
      <c r="H20" s="3" t="s">
        <v>29</v>
      </c>
      <c r="I20" s="3"/>
      <c r="J20" s="3"/>
    </row>
    <row r="21" spans="1:10" ht="42.75" customHeight="1">
      <c r="A21" s="3" t="s">
        <v>46</v>
      </c>
      <c r="B21" s="3" t="s">
        <v>30</v>
      </c>
      <c r="C21" s="3" t="s">
        <v>48</v>
      </c>
      <c r="D21" s="7">
        <v>3.55959</v>
      </c>
      <c r="E21" s="7">
        <v>643.74800000000005</v>
      </c>
      <c r="F21" s="7">
        <v>-198.04300000000001</v>
      </c>
      <c r="G21" s="3" t="s">
        <v>45</v>
      </c>
      <c r="H21" s="3" t="s">
        <v>29</v>
      </c>
      <c r="I21" s="3"/>
      <c r="J21" s="3"/>
    </row>
    <row r="22" spans="1:10" ht="42.75" customHeight="1">
      <c r="A22" s="3"/>
      <c r="B22" s="3"/>
      <c r="C22" s="1" t="s">
        <v>49</v>
      </c>
      <c r="D22" s="3"/>
      <c r="E22" s="3"/>
      <c r="F22" s="3"/>
      <c r="G22" s="3"/>
      <c r="H22" s="3"/>
      <c r="I22" s="3"/>
      <c r="J22" s="3"/>
    </row>
    <row r="23" spans="1:10" ht="170.75" customHeight="1">
      <c r="A23" s="4" t="s">
        <v>50</v>
      </c>
      <c r="B23" s="5">
        <v>90</v>
      </c>
      <c r="C23" s="3" t="s">
        <v>51</v>
      </c>
      <c r="D23" s="1" t="s">
        <v>52</v>
      </c>
      <c r="E23" s="1" t="s">
        <v>53</v>
      </c>
      <c r="F23" s="1" t="s">
        <v>54</v>
      </c>
      <c r="G23" s="1" t="s">
        <v>55</v>
      </c>
      <c r="H23" s="1"/>
      <c r="I23" s="3"/>
      <c r="J23" s="3"/>
    </row>
    <row r="24" spans="1:10" ht="149.25" customHeight="1">
      <c r="A24" s="4" t="s">
        <v>56</v>
      </c>
      <c r="B24" s="5">
        <v>0.5</v>
      </c>
      <c r="C24" s="3" t="s">
        <v>57</v>
      </c>
      <c r="D24" s="4" t="s">
        <v>58</v>
      </c>
      <c r="E24" s="3">
        <v>0.6</v>
      </c>
      <c r="F24" s="3" t="s">
        <v>59</v>
      </c>
      <c r="G24" s="3" t="s">
        <v>60</v>
      </c>
      <c r="H24" s="3"/>
      <c r="I24" s="3"/>
      <c r="J24" s="3"/>
    </row>
    <row r="25" spans="1:10" ht="149.25" customHeight="1">
      <c r="A25" s="4" t="s">
        <v>61</v>
      </c>
      <c r="B25" s="16">
        <v>0.37611681345377368</v>
      </c>
      <c r="C25" s="3" t="s">
        <v>62</v>
      </c>
      <c r="D25" s="4" t="s">
        <v>63</v>
      </c>
      <c r="E25" s="3">
        <v>950</v>
      </c>
      <c r="F25" s="3" t="s">
        <v>59</v>
      </c>
      <c r="G25" s="3" t="s">
        <v>64</v>
      </c>
      <c r="H25" s="3"/>
      <c r="I25" s="3"/>
      <c r="J25" s="3"/>
    </row>
    <row r="26" spans="1:10" ht="149.25" customHeight="1">
      <c r="A26" s="4" t="s">
        <v>65</v>
      </c>
      <c r="B26" s="16">
        <v>120</v>
      </c>
      <c r="C26" s="3" t="s">
        <v>66</v>
      </c>
      <c r="D26" s="4" t="s">
        <v>67</v>
      </c>
      <c r="E26" s="3">
        <v>5.5E-2</v>
      </c>
      <c r="F26" s="3" t="s">
        <v>68</v>
      </c>
      <c r="G26" s="3" t="s">
        <v>69</v>
      </c>
      <c r="H26" s="3"/>
      <c r="I26" s="3"/>
      <c r="J26" s="3"/>
    </row>
    <row r="27" spans="1:10" ht="170.75" customHeight="1">
      <c r="A27" s="4" t="s">
        <v>70</v>
      </c>
      <c r="B27" s="16">
        <v>0.08</v>
      </c>
      <c r="C27" s="3" t="s">
        <v>71</v>
      </c>
      <c r="D27" s="4" t="s">
        <v>72</v>
      </c>
      <c r="E27" s="3">
        <v>0.06</v>
      </c>
      <c r="F27" s="3" t="s">
        <v>73</v>
      </c>
      <c r="G27" s="3" t="s">
        <v>74</v>
      </c>
      <c r="H27" s="3"/>
      <c r="I27" s="3"/>
      <c r="J27" s="3"/>
    </row>
    <row r="28" spans="1:10" ht="170.75" customHeight="1">
      <c r="A28" s="4" t="s">
        <v>75</v>
      </c>
      <c r="B28" s="16">
        <v>0.567067391564821</v>
      </c>
      <c r="C28" s="3" t="s">
        <v>76</v>
      </c>
      <c r="D28" s="4" t="s">
        <v>77</v>
      </c>
      <c r="E28" s="3">
        <v>0.7</v>
      </c>
      <c r="F28" s="3" t="s">
        <v>78</v>
      </c>
      <c r="G28" s="3" t="s">
        <v>79</v>
      </c>
      <c r="H28" s="3"/>
      <c r="I28" s="3"/>
      <c r="J28" s="3"/>
    </row>
    <row r="29" spans="1:10" ht="128" customHeight="1">
      <c r="A29" s="4" t="s">
        <v>80</v>
      </c>
      <c r="B29" s="5">
        <v>1.0129999999999999</v>
      </c>
      <c r="C29" s="3" t="s">
        <v>81</v>
      </c>
      <c r="D29" s="4" t="s">
        <v>82</v>
      </c>
      <c r="E29" s="3">
        <v>0.45</v>
      </c>
      <c r="F29" s="3" t="s">
        <v>83</v>
      </c>
      <c r="G29" s="3" t="s">
        <v>84</v>
      </c>
      <c r="H29" s="3"/>
      <c r="I29" s="3"/>
      <c r="J29" s="3"/>
    </row>
    <row r="30" spans="1:10" ht="105" customHeight="1">
      <c r="A30" s="4" t="s">
        <v>85</v>
      </c>
      <c r="B30" s="5">
        <v>4.5</v>
      </c>
      <c r="C30" s="3" t="s">
        <v>86</v>
      </c>
      <c r="D30" s="3" t="s">
        <v>87</v>
      </c>
      <c r="E30" s="37">
        <v>40</v>
      </c>
      <c r="F30" s="3" t="s">
        <v>88</v>
      </c>
      <c r="G30" s="3" t="s">
        <v>89</v>
      </c>
      <c r="H30" s="3"/>
      <c r="I30" s="3"/>
      <c r="J30" s="3"/>
    </row>
    <row r="31" spans="1:10" ht="88" customHeight="1">
      <c r="A31" s="4" t="s">
        <v>90</v>
      </c>
      <c r="B31" s="17">
        <v>1.2</v>
      </c>
      <c r="C31" s="3" t="s">
        <v>91</v>
      </c>
      <c r="D31" s="3" t="s">
        <v>92</v>
      </c>
      <c r="E31" s="37">
        <v>85</v>
      </c>
      <c r="F31" s="3" t="s">
        <v>88</v>
      </c>
      <c r="G31" s="3" t="s">
        <v>93</v>
      </c>
      <c r="H31" s="3"/>
      <c r="I31" s="3"/>
      <c r="J31" s="3"/>
    </row>
    <row r="32" spans="1:10" ht="122" customHeight="1">
      <c r="A32" s="4" t="s">
        <v>94</v>
      </c>
      <c r="B32" s="17">
        <v>0.7</v>
      </c>
      <c r="C32" s="3" t="s">
        <v>95</v>
      </c>
      <c r="D32" s="3" t="s">
        <v>96</v>
      </c>
      <c r="E32" s="37">
        <v>0.7</v>
      </c>
      <c r="F32" s="3" t="s">
        <v>78</v>
      </c>
      <c r="G32" s="3" t="s">
        <v>97</v>
      </c>
      <c r="H32" s="3"/>
      <c r="I32" s="3"/>
      <c r="J32" s="3"/>
    </row>
    <row r="33" spans="1:10">
      <c r="A33" s="3"/>
      <c r="B33" s="3"/>
      <c r="C33" s="3"/>
      <c r="D33" s="3"/>
      <c r="E33" s="3"/>
      <c r="F33" s="3"/>
      <c r="G33" s="3"/>
      <c r="H33" s="3"/>
      <c r="I33" s="3"/>
      <c r="J33" s="3"/>
    </row>
    <row r="34" spans="1:10">
      <c r="A34" s="3"/>
      <c r="B34" s="3"/>
      <c r="C34" s="3"/>
      <c r="D34" s="3"/>
      <c r="E34" s="3"/>
      <c r="F34" s="3"/>
      <c r="G34" s="3"/>
      <c r="H34" s="3"/>
      <c r="I34" s="3"/>
      <c r="J34" s="3"/>
    </row>
    <row r="35" spans="1:10">
      <c r="A35" s="3"/>
      <c r="B35" s="3"/>
      <c r="C35" s="3"/>
      <c r="D35" s="3"/>
      <c r="E35" s="3"/>
      <c r="F35" s="3"/>
      <c r="G35" s="3"/>
      <c r="H35" s="3"/>
      <c r="I35" s="3"/>
      <c r="J35" s="3"/>
    </row>
    <row r="36" spans="1:10">
      <c r="A36" s="3"/>
      <c r="B36" s="3"/>
      <c r="C36" s="3"/>
      <c r="D36" s="3"/>
      <c r="E36" s="3"/>
      <c r="F36" s="3"/>
      <c r="G36" s="3"/>
      <c r="H36" s="3"/>
      <c r="I36" s="3"/>
      <c r="J36" s="3"/>
    </row>
    <row r="37" spans="1:10">
      <c r="A37" s="3"/>
      <c r="B37" s="3"/>
      <c r="C37" s="3"/>
      <c r="D37" s="3"/>
      <c r="E37" s="3"/>
      <c r="F37" s="3"/>
      <c r="G37" s="3"/>
      <c r="H37" s="3"/>
      <c r="I37" s="3"/>
      <c r="J37" s="3"/>
    </row>
    <row r="38" spans="1:10">
      <c r="A38" s="3"/>
      <c r="B38" s="3"/>
      <c r="C38" s="3"/>
      <c r="D38" s="3"/>
      <c r="E38" s="3"/>
      <c r="F38" s="3"/>
      <c r="G38" s="3"/>
      <c r="H38" s="3"/>
      <c r="I38" s="3"/>
      <c r="J38" s="3"/>
    </row>
    <row r="39" spans="1:10">
      <c r="A39" s="3"/>
      <c r="B39" s="3"/>
      <c r="C39" s="3"/>
      <c r="D39" s="3"/>
      <c r="E39" s="3"/>
      <c r="F39" s="3"/>
      <c r="G39" s="3"/>
      <c r="H39" s="3"/>
      <c r="I39" s="3"/>
      <c r="J39" s="3"/>
    </row>
    <row r="40" spans="1:10">
      <c r="A40" s="3"/>
      <c r="B40" s="3"/>
      <c r="C40" s="3"/>
      <c r="D40" s="3"/>
      <c r="E40" s="3"/>
      <c r="F40" s="3"/>
      <c r="G40" s="3"/>
      <c r="H40" s="3"/>
      <c r="I40" s="3"/>
      <c r="J40" s="3"/>
    </row>
    <row r="41" spans="1:10">
      <c r="A41" s="3"/>
      <c r="B41" s="3"/>
      <c r="C41" s="3"/>
      <c r="D41" s="3"/>
      <c r="E41" s="3"/>
      <c r="F41" s="3"/>
      <c r="G41" s="3"/>
      <c r="H41" s="3"/>
      <c r="I41" s="3"/>
      <c r="J41" s="3"/>
    </row>
    <row r="42" spans="1:10">
      <c r="A42" s="3"/>
      <c r="B42" s="3"/>
      <c r="C42" s="3"/>
      <c r="D42" s="3"/>
      <c r="E42" s="3"/>
      <c r="F42" s="3"/>
      <c r="G42" s="3"/>
      <c r="H42" s="3"/>
      <c r="I42" s="3"/>
      <c r="J42" s="3"/>
    </row>
    <row r="43" spans="1:10">
      <c r="A43" s="3"/>
      <c r="B43" s="3"/>
      <c r="C43" s="3"/>
      <c r="D43" s="3"/>
      <c r="E43" s="3"/>
      <c r="F43" s="3"/>
      <c r="G43" s="3"/>
      <c r="H43" s="3"/>
      <c r="I43" s="3"/>
      <c r="J43" s="3"/>
    </row>
    <row r="44" spans="1:10">
      <c r="A44" s="3"/>
      <c r="B44" s="3"/>
      <c r="C44" s="3"/>
      <c r="D44" s="3"/>
      <c r="E44" s="3"/>
      <c r="F44" s="3"/>
      <c r="G44" s="3"/>
      <c r="H44" s="3"/>
      <c r="I44" s="3"/>
      <c r="J44" s="3"/>
    </row>
    <row r="45" spans="1:10">
      <c r="A45" s="3"/>
      <c r="B45" s="3"/>
      <c r="C45" s="3"/>
      <c r="D45" s="3"/>
      <c r="E45" s="3"/>
      <c r="F45" s="3"/>
      <c r="G45" s="3"/>
      <c r="H45" s="3"/>
      <c r="I45" s="3"/>
      <c r="J45" s="3"/>
    </row>
    <row r="46" spans="1:10">
      <c r="A46" s="3"/>
      <c r="B46" s="3"/>
      <c r="C46" s="3"/>
      <c r="D46" s="3"/>
      <c r="E46" s="3"/>
      <c r="F46" s="3"/>
      <c r="G46" s="3"/>
      <c r="H46" s="3"/>
      <c r="I46" s="3"/>
      <c r="J46" s="3"/>
    </row>
    <row r="47" spans="1:10">
      <c r="A47" s="3"/>
      <c r="B47" s="3"/>
      <c r="C47" s="3"/>
      <c r="D47" s="3"/>
      <c r="E47" s="3"/>
      <c r="F47" s="3"/>
      <c r="G47" s="3"/>
      <c r="H47" s="3"/>
      <c r="I47" s="3"/>
      <c r="J47" s="3"/>
    </row>
    <row r="48" spans="1:10">
      <c r="A48" s="3"/>
      <c r="B48" s="3"/>
      <c r="C48" s="3"/>
      <c r="D48" s="3"/>
      <c r="E48" s="3"/>
      <c r="F48" s="3"/>
      <c r="G48" s="3"/>
      <c r="H48" s="3"/>
      <c r="I48" s="3"/>
      <c r="J48" s="3"/>
    </row>
    <row r="49" spans="1:10">
      <c r="A49" s="3"/>
      <c r="B49" s="3"/>
      <c r="C49" s="3"/>
      <c r="D49" s="3"/>
      <c r="E49" s="3"/>
      <c r="F49" s="3"/>
      <c r="G49" s="3"/>
      <c r="H49" s="3"/>
      <c r="I49" s="3"/>
      <c r="J49" s="3"/>
    </row>
    <row r="50" spans="1:10">
      <c r="A50" s="3"/>
      <c r="B50" s="3"/>
      <c r="C50" s="3"/>
      <c r="D50" s="3"/>
      <c r="E50" s="3"/>
      <c r="F50" s="3"/>
      <c r="G50" s="3"/>
      <c r="H50" s="3"/>
      <c r="I50" s="3"/>
      <c r="J50" s="3"/>
    </row>
    <row r="51" spans="1:10">
      <c r="A51" s="3"/>
      <c r="B51" s="3"/>
      <c r="C51" s="3"/>
      <c r="D51" s="3"/>
      <c r="E51" s="3"/>
      <c r="F51" s="3"/>
      <c r="G51" s="3"/>
      <c r="H51" s="3"/>
      <c r="I51" s="3"/>
      <c r="J51" s="3"/>
    </row>
    <row r="52" spans="1:10">
      <c r="A52" s="3"/>
      <c r="B52" s="3"/>
      <c r="C52" s="3"/>
      <c r="D52" s="3"/>
      <c r="E52" s="3"/>
      <c r="F52" s="3"/>
      <c r="G52" s="3"/>
      <c r="H52" s="3"/>
      <c r="I52" s="3"/>
      <c r="J52" s="3"/>
    </row>
    <row r="53" spans="1:10">
      <c r="A53" s="3"/>
      <c r="B53" s="3"/>
      <c r="C53" s="3"/>
      <c r="D53" s="3"/>
      <c r="E53" s="3"/>
      <c r="F53" s="3"/>
      <c r="G53" s="3"/>
      <c r="H53" s="3"/>
      <c r="I53" s="3"/>
      <c r="J53" s="3"/>
    </row>
    <row r="54" spans="1:10">
      <c r="A54" s="3"/>
      <c r="B54" s="3"/>
      <c r="C54" s="3"/>
      <c r="D54" s="3"/>
      <c r="E54" s="3"/>
      <c r="F54" s="3"/>
      <c r="G54" s="3"/>
      <c r="H54" s="3"/>
      <c r="I54" s="3"/>
      <c r="J54" s="3"/>
    </row>
    <row r="55" spans="1:10">
      <c r="A55" s="3"/>
      <c r="B55" s="3"/>
      <c r="C55" s="3"/>
      <c r="D55" s="3"/>
      <c r="E55" s="3"/>
      <c r="F55" s="3"/>
      <c r="G55" s="3"/>
      <c r="H55" s="3"/>
      <c r="I55" s="3"/>
      <c r="J55" s="3"/>
    </row>
    <row r="56" spans="1:10">
      <c r="A56" s="3"/>
      <c r="B56" s="3"/>
      <c r="C56" s="3"/>
      <c r="D56" s="3"/>
      <c r="E56" s="3"/>
      <c r="F56" s="3"/>
      <c r="G56" s="3"/>
      <c r="H56" s="3"/>
      <c r="I56" s="3"/>
      <c r="J56" s="3"/>
    </row>
    <row r="57" spans="1:10">
      <c r="A57" s="3"/>
      <c r="B57" s="3"/>
      <c r="C57" s="3"/>
      <c r="D57" s="3"/>
      <c r="E57" s="3"/>
      <c r="F57" s="3"/>
      <c r="G57" s="3"/>
      <c r="H57" s="3"/>
      <c r="I57" s="3"/>
      <c r="J57" s="3"/>
    </row>
    <row r="58" spans="1:10">
      <c r="A58" s="3"/>
      <c r="B58" s="3"/>
      <c r="C58" s="3"/>
      <c r="D58" s="3"/>
      <c r="E58" s="3"/>
      <c r="F58" s="3"/>
      <c r="G58" s="3"/>
      <c r="H58" s="3"/>
      <c r="I58" s="3"/>
      <c r="J58" s="3"/>
    </row>
    <row r="59" spans="1:10">
      <c r="A59" s="3"/>
      <c r="B59" s="3"/>
      <c r="C59" s="3"/>
      <c r="D59" s="3"/>
      <c r="E59" s="3"/>
      <c r="F59" s="3"/>
      <c r="G59" s="3"/>
      <c r="H59" s="3"/>
      <c r="I59" s="3"/>
      <c r="J59" s="3"/>
    </row>
    <row r="60" spans="1:10">
      <c r="A60" s="3"/>
      <c r="B60" s="3"/>
      <c r="C60" s="3"/>
      <c r="D60" s="3"/>
      <c r="E60" s="3"/>
      <c r="F60" s="3"/>
      <c r="G60" s="3"/>
      <c r="H60" s="3"/>
      <c r="I60" s="3"/>
      <c r="J60" s="3"/>
    </row>
  </sheetData>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0"/>
  <sheetViews>
    <sheetView workbookViewId="0">
      <selection activeCell="C11" sqref="C11"/>
    </sheetView>
  </sheetViews>
  <sheetFormatPr baseColWidth="10" defaultColWidth="8.83203125" defaultRowHeight="15"/>
  <cols>
    <col min="1" max="1" width="22" customWidth="1"/>
    <col min="2" max="7" width="18" customWidth="1"/>
    <col min="8" max="8" width="24" customWidth="1"/>
    <col min="9" max="10" width="18" customWidth="1"/>
  </cols>
  <sheetData>
    <row r="1" spans="1:10" ht="24" customHeight="1">
      <c r="A1" s="79" t="s">
        <v>98</v>
      </c>
      <c r="B1" s="79"/>
      <c r="C1" s="79"/>
      <c r="D1" s="79"/>
      <c r="E1" s="79"/>
      <c r="F1" s="79"/>
      <c r="I1" s="3"/>
      <c r="J1" s="3"/>
    </row>
    <row r="2" spans="1:10">
      <c r="A2" s="3"/>
      <c r="B2" s="3"/>
      <c r="C2" s="3"/>
      <c r="D2" s="3"/>
      <c r="E2" s="3"/>
      <c r="F2" s="3"/>
      <c r="G2" s="3"/>
      <c r="H2" s="3"/>
      <c r="I2" s="3"/>
      <c r="J2" s="3"/>
    </row>
    <row r="3" spans="1:10" ht="21.25" customHeight="1">
      <c r="A3" s="1" t="s">
        <v>18</v>
      </c>
      <c r="B3" s="1" t="s">
        <v>99</v>
      </c>
      <c r="C3" s="1" t="s">
        <v>100</v>
      </c>
      <c r="D3" s="1" t="s">
        <v>20</v>
      </c>
      <c r="E3" s="1" t="s">
        <v>101</v>
      </c>
      <c r="F3" s="1" t="s">
        <v>102</v>
      </c>
      <c r="G3" s="66"/>
      <c r="H3" s="66"/>
      <c r="I3" s="3"/>
      <c r="J3" s="3"/>
    </row>
    <row r="4" spans="1:10" ht="21.25" customHeight="1">
      <c r="A4" s="3" t="s">
        <v>26</v>
      </c>
      <c r="B4" s="8">
        <v>0.12920000000000001</v>
      </c>
      <c r="C4" s="8">
        <f>Inputs!$B$3*B4</f>
        <v>12.920000000000002</v>
      </c>
      <c r="D4" s="9">
        <v>32.041899999999998</v>
      </c>
      <c r="E4" s="9">
        <f>C4*D4</f>
        <v>413.98134800000003</v>
      </c>
      <c r="F4" s="6">
        <f>E4/SUM($E$4:$E$6)</f>
        <v>0.10611133089022362</v>
      </c>
      <c r="G4" s="67"/>
      <c r="H4" s="67"/>
      <c r="I4" s="3"/>
      <c r="J4" s="3"/>
    </row>
    <row r="5" spans="1:10" ht="21.25" customHeight="1">
      <c r="A5" s="3" t="s">
        <v>30</v>
      </c>
      <c r="B5" s="8">
        <v>0.61180000000000001</v>
      </c>
      <c r="C5" s="8">
        <f>Inputs!$B$3*B5</f>
        <v>61.18</v>
      </c>
      <c r="D5" s="9">
        <v>18.0153</v>
      </c>
      <c r="E5" s="9">
        <f>C5*D5</f>
        <v>1102.176054</v>
      </c>
      <c r="F5" s="6">
        <f>E5/SUM($E$4:$E$6)</f>
        <v>0.28250878579504257</v>
      </c>
      <c r="G5" s="67"/>
      <c r="H5" s="67"/>
      <c r="I5" s="3"/>
      <c r="J5" s="3"/>
    </row>
    <row r="6" spans="1:10" ht="21.25" customHeight="1">
      <c r="A6" s="3" t="s">
        <v>33</v>
      </c>
      <c r="B6" s="8">
        <v>0.25900000000000001</v>
      </c>
      <c r="C6" s="8">
        <f>Inputs!$B$3*B6</f>
        <v>25.900000000000002</v>
      </c>
      <c r="D6" s="9">
        <v>92.093800000000002</v>
      </c>
      <c r="E6" s="9">
        <f>C6*D6</f>
        <v>2385.2294200000001</v>
      </c>
      <c r="F6" s="6">
        <f>E6/SUM($E$4:$E$6)</f>
        <v>0.6113798833147337</v>
      </c>
      <c r="G6" s="67"/>
      <c r="H6" s="67"/>
      <c r="I6" s="3"/>
      <c r="J6" s="3"/>
    </row>
    <row r="7" spans="1:10">
      <c r="A7" s="3"/>
      <c r="B7" s="8"/>
      <c r="C7" s="8"/>
      <c r="D7" s="9"/>
      <c r="E7" s="9"/>
      <c r="F7" s="6"/>
      <c r="G7" s="67"/>
      <c r="H7" s="67"/>
      <c r="I7" s="3"/>
      <c r="J7" s="3"/>
    </row>
    <row r="8" spans="1:10" ht="21.25" customHeight="1">
      <c r="A8" s="4" t="s">
        <v>103</v>
      </c>
      <c r="B8" s="10">
        <f>SUM(B4:B6)</f>
        <v>1</v>
      </c>
      <c r="C8" s="10">
        <f>SUM(C4:C6)</f>
        <v>100</v>
      </c>
      <c r="D8" s="11"/>
      <c r="E8" s="11">
        <f>SUM(E4:E6)</f>
        <v>3901.3868220000004</v>
      </c>
      <c r="F8" s="12">
        <f>SUM(F4:F6)</f>
        <v>0.99999999999999989</v>
      </c>
      <c r="G8" s="69"/>
      <c r="H8" s="69"/>
      <c r="I8" s="3"/>
      <c r="J8" s="3"/>
    </row>
    <row r="9" spans="1:10">
      <c r="A9" s="3"/>
      <c r="B9" s="3"/>
      <c r="C9" s="3"/>
      <c r="D9" s="3"/>
      <c r="E9" s="3"/>
      <c r="F9" s="3"/>
      <c r="G9" s="3"/>
      <c r="H9" s="3"/>
      <c r="I9" s="3"/>
      <c r="J9" s="3"/>
    </row>
    <row r="10" spans="1:10" ht="21.25" customHeight="1">
      <c r="A10" s="69"/>
      <c r="B10" s="67"/>
      <c r="C10" s="67"/>
      <c r="D10" s="67"/>
      <c r="E10" s="3"/>
      <c r="F10" s="3"/>
      <c r="G10" s="3"/>
      <c r="H10" s="3"/>
      <c r="I10" s="3"/>
      <c r="J10" s="3"/>
    </row>
    <row r="11" spans="1:10" ht="43" customHeight="1">
      <c r="A11" s="69"/>
      <c r="B11" s="67"/>
      <c r="C11" s="67"/>
      <c r="D11" s="67"/>
      <c r="E11" s="3"/>
      <c r="F11" s="3"/>
      <c r="G11" s="3"/>
      <c r="H11" s="3"/>
      <c r="I11" s="3"/>
      <c r="J11" s="3"/>
    </row>
    <row r="12" spans="1:10" ht="39" customHeight="1">
      <c r="A12" s="69"/>
      <c r="B12" s="67"/>
      <c r="C12" s="67"/>
      <c r="D12" s="67"/>
      <c r="E12" s="3"/>
      <c r="F12" s="3"/>
      <c r="G12" s="3"/>
      <c r="H12" s="3"/>
      <c r="I12" s="3"/>
      <c r="J12" s="3"/>
    </row>
    <row r="13" spans="1:10" ht="38" customHeight="1">
      <c r="A13" s="69"/>
      <c r="B13" s="67"/>
      <c r="C13" s="67"/>
      <c r="D13" s="67"/>
      <c r="E13" s="3"/>
      <c r="F13" s="3"/>
      <c r="G13" s="3"/>
      <c r="H13" s="3"/>
      <c r="I13" s="3"/>
      <c r="J13" s="3"/>
    </row>
    <row r="14" spans="1:10" ht="43" customHeight="1">
      <c r="A14" s="69"/>
      <c r="B14" s="67"/>
      <c r="C14" s="67"/>
      <c r="D14" s="67"/>
      <c r="E14" s="3"/>
      <c r="F14" s="3"/>
      <c r="G14" s="3"/>
      <c r="H14" s="3"/>
      <c r="I14" s="3"/>
      <c r="J14" s="3"/>
    </row>
    <row r="15" spans="1:10">
      <c r="A15" s="3"/>
      <c r="B15" s="3"/>
      <c r="C15" s="3"/>
      <c r="D15" s="3"/>
      <c r="E15" s="3"/>
      <c r="F15" s="3"/>
      <c r="G15" s="3"/>
      <c r="H15" s="3"/>
      <c r="I15" s="3"/>
      <c r="J15" s="3"/>
    </row>
    <row r="16" spans="1:10">
      <c r="A16" s="3"/>
      <c r="B16" s="3"/>
      <c r="C16" s="3"/>
      <c r="D16" s="3"/>
      <c r="E16" s="3"/>
      <c r="F16" s="3"/>
      <c r="G16" s="3"/>
      <c r="H16" s="3"/>
      <c r="I16" s="3"/>
      <c r="J16" s="3"/>
    </row>
    <row r="17" spans="1:10">
      <c r="A17" s="3"/>
      <c r="B17" s="3"/>
      <c r="C17" s="3"/>
      <c r="D17" s="3"/>
      <c r="E17" s="3"/>
      <c r="F17" s="3"/>
      <c r="G17" s="3"/>
      <c r="H17" s="3"/>
      <c r="I17" s="3"/>
      <c r="J17" s="3"/>
    </row>
    <row r="18" spans="1:10">
      <c r="A18" s="3"/>
      <c r="B18" s="3"/>
      <c r="C18" s="3"/>
      <c r="D18" s="3"/>
      <c r="E18" s="3"/>
      <c r="F18" s="3"/>
      <c r="G18" s="3"/>
      <c r="H18" s="3"/>
      <c r="I18" s="3"/>
      <c r="J18" s="3"/>
    </row>
    <row r="19" spans="1:10">
      <c r="A19" s="3"/>
      <c r="B19" s="3"/>
      <c r="C19" s="3"/>
      <c r="D19" s="3"/>
      <c r="E19" s="3"/>
      <c r="F19" s="3"/>
      <c r="G19" s="3"/>
      <c r="H19" s="3"/>
      <c r="I19" s="3"/>
      <c r="J19" s="3"/>
    </row>
    <row r="20" spans="1:10">
      <c r="A20" s="3"/>
      <c r="B20" s="3"/>
      <c r="C20" s="3"/>
      <c r="D20" s="3"/>
      <c r="E20" s="3"/>
      <c r="F20" s="3"/>
      <c r="G20" s="3"/>
      <c r="H20" s="3"/>
      <c r="I20" s="3"/>
      <c r="J20" s="3"/>
    </row>
    <row r="21" spans="1:10">
      <c r="A21" s="3"/>
      <c r="B21" s="3"/>
      <c r="C21" s="3"/>
      <c r="D21" s="3"/>
      <c r="E21" s="3"/>
      <c r="F21" s="3"/>
      <c r="G21" s="3"/>
      <c r="H21" s="3"/>
      <c r="I21" s="3"/>
      <c r="J21" s="3"/>
    </row>
    <row r="22" spans="1:10">
      <c r="A22" s="3"/>
      <c r="B22" s="3"/>
      <c r="C22" s="3"/>
      <c r="D22" s="3"/>
      <c r="E22" s="3"/>
      <c r="F22" s="3"/>
      <c r="G22" s="3"/>
      <c r="H22" s="3"/>
      <c r="I22" s="3"/>
      <c r="J22" s="3"/>
    </row>
    <row r="23" spans="1:10">
      <c r="A23" s="3"/>
      <c r="B23" s="3"/>
      <c r="C23" s="3"/>
      <c r="D23" s="3"/>
      <c r="E23" s="3"/>
      <c r="F23" s="3"/>
      <c r="G23" s="3"/>
      <c r="H23" s="3"/>
      <c r="I23" s="3"/>
      <c r="J23" s="3"/>
    </row>
    <row r="24" spans="1:10">
      <c r="A24" s="3"/>
      <c r="B24" s="3"/>
      <c r="C24" s="3"/>
      <c r="D24" s="3"/>
      <c r="E24" s="3"/>
      <c r="F24" s="3"/>
      <c r="G24" s="3"/>
      <c r="H24" s="3"/>
      <c r="I24" s="3"/>
      <c r="J24" s="3"/>
    </row>
    <row r="25" spans="1:10">
      <c r="A25" s="3"/>
      <c r="B25" s="3"/>
      <c r="C25" s="3"/>
      <c r="D25" s="3"/>
      <c r="E25" s="3"/>
      <c r="F25" s="3"/>
      <c r="G25" s="3"/>
      <c r="H25" s="3"/>
      <c r="I25" s="3"/>
      <c r="J25" s="3"/>
    </row>
    <row r="26" spans="1:10">
      <c r="A26" s="3"/>
      <c r="B26" s="3"/>
      <c r="C26" s="3"/>
      <c r="D26" s="3"/>
      <c r="E26" s="3"/>
      <c r="F26" s="3"/>
      <c r="G26" s="3"/>
      <c r="H26" s="3"/>
      <c r="I26" s="3"/>
      <c r="J26" s="3"/>
    </row>
    <row r="27" spans="1:10">
      <c r="A27" s="3"/>
      <c r="B27" s="3"/>
      <c r="C27" s="3"/>
      <c r="D27" s="3"/>
      <c r="E27" s="3"/>
      <c r="F27" s="3"/>
      <c r="G27" s="3"/>
      <c r="H27" s="3"/>
      <c r="I27" s="3"/>
      <c r="J27" s="3"/>
    </row>
    <row r="28" spans="1:10">
      <c r="A28" s="3"/>
      <c r="B28" s="3"/>
      <c r="C28" s="3"/>
      <c r="D28" s="3"/>
      <c r="E28" s="3"/>
      <c r="F28" s="3"/>
      <c r="G28" s="3"/>
      <c r="H28" s="3"/>
      <c r="I28" s="3"/>
      <c r="J28" s="3"/>
    </row>
    <row r="29" spans="1:10">
      <c r="A29" s="3"/>
      <c r="B29" s="3"/>
      <c r="C29" s="3"/>
      <c r="D29" s="3"/>
      <c r="E29" s="3"/>
      <c r="F29" s="3"/>
      <c r="G29" s="3"/>
      <c r="H29" s="3"/>
      <c r="I29" s="3"/>
      <c r="J29" s="3"/>
    </row>
    <row r="30" spans="1:10">
      <c r="A30" s="3"/>
      <c r="B30" s="3"/>
      <c r="C30" s="3"/>
      <c r="D30" s="3"/>
      <c r="E30" s="3"/>
      <c r="F30" s="3"/>
      <c r="G30" s="3"/>
      <c r="H30" s="3"/>
      <c r="I30" s="3"/>
      <c r="J30" s="3"/>
    </row>
    <row r="31" spans="1:10">
      <c r="A31" s="3"/>
      <c r="B31" s="3"/>
      <c r="C31" s="3"/>
      <c r="D31" s="3"/>
      <c r="E31" s="3"/>
      <c r="F31" s="3"/>
      <c r="G31" s="3"/>
      <c r="H31" s="3"/>
      <c r="I31" s="3"/>
      <c r="J31" s="3"/>
    </row>
    <row r="32" spans="1:10">
      <c r="A32" s="3"/>
      <c r="B32" s="3"/>
      <c r="C32" s="3"/>
      <c r="D32" s="3"/>
      <c r="E32" s="3"/>
      <c r="F32" s="3"/>
      <c r="G32" s="3"/>
      <c r="H32" s="3"/>
      <c r="I32" s="3"/>
      <c r="J32" s="3"/>
    </row>
    <row r="33" spans="1:10">
      <c r="A33" s="3"/>
      <c r="B33" s="3"/>
      <c r="C33" s="3"/>
      <c r="D33" s="3"/>
      <c r="E33" s="3"/>
      <c r="F33" s="3"/>
      <c r="G33" s="3"/>
      <c r="H33" s="3"/>
      <c r="I33" s="3"/>
      <c r="J33" s="3"/>
    </row>
    <row r="34" spans="1:10">
      <c r="A34" s="3"/>
      <c r="B34" s="3"/>
      <c r="C34" s="3"/>
      <c r="D34" s="3"/>
      <c r="E34" s="3"/>
      <c r="F34" s="3"/>
      <c r="G34" s="3"/>
      <c r="H34" s="3"/>
      <c r="I34" s="3"/>
      <c r="J34" s="3"/>
    </row>
    <row r="35" spans="1:10">
      <c r="A35" s="3"/>
      <c r="B35" s="3"/>
      <c r="C35" s="3"/>
      <c r="D35" s="3"/>
      <c r="E35" s="3"/>
      <c r="F35" s="3"/>
      <c r="G35" s="3"/>
      <c r="H35" s="3"/>
      <c r="I35" s="3"/>
      <c r="J35" s="3"/>
    </row>
    <row r="36" spans="1:10">
      <c r="A36" s="3"/>
      <c r="B36" s="3"/>
      <c r="C36" s="3"/>
      <c r="D36" s="3"/>
      <c r="E36" s="3"/>
      <c r="F36" s="3"/>
      <c r="G36" s="3"/>
      <c r="H36" s="3"/>
      <c r="I36" s="3"/>
      <c r="J36" s="3"/>
    </row>
    <row r="37" spans="1:10">
      <c r="A37" s="3"/>
      <c r="B37" s="3"/>
      <c r="C37" s="3"/>
      <c r="D37" s="3"/>
      <c r="E37" s="3"/>
      <c r="F37" s="3"/>
      <c r="G37" s="3"/>
      <c r="H37" s="3"/>
      <c r="I37" s="3"/>
      <c r="J37" s="3"/>
    </row>
    <row r="38" spans="1:10">
      <c r="A38" s="3"/>
      <c r="B38" s="3"/>
      <c r="C38" s="3"/>
      <c r="D38" s="3"/>
      <c r="E38" s="3"/>
      <c r="F38" s="3"/>
      <c r="G38" s="3"/>
      <c r="H38" s="3"/>
      <c r="I38" s="3"/>
      <c r="J38" s="3"/>
    </row>
    <row r="39" spans="1:10">
      <c r="A39" s="3"/>
      <c r="B39" s="3"/>
      <c r="C39" s="3"/>
      <c r="D39" s="3"/>
      <c r="E39" s="3"/>
      <c r="F39" s="3"/>
      <c r="G39" s="3"/>
      <c r="H39" s="3"/>
      <c r="I39" s="3"/>
      <c r="J39" s="3"/>
    </row>
    <row r="40" spans="1:10">
      <c r="A40" s="3"/>
      <c r="B40" s="3"/>
      <c r="C40" s="3"/>
      <c r="D40" s="3"/>
      <c r="E40" s="3"/>
      <c r="F40" s="3"/>
      <c r="G40" s="3"/>
      <c r="H40" s="3"/>
      <c r="I40" s="3"/>
      <c r="J40" s="3"/>
    </row>
    <row r="41" spans="1:10">
      <c r="A41" s="3"/>
      <c r="B41" s="3"/>
      <c r="C41" s="3"/>
      <c r="D41" s="3"/>
      <c r="E41" s="3"/>
      <c r="F41" s="3"/>
      <c r="G41" s="3"/>
      <c r="H41" s="3"/>
      <c r="I41" s="3"/>
      <c r="J41" s="3"/>
    </row>
    <row r="42" spans="1:10">
      <c r="A42" s="3"/>
      <c r="B42" s="3"/>
      <c r="C42" s="3"/>
      <c r="D42" s="3"/>
      <c r="E42" s="3"/>
      <c r="F42" s="3"/>
      <c r="G42" s="3"/>
      <c r="H42" s="3"/>
      <c r="I42" s="3"/>
      <c r="J42" s="3"/>
    </row>
    <row r="43" spans="1:10">
      <c r="A43" s="3"/>
      <c r="B43" s="3"/>
      <c r="C43" s="3"/>
      <c r="D43" s="3"/>
      <c r="E43" s="3"/>
      <c r="F43" s="3"/>
      <c r="G43" s="3"/>
      <c r="H43" s="3"/>
      <c r="I43" s="3"/>
      <c r="J43" s="3"/>
    </row>
    <row r="44" spans="1:10">
      <c r="A44" s="3"/>
      <c r="B44" s="3"/>
      <c r="C44" s="3"/>
      <c r="D44" s="3"/>
      <c r="E44" s="3"/>
      <c r="F44" s="3"/>
      <c r="G44" s="3"/>
      <c r="H44" s="3"/>
      <c r="I44" s="3"/>
      <c r="J44" s="3"/>
    </row>
    <row r="45" spans="1:10">
      <c r="A45" s="3"/>
      <c r="B45" s="3"/>
      <c r="C45" s="3"/>
      <c r="D45" s="3"/>
      <c r="E45" s="3"/>
      <c r="F45" s="3"/>
      <c r="G45" s="3"/>
      <c r="H45" s="3"/>
      <c r="I45" s="3"/>
      <c r="J45" s="3"/>
    </row>
    <row r="46" spans="1:10">
      <c r="A46" s="3"/>
      <c r="B46" s="3"/>
      <c r="C46" s="3"/>
      <c r="D46" s="3"/>
      <c r="E46" s="3"/>
      <c r="F46" s="3"/>
      <c r="G46" s="3"/>
      <c r="H46" s="3"/>
      <c r="I46" s="3"/>
      <c r="J46" s="3"/>
    </row>
    <row r="47" spans="1:10">
      <c r="A47" s="3"/>
      <c r="B47" s="3"/>
      <c r="C47" s="3"/>
      <c r="D47" s="3"/>
      <c r="E47" s="3"/>
      <c r="F47" s="3"/>
      <c r="G47" s="3"/>
      <c r="H47" s="3"/>
      <c r="I47" s="3"/>
      <c r="J47" s="3"/>
    </row>
    <row r="48" spans="1:10">
      <c r="A48" s="3"/>
      <c r="B48" s="3"/>
      <c r="C48" s="3"/>
      <c r="D48" s="3"/>
      <c r="E48" s="3"/>
      <c r="F48" s="3"/>
      <c r="G48" s="3"/>
      <c r="H48" s="3"/>
      <c r="I48" s="3"/>
      <c r="J48" s="3"/>
    </row>
    <row r="49" spans="1:10">
      <c r="A49" s="3"/>
      <c r="B49" s="3"/>
      <c r="C49" s="3"/>
      <c r="D49" s="3"/>
      <c r="E49" s="3"/>
      <c r="F49" s="3"/>
      <c r="G49" s="3"/>
      <c r="H49" s="3"/>
      <c r="I49" s="3"/>
      <c r="J49" s="3"/>
    </row>
    <row r="50" spans="1:10">
      <c r="A50" s="3"/>
      <c r="B50" s="3"/>
      <c r="C50" s="3"/>
      <c r="D50" s="3"/>
      <c r="E50" s="3"/>
      <c r="F50" s="3"/>
      <c r="G50" s="3"/>
      <c r="H50" s="3"/>
      <c r="I50" s="3"/>
      <c r="J50" s="3"/>
    </row>
    <row r="51" spans="1:10">
      <c r="A51" s="3"/>
      <c r="B51" s="3"/>
      <c r="C51" s="3"/>
      <c r="D51" s="3"/>
      <c r="E51" s="3"/>
      <c r="F51" s="3"/>
      <c r="G51" s="3"/>
      <c r="H51" s="3"/>
      <c r="I51" s="3"/>
      <c r="J51" s="3"/>
    </row>
    <row r="52" spans="1:10">
      <c r="A52" s="3"/>
      <c r="B52" s="3"/>
      <c r="C52" s="3"/>
      <c r="D52" s="3"/>
      <c r="E52" s="3"/>
      <c r="F52" s="3"/>
      <c r="G52" s="3"/>
      <c r="H52" s="3"/>
      <c r="I52" s="3"/>
      <c r="J52" s="3"/>
    </row>
    <row r="53" spans="1:10">
      <c r="A53" s="3"/>
      <c r="B53" s="3"/>
      <c r="C53" s="3"/>
      <c r="D53" s="3"/>
      <c r="E53" s="3"/>
      <c r="F53" s="3"/>
      <c r="G53" s="3"/>
      <c r="H53" s="3"/>
      <c r="I53" s="3"/>
      <c r="J53" s="3"/>
    </row>
    <row r="54" spans="1:10">
      <c r="A54" s="3"/>
      <c r="B54" s="3"/>
      <c r="C54" s="3"/>
      <c r="D54" s="3"/>
      <c r="E54" s="3"/>
      <c r="F54" s="3"/>
      <c r="G54" s="3"/>
      <c r="H54" s="3"/>
      <c r="I54" s="3"/>
      <c r="J54" s="3"/>
    </row>
    <row r="55" spans="1:10">
      <c r="A55" s="3"/>
      <c r="B55" s="3"/>
      <c r="C55" s="3"/>
      <c r="D55" s="3"/>
      <c r="E55" s="3"/>
      <c r="F55" s="3"/>
      <c r="G55" s="3"/>
      <c r="H55" s="3"/>
      <c r="I55" s="3"/>
      <c r="J55" s="3"/>
    </row>
    <row r="56" spans="1:10">
      <c r="A56" s="3"/>
      <c r="B56" s="3"/>
      <c r="C56" s="3"/>
      <c r="D56" s="3"/>
      <c r="E56" s="3"/>
      <c r="F56" s="3"/>
      <c r="G56" s="3"/>
      <c r="H56" s="3"/>
      <c r="I56" s="3"/>
      <c r="J56" s="3"/>
    </row>
    <row r="57" spans="1:10">
      <c r="A57" s="3"/>
      <c r="B57" s="3"/>
      <c r="C57" s="3"/>
      <c r="D57" s="3"/>
      <c r="E57" s="3"/>
      <c r="F57" s="3"/>
      <c r="G57" s="3"/>
      <c r="H57" s="3"/>
      <c r="I57" s="3"/>
      <c r="J57" s="3"/>
    </row>
    <row r="58" spans="1:10">
      <c r="A58" s="3"/>
      <c r="B58" s="3"/>
      <c r="C58" s="3"/>
      <c r="D58" s="3"/>
      <c r="E58" s="3"/>
      <c r="F58" s="3"/>
      <c r="G58" s="3"/>
      <c r="H58" s="3"/>
      <c r="I58" s="3"/>
      <c r="J58" s="3"/>
    </row>
    <row r="59" spans="1:10">
      <c r="A59" s="3"/>
      <c r="B59" s="3"/>
      <c r="C59" s="3"/>
      <c r="D59" s="3"/>
      <c r="E59" s="3"/>
      <c r="F59" s="3"/>
      <c r="G59" s="3"/>
      <c r="H59" s="3"/>
      <c r="I59" s="3"/>
      <c r="J59" s="3"/>
    </row>
    <row r="60" spans="1:10">
      <c r="A60" s="3"/>
      <c r="B60" s="3"/>
      <c r="C60" s="3"/>
      <c r="D60" s="3"/>
      <c r="E60" s="3"/>
      <c r="F60" s="3"/>
      <c r="G60" s="3"/>
      <c r="H60" s="3"/>
      <c r="I60" s="3"/>
      <c r="J60" s="3"/>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0"/>
  <sheetViews>
    <sheetView workbookViewId="0">
      <selection sqref="A1:J1"/>
    </sheetView>
  </sheetViews>
  <sheetFormatPr baseColWidth="10" defaultColWidth="8.83203125" defaultRowHeight="15"/>
  <cols>
    <col min="1" max="1" width="22" customWidth="1"/>
    <col min="2" max="7" width="18" customWidth="1"/>
    <col min="8" max="8" width="24" customWidth="1"/>
    <col min="9" max="10" width="18" customWidth="1"/>
  </cols>
  <sheetData>
    <row r="1" spans="1:10" ht="24" customHeight="1">
      <c r="A1" s="79" t="s">
        <v>104</v>
      </c>
      <c r="B1" s="80"/>
      <c r="C1" s="80"/>
      <c r="D1" s="80"/>
      <c r="E1" s="80"/>
      <c r="F1" s="80"/>
      <c r="G1" s="80"/>
      <c r="H1" s="80"/>
      <c r="I1" s="80"/>
      <c r="J1" s="80"/>
    </row>
    <row r="2" spans="1:10">
      <c r="A2" s="3"/>
      <c r="B2" s="3"/>
      <c r="C2" s="3"/>
      <c r="D2" s="3"/>
      <c r="E2" s="3"/>
      <c r="F2" s="3"/>
      <c r="G2" s="3"/>
      <c r="H2" s="3"/>
      <c r="I2" s="3"/>
      <c r="J2" s="3"/>
    </row>
    <row r="3" spans="1:10" ht="21.25" customHeight="1">
      <c r="A3" s="4" t="s">
        <v>105</v>
      </c>
      <c r="B3" s="8">
        <v>100</v>
      </c>
      <c r="C3" s="3"/>
      <c r="D3" s="3"/>
      <c r="E3" s="3"/>
      <c r="F3" s="3"/>
      <c r="G3" s="3"/>
      <c r="H3" s="3"/>
      <c r="I3" s="3"/>
      <c r="J3" s="3"/>
    </row>
    <row r="4" spans="1:10" ht="21.25" customHeight="1">
      <c r="A4" s="4" t="s">
        <v>50</v>
      </c>
      <c r="B4" s="16">
        <v>90</v>
      </c>
      <c r="C4" s="3"/>
      <c r="D4" s="3"/>
      <c r="E4" s="3"/>
      <c r="F4" s="3"/>
      <c r="G4" s="3"/>
      <c r="H4" s="3"/>
      <c r="I4" s="3"/>
      <c r="J4" s="3"/>
    </row>
    <row r="5" spans="1:10" ht="21.25" customHeight="1">
      <c r="A5" s="4" t="s">
        <v>106</v>
      </c>
      <c r="B5" s="16">
        <v>0.5</v>
      </c>
      <c r="C5" s="3"/>
      <c r="D5" s="3"/>
      <c r="E5" s="3"/>
      <c r="F5" s="3"/>
      <c r="G5" s="3"/>
      <c r="H5" s="3"/>
      <c r="I5" s="3"/>
      <c r="J5" s="3"/>
    </row>
    <row r="6" spans="1:10" ht="21.25" customHeight="1">
      <c r="A6" s="4" t="s">
        <v>107</v>
      </c>
      <c r="B6" s="16">
        <v>0.37611681345377368</v>
      </c>
      <c r="C6" s="3"/>
      <c r="D6" s="3"/>
      <c r="E6" s="3"/>
      <c r="F6" s="3"/>
      <c r="G6" s="3"/>
      <c r="H6" s="3"/>
      <c r="I6" s="3"/>
      <c r="J6" s="3"/>
    </row>
    <row r="7" spans="1:10" ht="21.25" customHeight="1">
      <c r="A7" s="4" t="s">
        <v>108</v>
      </c>
      <c r="B7" s="8">
        <f>SUMPRODUCT(B10:B12,C10:C12-1,1/(1+$B$6*(C10:C12-1)))</f>
        <v>1.1102230246251565E-16</v>
      </c>
      <c r="C7" s="3"/>
      <c r="D7" s="3"/>
      <c r="E7" s="3"/>
      <c r="F7" s="3"/>
      <c r="G7" s="3"/>
      <c r="H7" s="3"/>
      <c r="I7" s="3"/>
      <c r="J7" s="3"/>
    </row>
    <row r="8" spans="1:10">
      <c r="A8" s="3"/>
      <c r="B8" s="8"/>
      <c r="C8" s="3"/>
      <c r="D8" s="3"/>
      <c r="E8" s="3"/>
      <c r="F8" s="3"/>
      <c r="G8" s="3"/>
      <c r="H8" s="3"/>
      <c r="I8" s="3"/>
      <c r="J8" s="3"/>
    </row>
    <row r="9" spans="1:10" ht="21.25" customHeight="1">
      <c r="A9" s="1" t="s">
        <v>18</v>
      </c>
      <c r="B9" s="2" t="s">
        <v>99</v>
      </c>
      <c r="C9" s="1" t="s">
        <v>109</v>
      </c>
      <c r="D9" s="1" t="s">
        <v>110</v>
      </c>
      <c r="E9" s="1" t="s">
        <v>111</v>
      </c>
      <c r="F9" s="1" t="s">
        <v>112</v>
      </c>
      <c r="G9" s="1" t="s">
        <v>113</v>
      </c>
      <c r="H9" s="1" t="s">
        <v>114</v>
      </c>
      <c r="I9" s="1" t="s">
        <v>115</v>
      </c>
      <c r="J9" s="1" t="s">
        <v>116</v>
      </c>
    </row>
    <row r="10" spans="1:10" ht="21.25" customHeight="1">
      <c r="A10" s="3" t="s">
        <v>26</v>
      </c>
      <c r="B10" s="8">
        <v>0.12920000000000001</v>
      </c>
      <c r="C10" s="8">
        <f>10^(5.15853-1569.613/(($B$4+273.15)-34.846))/$B$5</f>
        <v>4.7707389692673052</v>
      </c>
      <c r="D10" s="8">
        <f>B10/(1+$B$6*(C10-1))</f>
        <v>5.3427322955851488E-2</v>
      </c>
      <c r="E10" s="8">
        <f>C10*D10</f>
        <v>0.25488781164911034</v>
      </c>
      <c r="F10" s="8">
        <f>$B$3*$B$6*E10</f>
        <v>9.5867591505669036</v>
      </c>
      <c r="G10" s="8">
        <f>$B$3*(1-$B$6)*D10</f>
        <v>3.3332408494330972</v>
      </c>
      <c r="H10" s="8">
        <f>F10/(F10+G10)</f>
        <v>0.74200922218010079</v>
      </c>
      <c r="I10" s="8">
        <f>G10/(F10+G10)</f>
        <v>0.25799077781989915</v>
      </c>
      <c r="J10" s="3" t="s">
        <v>117</v>
      </c>
    </row>
    <row r="11" spans="1:10" ht="21.25" customHeight="1">
      <c r="A11" s="3" t="s">
        <v>30</v>
      </c>
      <c r="B11" s="8">
        <v>0.61180000000000001</v>
      </c>
      <c r="C11" s="8">
        <f>10^(5.0768-1659.793/(($B$4+273.15)-45.854))/$B$5</f>
        <v>1.4020853493703962</v>
      </c>
      <c r="D11" s="8">
        <f>B11/(1+$B$6*(C11-1))</f>
        <v>0.53143110977082353</v>
      </c>
      <c r="E11" s="8">
        <f>C11*D11</f>
        <v>0.74511177320932243</v>
      </c>
      <c r="F11" s="8">
        <f>$B$3*$B$6*E11</f>
        <v>28.024906580638127</v>
      </c>
      <c r="G11" s="8">
        <f>$B$3*(1-$B$6)*D11</f>
        <v>33.155093419361876</v>
      </c>
      <c r="H11" s="8">
        <f>F11/(F11+G11)</f>
        <v>0.45807300720232308</v>
      </c>
      <c r="I11" s="8">
        <f>G11/(F11+G11)</f>
        <v>0.54192699279767687</v>
      </c>
      <c r="J11" s="3" t="s">
        <v>117</v>
      </c>
    </row>
    <row r="12" spans="1:10" ht="21.25" customHeight="1">
      <c r="A12" s="3" t="s">
        <v>33</v>
      </c>
      <c r="B12" s="8">
        <v>0.25900000000000001</v>
      </c>
      <c r="C12" s="8">
        <v>9.9999999999999995E-7</v>
      </c>
      <c r="D12" s="8">
        <f>B12/(1+$B$6*(C12-1))</f>
        <v>0.41514156727332502</v>
      </c>
      <c r="E12" s="8">
        <f>C12*D12</f>
        <v>4.15141567273325E-7</v>
      </c>
      <c r="F12" s="8">
        <f>$B$3*$B$6*E12</f>
        <v>1.5614172341504843E-5</v>
      </c>
      <c r="G12" s="8">
        <f>$B$3*(1-$B$6)*D12</f>
        <v>25.899984385827658</v>
      </c>
      <c r="H12" s="8">
        <f>F12/(F12+G12)</f>
        <v>6.0286379696929902E-7</v>
      </c>
      <c r="I12" s="8">
        <f>G12/(F12+G12)</f>
        <v>0.99999939713620301</v>
      </c>
      <c r="J12" s="3" t="s">
        <v>118</v>
      </c>
    </row>
    <row r="13" spans="1:10">
      <c r="A13" s="3"/>
      <c r="B13" s="8"/>
      <c r="C13" s="8"/>
      <c r="D13" s="8"/>
      <c r="E13" s="8"/>
      <c r="F13" s="8"/>
      <c r="G13" s="8"/>
      <c r="H13" s="8"/>
      <c r="I13" s="8"/>
      <c r="J13" s="3"/>
    </row>
    <row r="14" spans="1:10" ht="21.25" customHeight="1">
      <c r="A14" s="4" t="s">
        <v>119</v>
      </c>
      <c r="B14" s="10"/>
      <c r="C14" s="10"/>
      <c r="D14" s="10">
        <f>SUM(D10:D12)</f>
        <v>1</v>
      </c>
      <c r="E14" s="10">
        <f>SUM(E10:E12)</f>
        <v>1</v>
      </c>
      <c r="F14" s="10">
        <f>SUM(F10:F12)</f>
        <v>37.61168134537737</v>
      </c>
      <c r="G14" s="10">
        <f>SUM(G10:G12)</f>
        <v>62.38831865462263</v>
      </c>
      <c r="H14" s="10"/>
      <c r="I14" s="10"/>
      <c r="J14" s="4"/>
    </row>
    <row r="15" spans="1:10">
      <c r="A15" s="3"/>
      <c r="B15" s="8"/>
      <c r="C15" s="8"/>
      <c r="D15" s="8"/>
      <c r="E15" s="8"/>
      <c r="F15" s="8"/>
      <c r="G15" s="8"/>
      <c r="H15" s="8"/>
      <c r="I15" s="8"/>
      <c r="J15" s="3"/>
    </row>
    <row r="16" spans="1:10">
      <c r="A16" s="3"/>
      <c r="B16" s="8"/>
      <c r="C16" s="8"/>
      <c r="D16" s="8"/>
      <c r="E16" s="8"/>
      <c r="F16" s="8"/>
      <c r="G16" s="8"/>
      <c r="H16" s="8"/>
      <c r="I16" s="8"/>
      <c r="J16" s="3"/>
    </row>
    <row r="17" spans="1:10" ht="21.25" customHeight="1">
      <c r="A17" s="4" t="s">
        <v>120</v>
      </c>
      <c r="B17" s="8">
        <f>G14</f>
        <v>62.38831865462263</v>
      </c>
      <c r="C17" s="8"/>
      <c r="D17" s="8"/>
      <c r="E17" s="8"/>
      <c r="F17" s="8"/>
      <c r="G17" s="8"/>
      <c r="H17" s="8"/>
      <c r="I17" s="8"/>
      <c r="J17" s="3"/>
    </row>
    <row r="18" spans="1:10" ht="21.25" customHeight="1">
      <c r="A18" s="4" t="s">
        <v>65</v>
      </c>
      <c r="B18" s="16">
        <v>120</v>
      </c>
      <c r="C18" s="8"/>
      <c r="D18" s="8"/>
      <c r="E18" s="8"/>
      <c r="F18" s="8"/>
      <c r="G18" s="8"/>
      <c r="H18" s="8"/>
      <c r="I18" s="8"/>
      <c r="J18" s="3"/>
    </row>
    <row r="19" spans="1:10" ht="21.25" customHeight="1">
      <c r="A19" s="4" t="s">
        <v>121</v>
      </c>
      <c r="B19" s="16">
        <v>0.08</v>
      </c>
      <c r="C19" s="8"/>
      <c r="D19" s="8"/>
      <c r="E19" s="8"/>
      <c r="F19" s="8"/>
      <c r="G19" s="8"/>
      <c r="H19" s="8"/>
      <c r="I19" s="8"/>
      <c r="J19" s="3"/>
    </row>
    <row r="20" spans="1:10" ht="21.25" customHeight="1">
      <c r="A20" s="4" t="s">
        <v>122</v>
      </c>
      <c r="B20" s="16">
        <v>0.567067391564821</v>
      </c>
      <c r="C20" s="8"/>
      <c r="D20" s="8"/>
      <c r="E20" s="8"/>
      <c r="F20" s="8"/>
      <c r="G20" s="8"/>
      <c r="H20" s="8"/>
      <c r="I20" s="8"/>
      <c r="J20" s="3"/>
    </row>
    <row r="21" spans="1:10" ht="21.25" customHeight="1">
      <c r="A21" s="4" t="s">
        <v>108</v>
      </c>
      <c r="B21" s="8">
        <f>SUMPRODUCT(B25:B27,C25:C27-1,1/(1+$B$20*(C25:C27-1)))</f>
        <v>-1.1102230246251565E-16</v>
      </c>
      <c r="C21" s="8"/>
      <c r="D21" s="8"/>
      <c r="E21" s="8"/>
      <c r="F21" s="8"/>
      <c r="G21" s="8"/>
      <c r="H21" s="8"/>
      <c r="I21" s="8"/>
      <c r="J21" s="3"/>
    </row>
    <row r="22" spans="1:10" ht="21.25" customHeight="1">
      <c r="A22" s="4" t="s">
        <v>123</v>
      </c>
      <c r="B22" s="6">
        <f>G27/G29</f>
        <v>0.95890449326598215</v>
      </c>
      <c r="C22" s="8"/>
      <c r="D22" s="8"/>
      <c r="E22" s="8"/>
      <c r="F22" s="8"/>
      <c r="G22" s="8"/>
      <c r="H22" s="8"/>
      <c r="I22" s="8"/>
      <c r="J22" s="3"/>
    </row>
    <row r="23" spans="1:10">
      <c r="A23" s="3"/>
      <c r="B23" s="8"/>
      <c r="C23" s="8"/>
      <c r="D23" s="8"/>
      <c r="E23" s="8"/>
      <c r="F23" s="8"/>
      <c r="G23" s="8"/>
      <c r="H23" s="8"/>
      <c r="I23" s="8"/>
      <c r="J23" s="3"/>
    </row>
    <row r="24" spans="1:10" ht="21.25" customHeight="1">
      <c r="A24" s="1" t="s">
        <v>18</v>
      </c>
      <c r="B24" s="2" t="s">
        <v>99</v>
      </c>
      <c r="C24" s="2" t="s">
        <v>109</v>
      </c>
      <c r="D24" s="2" t="s">
        <v>110</v>
      </c>
      <c r="E24" s="2" t="s">
        <v>111</v>
      </c>
      <c r="F24" s="2" t="s">
        <v>112</v>
      </c>
      <c r="G24" s="2" t="s">
        <v>113</v>
      </c>
      <c r="H24" s="2" t="s">
        <v>114</v>
      </c>
      <c r="I24" s="2" t="s">
        <v>115</v>
      </c>
      <c r="J24" s="1" t="s">
        <v>116</v>
      </c>
    </row>
    <row r="25" spans="1:10" ht="21.25" customHeight="1">
      <c r="A25" s="3" t="s">
        <v>26</v>
      </c>
      <c r="B25" s="8">
        <f>G10/$B$17</f>
        <v>5.3427322955851488E-2</v>
      </c>
      <c r="C25" s="8">
        <f>10^(5.15853-1569.613/(($B$18+273.15)-34.846))/$B$19</f>
        <v>74.949037530894117</v>
      </c>
      <c r="D25" s="8">
        <f>B25/(1+$B$20*(C25-1))</f>
        <v>1.244403355630503E-3</v>
      </c>
      <c r="E25" s="8">
        <f>C25*D25</f>
        <v>9.3266833804721144E-2</v>
      </c>
      <c r="F25" s="8">
        <f>$B$17*$B$20*E25</f>
        <v>3.2996295925341124</v>
      </c>
      <c r="G25" s="8">
        <f>$B$17*(1-$B$20)*D25</f>
        <v>3.3611256898985128E-2</v>
      </c>
      <c r="H25" s="8">
        <f>F25/(F25+G25)</f>
        <v>0.98991634315753041</v>
      </c>
      <c r="I25" s="8">
        <f>G25/(F25+G25)</f>
        <v>1.0083656842469568E-2</v>
      </c>
      <c r="J25" s="3" t="s">
        <v>117</v>
      </c>
    </row>
    <row r="26" spans="1:10" ht="21.25" customHeight="1">
      <c r="A26" s="3" t="s">
        <v>30</v>
      </c>
      <c r="B26" s="8">
        <f>G11/$B$17</f>
        <v>0.53143110977082353</v>
      </c>
      <c r="C26" s="8">
        <f>10^(3.55959-643.748/(($B$18+273.15)-198.043))/$B$19</f>
        <v>22.753001307927111</v>
      </c>
      <c r="D26" s="8">
        <f>B26/(1+$B$20*(C26-1))</f>
        <v>3.9851103378387334E-2</v>
      </c>
      <c r="E26" s="8">
        <f>C26*D26</f>
        <v>0.90673220729078552</v>
      </c>
      <c r="F26" s="8">
        <f>$B$17*$B$20*E26</f>
        <v>32.078717606568979</v>
      </c>
      <c r="G26" s="8">
        <f>$B$17*(1-$B$20)*D26</f>
        <v>1.0763758127928968</v>
      </c>
      <c r="H26" s="8">
        <f>F26/(F26+G26)</f>
        <v>0.96753512954470167</v>
      </c>
      <c r="I26" s="8">
        <f>G26/(F26+G26)</f>
        <v>3.2464870455298313E-2</v>
      </c>
      <c r="J26" s="3" t="s">
        <v>124</v>
      </c>
    </row>
    <row r="27" spans="1:10" ht="21.25" customHeight="1">
      <c r="A27" s="3" t="s">
        <v>33</v>
      </c>
      <c r="B27" s="8">
        <f>G12/$B$17</f>
        <v>0.41514156727332502</v>
      </c>
      <c r="C27" s="8">
        <v>9.9999999999999995E-7</v>
      </c>
      <c r="D27" s="8">
        <f>B27/(1+$B$20*(C27-1))</f>
        <v>0.95890449326598226</v>
      </c>
      <c r="E27" s="8">
        <f>C27*D27</f>
        <v>9.5890449326598225E-7</v>
      </c>
      <c r="F27" s="8">
        <f>$B$17*$B$20*E27</f>
        <v>3.3924488623888505E-5</v>
      </c>
      <c r="G27" s="8">
        <f>$B$17*(1-$B$20)*D27</f>
        <v>25.899950461339035</v>
      </c>
      <c r="H27" s="8">
        <f>F27/(F27+G27)</f>
        <v>1.3098266052411914E-6</v>
      </c>
      <c r="I27" s="8">
        <f>G27/(F27+G27)</f>
        <v>0.99999869017339482</v>
      </c>
      <c r="J27" s="3" t="s">
        <v>118</v>
      </c>
    </row>
    <row r="28" spans="1:10">
      <c r="A28" s="3"/>
      <c r="B28" s="8"/>
      <c r="C28" s="8"/>
      <c r="D28" s="8"/>
      <c r="E28" s="8"/>
      <c r="F28" s="8"/>
      <c r="G28" s="8"/>
      <c r="H28" s="8"/>
      <c r="I28" s="8"/>
      <c r="J28" s="3"/>
    </row>
    <row r="29" spans="1:10" ht="21.25" customHeight="1">
      <c r="A29" s="4" t="s">
        <v>119</v>
      </c>
      <c r="B29" s="10"/>
      <c r="C29" s="10"/>
      <c r="D29" s="10">
        <f>SUM(D25:D27)</f>
        <v>1</v>
      </c>
      <c r="E29" s="10">
        <f>SUM(E25:E27)</f>
        <v>0.99999999999999989</v>
      </c>
      <c r="F29" s="10">
        <f>SUM(F25:F27)</f>
        <v>35.378381123591716</v>
      </c>
      <c r="G29" s="10">
        <f>SUM(G25:G27)</f>
        <v>27.009937531030918</v>
      </c>
      <c r="H29" s="10"/>
      <c r="I29" s="10"/>
      <c r="J29" s="4"/>
    </row>
    <row r="30" spans="1:10">
      <c r="A30" s="3"/>
      <c r="B30" s="3"/>
      <c r="C30" s="3"/>
      <c r="D30" s="3"/>
      <c r="E30" s="3"/>
      <c r="F30" s="3"/>
      <c r="G30" s="3"/>
      <c r="H30" s="3"/>
      <c r="I30" s="3"/>
      <c r="J30" s="3"/>
    </row>
    <row r="31" spans="1:10">
      <c r="A31" s="3"/>
      <c r="B31" s="3"/>
      <c r="C31" s="3"/>
      <c r="D31" s="3"/>
      <c r="E31" s="3"/>
      <c r="F31" s="3"/>
      <c r="G31" s="3"/>
      <c r="H31" s="3"/>
      <c r="I31" s="3"/>
      <c r="J31" s="3"/>
    </row>
    <row r="32" spans="1:10">
      <c r="A32" s="3"/>
      <c r="B32" s="3"/>
      <c r="C32" s="3"/>
      <c r="D32" s="3"/>
      <c r="E32" s="3"/>
      <c r="F32" s="3"/>
      <c r="G32" s="3"/>
      <c r="H32" s="3"/>
      <c r="I32" s="3"/>
      <c r="J32" s="3"/>
    </row>
    <row r="33" spans="1:10">
      <c r="A33" s="3"/>
      <c r="B33" s="3"/>
      <c r="C33" s="3"/>
      <c r="D33" s="3"/>
      <c r="E33" s="3"/>
      <c r="F33" s="3"/>
      <c r="G33" s="3"/>
      <c r="H33" s="3"/>
      <c r="I33" s="3"/>
      <c r="J33" s="3"/>
    </row>
    <row r="34" spans="1:10">
      <c r="A34" s="3"/>
      <c r="B34" s="3"/>
      <c r="C34" s="3"/>
      <c r="D34" s="3"/>
      <c r="E34" s="3"/>
      <c r="F34" s="3"/>
      <c r="G34" s="3"/>
      <c r="H34" s="3"/>
      <c r="I34" s="3"/>
      <c r="J34" s="3"/>
    </row>
    <row r="35" spans="1:10">
      <c r="A35" s="3"/>
      <c r="B35" s="3"/>
      <c r="C35" s="3"/>
      <c r="D35" s="3"/>
      <c r="E35" s="3"/>
      <c r="F35" s="3"/>
      <c r="G35" s="3"/>
      <c r="H35" s="3"/>
      <c r="I35" s="3"/>
      <c r="J35" s="3"/>
    </row>
    <row r="36" spans="1:10">
      <c r="A36" s="3"/>
      <c r="B36" s="3"/>
      <c r="C36" s="3"/>
      <c r="D36" s="3"/>
      <c r="E36" s="3"/>
      <c r="F36" s="3"/>
      <c r="G36" s="3"/>
      <c r="H36" s="3"/>
      <c r="I36" s="3"/>
      <c r="J36" s="3"/>
    </row>
    <row r="37" spans="1:10">
      <c r="A37" s="3"/>
      <c r="B37" s="3"/>
      <c r="C37" s="3"/>
      <c r="D37" s="3"/>
      <c r="E37" s="3"/>
      <c r="F37" s="3"/>
      <c r="G37" s="3"/>
      <c r="H37" s="3"/>
      <c r="I37" s="3"/>
      <c r="J37" s="3"/>
    </row>
    <row r="38" spans="1:10">
      <c r="A38" s="3"/>
      <c r="B38" s="3"/>
      <c r="C38" s="3"/>
      <c r="D38" s="3"/>
      <c r="E38" s="3"/>
      <c r="F38" s="3"/>
      <c r="G38" s="3"/>
      <c r="H38" s="3"/>
      <c r="I38" s="3"/>
      <c r="J38" s="3"/>
    </row>
    <row r="39" spans="1:10">
      <c r="A39" s="3"/>
      <c r="B39" s="3"/>
      <c r="C39" s="3"/>
      <c r="D39" s="3"/>
      <c r="E39" s="3"/>
      <c r="F39" s="3"/>
      <c r="G39" s="3"/>
      <c r="H39" s="3"/>
      <c r="I39" s="3"/>
      <c r="J39" s="3"/>
    </row>
    <row r="40" spans="1:10">
      <c r="A40" s="3"/>
      <c r="B40" s="3"/>
      <c r="C40" s="3"/>
      <c r="D40" s="3"/>
      <c r="E40" s="3"/>
      <c r="F40" s="3"/>
      <c r="G40" s="3"/>
      <c r="H40" s="3"/>
      <c r="I40" s="3"/>
      <c r="J40" s="3"/>
    </row>
    <row r="41" spans="1:10">
      <c r="A41" s="3"/>
      <c r="B41" s="3"/>
      <c r="C41" s="3"/>
      <c r="D41" s="3"/>
      <c r="E41" s="3"/>
      <c r="F41" s="3"/>
      <c r="G41" s="3"/>
      <c r="H41" s="3"/>
      <c r="I41" s="3"/>
      <c r="J41" s="3"/>
    </row>
    <row r="42" spans="1:10">
      <c r="A42" s="3"/>
      <c r="B42" s="3"/>
      <c r="C42" s="3"/>
      <c r="D42" s="3"/>
      <c r="E42" s="3"/>
      <c r="F42" s="3"/>
      <c r="G42" s="3"/>
      <c r="H42" s="3"/>
      <c r="I42" s="3"/>
      <c r="J42" s="3"/>
    </row>
    <row r="43" spans="1:10">
      <c r="A43" s="3"/>
      <c r="B43" s="3"/>
      <c r="C43" s="3"/>
      <c r="D43" s="3"/>
      <c r="E43" s="3"/>
      <c r="F43" s="3"/>
      <c r="G43" s="3"/>
      <c r="H43" s="3"/>
      <c r="I43" s="3"/>
      <c r="J43" s="3"/>
    </row>
    <row r="44" spans="1:10">
      <c r="A44" s="3"/>
      <c r="B44" s="3"/>
      <c r="C44" s="3"/>
      <c r="D44" s="3"/>
      <c r="E44" s="3"/>
      <c r="F44" s="3"/>
      <c r="G44" s="3"/>
      <c r="H44" s="3"/>
      <c r="I44" s="3"/>
      <c r="J44" s="3"/>
    </row>
    <row r="45" spans="1:10">
      <c r="A45" s="3"/>
      <c r="B45" s="3"/>
      <c r="C45" s="3"/>
      <c r="D45" s="3"/>
      <c r="E45" s="3"/>
      <c r="F45" s="3"/>
      <c r="G45" s="3"/>
      <c r="H45" s="3"/>
      <c r="I45" s="3"/>
      <c r="J45" s="3"/>
    </row>
    <row r="46" spans="1:10">
      <c r="A46" s="3"/>
      <c r="B46" s="3"/>
      <c r="C46" s="3"/>
      <c r="D46" s="3"/>
      <c r="E46" s="3"/>
      <c r="F46" s="3"/>
      <c r="G46" s="3"/>
      <c r="H46" s="3"/>
      <c r="I46" s="3"/>
      <c r="J46" s="3"/>
    </row>
    <row r="47" spans="1:10">
      <c r="A47" s="3"/>
      <c r="B47" s="3"/>
      <c r="C47" s="3"/>
      <c r="D47" s="3"/>
      <c r="E47" s="3"/>
      <c r="F47" s="3"/>
      <c r="G47" s="3"/>
      <c r="H47" s="3"/>
      <c r="I47" s="3"/>
      <c r="J47" s="3"/>
    </row>
    <row r="48" spans="1:10">
      <c r="A48" s="3"/>
      <c r="B48" s="3"/>
      <c r="C48" s="3"/>
      <c r="D48" s="3"/>
      <c r="E48" s="3"/>
      <c r="F48" s="3"/>
      <c r="G48" s="3"/>
      <c r="H48" s="3"/>
      <c r="I48" s="3"/>
      <c r="J48" s="3"/>
    </row>
    <row r="49" spans="1:10">
      <c r="A49" s="3"/>
      <c r="B49" s="3"/>
      <c r="C49" s="3"/>
      <c r="D49" s="3"/>
      <c r="E49" s="3"/>
      <c r="F49" s="3"/>
      <c r="G49" s="3"/>
      <c r="H49" s="3"/>
      <c r="I49" s="3"/>
      <c r="J49" s="3"/>
    </row>
    <row r="50" spans="1:10">
      <c r="A50" s="3"/>
      <c r="B50" s="3"/>
      <c r="C50" s="3"/>
      <c r="D50" s="3"/>
      <c r="E50" s="3"/>
      <c r="F50" s="3"/>
      <c r="G50" s="3"/>
      <c r="H50" s="3"/>
      <c r="I50" s="3"/>
      <c r="J50" s="3"/>
    </row>
    <row r="51" spans="1:10">
      <c r="A51" s="3"/>
      <c r="B51" s="3"/>
      <c r="C51" s="3"/>
      <c r="D51" s="3"/>
      <c r="E51" s="3"/>
      <c r="F51" s="3"/>
      <c r="G51" s="3"/>
      <c r="H51" s="3"/>
      <c r="I51" s="3"/>
      <c r="J51" s="3"/>
    </row>
    <row r="52" spans="1:10">
      <c r="A52" s="3"/>
      <c r="B52" s="3"/>
      <c r="C52" s="3"/>
      <c r="D52" s="3"/>
      <c r="E52" s="3"/>
      <c r="F52" s="3"/>
      <c r="G52" s="3"/>
      <c r="H52" s="3"/>
      <c r="I52" s="3"/>
      <c r="J52" s="3"/>
    </row>
    <row r="53" spans="1:10">
      <c r="A53" s="3"/>
      <c r="B53" s="3"/>
      <c r="C53" s="3"/>
      <c r="D53" s="3"/>
      <c r="E53" s="3"/>
      <c r="F53" s="3"/>
      <c r="G53" s="3"/>
      <c r="H53" s="3"/>
      <c r="I53" s="3"/>
      <c r="J53" s="3"/>
    </row>
    <row r="54" spans="1:10">
      <c r="A54" s="3"/>
      <c r="B54" s="3"/>
      <c r="C54" s="3"/>
      <c r="D54" s="3"/>
      <c r="E54" s="3"/>
      <c r="F54" s="3"/>
      <c r="G54" s="3"/>
      <c r="H54" s="3"/>
      <c r="I54" s="3"/>
      <c r="J54" s="3"/>
    </row>
    <row r="55" spans="1:10">
      <c r="A55" s="3"/>
      <c r="B55" s="3"/>
      <c r="C55" s="3"/>
      <c r="D55" s="3"/>
      <c r="E55" s="3"/>
      <c r="F55" s="3"/>
      <c r="G55" s="3"/>
      <c r="H55" s="3"/>
      <c r="I55" s="3"/>
      <c r="J55" s="3"/>
    </row>
    <row r="56" spans="1:10">
      <c r="A56" s="3"/>
      <c r="B56" s="3"/>
      <c r="C56" s="3"/>
      <c r="D56" s="3"/>
      <c r="E56" s="3"/>
      <c r="F56" s="3"/>
      <c r="G56" s="3"/>
      <c r="H56" s="3"/>
      <c r="I56" s="3"/>
      <c r="J56" s="3"/>
    </row>
    <row r="57" spans="1:10">
      <c r="A57" s="3"/>
      <c r="B57" s="3"/>
      <c r="C57" s="3"/>
      <c r="D57" s="3"/>
      <c r="E57" s="3"/>
      <c r="F57" s="3"/>
      <c r="G57" s="3"/>
      <c r="H57" s="3"/>
      <c r="I57" s="3"/>
      <c r="J57" s="3"/>
    </row>
    <row r="58" spans="1:10">
      <c r="A58" s="3"/>
      <c r="B58" s="3"/>
      <c r="C58" s="3"/>
      <c r="D58" s="3"/>
      <c r="E58" s="3"/>
      <c r="F58" s="3"/>
      <c r="G58" s="3"/>
      <c r="H58" s="3"/>
      <c r="I58" s="3"/>
      <c r="J58" s="3"/>
    </row>
    <row r="59" spans="1:10">
      <c r="A59" s="3"/>
      <c r="B59" s="3"/>
      <c r="C59" s="3"/>
      <c r="D59" s="3"/>
      <c r="E59" s="3"/>
      <c r="F59" s="3"/>
      <c r="G59" s="3"/>
      <c r="H59" s="3"/>
      <c r="I59" s="3"/>
      <c r="J59" s="3"/>
    </row>
    <row r="60" spans="1:10">
      <c r="A60" s="3"/>
      <c r="B60" s="3"/>
      <c r="C60" s="3"/>
      <c r="D60" s="3"/>
      <c r="E60" s="3"/>
      <c r="F60" s="3"/>
      <c r="G60" s="3"/>
      <c r="H60" s="3"/>
      <c r="I60" s="3"/>
      <c r="J60" s="3"/>
    </row>
  </sheetData>
  <mergeCells count="1">
    <mergeCell ref="A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0"/>
  <sheetViews>
    <sheetView zoomScale="83" workbookViewId="0">
      <selection activeCell="D11" sqref="D11"/>
    </sheetView>
  </sheetViews>
  <sheetFormatPr baseColWidth="10" defaultColWidth="8.83203125" defaultRowHeight="15"/>
  <cols>
    <col min="1" max="1" width="22" customWidth="1"/>
    <col min="2" max="7" width="18" customWidth="1"/>
    <col min="8" max="8" width="24" customWidth="1"/>
    <col min="9" max="10" width="18" customWidth="1"/>
  </cols>
  <sheetData>
    <row r="1" spans="1:10" ht="24" customHeight="1">
      <c r="A1" s="81" t="s">
        <v>125</v>
      </c>
      <c r="B1" s="82"/>
      <c r="C1" s="82"/>
      <c r="D1" s="82"/>
      <c r="E1" s="82"/>
      <c r="F1" s="82"/>
      <c r="G1" s="82"/>
      <c r="H1" s="82"/>
      <c r="I1" s="82"/>
      <c r="J1" s="82"/>
    </row>
    <row r="2" spans="1:10">
      <c r="A2" s="3"/>
      <c r="B2" s="3"/>
      <c r="C2" s="3"/>
      <c r="D2" s="3"/>
      <c r="E2" s="3"/>
      <c r="F2" s="3"/>
      <c r="G2" s="3"/>
      <c r="H2" s="3"/>
      <c r="I2" s="3"/>
      <c r="J2" s="3"/>
    </row>
    <row r="3" spans="1:10" ht="42.75" customHeight="1">
      <c r="A3" s="1" t="s">
        <v>18</v>
      </c>
      <c r="B3" s="1" t="s">
        <v>126</v>
      </c>
      <c r="C3" s="1" t="s">
        <v>99</v>
      </c>
      <c r="D3" s="1" t="s">
        <v>127</v>
      </c>
      <c r="E3" s="1" t="s">
        <v>128</v>
      </c>
      <c r="F3" s="1" t="s">
        <v>129</v>
      </c>
      <c r="G3" s="1" t="s">
        <v>130</v>
      </c>
      <c r="H3" s="1" t="s">
        <v>131</v>
      </c>
      <c r="I3" s="1" t="s">
        <v>132</v>
      </c>
      <c r="J3" s="1" t="s">
        <v>133</v>
      </c>
    </row>
    <row r="4" spans="1:10" ht="42.75" customHeight="1">
      <c r="A4" s="3" t="s">
        <v>26</v>
      </c>
      <c r="B4" s="3">
        <f>Flash!F10+Flash!F25</f>
        <v>12.886388743101016</v>
      </c>
      <c r="C4" s="8">
        <f>B4/SUM($B$4:$B$6)</f>
        <v>0.17654990703124168</v>
      </c>
      <c r="D4" s="8">
        <f>$B$9*$B$15</f>
        <v>12.587689427744298</v>
      </c>
      <c r="E4" s="8">
        <f>D4/$B$15</f>
        <v>0.95</v>
      </c>
      <c r="F4" s="8">
        <f>B4-D4</f>
        <v>0.29869931535671768</v>
      </c>
      <c r="G4" s="8">
        <f>F4/$B$16</f>
        <v>5.0000000000000027E-3</v>
      </c>
      <c r="H4" s="3" t="s">
        <v>134</v>
      </c>
      <c r="I4" s="3" t="s">
        <v>135</v>
      </c>
      <c r="J4" s="6">
        <f>D4/Feed!C4</f>
        <v>0.97427936747246879</v>
      </c>
    </row>
    <row r="5" spans="1:10" ht="42.75" customHeight="1">
      <c r="A5" s="3" t="s">
        <v>30</v>
      </c>
      <c r="B5" s="3">
        <f>Flash!F11+Flash!F26</f>
        <v>60.103624187207103</v>
      </c>
      <c r="C5" s="8">
        <f>B5/SUM($B$4:$B$6)</f>
        <v>0.82344941426457186</v>
      </c>
      <c r="D5" s="8">
        <f>(1-$B$9)*$B$15</f>
        <v>0.66250996988127941</v>
      </c>
      <c r="E5" s="8">
        <f>D5/$B$15</f>
        <v>5.0000000000000044E-2</v>
      </c>
      <c r="F5" s="8">
        <f>B5-D5</f>
        <v>59.441114217325826</v>
      </c>
      <c r="G5" s="8">
        <f>F5/$B$16</f>
        <v>0.99499917076038646</v>
      </c>
      <c r="H5" s="3" t="s">
        <v>134</v>
      </c>
      <c r="I5" s="3" t="s">
        <v>136</v>
      </c>
      <c r="J5" s="6">
        <f>F5/Feed!C5</f>
        <v>0.97157754523252415</v>
      </c>
    </row>
    <row r="6" spans="1:10" ht="21.25" customHeight="1">
      <c r="A6" s="3" t="s">
        <v>33</v>
      </c>
      <c r="B6" s="3">
        <f>Flash!F12+Flash!F27</f>
        <v>4.9538660965393351E-5</v>
      </c>
      <c r="C6" s="8">
        <f>B6/SUM($B$4:$B$6)</f>
        <v>6.787041864288603E-7</v>
      </c>
      <c r="D6" s="8">
        <v>0</v>
      </c>
      <c r="E6" s="8">
        <f>D6/$B$15</f>
        <v>0</v>
      </c>
      <c r="F6" s="8">
        <f>B6-D6</f>
        <v>4.9538660965393351E-5</v>
      </c>
      <c r="G6" s="8">
        <f>F6/$B$16</f>
        <v>8.2923961352627285E-7</v>
      </c>
      <c r="H6" s="3" t="s">
        <v>137</v>
      </c>
      <c r="I6" s="3" t="s">
        <v>138</v>
      </c>
      <c r="J6" s="6">
        <f>Flash!G27/Feed!C6</f>
        <v>0.99999808731038742</v>
      </c>
    </row>
    <row r="7" spans="1:10">
      <c r="A7" s="3"/>
      <c r="B7" s="3"/>
      <c r="C7" s="8"/>
      <c r="D7" s="8"/>
      <c r="E7" s="8"/>
      <c r="F7" s="8"/>
      <c r="G7" s="8"/>
      <c r="H7" s="3"/>
      <c r="I7" s="3"/>
      <c r="J7" s="3"/>
    </row>
    <row r="8" spans="1:10">
      <c r="A8" s="3"/>
      <c r="B8" s="3"/>
      <c r="C8" s="8"/>
      <c r="D8" s="8"/>
      <c r="E8" s="8"/>
      <c r="F8" s="8"/>
      <c r="G8" s="8"/>
      <c r="H8" s="3"/>
      <c r="I8" s="3"/>
      <c r="J8" s="3"/>
    </row>
    <row r="9" spans="1:10" ht="42.75" customHeight="1">
      <c r="A9" s="4" t="s">
        <v>139</v>
      </c>
      <c r="B9" s="16">
        <v>0.95</v>
      </c>
      <c r="C9" s="8"/>
      <c r="D9" s="8"/>
      <c r="E9" s="8"/>
      <c r="F9" s="8"/>
      <c r="G9" s="8"/>
      <c r="H9" s="3"/>
      <c r="I9" s="3"/>
      <c r="J9" s="3"/>
    </row>
    <row r="10" spans="1:10" ht="42.75" customHeight="1">
      <c r="A10" s="4" t="s">
        <v>140</v>
      </c>
      <c r="B10" s="16">
        <v>5.0000000000000001E-3</v>
      </c>
      <c r="C10" s="8"/>
      <c r="D10" s="8"/>
      <c r="E10" s="8"/>
      <c r="F10" s="8"/>
      <c r="G10" s="8"/>
      <c r="H10" s="3"/>
      <c r="I10" s="3"/>
      <c r="J10" s="3"/>
    </row>
    <row r="11" spans="1:10" ht="190.75" customHeight="1">
      <c r="A11" s="4" t="s">
        <v>141</v>
      </c>
      <c r="B11" s="16">
        <v>4.5</v>
      </c>
      <c r="C11" s="18" t="s">
        <v>142</v>
      </c>
      <c r="D11" s="8"/>
      <c r="E11" s="8"/>
      <c r="F11" s="8"/>
      <c r="G11" s="8"/>
      <c r="H11" s="3"/>
      <c r="I11" s="3"/>
      <c r="J11" s="3"/>
    </row>
    <row r="12" spans="1:10" ht="144" customHeight="1">
      <c r="A12" s="4" t="s">
        <v>143</v>
      </c>
      <c r="B12" s="16">
        <v>1</v>
      </c>
      <c r="C12" s="19" t="s">
        <v>144</v>
      </c>
      <c r="D12" s="8"/>
      <c r="E12" s="8"/>
      <c r="F12" s="8"/>
      <c r="G12" s="8"/>
      <c r="H12" s="3"/>
      <c r="I12" s="3"/>
      <c r="J12" s="3"/>
    </row>
    <row r="13" spans="1:10" ht="21.25" customHeight="1">
      <c r="A13" s="4" t="s">
        <v>145</v>
      </c>
      <c r="B13" s="16">
        <v>1.2</v>
      </c>
      <c r="C13" s="8" t="s">
        <v>146</v>
      </c>
      <c r="D13" s="8"/>
      <c r="E13" s="8"/>
      <c r="F13" s="8"/>
      <c r="G13" s="8"/>
      <c r="H13" s="3"/>
      <c r="I13" s="3"/>
      <c r="J13" s="3"/>
    </row>
    <row r="14" spans="1:10" ht="144" customHeight="1">
      <c r="A14" s="4" t="s">
        <v>147</v>
      </c>
      <c r="B14" s="16">
        <v>0.7</v>
      </c>
      <c r="C14" s="19" t="s">
        <v>148</v>
      </c>
      <c r="D14" s="8"/>
      <c r="E14" s="8"/>
      <c r="F14" s="8"/>
      <c r="G14" s="8"/>
      <c r="H14" s="3"/>
      <c r="I14" s="3"/>
      <c r="J14" s="3"/>
    </row>
    <row r="15" spans="1:10" ht="42.75" customHeight="1">
      <c r="A15" s="4" t="s">
        <v>149</v>
      </c>
      <c r="B15" s="8">
        <f>(B4-$B$10*SUM($B$4:$B$6))/($B$9-$B$10)</f>
        <v>13.250199397625577</v>
      </c>
      <c r="C15" s="8"/>
      <c r="D15" s="8"/>
      <c r="E15" s="8"/>
      <c r="F15" s="8"/>
      <c r="G15" s="8"/>
      <c r="H15" s="3"/>
      <c r="I15" s="3"/>
      <c r="J15" s="3"/>
    </row>
    <row r="16" spans="1:10" ht="42.75" customHeight="1">
      <c r="A16" s="4" t="s">
        <v>150</v>
      </c>
      <c r="B16" s="8">
        <f>SUM($B$4:$B$6)-$B$15</f>
        <v>59.739863071343507</v>
      </c>
      <c r="C16" s="8"/>
      <c r="D16" s="8"/>
      <c r="E16" s="8"/>
      <c r="F16" s="8"/>
      <c r="G16" s="8"/>
      <c r="H16" s="3"/>
      <c r="I16" s="3"/>
      <c r="J16" s="3"/>
    </row>
    <row r="17" spans="1:10" ht="149.25" customHeight="1">
      <c r="A17" s="4" t="s">
        <v>151</v>
      </c>
      <c r="B17" s="8">
        <f>$B$11*C4/(1+($B$11-1)*C4)</f>
        <v>0.49104546961212303</v>
      </c>
      <c r="C17" s="8" t="s">
        <v>152</v>
      </c>
      <c r="D17" s="8"/>
      <c r="E17" s="8"/>
      <c r="F17" s="8"/>
      <c r="G17" s="8"/>
      <c r="H17" s="3"/>
      <c r="I17" s="3"/>
      <c r="J17" s="3"/>
    </row>
    <row r="18" spans="1:10" ht="21.25" customHeight="1">
      <c r="A18" s="4" t="s">
        <v>153</v>
      </c>
      <c r="B18" s="8">
        <f>($B$9-$B$17)/($B$17-C4)</f>
        <v>1.4593354724038241</v>
      </c>
      <c r="C18" s="8"/>
      <c r="D18" s="8"/>
      <c r="E18" s="8"/>
      <c r="F18" s="8"/>
      <c r="G18" s="8"/>
      <c r="H18" s="3"/>
      <c r="I18" s="3"/>
      <c r="J18" s="3"/>
    </row>
    <row r="19" spans="1:10" ht="21.25" customHeight="1">
      <c r="A19" s="4" t="s">
        <v>154</v>
      </c>
      <c r="B19" s="8">
        <f>$B$13*$B$18</f>
        <v>1.751202566884589</v>
      </c>
      <c r="C19" s="8"/>
      <c r="D19" s="8"/>
      <c r="E19" s="8"/>
      <c r="F19" s="8"/>
      <c r="G19" s="8"/>
      <c r="H19" s="3"/>
      <c r="I19" s="3"/>
      <c r="J19" s="3"/>
    </row>
    <row r="20" spans="1:10" ht="21.25" customHeight="1">
      <c r="A20" s="4" t="s">
        <v>155</v>
      </c>
      <c r="B20" s="8">
        <f>($B$19+1)*$B$15</f>
        <v>36.453982594480124</v>
      </c>
      <c r="C20" s="8"/>
      <c r="D20" s="8"/>
      <c r="E20" s="8"/>
      <c r="F20" s="8"/>
      <c r="G20" s="8"/>
      <c r="H20" s="3"/>
      <c r="I20" s="3"/>
      <c r="J20" s="3"/>
    </row>
    <row r="21" spans="1:10">
      <c r="A21" s="3"/>
      <c r="B21" s="8"/>
      <c r="C21" s="8"/>
      <c r="D21" s="8"/>
      <c r="E21" s="8"/>
      <c r="F21" s="8"/>
      <c r="G21" s="71"/>
      <c r="H21" s="67"/>
      <c r="I21" s="67"/>
      <c r="J21" s="67"/>
    </row>
    <row r="22" spans="1:10" ht="21.25" customHeight="1">
      <c r="A22" s="4" t="s">
        <v>119</v>
      </c>
      <c r="B22" s="10">
        <f>SUM(B4:B6)</f>
        <v>72.990062468969086</v>
      </c>
      <c r="C22" s="10"/>
      <c r="D22" s="10">
        <f>SUM(D4:D6)</f>
        <v>13.250199397625577</v>
      </c>
      <c r="E22" s="10"/>
      <c r="F22" s="10">
        <f>SUM(F4:F6)</f>
        <v>59.739863071343514</v>
      </c>
      <c r="G22" s="72"/>
      <c r="H22" s="69"/>
      <c r="I22" s="69"/>
      <c r="J22" s="69"/>
    </row>
    <row r="23" spans="1:10">
      <c r="A23" s="3"/>
      <c r="B23" s="8"/>
      <c r="C23" s="3"/>
      <c r="D23" s="3"/>
      <c r="E23" s="3"/>
      <c r="F23" s="3"/>
      <c r="G23" s="3"/>
      <c r="H23" s="3"/>
      <c r="I23" s="3"/>
      <c r="J23" s="3"/>
    </row>
    <row r="24" spans="1:10" ht="21.25" customHeight="1">
      <c r="A24" s="4" t="s">
        <v>156</v>
      </c>
      <c r="B24" s="8">
        <f>LN(($B$9/$B$10)*(G5/E5))/LN($B$11)</f>
        <v>5.4769408729498181</v>
      </c>
      <c r="C24" s="25" t="s">
        <v>157</v>
      </c>
      <c r="D24" s="3"/>
      <c r="E24" s="3"/>
      <c r="F24" s="3"/>
      <c r="G24" s="3"/>
      <c r="H24" s="3"/>
      <c r="I24" s="3"/>
      <c r="J24" s="3"/>
    </row>
    <row r="25" spans="1:10" ht="21.25" customHeight="1">
      <c r="A25" s="4" t="s">
        <v>158</v>
      </c>
      <c r="B25" s="8">
        <f>($B$19-$B$18)/($B$19+1)</f>
        <v>0.10608709732750422</v>
      </c>
      <c r="C25" s="3"/>
      <c r="D25" s="3"/>
      <c r="E25" s="3"/>
      <c r="F25" s="3"/>
      <c r="G25" s="3"/>
      <c r="H25" s="3"/>
      <c r="I25" s="3"/>
      <c r="J25" s="3"/>
    </row>
    <row r="26" spans="1:10" ht="21.25" customHeight="1">
      <c r="A26" s="4" t="s">
        <v>159</v>
      </c>
      <c r="B26" s="8">
        <f>1-EXP(((1+54.4*B25)/(11+117.2*B25))*(B25-1)/SQRT(B25))</f>
        <v>0.54752870806569454</v>
      </c>
      <c r="C26" s="3"/>
      <c r="D26" s="3"/>
      <c r="E26" s="3"/>
      <c r="F26" s="3"/>
      <c r="G26" s="3"/>
      <c r="H26" s="3"/>
      <c r="I26" s="3"/>
      <c r="J26" s="3"/>
    </row>
    <row r="27" spans="1:10" ht="21.25" customHeight="1">
      <c r="A27" s="4" t="s">
        <v>160</v>
      </c>
      <c r="B27" s="8">
        <f>(B24+B26)/(1-B26)</f>
        <v>13.314589651115829</v>
      </c>
      <c r="C27" s="3"/>
      <c r="D27" s="3"/>
      <c r="E27" s="3"/>
      <c r="F27" s="3"/>
      <c r="G27" s="3"/>
      <c r="H27" s="3"/>
      <c r="I27" s="3"/>
      <c r="J27" s="3"/>
    </row>
    <row r="28" spans="1:10" ht="42.75" customHeight="1">
      <c r="A28" s="4" t="s">
        <v>161</v>
      </c>
      <c r="B28" s="8">
        <f>CEILING(B27,1)</f>
        <v>14</v>
      </c>
      <c r="C28" s="3"/>
      <c r="D28" s="3"/>
      <c r="E28" s="3"/>
      <c r="F28" s="3"/>
      <c r="G28" s="3"/>
      <c r="H28" s="3"/>
      <c r="I28" s="3"/>
      <c r="J28" s="3"/>
    </row>
    <row r="29" spans="1:10" ht="21.25" customHeight="1">
      <c r="A29" s="4" t="s">
        <v>162</v>
      </c>
      <c r="B29" s="8">
        <f>CEILING(B28/$B$14,1)</f>
        <v>20</v>
      </c>
      <c r="C29" s="3"/>
      <c r="D29" s="3"/>
      <c r="E29" s="3"/>
      <c r="F29" s="3"/>
      <c r="G29" s="3"/>
      <c r="H29" s="3"/>
      <c r="I29" s="3"/>
      <c r="J29" s="3"/>
    </row>
    <row r="30" spans="1:10" ht="42.75" customHeight="1">
      <c r="A30" s="4" t="s">
        <v>163</v>
      </c>
      <c r="B30" s="8">
        <f>CEILING(B29*0.55,1)</f>
        <v>11</v>
      </c>
      <c r="C30" s="3"/>
      <c r="D30" s="3"/>
      <c r="E30" s="3"/>
      <c r="F30" s="3"/>
      <c r="G30" s="3"/>
      <c r="H30" s="3"/>
      <c r="I30" s="3"/>
      <c r="J30" s="3"/>
    </row>
    <row r="31" spans="1:10" ht="42.75" customHeight="1">
      <c r="A31" s="4" t="s">
        <v>164</v>
      </c>
      <c r="B31" s="9">
        <f>Hydraulics_TopBottom!B22</f>
        <v>0.70000000000000007</v>
      </c>
      <c r="C31" s="3"/>
      <c r="D31" s="3"/>
      <c r="E31" s="3"/>
      <c r="F31" s="3"/>
      <c r="G31" s="3"/>
      <c r="H31" s="3"/>
      <c r="I31" s="3"/>
      <c r="J31" s="3"/>
    </row>
    <row r="32" spans="1:10" ht="21.25" customHeight="1">
      <c r="A32" s="4" t="s">
        <v>165</v>
      </c>
      <c r="B32" s="8">
        <v>0.45</v>
      </c>
      <c r="C32" s="3"/>
      <c r="D32" s="3"/>
      <c r="E32" s="3"/>
      <c r="F32" s="3"/>
      <c r="G32" s="3"/>
      <c r="H32" s="3"/>
      <c r="I32" s="3"/>
      <c r="J32" s="3"/>
    </row>
    <row r="33" spans="1:10" ht="42.75" customHeight="1">
      <c r="A33" s="4" t="s">
        <v>166</v>
      </c>
      <c r="B33" s="8">
        <f>2.5+B29*B32</f>
        <v>11.5</v>
      </c>
      <c r="C33" s="3"/>
      <c r="D33" s="3"/>
      <c r="E33" s="3"/>
      <c r="F33" s="3"/>
      <c r="G33" s="3"/>
      <c r="H33" s="3"/>
      <c r="I33" s="3"/>
      <c r="J33" s="3"/>
    </row>
    <row r="34" spans="1:10">
      <c r="A34" s="3"/>
      <c r="B34" s="3"/>
      <c r="C34" s="3"/>
      <c r="D34" s="3"/>
      <c r="E34" s="3"/>
      <c r="F34" s="3"/>
      <c r="G34" s="3"/>
      <c r="H34" s="3"/>
      <c r="I34" s="3"/>
      <c r="J34" s="3"/>
    </row>
    <row r="35" spans="1:10">
      <c r="A35" s="70"/>
      <c r="B35" s="70"/>
      <c r="C35" s="70"/>
      <c r="D35" s="70"/>
      <c r="E35" s="70"/>
      <c r="F35" s="70"/>
      <c r="G35" s="70"/>
      <c r="H35" s="70"/>
      <c r="I35" s="70"/>
      <c r="J35" s="70"/>
    </row>
    <row r="36" spans="1:10">
      <c r="A36" s="3"/>
      <c r="B36" s="3"/>
      <c r="C36" s="3"/>
      <c r="D36" s="3"/>
      <c r="E36" s="3"/>
      <c r="F36" s="3"/>
      <c r="G36" s="3"/>
      <c r="H36" s="3"/>
      <c r="I36" s="3"/>
      <c r="J36" s="3"/>
    </row>
    <row r="37" spans="1:10">
      <c r="A37" s="3"/>
      <c r="B37" s="3"/>
      <c r="C37" s="3"/>
      <c r="D37" s="3"/>
      <c r="E37" s="3"/>
      <c r="F37" s="3"/>
      <c r="G37" s="3"/>
      <c r="H37" s="3"/>
      <c r="I37" s="3"/>
      <c r="J37" s="3"/>
    </row>
    <row r="38" spans="1:10">
      <c r="A38" s="3"/>
      <c r="B38" s="3"/>
      <c r="C38" s="3"/>
      <c r="D38" s="3"/>
      <c r="E38" s="3"/>
      <c r="F38" s="3"/>
      <c r="G38" s="3"/>
      <c r="H38" s="3"/>
      <c r="I38" s="3"/>
      <c r="J38" s="3"/>
    </row>
    <row r="39" spans="1:10">
      <c r="A39" s="3"/>
      <c r="B39" s="3"/>
      <c r="C39" s="3"/>
      <c r="D39" s="3"/>
      <c r="E39" s="3"/>
      <c r="F39" s="3"/>
      <c r="G39" s="3"/>
      <c r="H39" s="3"/>
      <c r="I39" s="3"/>
      <c r="J39" s="3"/>
    </row>
    <row r="40" spans="1:10">
      <c r="A40" s="3"/>
      <c r="B40" s="3"/>
      <c r="C40" s="3"/>
      <c r="D40" s="3"/>
      <c r="E40" s="3"/>
      <c r="F40" s="3"/>
      <c r="G40" s="3"/>
      <c r="H40" s="3"/>
      <c r="I40" s="3"/>
      <c r="J40" s="3"/>
    </row>
    <row r="41" spans="1:10">
      <c r="A41" s="3"/>
      <c r="B41" s="3"/>
      <c r="C41" s="3"/>
      <c r="D41" s="3"/>
      <c r="E41" s="3"/>
      <c r="F41" s="3"/>
      <c r="G41" s="3"/>
      <c r="H41" s="3"/>
      <c r="I41" s="3"/>
      <c r="J41" s="3"/>
    </row>
    <row r="42" spans="1:10">
      <c r="A42" s="3"/>
      <c r="B42" s="3"/>
      <c r="C42" s="3"/>
      <c r="D42" s="3"/>
      <c r="E42" s="3"/>
      <c r="F42" s="3"/>
      <c r="G42" s="3"/>
      <c r="H42" s="3"/>
      <c r="I42" s="3"/>
      <c r="J42" s="3"/>
    </row>
    <row r="43" spans="1:10">
      <c r="A43" s="3"/>
      <c r="B43" s="3"/>
      <c r="C43" s="3"/>
      <c r="D43" s="3"/>
      <c r="E43" s="3"/>
      <c r="F43" s="3"/>
      <c r="G43" s="3"/>
      <c r="H43" s="3"/>
      <c r="I43" s="3"/>
      <c r="J43" s="3"/>
    </row>
    <row r="44" spans="1:10">
      <c r="A44" s="3"/>
      <c r="B44" s="3"/>
      <c r="C44" s="3"/>
      <c r="D44" s="3"/>
      <c r="E44" s="3"/>
      <c r="F44" s="3"/>
      <c r="G44" s="3"/>
      <c r="H44" s="3"/>
      <c r="I44" s="3"/>
      <c r="J44" s="3"/>
    </row>
    <row r="45" spans="1:10">
      <c r="A45" s="3"/>
      <c r="B45" s="3"/>
      <c r="C45" s="3"/>
      <c r="D45" s="3"/>
      <c r="E45" s="3"/>
      <c r="F45" s="3"/>
      <c r="G45" s="3"/>
      <c r="H45" s="3"/>
      <c r="I45" s="3"/>
      <c r="J45" s="3"/>
    </row>
    <row r="46" spans="1:10">
      <c r="A46" s="3"/>
      <c r="B46" s="3"/>
      <c r="C46" s="3"/>
      <c r="D46" s="3"/>
      <c r="E46" s="3"/>
      <c r="F46" s="3"/>
      <c r="G46" s="3"/>
      <c r="H46" s="3"/>
      <c r="I46" s="3"/>
      <c r="J46" s="3"/>
    </row>
    <row r="47" spans="1:10">
      <c r="A47" s="3"/>
      <c r="B47" s="3"/>
      <c r="C47" s="3"/>
      <c r="D47" s="3"/>
      <c r="E47" s="3"/>
      <c r="F47" s="3"/>
      <c r="G47" s="3"/>
      <c r="H47" s="3"/>
      <c r="I47" s="3"/>
      <c r="J47" s="3"/>
    </row>
    <row r="48" spans="1:10">
      <c r="A48" s="3"/>
      <c r="B48" s="3"/>
      <c r="C48" s="3"/>
      <c r="D48" s="3"/>
      <c r="E48" s="3"/>
      <c r="F48" s="3"/>
      <c r="G48" s="3"/>
      <c r="H48" s="3"/>
      <c r="I48" s="3"/>
      <c r="J48" s="3"/>
    </row>
    <row r="49" spans="1:10">
      <c r="A49" s="3"/>
      <c r="B49" s="3"/>
      <c r="C49" s="3"/>
      <c r="D49" s="3"/>
      <c r="E49" s="3"/>
      <c r="F49" s="3"/>
      <c r="G49" s="3"/>
      <c r="H49" s="3"/>
      <c r="I49" s="3"/>
      <c r="J49" s="3"/>
    </row>
    <row r="50" spans="1:10">
      <c r="A50" s="3"/>
      <c r="B50" s="3"/>
      <c r="C50" s="3"/>
      <c r="D50" s="3"/>
      <c r="E50" s="3"/>
      <c r="F50" s="3"/>
      <c r="G50" s="3"/>
      <c r="H50" s="3"/>
      <c r="I50" s="3"/>
      <c r="J50" s="3"/>
    </row>
    <row r="51" spans="1:10">
      <c r="A51" s="3"/>
      <c r="B51" s="3"/>
      <c r="C51" s="3"/>
      <c r="D51" s="3"/>
      <c r="E51" s="3"/>
      <c r="F51" s="3"/>
      <c r="G51" s="3"/>
      <c r="H51" s="3"/>
      <c r="I51" s="3"/>
      <c r="J51" s="3"/>
    </row>
    <row r="52" spans="1:10">
      <c r="A52" s="3"/>
      <c r="B52" s="3"/>
      <c r="C52" s="3"/>
      <c r="D52" s="3"/>
      <c r="E52" s="3"/>
      <c r="F52" s="3"/>
      <c r="G52" s="3"/>
      <c r="H52" s="3"/>
      <c r="I52" s="3"/>
      <c r="J52" s="3"/>
    </row>
    <row r="53" spans="1:10">
      <c r="A53" s="3"/>
      <c r="B53" s="3"/>
      <c r="C53" s="3"/>
      <c r="D53" s="3"/>
      <c r="E53" s="3"/>
      <c r="F53" s="3"/>
      <c r="G53" s="3"/>
      <c r="H53" s="3"/>
      <c r="I53" s="3"/>
      <c r="J53" s="3"/>
    </row>
    <row r="54" spans="1:10">
      <c r="A54" s="3"/>
      <c r="B54" s="3"/>
      <c r="C54" s="3"/>
      <c r="D54" s="3"/>
      <c r="E54" s="3"/>
      <c r="F54" s="3"/>
      <c r="G54" s="3"/>
      <c r="H54" s="3"/>
      <c r="I54" s="3"/>
      <c r="J54" s="3"/>
    </row>
    <row r="55" spans="1:10">
      <c r="A55" s="3"/>
      <c r="B55" s="3"/>
      <c r="C55" s="3"/>
      <c r="D55" s="3"/>
      <c r="E55" s="3"/>
      <c r="F55" s="3"/>
      <c r="G55" s="3"/>
      <c r="H55" s="3"/>
      <c r="I55" s="3"/>
      <c r="J55" s="3"/>
    </row>
    <row r="56" spans="1:10">
      <c r="A56" s="3"/>
      <c r="B56" s="3"/>
      <c r="C56" s="3"/>
      <c r="D56" s="3"/>
      <c r="E56" s="3"/>
      <c r="F56" s="3"/>
      <c r="G56" s="3"/>
      <c r="H56" s="3"/>
      <c r="I56" s="3"/>
      <c r="J56" s="3"/>
    </row>
    <row r="57" spans="1:10">
      <c r="A57" s="3"/>
      <c r="B57" s="3"/>
      <c r="C57" s="3"/>
      <c r="D57" s="3"/>
      <c r="E57" s="3"/>
      <c r="F57" s="3"/>
      <c r="G57" s="3"/>
      <c r="H57" s="3"/>
      <c r="I57" s="3"/>
      <c r="J57" s="3"/>
    </row>
    <row r="58" spans="1:10">
      <c r="A58" s="3"/>
      <c r="B58" s="3"/>
      <c r="C58" s="3"/>
      <c r="D58" s="3"/>
      <c r="E58" s="3"/>
      <c r="F58" s="3"/>
      <c r="G58" s="3"/>
      <c r="H58" s="3"/>
      <c r="I58" s="3"/>
      <c r="J58" s="3"/>
    </row>
    <row r="59" spans="1:10">
      <c r="A59" s="3"/>
      <c r="B59" s="3"/>
      <c r="C59" s="3"/>
      <c r="D59" s="3"/>
      <c r="E59" s="3"/>
      <c r="F59" s="3"/>
      <c r="G59" s="3"/>
      <c r="H59" s="3"/>
      <c r="I59" s="3"/>
      <c r="J59" s="3"/>
    </row>
    <row r="60" spans="1:10">
      <c r="A60" s="3"/>
      <c r="B60" s="3"/>
      <c r="C60" s="3"/>
      <c r="D60" s="3"/>
      <c r="E60" s="3"/>
      <c r="F60" s="3"/>
      <c r="G60" s="3"/>
      <c r="H60" s="3"/>
      <c r="I60" s="3"/>
      <c r="J60" s="3"/>
    </row>
  </sheetData>
  <mergeCells count="1">
    <mergeCell ref="A1:J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60"/>
  <sheetViews>
    <sheetView zoomScale="75" workbookViewId="0">
      <selection activeCell="L17" sqref="L17"/>
    </sheetView>
  </sheetViews>
  <sheetFormatPr baseColWidth="10" defaultColWidth="8.83203125" defaultRowHeight="15"/>
  <cols>
    <col min="1" max="1" width="22" customWidth="1"/>
    <col min="2" max="3" width="18" customWidth="1"/>
    <col min="4" max="5" width="1.33203125" customWidth="1"/>
    <col min="6" max="7" width="18" customWidth="1"/>
    <col min="8" max="8" width="24" customWidth="1"/>
    <col min="9" max="10" width="18" customWidth="1"/>
  </cols>
  <sheetData>
    <row r="1" spans="1:10" ht="24" customHeight="1">
      <c r="A1" s="81" t="s">
        <v>167</v>
      </c>
      <c r="B1" s="82"/>
      <c r="C1" s="82"/>
      <c r="D1" s="82"/>
      <c r="E1" s="82"/>
      <c r="F1" s="82"/>
      <c r="G1" s="82"/>
      <c r="H1" s="82"/>
      <c r="I1" s="82"/>
      <c r="J1" s="82"/>
    </row>
    <row r="2" spans="1:10">
      <c r="A2" s="3"/>
      <c r="B2" s="3"/>
      <c r="C2" s="3"/>
      <c r="D2" s="3"/>
      <c r="E2" s="3"/>
      <c r="F2" s="3"/>
      <c r="G2" s="3"/>
      <c r="H2" s="3"/>
      <c r="I2" s="3"/>
      <c r="J2" s="3"/>
    </row>
    <row r="3" spans="1:10" ht="21.25" customHeight="1">
      <c r="A3" s="1" t="s">
        <v>168</v>
      </c>
      <c r="B3" s="1" t="s">
        <v>53</v>
      </c>
      <c r="C3" s="1" t="s">
        <v>54</v>
      </c>
      <c r="D3" s="66"/>
      <c r="E3" s="3"/>
      <c r="F3" s="1" t="s">
        <v>168</v>
      </c>
      <c r="G3" s="1" t="s">
        <v>53</v>
      </c>
      <c r="H3" s="1" t="s">
        <v>54</v>
      </c>
      <c r="I3" s="1" t="s">
        <v>169</v>
      </c>
      <c r="J3" s="66"/>
    </row>
    <row r="4" spans="1:10" ht="64" customHeight="1">
      <c r="A4" s="4" t="s">
        <v>171</v>
      </c>
      <c r="B4" s="8">
        <v>0.18556566202916161</v>
      </c>
      <c r="C4" s="3" t="s">
        <v>172</v>
      </c>
      <c r="D4" s="67"/>
      <c r="E4" s="3"/>
      <c r="F4" s="3" t="s">
        <v>173</v>
      </c>
      <c r="G4" s="8">
        <v>9.4500000000000001E-2</v>
      </c>
      <c r="H4" s="3" t="s">
        <v>78</v>
      </c>
      <c r="I4" s="3" t="s">
        <v>174</v>
      </c>
      <c r="J4" s="73"/>
    </row>
    <row r="5" spans="1:10" ht="42.75" customHeight="1">
      <c r="A5" s="4" t="s">
        <v>175</v>
      </c>
      <c r="B5" s="8">
        <v>0.4832520419112995</v>
      </c>
      <c r="C5" s="3" t="s">
        <v>172</v>
      </c>
      <c r="D5" s="67"/>
      <c r="E5" s="3"/>
      <c r="F5" s="3" t="s">
        <v>176</v>
      </c>
      <c r="G5" s="8">
        <v>0.31210937615251189</v>
      </c>
      <c r="H5" s="3" t="s">
        <v>177</v>
      </c>
      <c r="I5" s="3" t="s">
        <v>178</v>
      </c>
      <c r="J5" s="73"/>
    </row>
    <row r="6" spans="1:10" ht="42.75" customHeight="1">
      <c r="A6" s="4" t="s">
        <v>58</v>
      </c>
      <c r="B6" s="16">
        <v>0.6</v>
      </c>
      <c r="C6" s="3" t="s">
        <v>59</v>
      </c>
      <c r="D6" s="67"/>
      <c r="E6" s="3"/>
      <c r="F6" s="3" t="s">
        <v>180</v>
      </c>
      <c r="G6" s="8">
        <v>1.5605468807625596E-2</v>
      </c>
      <c r="H6" s="3" t="s">
        <v>177</v>
      </c>
      <c r="I6" s="3" t="s">
        <v>181</v>
      </c>
      <c r="J6" s="73"/>
    </row>
    <row r="7" spans="1:10" ht="21.25" customHeight="1">
      <c r="A7" s="4" t="s">
        <v>63</v>
      </c>
      <c r="B7" s="16">
        <v>950</v>
      </c>
      <c r="C7" s="3" t="s">
        <v>59</v>
      </c>
      <c r="D7" s="67"/>
      <c r="E7" s="3"/>
      <c r="F7" s="3" t="s">
        <v>182</v>
      </c>
      <c r="G7" s="8">
        <v>795</v>
      </c>
      <c r="H7" s="3" t="s">
        <v>183</v>
      </c>
      <c r="I7" s="3" t="s">
        <v>184</v>
      </c>
      <c r="J7" s="73"/>
    </row>
    <row r="8" spans="1:10" ht="21.25" customHeight="1">
      <c r="A8" s="4" t="s">
        <v>185</v>
      </c>
      <c r="B8" s="16">
        <v>5.5E-2</v>
      </c>
      <c r="C8" s="3" t="s">
        <v>68</v>
      </c>
      <c r="D8" s="67"/>
      <c r="E8" s="3"/>
      <c r="F8" s="3" t="s">
        <v>186</v>
      </c>
      <c r="G8" s="8">
        <v>21.295539439046856</v>
      </c>
      <c r="H8" s="3" t="s">
        <v>187</v>
      </c>
      <c r="I8" s="3" t="s">
        <v>188</v>
      </c>
      <c r="J8" s="73"/>
    </row>
    <row r="9" spans="1:10" ht="42.75" customHeight="1">
      <c r="A9" s="4" t="s">
        <v>189</v>
      </c>
      <c r="B9" s="16">
        <f>B5/B4*SQRT(B6/B7)</f>
        <v>6.5447024270906651E-2</v>
      </c>
      <c r="C9" s="3" t="s">
        <v>78</v>
      </c>
      <c r="D9" s="67"/>
      <c r="E9" s="3"/>
      <c r="F9" s="3" t="s">
        <v>190</v>
      </c>
      <c r="G9" s="8">
        <v>0.50049999999999994</v>
      </c>
      <c r="H9" s="3" t="s">
        <v>83</v>
      </c>
      <c r="I9" s="3" t="s">
        <v>191</v>
      </c>
      <c r="J9" s="73"/>
    </row>
    <row r="10" spans="1:10" ht="42.75" customHeight="1">
      <c r="A10" s="4" t="s">
        <v>72</v>
      </c>
      <c r="B10" s="16">
        <v>0.06</v>
      </c>
      <c r="C10" s="3" t="s">
        <v>73</v>
      </c>
      <c r="D10" s="67"/>
      <c r="E10" s="3"/>
      <c r="F10" s="3" t="s">
        <v>192</v>
      </c>
      <c r="G10" s="8">
        <v>7.5815604804418237</v>
      </c>
      <c r="H10" s="3" t="s">
        <v>187</v>
      </c>
      <c r="I10" s="3" t="s">
        <v>193</v>
      </c>
      <c r="J10" s="73"/>
    </row>
    <row r="11" spans="1:10" ht="21.25" customHeight="1">
      <c r="A11" s="4" t="s">
        <v>194</v>
      </c>
      <c r="B11" s="16">
        <f>B10*(B8/0.02)^0.2</f>
        <v>7.345439552185648E-2</v>
      </c>
      <c r="C11" s="3" t="s">
        <v>73</v>
      </c>
      <c r="D11" s="67"/>
      <c r="E11" s="3"/>
      <c r="F11" s="3" t="s">
        <v>195</v>
      </c>
      <c r="G11" s="8">
        <v>19.818443597850042</v>
      </c>
      <c r="H11" s="3" t="s">
        <v>73</v>
      </c>
      <c r="I11" s="3" t="s">
        <v>196</v>
      </c>
      <c r="J11" s="73"/>
    </row>
    <row r="12" spans="1:10" ht="42.75" customHeight="1">
      <c r="A12" s="4" t="s">
        <v>197</v>
      </c>
      <c r="B12" s="16">
        <f>B11*SQRT((B7-B6)/B6)</f>
        <v>2.9219096157234725</v>
      </c>
      <c r="C12" s="3" t="s">
        <v>73</v>
      </c>
      <c r="D12" s="67"/>
      <c r="E12" s="3"/>
      <c r="F12" s="3" t="s">
        <v>198</v>
      </c>
      <c r="G12" s="8">
        <v>15.414473717905519</v>
      </c>
      <c r="H12" s="3" t="s">
        <v>73</v>
      </c>
      <c r="I12" s="3" t="s">
        <v>199</v>
      </c>
      <c r="J12" s="73"/>
    </row>
    <row r="13" spans="1:10" ht="42.75" customHeight="1">
      <c r="A13" s="4" t="s">
        <v>200</v>
      </c>
      <c r="B13" s="16">
        <v>0.7</v>
      </c>
      <c r="C13" s="3" t="s">
        <v>78</v>
      </c>
      <c r="D13" s="67"/>
      <c r="E13" s="3"/>
      <c r="F13" s="3" t="s">
        <v>201</v>
      </c>
      <c r="G13" s="8">
        <v>20.794462824353083</v>
      </c>
      <c r="H13" s="3" t="s">
        <v>202</v>
      </c>
      <c r="I13" s="3" t="s">
        <v>203</v>
      </c>
      <c r="J13" s="73"/>
    </row>
    <row r="14" spans="1:10" ht="42.75" customHeight="1">
      <c r="A14" s="4" t="s">
        <v>204</v>
      </c>
      <c r="B14" s="16">
        <f>SQRT(4*B4/(PI()*B6*(B13*B12)*(1-0.0945)))</f>
        <v>0.46110688364964164</v>
      </c>
      <c r="C14" s="3" t="s">
        <v>83</v>
      </c>
      <c r="D14" s="67"/>
      <c r="E14" s="3"/>
      <c r="F14" s="3" t="s">
        <v>205</v>
      </c>
      <c r="G14" s="8">
        <v>35.700567497873926</v>
      </c>
      <c r="H14" s="3" t="s">
        <v>202</v>
      </c>
      <c r="I14" s="3" t="s">
        <v>203</v>
      </c>
      <c r="J14" s="73"/>
    </row>
    <row r="15" spans="1:10" ht="42.75" customHeight="1">
      <c r="A15" s="4" t="s">
        <v>206</v>
      </c>
      <c r="B15" s="54">
        <f>Column!B31</f>
        <v>0.70000000000000007</v>
      </c>
      <c r="C15" s="3" t="s">
        <v>83</v>
      </c>
      <c r="D15" s="67"/>
      <c r="E15" s="3"/>
      <c r="F15" s="3" t="s">
        <v>207</v>
      </c>
      <c r="G15" s="8">
        <v>56.495030322227009</v>
      </c>
      <c r="H15" s="3" t="s">
        <v>202</v>
      </c>
      <c r="I15" s="3" t="s">
        <v>203</v>
      </c>
      <c r="J15" s="73"/>
    </row>
    <row r="16" spans="1:10" ht="42.75" customHeight="1">
      <c r="A16" s="4" t="s">
        <v>208</v>
      </c>
      <c r="B16" s="7">
        <v>0.30374222592726319</v>
      </c>
      <c r="C16" s="3" t="s">
        <v>78</v>
      </c>
      <c r="D16" s="67"/>
      <c r="E16" s="3"/>
      <c r="F16" s="3" t="s">
        <v>209</v>
      </c>
      <c r="G16" s="8">
        <v>185.7</v>
      </c>
      <c r="H16" s="3" t="s">
        <v>187</v>
      </c>
      <c r="I16" s="3" t="s">
        <v>210</v>
      </c>
      <c r="J16" s="73"/>
    </row>
    <row r="17" spans="1:10" ht="42.75" customHeight="1">
      <c r="A17" s="3"/>
      <c r="B17" s="3"/>
      <c r="C17" s="3"/>
      <c r="D17" s="67"/>
      <c r="E17" s="3"/>
      <c r="F17" s="3" t="s">
        <v>211</v>
      </c>
      <c r="G17" s="8">
        <v>32.172157875940215</v>
      </c>
      <c r="H17" s="3" t="s">
        <v>212</v>
      </c>
      <c r="I17" s="3" t="s">
        <v>213</v>
      </c>
      <c r="J17" s="73"/>
    </row>
    <row r="18" spans="1:10" ht="42.75" customHeight="1">
      <c r="A18" s="3"/>
      <c r="B18" s="3"/>
      <c r="C18" s="3"/>
      <c r="D18" s="67"/>
      <c r="E18" s="3"/>
      <c r="F18" s="3" t="s">
        <v>214</v>
      </c>
      <c r="G18" s="8">
        <v>1.2E-2</v>
      </c>
      <c r="H18" s="3" t="s">
        <v>78</v>
      </c>
      <c r="I18" s="3" t="s">
        <v>215</v>
      </c>
      <c r="J18" s="73"/>
    </row>
    <row r="19" spans="1:10" ht="20" customHeight="1">
      <c r="A19" s="66"/>
      <c r="B19" s="66"/>
      <c r="C19" s="66"/>
      <c r="D19" s="66"/>
      <c r="E19" s="66"/>
      <c r="F19" s="66"/>
      <c r="G19" s="66"/>
      <c r="H19" s="66"/>
      <c r="I19" s="66"/>
      <c r="J19" s="66"/>
    </row>
    <row r="20" spans="1:10" ht="68" customHeight="1">
      <c r="A20" s="3"/>
      <c r="B20" s="3"/>
      <c r="C20" s="3"/>
      <c r="D20" s="3"/>
      <c r="E20" s="3"/>
      <c r="F20" s="3"/>
      <c r="G20" s="3"/>
      <c r="H20" s="3"/>
      <c r="I20" s="3"/>
      <c r="J20" s="67"/>
    </row>
    <row r="21" spans="1:10" ht="70.25" customHeight="1">
      <c r="A21" s="3"/>
      <c r="B21" s="3"/>
      <c r="C21" s="3"/>
      <c r="D21" s="3"/>
      <c r="E21" s="3"/>
      <c r="F21" s="3"/>
      <c r="G21" s="3"/>
      <c r="H21" s="3"/>
      <c r="I21" s="3"/>
      <c r="J21" s="3"/>
    </row>
    <row r="22" spans="1:10">
      <c r="A22" s="3"/>
      <c r="B22" s="3"/>
      <c r="C22" s="3"/>
      <c r="D22" s="3"/>
      <c r="E22" s="3"/>
      <c r="F22" s="3"/>
      <c r="G22" s="3"/>
      <c r="H22" s="3"/>
      <c r="I22" s="3"/>
      <c r="J22" s="3"/>
    </row>
    <row r="23" spans="1:10">
      <c r="A23" s="3"/>
      <c r="B23" s="3"/>
      <c r="C23" s="3"/>
      <c r="D23" s="3"/>
      <c r="E23" s="3"/>
      <c r="F23" s="3"/>
      <c r="G23" s="3"/>
      <c r="H23" s="3"/>
      <c r="I23" s="3"/>
      <c r="J23" s="3"/>
    </row>
    <row r="24" spans="1:10">
      <c r="A24" s="3"/>
      <c r="B24" s="3"/>
      <c r="C24" s="3"/>
      <c r="D24" s="3"/>
      <c r="E24" s="3"/>
      <c r="F24" s="3"/>
      <c r="G24" s="3"/>
      <c r="H24" s="3"/>
      <c r="I24" s="3"/>
      <c r="J24" s="3"/>
    </row>
    <row r="25" spans="1:10">
      <c r="A25" s="3"/>
      <c r="B25" s="3"/>
      <c r="C25" s="3"/>
      <c r="D25" s="3"/>
      <c r="E25" s="3"/>
      <c r="F25" s="3"/>
      <c r="G25" s="3"/>
      <c r="H25" s="3"/>
      <c r="I25" s="3"/>
      <c r="J25" s="3"/>
    </row>
    <row r="26" spans="1:10">
      <c r="A26" s="3"/>
      <c r="B26" s="3"/>
      <c r="C26" s="3"/>
      <c r="D26" s="3"/>
      <c r="E26" s="3"/>
      <c r="F26" s="3"/>
      <c r="G26" s="3"/>
      <c r="H26" s="3"/>
      <c r="I26" s="3"/>
      <c r="J26" s="3"/>
    </row>
    <row r="27" spans="1:10">
      <c r="A27" s="3"/>
      <c r="B27" s="3"/>
      <c r="C27" s="3"/>
      <c r="D27" s="3"/>
      <c r="E27" s="3"/>
      <c r="F27" s="3"/>
      <c r="G27" s="3"/>
      <c r="H27" s="3"/>
      <c r="I27" s="3"/>
      <c r="J27" s="3"/>
    </row>
    <row r="28" spans="1:10">
      <c r="A28" s="3"/>
      <c r="B28" s="3"/>
      <c r="C28" s="3"/>
      <c r="D28" s="3"/>
      <c r="E28" s="3"/>
      <c r="F28" s="3"/>
      <c r="G28" s="3"/>
      <c r="H28" s="3"/>
      <c r="I28" s="3"/>
      <c r="J28" s="3"/>
    </row>
    <row r="29" spans="1:10">
      <c r="A29" s="3"/>
      <c r="B29" s="3"/>
      <c r="C29" s="3"/>
      <c r="D29" s="3"/>
      <c r="E29" s="3"/>
      <c r="F29" s="3"/>
      <c r="G29" s="3"/>
      <c r="H29" s="3"/>
      <c r="I29" s="3"/>
      <c r="J29" s="3"/>
    </row>
    <row r="30" spans="1:10">
      <c r="A30" s="3"/>
      <c r="B30" s="3"/>
      <c r="C30" s="3"/>
      <c r="D30" s="3"/>
      <c r="E30" s="3"/>
      <c r="F30" s="3"/>
      <c r="G30" s="3"/>
      <c r="H30" s="3"/>
      <c r="I30" s="3"/>
      <c r="J30" s="3"/>
    </row>
    <row r="31" spans="1:10">
      <c r="A31" s="3"/>
      <c r="B31" s="3"/>
      <c r="C31" s="3"/>
      <c r="D31" s="3"/>
      <c r="E31" s="3"/>
      <c r="F31" s="3"/>
      <c r="G31" s="3"/>
      <c r="H31" s="3"/>
      <c r="I31" s="3"/>
      <c r="J31" s="3"/>
    </row>
    <row r="32" spans="1:10">
      <c r="A32" s="3"/>
      <c r="B32" s="3"/>
      <c r="C32" s="3"/>
      <c r="D32" s="3"/>
      <c r="E32" s="3"/>
      <c r="F32" s="3"/>
      <c r="G32" s="3"/>
      <c r="H32" s="3"/>
      <c r="I32" s="3"/>
      <c r="J32" s="3"/>
    </row>
    <row r="33" spans="1:10">
      <c r="A33" s="3"/>
      <c r="B33" s="3"/>
      <c r="C33" s="3"/>
      <c r="D33" s="3"/>
      <c r="E33" s="3"/>
      <c r="F33" s="3"/>
      <c r="G33" s="3"/>
      <c r="H33" s="3"/>
      <c r="I33" s="3"/>
      <c r="J33" s="3"/>
    </row>
    <row r="34" spans="1:10">
      <c r="A34" s="3"/>
      <c r="B34" s="3"/>
      <c r="C34" s="3"/>
      <c r="D34" s="3"/>
      <c r="E34" s="3"/>
      <c r="F34" s="3"/>
      <c r="G34" s="3"/>
      <c r="H34" s="3"/>
      <c r="I34" s="3"/>
      <c r="J34" s="3"/>
    </row>
    <row r="35" spans="1:10">
      <c r="A35" s="3"/>
      <c r="B35" s="3"/>
      <c r="C35" s="3"/>
      <c r="D35" s="3"/>
      <c r="E35" s="3"/>
      <c r="F35" s="3"/>
      <c r="G35" s="3"/>
      <c r="H35" s="3"/>
      <c r="I35" s="3"/>
      <c r="J35" s="3"/>
    </row>
    <row r="36" spans="1:10">
      <c r="A36" s="3"/>
      <c r="B36" s="3"/>
      <c r="C36" s="3"/>
      <c r="D36" s="3"/>
      <c r="E36" s="3"/>
      <c r="F36" s="3"/>
      <c r="G36" s="3"/>
      <c r="H36" s="3"/>
      <c r="I36" s="3"/>
      <c r="J36" s="3"/>
    </row>
    <row r="37" spans="1:10">
      <c r="A37" s="3"/>
      <c r="B37" s="3"/>
      <c r="C37" s="3"/>
      <c r="D37" s="3"/>
      <c r="E37" s="3"/>
      <c r="F37" s="3"/>
      <c r="G37" s="3"/>
      <c r="H37" s="3"/>
      <c r="I37" s="3"/>
      <c r="J37" s="3"/>
    </row>
    <row r="38" spans="1:10">
      <c r="A38" s="3"/>
      <c r="B38" s="3"/>
      <c r="C38" s="3"/>
      <c r="D38" s="3"/>
      <c r="E38" s="3"/>
      <c r="F38" s="3"/>
      <c r="G38" s="3"/>
      <c r="H38" s="3"/>
      <c r="I38" s="3"/>
      <c r="J38" s="3"/>
    </row>
    <row r="39" spans="1:10">
      <c r="A39" s="3"/>
      <c r="B39" s="3"/>
      <c r="C39" s="3"/>
      <c r="D39" s="3"/>
      <c r="E39" s="3"/>
      <c r="F39" s="3"/>
      <c r="G39" s="3"/>
      <c r="H39" s="3"/>
      <c r="I39" s="3"/>
      <c r="J39" s="3"/>
    </row>
    <row r="40" spans="1:10">
      <c r="A40" s="3"/>
      <c r="B40" s="3"/>
      <c r="C40" s="3"/>
      <c r="D40" s="3"/>
      <c r="E40" s="3"/>
      <c r="F40" s="3"/>
      <c r="G40" s="3"/>
      <c r="H40" s="3"/>
      <c r="I40" s="3"/>
      <c r="J40" s="3"/>
    </row>
    <row r="41" spans="1:10">
      <c r="A41" s="3"/>
      <c r="B41" s="3"/>
      <c r="C41" s="3"/>
      <c r="D41" s="3"/>
      <c r="E41" s="3"/>
      <c r="F41" s="3"/>
      <c r="G41" s="3"/>
      <c r="H41" s="3"/>
      <c r="I41" s="3"/>
      <c r="J41" s="3"/>
    </row>
    <row r="42" spans="1:10">
      <c r="A42" s="3"/>
      <c r="B42" s="3"/>
      <c r="C42" s="3"/>
      <c r="D42" s="3"/>
      <c r="E42" s="3"/>
      <c r="F42" s="3"/>
      <c r="G42" s="3"/>
      <c r="H42" s="3"/>
      <c r="I42" s="3"/>
      <c r="J42" s="3"/>
    </row>
    <row r="43" spans="1:10">
      <c r="A43" s="3"/>
      <c r="B43" s="3"/>
      <c r="C43" s="3"/>
      <c r="D43" s="3"/>
      <c r="E43" s="3"/>
      <c r="F43" s="3"/>
      <c r="G43" s="3"/>
      <c r="H43" s="3"/>
      <c r="I43" s="3"/>
      <c r="J43" s="3"/>
    </row>
    <row r="44" spans="1:10">
      <c r="A44" s="3"/>
      <c r="B44" s="3"/>
      <c r="C44" s="3"/>
      <c r="D44" s="3"/>
      <c r="E44" s="3"/>
      <c r="F44" s="3"/>
      <c r="G44" s="3"/>
      <c r="H44" s="3"/>
      <c r="I44" s="3"/>
      <c r="J44" s="3"/>
    </row>
    <row r="45" spans="1:10">
      <c r="A45" s="3"/>
      <c r="B45" s="3"/>
      <c r="C45" s="3"/>
      <c r="D45" s="3"/>
      <c r="E45" s="3"/>
      <c r="F45" s="3"/>
      <c r="G45" s="3"/>
      <c r="H45" s="3"/>
      <c r="I45" s="3"/>
      <c r="J45" s="3"/>
    </row>
    <row r="46" spans="1:10">
      <c r="A46" s="3"/>
      <c r="B46" s="3"/>
      <c r="C46" s="3"/>
      <c r="D46" s="3"/>
      <c r="E46" s="3"/>
      <c r="F46" s="3"/>
      <c r="G46" s="3"/>
      <c r="H46" s="3"/>
      <c r="I46" s="3"/>
      <c r="J46" s="3"/>
    </row>
    <row r="47" spans="1:10">
      <c r="A47" s="3"/>
      <c r="B47" s="3"/>
      <c r="C47" s="3"/>
      <c r="D47" s="3"/>
      <c r="E47" s="3"/>
      <c r="F47" s="3"/>
      <c r="G47" s="3"/>
      <c r="H47" s="3"/>
      <c r="I47" s="3"/>
      <c r="J47" s="3"/>
    </row>
    <row r="48" spans="1:10">
      <c r="A48" s="3"/>
      <c r="B48" s="3"/>
      <c r="C48" s="3"/>
      <c r="D48" s="3"/>
      <c r="E48" s="3"/>
      <c r="F48" s="3"/>
      <c r="G48" s="3"/>
      <c r="H48" s="3"/>
      <c r="I48" s="3"/>
      <c r="J48" s="3"/>
    </row>
    <row r="49" spans="1:10">
      <c r="A49" s="3"/>
      <c r="B49" s="3"/>
      <c r="C49" s="3"/>
      <c r="D49" s="3"/>
      <c r="E49" s="3"/>
      <c r="F49" s="3"/>
      <c r="G49" s="3"/>
      <c r="H49" s="3"/>
      <c r="I49" s="3"/>
      <c r="J49" s="3"/>
    </row>
    <row r="50" spans="1:10">
      <c r="A50" s="3"/>
      <c r="B50" s="3"/>
      <c r="C50" s="3"/>
      <c r="D50" s="3"/>
      <c r="E50" s="3"/>
      <c r="F50" s="3"/>
      <c r="G50" s="3"/>
      <c r="H50" s="3"/>
      <c r="I50" s="3"/>
      <c r="J50" s="3"/>
    </row>
    <row r="51" spans="1:10">
      <c r="A51" s="3"/>
      <c r="B51" s="3"/>
      <c r="C51" s="3"/>
      <c r="D51" s="3"/>
      <c r="E51" s="3"/>
      <c r="F51" s="3"/>
      <c r="G51" s="3"/>
      <c r="H51" s="3"/>
      <c r="I51" s="3"/>
      <c r="J51" s="3"/>
    </row>
    <row r="52" spans="1:10">
      <c r="A52" s="3"/>
      <c r="B52" s="3"/>
      <c r="C52" s="3"/>
      <c r="D52" s="3"/>
      <c r="E52" s="3"/>
      <c r="F52" s="3"/>
      <c r="G52" s="3"/>
      <c r="H52" s="3"/>
      <c r="I52" s="3"/>
      <c r="J52" s="3"/>
    </row>
    <row r="53" spans="1:10">
      <c r="A53" s="3"/>
      <c r="B53" s="3"/>
      <c r="C53" s="3"/>
      <c r="D53" s="3"/>
      <c r="E53" s="3"/>
      <c r="F53" s="3"/>
      <c r="G53" s="3"/>
      <c r="H53" s="3"/>
      <c r="I53" s="3"/>
      <c r="J53" s="3"/>
    </row>
    <row r="54" spans="1:10">
      <c r="A54" s="3"/>
      <c r="B54" s="3"/>
      <c r="C54" s="3"/>
      <c r="D54" s="3"/>
      <c r="E54" s="3"/>
      <c r="F54" s="3"/>
      <c r="G54" s="3"/>
      <c r="H54" s="3"/>
      <c r="I54" s="3"/>
      <c r="J54" s="3"/>
    </row>
    <row r="55" spans="1:10">
      <c r="A55" s="3"/>
      <c r="B55" s="3"/>
      <c r="C55" s="3"/>
      <c r="D55" s="3"/>
      <c r="E55" s="3"/>
      <c r="F55" s="3"/>
      <c r="G55" s="3"/>
      <c r="H55" s="3"/>
      <c r="I55" s="3"/>
      <c r="J55" s="3"/>
    </row>
    <row r="56" spans="1:10">
      <c r="A56" s="3"/>
      <c r="B56" s="3"/>
      <c r="C56" s="3"/>
      <c r="D56" s="3"/>
      <c r="E56" s="3"/>
      <c r="F56" s="3"/>
      <c r="G56" s="3"/>
      <c r="H56" s="3"/>
      <c r="I56" s="3"/>
      <c r="J56" s="3"/>
    </row>
    <row r="57" spans="1:10">
      <c r="A57" s="3"/>
      <c r="B57" s="3"/>
      <c r="C57" s="3"/>
      <c r="D57" s="3"/>
      <c r="E57" s="3"/>
      <c r="F57" s="3"/>
      <c r="G57" s="3"/>
      <c r="H57" s="3"/>
      <c r="I57" s="3"/>
      <c r="J57" s="3"/>
    </row>
    <row r="58" spans="1:10">
      <c r="A58" s="3"/>
      <c r="B58" s="3"/>
      <c r="C58" s="3"/>
      <c r="D58" s="3"/>
      <c r="E58" s="3"/>
      <c r="F58" s="3"/>
      <c r="G58" s="3"/>
      <c r="H58" s="3"/>
      <c r="I58" s="3"/>
      <c r="J58" s="3"/>
    </row>
    <row r="59" spans="1:10">
      <c r="A59" s="3"/>
      <c r="B59" s="3"/>
      <c r="C59" s="3"/>
      <c r="D59" s="3"/>
      <c r="E59" s="3"/>
      <c r="F59" s="3"/>
      <c r="G59" s="3"/>
      <c r="H59" s="3"/>
      <c r="I59" s="3"/>
      <c r="J59" s="3"/>
    </row>
    <row r="60" spans="1:10">
      <c r="A60" s="3"/>
      <c r="B60" s="3"/>
      <c r="C60" s="3"/>
      <c r="D60" s="3"/>
      <c r="E60" s="3"/>
      <c r="F60" s="3"/>
      <c r="G60" s="3"/>
      <c r="H60" s="3"/>
      <c r="I60" s="3"/>
      <c r="J60" s="3"/>
    </row>
  </sheetData>
  <mergeCells count="1">
    <mergeCell ref="A1:J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3"/>
  <sheetViews>
    <sheetView workbookViewId="0">
      <selection activeCell="G8" sqref="G8"/>
    </sheetView>
  </sheetViews>
  <sheetFormatPr baseColWidth="10" defaultColWidth="8.83203125" defaultRowHeight="15"/>
  <cols>
    <col min="1" max="1" width="26" customWidth="1"/>
    <col min="2" max="2" width="20" customWidth="1"/>
    <col min="3" max="3" width="22" customWidth="1"/>
    <col min="4" max="4" width="21" customWidth="1"/>
    <col min="5" max="5" width="18" customWidth="1"/>
    <col min="6" max="6" width="24" customWidth="1"/>
    <col min="7" max="7" width="18" customWidth="1"/>
    <col min="8" max="8" width="24" customWidth="1"/>
    <col min="9" max="10" width="18" customWidth="1"/>
  </cols>
  <sheetData>
    <row r="1" spans="1:10" ht="67.25" customHeight="1">
      <c r="A1" s="81" t="s">
        <v>216</v>
      </c>
      <c r="B1" s="82"/>
      <c r="C1" s="82"/>
      <c r="D1" s="82"/>
      <c r="E1" s="82"/>
      <c r="F1" s="82"/>
      <c r="G1" s="82"/>
      <c r="H1" s="82"/>
      <c r="I1" s="82"/>
      <c r="J1" s="82"/>
    </row>
    <row r="2" spans="1:10" ht="20" customHeight="1">
      <c r="A2" s="3"/>
      <c r="B2" s="3"/>
      <c r="C2" s="3"/>
      <c r="D2" s="3"/>
      <c r="E2" s="3"/>
      <c r="F2" s="3"/>
      <c r="G2" s="3"/>
      <c r="H2" s="3"/>
      <c r="I2" s="3"/>
      <c r="J2" s="3"/>
    </row>
    <row r="3" spans="1:10" ht="35.25" customHeight="1">
      <c r="A3" s="45" t="s">
        <v>592</v>
      </c>
      <c r="B3" s="45" t="s">
        <v>217</v>
      </c>
      <c r="C3" s="45" t="s">
        <v>218</v>
      </c>
      <c r="D3" s="45" t="s">
        <v>219</v>
      </c>
      <c r="E3" s="45" t="s">
        <v>220</v>
      </c>
      <c r="F3" s="45" t="s">
        <v>221</v>
      </c>
      <c r="G3" s="3"/>
      <c r="H3" s="3"/>
      <c r="I3" s="3"/>
      <c r="J3" s="3"/>
    </row>
    <row r="4" spans="1:10" ht="52.75" customHeight="1">
      <c r="A4" s="3" t="s">
        <v>222</v>
      </c>
      <c r="B4" s="9">
        <f>Feed!C8*(SUMPRODUCT(Feed!B4:B6,Inputs!D13:D15))*(Inputs!B23-25)/3.6</f>
        <v>214.30814166666667</v>
      </c>
      <c r="C4" s="9">
        <f>Flash!F14*(Flash!F10/Flash!F14*Inputs!E13+Flash!F11/Flash!F14*Inputs!E14)/3.6</f>
        <v>410.84063773527316</v>
      </c>
      <c r="D4" s="9">
        <f t="shared" ref="D4:D9" si="0">B4+C4</f>
        <v>625.14877940193981</v>
      </c>
      <c r="E4" s="3" t="s">
        <v>223</v>
      </c>
      <c r="F4" s="3" t="s">
        <v>224</v>
      </c>
      <c r="G4" s="3"/>
      <c r="H4" s="3"/>
      <c r="I4" s="3"/>
      <c r="J4" s="3"/>
    </row>
    <row r="5" spans="1:10" ht="52.75" customHeight="1">
      <c r="A5" s="3" t="s">
        <v>225</v>
      </c>
      <c r="B5" s="9">
        <f>Flash!G14*(SUMPRODUCT(Flash!D10:D12,Inputs!D13:D15))*(Inputs!B26-Inputs!B23)/3.6</f>
        <v>74.854727465672241</v>
      </c>
      <c r="C5" s="9">
        <f>Flash!F29*(Flash!F25/Flash!F29*Inputs!E13+Flash!F26/Flash!F29*Inputs!E14)/3.6</f>
        <v>395.02242533439215</v>
      </c>
      <c r="D5" s="9">
        <f t="shared" si="0"/>
        <v>469.87715280006438</v>
      </c>
      <c r="E5" s="3" t="s">
        <v>226</v>
      </c>
      <c r="F5" s="3" t="s">
        <v>224</v>
      </c>
      <c r="G5" s="3"/>
      <c r="H5" s="3"/>
      <c r="I5" s="3"/>
      <c r="J5" s="3"/>
    </row>
    <row r="6" spans="1:10" ht="52.75" customHeight="1">
      <c r="A6" s="3" t="s">
        <v>227</v>
      </c>
      <c r="B6" s="9">
        <v>0</v>
      </c>
      <c r="C6" s="9">
        <f>Column!B20*(Column!G5*Inputs!E14+Column!G4*Inputs!E13)/3.6</f>
        <v>411.85877881707552</v>
      </c>
      <c r="D6" s="9">
        <f t="shared" si="0"/>
        <v>411.85877881707552</v>
      </c>
      <c r="E6" s="3" t="s">
        <v>228</v>
      </c>
      <c r="F6" s="3" t="s">
        <v>229</v>
      </c>
      <c r="G6" s="3"/>
      <c r="H6" s="3"/>
      <c r="I6" s="3"/>
      <c r="J6" s="3"/>
    </row>
    <row r="7" spans="1:10" ht="52.75" customHeight="1">
      <c r="A7" s="3" t="s">
        <v>230</v>
      </c>
      <c r="B7" s="9">
        <v>0</v>
      </c>
      <c r="C7" s="9">
        <f>Column!B20*(Column!E4*Inputs!E13+Column!E5*Inputs!E14)/3.6</f>
        <v>360.18560024601607</v>
      </c>
      <c r="D7" s="9">
        <f t="shared" si="0"/>
        <v>360.18560024601607</v>
      </c>
      <c r="E7" s="3" t="s">
        <v>231</v>
      </c>
      <c r="F7" s="3" t="s">
        <v>229</v>
      </c>
      <c r="G7" s="3"/>
      <c r="H7" s="3"/>
      <c r="I7" s="3"/>
      <c r="J7" s="3"/>
    </row>
    <row r="8" spans="1:10" ht="70.25" customHeight="1">
      <c r="A8" s="3" t="s">
        <v>232</v>
      </c>
      <c r="B8" s="9">
        <f>Column!B22*SUMPRODUCT(Column!C4:C6,Inputs!D13:D15)*(Inputs!E31-Inputs!E30)/3.6</f>
        <v>69.620153484581365</v>
      </c>
      <c r="C8" s="9">
        <v>0</v>
      </c>
      <c r="D8" s="9">
        <f t="shared" si="0"/>
        <v>69.620153484581365</v>
      </c>
      <c r="E8" s="3" t="s">
        <v>233</v>
      </c>
      <c r="F8" s="3" t="s">
        <v>224</v>
      </c>
      <c r="G8" s="3"/>
      <c r="H8" s="3"/>
      <c r="I8" s="3"/>
      <c r="J8" s="3"/>
    </row>
    <row r="9" spans="1:10" ht="52.75" customHeight="1">
      <c r="A9" s="25" t="s">
        <v>234</v>
      </c>
      <c r="B9" s="36">
        <v>0</v>
      </c>
      <c r="C9" s="36">
        <f>C4+C5</f>
        <v>805.86306306966526</v>
      </c>
      <c r="D9" s="36">
        <f t="shared" si="0"/>
        <v>805.86306306966526</v>
      </c>
      <c r="E9" s="25" t="s">
        <v>235</v>
      </c>
      <c r="F9" s="25" t="s">
        <v>224</v>
      </c>
      <c r="G9" s="25"/>
      <c r="H9" s="25"/>
      <c r="I9" s="25"/>
      <c r="J9" s="25"/>
    </row>
    <row r="10" spans="1:10" ht="35.25" customHeight="1">
      <c r="A10" s="25" t="s">
        <v>236</v>
      </c>
      <c r="B10" s="36">
        <v>0</v>
      </c>
      <c r="C10" s="36">
        <v>0</v>
      </c>
      <c r="D10" s="36">
        <v>20</v>
      </c>
      <c r="E10" s="25" t="s">
        <v>237</v>
      </c>
      <c r="F10" s="25" t="s">
        <v>238</v>
      </c>
      <c r="G10" s="25"/>
      <c r="H10" s="25"/>
      <c r="I10" s="25"/>
      <c r="J10" s="25"/>
    </row>
    <row r="11" spans="1:10" ht="52.75" customHeight="1">
      <c r="A11" s="3" t="s">
        <v>239</v>
      </c>
      <c r="B11" s="9">
        <v>0</v>
      </c>
      <c r="C11" s="9">
        <v>0</v>
      </c>
      <c r="D11" s="9">
        <f>Column!B22*SUMPRODUCT(Column!C4:C6,Inputs!C13:C15)/3600/Inputs!E25*(Inputs!B29-Inputs!B27)*100000/Inputs!E32/1000</f>
        <v>5.8290822072013609E-2</v>
      </c>
      <c r="E11" s="3" t="s">
        <v>240</v>
      </c>
      <c r="F11" s="3" t="s">
        <v>238</v>
      </c>
      <c r="G11" s="3"/>
      <c r="H11" s="3"/>
      <c r="I11" s="3"/>
      <c r="J11" s="3"/>
    </row>
    <row r="12" spans="1:10" ht="52.75" customHeight="1">
      <c r="A12" s="45" t="s">
        <v>241</v>
      </c>
      <c r="B12" s="48"/>
      <c r="C12" s="48"/>
      <c r="D12" s="48">
        <f>D4+D5+D6+D8</f>
        <v>1576.5048645036611</v>
      </c>
      <c r="E12" s="45" t="s">
        <v>242</v>
      </c>
      <c r="F12" s="45" t="s">
        <v>243</v>
      </c>
      <c r="G12" s="3"/>
      <c r="H12" s="3"/>
      <c r="I12" s="3"/>
      <c r="J12" s="3"/>
    </row>
    <row r="13" spans="1:10" ht="35.25" customHeight="1">
      <c r="A13" s="45" t="s">
        <v>244</v>
      </c>
      <c r="B13" s="48"/>
      <c r="C13" s="48"/>
      <c r="D13" s="48">
        <f>D7+D9</f>
        <v>1166.0486633156813</v>
      </c>
      <c r="E13" s="45" t="s">
        <v>245</v>
      </c>
      <c r="F13" s="45" t="s">
        <v>243</v>
      </c>
      <c r="G13" s="3"/>
      <c r="H13" s="3"/>
      <c r="I13" s="3"/>
      <c r="J13" s="3"/>
    </row>
    <row r="14" spans="1:10" ht="20" customHeight="1">
      <c r="A14" s="3"/>
      <c r="B14" s="41"/>
      <c r="C14" s="3"/>
      <c r="D14" s="3"/>
      <c r="E14" s="3"/>
      <c r="F14" s="3"/>
      <c r="G14" s="3"/>
      <c r="H14" s="3"/>
      <c r="I14" s="3"/>
      <c r="J14" s="3"/>
    </row>
    <row r="15" spans="1:10" ht="20" customHeight="1">
      <c r="A15" s="45" t="s">
        <v>246</v>
      </c>
      <c r="B15" s="45" t="s">
        <v>53</v>
      </c>
      <c r="C15" s="45" t="s">
        <v>54</v>
      </c>
      <c r="D15" s="45" t="s">
        <v>247</v>
      </c>
      <c r="E15" s="76"/>
      <c r="F15" s="76"/>
      <c r="G15" s="3"/>
      <c r="H15" s="3"/>
      <c r="I15" s="3"/>
      <c r="J15" s="3"/>
    </row>
    <row r="16" spans="1:10" ht="20" customHeight="1">
      <c r="A16" s="3" t="s">
        <v>248</v>
      </c>
      <c r="B16" s="17">
        <v>8000</v>
      </c>
      <c r="C16" s="3" t="s">
        <v>249</v>
      </c>
      <c r="D16" s="3" t="s">
        <v>250</v>
      </c>
      <c r="E16" s="3"/>
      <c r="F16" s="3"/>
      <c r="G16" s="3"/>
      <c r="H16" s="3"/>
      <c r="I16" s="3"/>
      <c r="J16" s="3"/>
    </row>
    <row r="17" spans="1:10" ht="20" customHeight="1">
      <c r="A17" s="3" t="s">
        <v>251</v>
      </c>
      <c r="B17" s="17">
        <v>18</v>
      </c>
      <c r="C17" s="3" t="s">
        <v>252</v>
      </c>
      <c r="D17" s="3" t="s">
        <v>250</v>
      </c>
      <c r="E17" s="3"/>
      <c r="F17" s="3"/>
      <c r="G17" s="3"/>
      <c r="H17" s="3"/>
      <c r="I17" s="3"/>
      <c r="J17" s="3"/>
    </row>
    <row r="18" spans="1:10" ht="20" customHeight="1">
      <c r="A18" s="3" t="s">
        <v>253</v>
      </c>
      <c r="B18" s="17">
        <v>0.4</v>
      </c>
      <c r="C18" s="3" t="s">
        <v>252</v>
      </c>
      <c r="D18" s="3" t="s">
        <v>250</v>
      </c>
      <c r="E18" s="3"/>
      <c r="F18" s="3"/>
      <c r="G18" s="3"/>
      <c r="H18" s="3"/>
      <c r="I18" s="3"/>
      <c r="J18" s="3"/>
    </row>
    <row r="19" spans="1:10" ht="20" customHeight="1">
      <c r="A19" s="38" t="s">
        <v>254</v>
      </c>
      <c r="B19" s="47">
        <v>0.12</v>
      </c>
      <c r="C19" s="78" t="s">
        <v>255</v>
      </c>
      <c r="D19" s="78" t="s">
        <v>250</v>
      </c>
      <c r="E19" s="78"/>
      <c r="F19" s="78"/>
      <c r="G19" s="3"/>
      <c r="H19" s="3"/>
      <c r="I19" s="3"/>
      <c r="J19" s="3"/>
    </row>
    <row r="20" spans="1:10" ht="20" customHeight="1">
      <c r="A20" s="3" t="s">
        <v>256</v>
      </c>
      <c r="B20" s="17">
        <v>2.7</v>
      </c>
      <c r="C20" s="3" t="s">
        <v>78</v>
      </c>
      <c r="D20" s="14" t="s">
        <v>257</v>
      </c>
      <c r="E20" s="3"/>
      <c r="F20" s="3"/>
      <c r="G20" s="3"/>
      <c r="H20" s="3"/>
      <c r="I20" s="3"/>
      <c r="J20" s="3"/>
    </row>
    <row r="21" spans="1:10" ht="35.25" customHeight="1">
      <c r="A21" s="3" t="s">
        <v>258</v>
      </c>
      <c r="B21" s="17">
        <v>0.2</v>
      </c>
      <c r="C21" s="3" t="s">
        <v>259</v>
      </c>
      <c r="D21" s="14" t="s">
        <v>260</v>
      </c>
      <c r="E21" s="3"/>
      <c r="F21" s="3"/>
      <c r="G21" s="3"/>
      <c r="H21" s="3"/>
      <c r="I21" s="3"/>
      <c r="J21" s="3"/>
    </row>
    <row r="22" spans="1:10" ht="20" customHeight="1">
      <c r="A22" s="3"/>
      <c r="B22" s="14"/>
      <c r="C22" s="3"/>
      <c r="D22" s="14"/>
      <c r="E22" s="3"/>
      <c r="F22" s="3"/>
      <c r="G22" s="3"/>
      <c r="H22" s="3"/>
      <c r="I22" s="3"/>
      <c r="J22" s="3"/>
    </row>
    <row r="23" spans="1:10" ht="35.25" customHeight="1">
      <c r="A23" s="45" t="s">
        <v>261</v>
      </c>
      <c r="B23" s="46" t="s">
        <v>262</v>
      </c>
      <c r="C23" s="45" t="s">
        <v>41</v>
      </c>
      <c r="D23" s="46" t="s">
        <v>263</v>
      </c>
      <c r="E23" s="45" t="s">
        <v>264</v>
      </c>
      <c r="F23" s="76"/>
      <c r="G23" s="3"/>
      <c r="H23" s="3"/>
      <c r="I23" s="3"/>
      <c r="J23" s="3"/>
    </row>
    <row r="24" spans="1:10" ht="35.25" customHeight="1">
      <c r="A24" s="39" t="s">
        <v>265</v>
      </c>
      <c r="B24" s="40">
        <f>60000*(Column!B31/0.5)^1.1*(Column!B33/10)^0.8</f>
        <v>97151.69048125991</v>
      </c>
      <c r="C24" s="39" t="s">
        <v>266</v>
      </c>
      <c r="D24" s="39"/>
      <c r="E24" s="39" t="s">
        <v>267</v>
      </c>
      <c r="F24" s="77"/>
      <c r="G24" s="25"/>
      <c r="H24" s="25"/>
      <c r="I24" s="25"/>
      <c r="J24" s="25"/>
    </row>
    <row r="25" spans="1:10" ht="35.25" customHeight="1">
      <c r="A25" s="41" t="s">
        <v>268</v>
      </c>
      <c r="B25" s="42">
        <f>1200*Column!B29*(Column!B31/0.5)^1.2</f>
        <v>35938.908624362317</v>
      </c>
      <c r="C25" s="41" t="s">
        <v>269</v>
      </c>
      <c r="D25" s="42"/>
      <c r="E25" s="41" t="s">
        <v>267</v>
      </c>
      <c r="F25" s="67"/>
      <c r="G25" s="3"/>
      <c r="H25" s="3"/>
      <c r="I25" s="3"/>
      <c r="J25" s="3"/>
    </row>
    <row r="26" spans="1:10" ht="35.25" customHeight="1">
      <c r="A26" s="41" t="s">
        <v>270</v>
      </c>
      <c r="B26" s="42">
        <v>18000</v>
      </c>
      <c r="C26" s="41" t="s">
        <v>271</v>
      </c>
      <c r="D26" s="42"/>
      <c r="E26" s="41" t="s">
        <v>267</v>
      </c>
      <c r="F26" s="67"/>
      <c r="G26" s="3"/>
      <c r="H26" s="3"/>
      <c r="I26" s="3"/>
      <c r="J26" s="3"/>
    </row>
    <row r="27" spans="1:10" ht="35.25" customHeight="1">
      <c r="A27" s="41" t="s">
        <v>272</v>
      </c>
      <c r="B27" s="42">
        <v>13248.394610720999</v>
      </c>
      <c r="C27" s="41" t="s">
        <v>271</v>
      </c>
      <c r="D27" s="42"/>
      <c r="E27" s="41" t="s">
        <v>267</v>
      </c>
      <c r="F27" s="67"/>
      <c r="G27" s="3"/>
      <c r="H27" s="3"/>
      <c r="I27" s="3"/>
      <c r="J27" s="3"/>
    </row>
    <row r="28" spans="1:10" ht="52.75" customHeight="1">
      <c r="A28" s="41" t="s">
        <v>273</v>
      </c>
      <c r="B28" s="42">
        <v>40000</v>
      </c>
      <c r="C28" s="41" t="s">
        <v>274</v>
      </c>
      <c r="D28" s="42"/>
      <c r="E28" s="41" t="s">
        <v>267</v>
      </c>
      <c r="F28" s="67"/>
      <c r="G28" s="3"/>
      <c r="H28" s="3"/>
      <c r="I28" s="3"/>
      <c r="J28" s="3"/>
    </row>
    <row r="29" spans="1:10" ht="70.25" customHeight="1">
      <c r="A29" s="41" t="s">
        <v>275</v>
      </c>
      <c r="B29" s="42">
        <f>15000*(D6/100)^0.65+15000*(D7/100)^0.65</f>
        <v>72143.566903173734</v>
      </c>
      <c r="C29" s="41" t="s">
        <v>276</v>
      </c>
      <c r="D29" s="42"/>
      <c r="E29" s="41" t="s">
        <v>267</v>
      </c>
      <c r="F29" s="67"/>
      <c r="G29" s="3"/>
      <c r="H29" s="3"/>
      <c r="I29" s="3"/>
      <c r="J29" s="3"/>
    </row>
    <row r="30" spans="1:10" ht="35.25" customHeight="1">
      <c r="A30" s="41" t="s">
        <v>277</v>
      </c>
      <c r="B30" s="42">
        <f>SUM(B24:B29)</f>
        <v>276482.56061951694</v>
      </c>
      <c r="C30" s="41" t="s">
        <v>278</v>
      </c>
      <c r="D30" s="42"/>
      <c r="E30" s="41" t="s">
        <v>267</v>
      </c>
      <c r="F30" s="67"/>
      <c r="G30" s="3"/>
      <c r="H30" s="3"/>
      <c r="I30" s="3"/>
      <c r="J30" s="3"/>
    </row>
    <row r="31" spans="1:10" ht="35.25" customHeight="1">
      <c r="A31" s="41" t="s">
        <v>279</v>
      </c>
      <c r="B31" s="42">
        <f>B30*$B$20</f>
        <v>746502.91367269575</v>
      </c>
      <c r="C31" s="41" t="s">
        <v>280</v>
      </c>
      <c r="D31" s="42"/>
      <c r="E31" s="41" t="s">
        <v>267</v>
      </c>
      <c r="F31" s="67"/>
      <c r="G31" s="3"/>
      <c r="H31" s="3"/>
      <c r="I31" s="3"/>
      <c r="J31" s="3"/>
    </row>
    <row r="32" spans="1:10" ht="35.25" customHeight="1">
      <c r="A32" s="41" t="s">
        <v>281</v>
      </c>
      <c r="B32" s="41"/>
      <c r="C32" s="41" t="s">
        <v>282</v>
      </c>
      <c r="D32" s="42">
        <f>B31*$B$21</f>
        <v>149300.58273453914</v>
      </c>
      <c r="E32" s="41" t="s">
        <v>283</v>
      </c>
      <c r="F32" s="67"/>
      <c r="G32" s="3"/>
      <c r="H32" s="3"/>
      <c r="I32" s="3"/>
      <c r="J32" s="3"/>
    </row>
    <row r="33" spans="1:10" ht="35.25" customHeight="1">
      <c r="A33" s="43" t="s">
        <v>284</v>
      </c>
      <c r="B33" s="41"/>
      <c r="C33" s="41" t="s">
        <v>285</v>
      </c>
      <c r="D33" s="42">
        <f>D6*$B$16*0.0036*$B$17</f>
        <v>213507.59093877196</v>
      </c>
      <c r="E33" s="41" t="s">
        <v>286</v>
      </c>
      <c r="F33" s="67"/>
      <c r="G33" s="3"/>
      <c r="H33" s="3"/>
      <c r="I33" s="3"/>
      <c r="J33" s="3"/>
    </row>
    <row r="34" spans="1:10" ht="35.25" customHeight="1">
      <c r="A34" s="43" t="s">
        <v>287</v>
      </c>
      <c r="B34" s="41"/>
      <c r="C34" s="41" t="s">
        <v>288</v>
      </c>
      <c r="D34" s="42">
        <f>D7*$B$16*0.0036*$B$18</f>
        <v>4149.338114834105</v>
      </c>
      <c r="E34" s="41" t="s">
        <v>286</v>
      </c>
      <c r="F34" s="67"/>
      <c r="G34" s="3"/>
      <c r="H34" s="3"/>
      <c r="I34" s="3"/>
      <c r="J34" s="3"/>
    </row>
    <row r="35" spans="1:10" ht="52.75" customHeight="1">
      <c r="A35" s="43" t="s">
        <v>289</v>
      </c>
      <c r="B35" s="41"/>
      <c r="C35" s="41" t="s">
        <v>290</v>
      </c>
      <c r="D35" s="42">
        <f>(D10+D11)*$B$16*$B$19</f>
        <v>19255.959189189132</v>
      </c>
      <c r="E35" s="41" t="s">
        <v>286</v>
      </c>
      <c r="F35" s="67"/>
      <c r="G35" s="3"/>
      <c r="H35" s="3"/>
      <c r="I35" s="3"/>
      <c r="J35" s="3"/>
    </row>
    <row r="36" spans="1:10" ht="35.25" customHeight="1">
      <c r="A36" s="43" t="s">
        <v>291</v>
      </c>
      <c r="B36" s="41"/>
      <c r="C36" s="41" t="s">
        <v>292</v>
      </c>
      <c r="D36" s="42">
        <f>SUM(D32:D35)</f>
        <v>386213.47097733436</v>
      </c>
      <c r="E36" s="41" t="s">
        <v>293</v>
      </c>
      <c r="F36" s="67"/>
      <c r="G36" s="3"/>
      <c r="H36" s="3"/>
      <c r="I36" s="3"/>
      <c r="J36" s="3"/>
    </row>
    <row r="37" spans="1:10" ht="20" customHeight="1">
      <c r="A37" s="4"/>
      <c r="B37" s="3"/>
      <c r="C37" s="3"/>
      <c r="D37" s="3"/>
      <c r="E37" s="3"/>
      <c r="F37" s="3"/>
      <c r="G37" s="3"/>
      <c r="H37" s="3"/>
      <c r="I37" s="3"/>
      <c r="J37" s="3"/>
    </row>
    <row r="38" spans="1:10" ht="20" customHeight="1">
      <c r="A38" s="49" t="s">
        <v>294</v>
      </c>
      <c r="B38" s="3"/>
      <c r="C38" s="3"/>
      <c r="D38" s="3"/>
      <c r="E38" s="3"/>
      <c r="F38" s="3"/>
      <c r="G38" s="3"/>
      <c r="H38" s="3"/>
      <c r="I38" s="3"/>
      <c r="J38" s="3"/>
    </row>
    <row r="39" spans="1:10" ht="70.25" customHeight="1">
      <c r="A39" s="49" t="s">
        <v>135</v>
      </c>
      <c r="B39" s="3" t="s">
        <v>295</v>
      </c>
      <c r="C39" s="3"/>
      <c r="D39" s="3"/>
      <c r="E39" s="3"/>
      <c r="F39" s="3"/>
      <c r="G39" s="3"/>
      <c r="H39" s="3"/>
      <c r="I39" s="3"/>
      <c r="J39" s="3"/>
    </row>
    <row r="40" spans="1:10" ht="70.25" customHeight="1">
      <c r="A40" s="49" t="s">
        <v>136</v>
      </c>
      <c r="B40" s="3" t="s">
        <v>296</v>
      </c>
      <c r="C40" s="3"/>
      <c r="D40" s="3"/>
      <c r="E40" s="3"/>
      <c r="F40" s="3"/>
      <c r="G40" s="3"/>
      <c r="H40" s="3"/>
      <c r="I40" s="3"/>
      <c r="J40" s="3"/>
    </row>
    <row r="41" spans="1:10" ht="88" customHeight="1">
      <c r="A41" s="49" t="s">
        <v>297</v>
      </c>
      <c r="B41" s="3" t="s">
        <v>298</v>
      </c>
      <c r="C41" s="3"/>
      <c r="D41" s="3"/>
      <c r="E41" s="3"/>
      <c r="F41" s="3"/>
      <c r="G41" s="3"/>
      <c r="H41" s="3"/>
      <c r="I41" s="3"/>
      <c r="J41" s="3"/>
    </row>
    <row r="42" spans="1:10" ht="105.5" customHeight="1">
      <c r="A42" s="49" t="s">
        <v>299</v>
      </c>
      <c r="B42" s="3" t="s">
        <v>300</v>
      </c>
      <c r="C42" s="3"/>
      <c r="D42" s="3"/>
      <c r="E42" s="3"/>
      <c r="F42" s="3"/>
      <c r="G42" s="3"/>
      <c r="H42" s="3"/>
      <c r="I42" s="3"/>
      <c r="J42" s="3"/>
    </row>
    <row r="43" spans="1:10">
      <c r="A43" s="3"/>
      <c r="B43" s="3"/>
      <c r="C43" s="3"/>
      <c r="D43" s="3"/>
      <c r="E43" s="3"/>
      <c r="F43" s="3"/>
      <c r="G43" s="3"/>
      <c r="H43" s="3"/>
      <c r="I43" s="3"/>
      <c r="J43" s="3"/>
    </row>
    <row r="44" spans="1:10">
      <c r="A44" s="55" t="s">
        <v>301</v>
      </c>
      <c r="B44" s="55"/>
      <c r="C44" s="55"/>
      <c r="D44" s="55"/>
      <c r="E44" s="55"/>
      <c r="F44" s="55"/>
      <c r="G44" s="3"/>
      <c r="H44" s="3"/>
      <c r="I44" s="3"/>
      <c r="J44" s="3"/>
    </row>
    <row r="45" spans="1:10" ht="48">
      <c r="A45" s="3" t="s">
        <v>302</v>
      </c>
      <c r="B45" s="3" t="s">
        <v>242</v>
      </c>
      <c r="C45" s="3">
        <f>D12</f>
        <v>1576.5048645036611</v>
      </c>
      <c r="D45" s="3" t="s">
        <v>303</v>
      </c>
      <c r="E45" s="3"/>
      <c r="F45" s="3"/>
      <c r="G45" s="3"/>
      <c r="H45" s="3"/>
      <c r="I45" s="3"/>
      <c r="J45" s="3"/>
    </row>
    <row r="46" spans="1:10" ht="16">
      <c r="A46" s="3" t="s">
        <v>304</v>
      </c>
      <c r="B46" s="3" t="s">
        <v>305</v>
      </c>
      <c r="C46" s="3">
        <f>D6</f>
        <v>411.85877881707552</v>
      </c>
      <c r="D46" s="3" t="s">
        <v>303</v>
      </c>
      <c r="E46" s="3"/>
      <c r="F46" s="3"/>
      <c r="G46" s="3"/>
      <c r="H46" s="3"/>
      <c r="I46" s="3"/>
      <c r="J46" s="3"/>
    </row>
    <row r="47" spans="1:10" ht="32">
      <c r="A47" s="3" t="s">
        <v>306</v>
      </c>
      <c r="B47" s="3" t="s">
        <v>245</v>
      </c>
      <c r="C47" s="3">
        <f>D13</f>
        <v>1166.0486633156813</v>
      </c>
      <c r="D47" s="3" t="s">
        <v>303</v>
      </c>
      <c r="E47" s="3"/>
      <c r="F47" s="3"/>
      <c r="G47" s="3"/>
      <c r="H47" s="3"/>
      <c r="I47" s="3"/>
      <c r="J47" s="3"/>
    </row>
    <row r="48" spans="1:10" ht="32">
      <c r="A48" s="3" t="s">
        <v>307</v>
      </c>
      <c r="B48" s="3" t="s">
        <v>308</v>
      </c>
      <c r="C48" s="3">
        <f>D7</f>
        <v>360.18560024601607</v>
      </c>
      <c r="D48" s="3" t="s">
        <v>303</v>
      </c>
      <c r="E48" s="3"/>
      <c r="F48" s="3"/>
      <c r="G48" s="3"/>
      <c r="H48" s="3"/>
      <c r="I48" s="3"/>
      <c r="J48" s="3"/>
    </row>
    <row r="49" spans="1:10" ht="48">
      <c r="A49" s="3" t="s">
        <v>309</v>
      </c>
      <c r="B49" s="3" t="s">
        <v>310</v>
      </c>
      <c r="C49" s="3">
        <f>D36</f>
        <v>386213.47097733436</v>
      </c>
      <c r="D49" s="3" t="s">
        <v>311</v>
      </c>
      <c r="E49" s="3"/>
      <c r="F49" s="3"/>
      <c r="G49" s="3"/>
      <c r="H49" s="3"/>
      <c r="I49" s="3"/>
      <c r="J49" s="3"/>
    </row>
    <row r="50" spans="1:10" ht="32">
      <c r="A50" s="3" t="s">
        <v>312</v>
      </c>
      <c r="B50" s="3" t="s">
        <v>313</v>
      </c>
      <c r="C50" s="3">
        <f>Column!B31</f>
        <v>0.70000000000000007</v>
      </c>
      <c r="D50" s="3" t="s">
        <v>83</v>
      </c>
      <c r="E50" s="3"/>
      <c r="F50" s="3"/>
      <c r="G50" s="3"/>
      <c r="H50" s="3"/>
      <c r="I50" s="3"/>
      <c r="J50" s="3"/>
    </row>
    <row r="51" spans="1:10">
      <c r="A51" s="3"/>
      <c r="B51" s="3"/>
      <c r="C51" s="3"/>
      <c r="D51" s="3"/>
      <c r="E51" s="3"/>
      <c r="F51" s="3"/>
      <c r="G51" s="3"/>
      <c r="H51" s="3"/>
      <c r="I51" s="3"/>
      <c r="J51" s="3"/>
    </row>
    <row r="52" spans="1:10">
      <c r="A52" s="3"/>
      <c r="B52" s="3"/>
      <c r="C52" s="3"/>
      <c r="D52" s="3"/>
      <c r="E52" s="3"/>
      <c r="F52" s="3"/>
      <c r="G52" s="3"/>
      <c r="H52" s="3"/>
      <c r="I52" s="3"/>
      <c r="J52" s="3"/>
    </row>
    <row r="53" spans="1:10">
      <c r="A53" s="3"/>
      <c r="B53" s="3"/>
      <c r="C53" s="3"/>
      <c r="D53" s="3"/>
      <c r="E53" s="3"/>
      <c r="F53" s="3"/>
      <c r="G53" s="3"/>
      <c r="H53" s="3"/>
      <c r="I53" s="3"/>
      <c r="J53" s="3"/>
    </row>
    <row r="54" spans="1:10">
      <c r="A54" s="3"/>
      <c r="B54" s="3"/>
      <c r="C54" s="3"/>
      <c r="D54" s="3"/>
      <c r="E54" s="3"/>
      <c r="F54" s="3"/>
      <c r="G54" s="3"/>
      <c r="H54" s="3"/>
      <c r="I54" s="3"/>
      <c r="J54" s="3"/>
    </row>
    <row r="55" spans="1:10">
      <c r="A55" s="3"/>
      <c r="B55" s="3"/>
      <c r="C55" s="3"/>
      <c r="D55" s="3"/>
      <c r="E55" s="3"/>
      <c r="F55" s="3"/>
      <c r="G55" s="3"/>
      <c r="H55" s="3"/>
      <c r="I55" s="3"/>
      <c r="J55" s="3"/>
    </row>
    <row r="56" spans="1:10">
      <c r="A56" s="3"/>
      <c r="B56" s="3"/>
      <c r="C56" s="3"/>
      <c r="D56" s="3"/>
      <c r="E56" s="3"/>
      <c r="F56" s="3"/>
      <c r="G56" s="3"/>
      <c r="H56" s="3"/>
      <c r="I56" s="3"/>
      <c r="J56" s="3"/>
    </row>
    <row r="57" spans="1:10">
      <c r="A57" s="3"/>
      <c r="B57" s="3"/>
      <c r="C57" s="3"/>
      <c r="D57" s="3"/>
      <c r="E57" s="3"/>
      <c r="F57" s="3"/>
      <c r="G57" s="3"/>
      <c r="H57" s="3"/>
      <c r="I57" s="3"/>
      <c r="J57" s="3"/>
    </row>
    <row r="58" spans="1:10">
      <c r="A58" s="3"/>
      <c r="B58" s="3"/>
      <c r="C58" s="3"/>
      <c r="D58" s="3"/>
      <c r="E58" s="3"/>
      <c r="F58" s="3"/>
      <c r="G58" s="3"/>
      <c r="H58" s="3"/>
      <c r="I58" s="3"/>
      <c r="J58" s="3"/>
    </row>
    <row r="59" spans="1:10">
      <c r="A59" s="3"/>
      <c r="B59" s="3"/>
      <c r="C59" s="3"/>
      <c r="D59" s="3"/>
      <c r="E59" s="3"/>
      <c r="F59" s="3"/>
      <c r="G59" s="3"/>
      <c r="H59" s="3"/>
      <c r="I59" s="3"/>
      <c r="J59" s="3"/>
    </row>
    <row r="60" spans="1:10">
      <c r="A60" s="3"/>
      <c r="B60" s="3"/>
      <c r="C60" s="3"/>
      <c r="D60" s="3"/>
      <c r="E60" s="3"/>
      <c r="F60" s="3"/>
      <c r="G60" s="3"/>
      <c r="H60" s="3"/>
      <c r="I60" s="3"/>
      <c r="J60" s="3"/>
    </row>
    <row r="61" spans="1:10">
      <c r="A61" s="3"/>
      <c r="B61" s="3"/>
      <c r="C61" s="3"/>
      <c r="D61" s="3"/>
      <c r="E61" s="3"/>
      <c r="F61" s="3"/>
      <c r="G61" s="3"/>
      <c r="H61" s="3"/>
      <c r="I61" s="3"/>
      <c r="J61" s="3"/>
    </row>
    <row r="62" spans="1:10">
      <c r="A62" s="3"/>
      <c r="B62" s="3"/>
      <c r="C62" s="3"/>
      <c r="D62" s="3"/>
      <c r="E62" s="3"/>
      <c r="F62" s="3"/>
      <c r="G62" s="3"/>
      <c r="H62" s="3"/>
      <c r="I62" s="3"/>
      <c r="J62" s="3"/>
    </row>
    <row r="63" spans="1:10">
      <c r="A63" s="3"/>
      <c r="B63" s="3"/>
      <c r="C63" s="3"/>
      <c r="D63" s="3"/>
      <c r="E63" s="3"/>
      <c r="F63" s="3"/>
      <c r="G63" s="3"/>
      <c r="H63" s="3"/>
      <c r="I63" s="3"/>
      <c r="J63" s="3"/>
    </row>
  </sheetData>
  <mergeCells count="2">
    <mergeCell ref="A1:J1"/>
    <mergeCell ref="A44:F4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0"/>
  <sheetViews>
    <sheetView workbookViewId="0">
      <selection sqref="A1:H1"/>
    </sheetView>
  </sheetViews>
  <sheetFormatPr baseColWidth="10" defaultColWidth="8.83203125" defaultRowHeight="15"/>
  <cols>
    <col min="1" max="1" width="22" customWidth="1"/>
    <col min="2" max="7" width="18" customWidth="1"/>
    <col min="8" max="8" width="24" customWidth="1"/>
    <col min="9" max="10" width="18" customWidth="1"/>
  </cols>
  <sheetData>
    <row r="1" spans="1:10" ht="24" customHeight="1">
      <c r="A1" s="81" t="s">
        <v>314</v>
      </c>
      <c r="B1" s="82"/>
      <c r="C1" s="82"/>
      <c r="D1" s="82"/>
      <c r="E1" s="82"/>
      <c r="F1" s="82"/>
      <c r="G1" s="82"/>
      <c r="H1" s="82"/>
      <c r="I1" s="3"/>
      <c r="J1" s="3"/>
    </row>
    <row r="2" spans="1:10">
      <c r="A2" s="3"/>
      <c r="B2" s="3"/>
      <c r="C2" s="3"/>
      <c r="D2" s="3"/>
      <c r="E2" s="3"/>
      <c r="F2" s="3"/>
      <c r="G2" s="3"/>
      <c r="H2" s="3"/>
      <c r="I2" s="3"/>
      <c r="J2" s="3"/>
    </row>
    <row r="3" spans="1:10" ht="42.75" customHeight="1">
      <c r="A3" s="1" t="s">
        <v>315</v>
      </c>
      <c r="B3" s="1" t="s">
        <v>316</v>
      </c>
      <c r="C3" s="1" t="s">
        <v>160</v>
      </c>
      <c r="D3" s="1" t="s">
        <v>162</v>
      </c>
      <c r="E3" s="1" t="s">
        <v>317</v>
      </c>
      <c r="F3" s="1" t="s">
        <v>318</v>
      </c>
      <c r="G3" s="3"/>
      <c r="H3" s="3"/>
      <c r="I3" s="3"/>
      <c r="J3" s="3"/>
    </row>
    <row r="4" spans="1:10">
      <c r="A4" s="3">
        <v>1.2</v>
      </c>
      <c r="B4" s="7">
        <f>A4*Column!$B$18</f>
        <v>1.751202566884589</v>
      </c>
      <c r="C4" s="7">
        <v>13.314589650986109</v>
      </c>
      <c r="D4" s="7">
        <v>20</v>
      </c>
      <c r="E4" s="13">
        <f>(B4+1)*Column!$B$15*(Column!$G$5*Inputs!$E$14+Column!$G$4*Inputs!$E$13)/3.6</f>
        <v>411.85877881707552</v>
      </c>
      <c r="F4" s="14">
        <f>(((60000*(Column!$B$31/0.5)^1.1*((2.5+D4*Column!$B$32)/10)^0.8)+(1200*D4*(Column!$B$31/0.5)^1.2)+(Energy_Cost!$B$26+Energy_Cost!$B$27+Energy_Cost!$B$28)+(15000*(E4/100)^0.65+15000*(((E4*Energy_Cost!$D$7/Energy_Cost!$D$6))/100)^0.65))*Energy_Cost!$B$20*Energy_Cost!$B$21)+(E4*Energy_Cost!$B$16*0.0036*Energy_Cost!$B$17)+(((E4*Energy_Cost!$D$7/Energy_Cost!$D$6))*Energy_Cost!$B$16*0.0036*Energy_Cost!$B$18)+(Energy_Cost!$D$35)</f>
        <v>386213.47097733436</v>
      </c>
      <c r="G4" s="3"/>
      <c r="H4" s="3"/>
      <c r="I4" s="3"/>
      <c r="J4" s="3"/>
    </row>
    <row r="5" spans="1:10">
      <c r="A5" s="3">
        <v>1.3</v>
      </c>
      <c r="B5" s="7">
        <f>A5*Column!$B$18</f>
        <v>1.8971361141249714</v>
      </c>
      <c r="C5" s="7">
        <v>12.06012733450634</v>
      </c>
      <c r="D5" s="7">
        <v>19</v>
      </c>
      <c r="E5" s="13">
        <f>(B5+1)*Column!$B$15*(Column!$G$5*Inputs!$E$14+Column!$G$4*Inputs!$E$13)/3.6</f>
        <v>433.70522999385258</v>
      </c>
      <c r="F5" s="14">
        <f>(((60000*(Column!$B$31/0.5)^1.1*((2.5+D5*Column!$B$32)/10)^0.8)+(1200*D5*(Column!$B$31/0.5)^1.2)+(Energy_Cost!$B$26+Energy_Cost!$B$27+Energy_Cost!$B$28)+(15000*(E5/100)^0.65+15000*(((E5*Energy_Cost!$D$7/Energy_Cost!$D$6))/100)^0.65))*Energy_Cost!$B$20*Energy_Cost!$B$21)+(E5*Energy_Cost!$B$16*0.0036*Energy_Cost!$B$17)+(((E5*Energy_Cost!$D$7/Energy_Cost!$D$6))*Energy_Cost!$B$16*0.0036*Energy_Cost!$B$18)+(Energy_Cost!$D$35)</f>
        <v>396470.61111056729</v>
      </c>
      <c r="G5" s="3"/>
      <c r="H5" s="3"/>
      <c r="I5" s="3"/>
      <c r="J5" s="3"/>
    </row>
    <row r="6" spans="1:10">
      <c r="A6" s="3">
        <v>1.5</v>
      </c>
      <c r="B6" s="7">
        <f>A6*Column!$B$18</f>
        <v>2.1890032086057363</v>
      </c>
      <c r="C6" s="7">
        <v>10.490772414112429</v>
      </c>
      <c r="D6" s="7">
        <v>16</v>
      </c>
      <c r="E6" s="13">
        <f>(B6+1)*Column!$B$15*(Column!$G$5*Inputs!$E$14+Column!$G$4*Inputs!$E$13)/3.6</f>
        <v>477.39813234740672</v>
      </c>
      <c r="F6" s="14">
        <f>(((60000*(Column!$B$31/0.5)^1.1*((2.5+D6*Column!$B$32)/10)^0.8)+(1200*D6*(Column!$B$31/0.5)^1.2)+(Energy_Cost!$B$26+Energy_Cost!$B$27+Energy_Cost!$B$28)+(15000*(E6/100)^0.65+15000*(((E6*Energy_Cost!$D$7/Energy_Cost!$D$6))/100)^0.65))*Energy_Cost!$B$20*Energy_Cost!$B$21)+(E6*Energy_Cost!$B$16*0.0036*Energy_Cost!$B$17)+(((E6*Energy_Cost!$D$7/Energy_Cost!$D$6))*Energy_Cost!$B$16*0.0036*Energy_Cost!$B$18)+(Energy_Cost!$D$35)</f>
        <v>414213.64712059358</v>
      </c>
      <c r="G6" s="3"/>
      <c r="H6" s="3"/>
      <c r="I6" s="3"/>
      <c r="J6" s="3"/>
    </row>
    <row r="7" spans="1:10">
      <c r="A7" s="3">
        <v>1.8</v>
      </c>
      <c r="B7" s="7">
        <f>A7*Column!$B$18</f>
        <v>2.6268038503268833</v>
      </c>
      <c r="C7" s="7">
        <v>9.1990989028012073</v>
      </c>
      <c r="D7" s="7">
        <v>15</v>
      </c>
      <c r="E7" s="13">
        <f>(B7+1)*Column!$B$15*(Column!$G$5*Inputs!$E$14+Column!$G$4*Inputs!$E$13)/3.6</f>
        <v>542.93748587773791</v>
      </c>
      <c r="F7" s="14">
        <f>(((60000*(Column!$B$31/0.5)^1.1*((2.5+D7*Column!$B$32)/10)^0.8)+(1200*D7*(Column!$B$31/0.5)^1.2)+(Energy_Cost!$B$26+Energy_Cost!$B$27+Energy_Cost!$B$28)+(15000*(E7/100)^0.65+15000*(((E7*Energy_Cost!$D$7/Energy_Cost!$D$6))/100)^0.65))*Energy_Cost!$B$20*Energy_Cost!$B$21)+(E7*Energy_Cost!$B$16*0.0036*Energy_Cost!$B$17)+(((E7*Energy_Cost!$D$7/Energy_Cost!$D$6))*Energy_Cost!$B$16*0.0036*Energy_Cost!$B$18)+(Energy_Cost!$D$35)</f>
        <v>449911.91171751538</v>
      </c>
      <c r="G7" s="3"/>
      <c r="H7" s="3"/>
      <c r="I7" s="3"/>
      <c r="J7" s="3"/>
    </row>
    <row r="8" spans="1:10">
      <c r="A8" s="3">
        <v>2</v>
      </c>
      <c r="B8" s="7">
        <f>A8*Column!$B$18</f>
        <v>2.9186709448076482</v>
      </c>
      <c r="C8" s="7">
        <v>8.6632884096349922</v>
      </c>
      <c r="D8" s="7">
        <v>13</v>
      </c>
      <c r="E8" s="13">
        <f>(B8+1)*Column!$B$15*(Column!$G$5*Inputs!$E$14+Column!$G$4*Inputs!$E$13)/3.6</f>
        <v>586.63038823129205</v>
      </c>
      <c r="F8" s="14">
        <f>(((60000*(Column!$B$31/0.5)^1.1*((2.5+D8*Column!$B$32)/10)^0.8)+(1200*D8*(Column!$B$31/0.5)^1.2)+(Energy_Cost!$B$26+Energy_Cost!$B$27+Energy_Cost!$B$28)+(15000*(E8/100)^0.65+15000*(((E8*Energy_Cost!$D$7/Energy_Cost!$D$6))/100)^0.65))*Energy_Cost!$B$20*Energy_Cost!$B$21)+(E8*Energy_Cost!$B$16*0.0036*Energy_Cost!$B$17)+(((E8*Energy_Cost!$D$7/Energy_Cost!$D$6))*Energy_Cost!$B$16*0.0036*Energy_Cost!$B$18)+(Energy_Cost!$D$35)</f>
        <v>470001.88139690878</v>
      </c>
      <c r="G8" s="3"/>
      <c r="H8" s="3"/>
      <c r="I8" s="3"/>
      <c r="J8" s="3"/>
    </row>
    <row r="9" spans="1:10">
      <c r="A9" s="3"/>
      <c r="B9" s="3"/>
      <c r="C9" s="3"/>
      <c r="D9" s="3"/>
      <c r="E9" s="3"/>
      <c r="F9" s="3"/>
      <c r="G9" s="3"/>
      <c r="H9" s="3"/>
      <c r="I9" s="3"/>
      <c r="J9" s="3"/>
    </row>
    <row r="10" spans="1:10" ht="170.75" customHeight="1">
      <c r="A10" s="4" t="s">
        <v>319</v>
      </c>
      <c r="B10" s="3">
        <v>1.2</v>
      </c>
      <c r="C10" s="3" t="s">
        <v>320</v>
      </c>
      <c r="D10" s="3"/>
      <c r="E10" s="3"/>
      <c r="F10" s="3"/>
      <c r="G10" s="3"/>
      <c r="H10" s="3"/>
      <c r="I10" s="3"/>
      <c r="J10" s="3"/>
    </row>
    <row r="11" spans="1:10" ht="192" customHeight="1">
      <c r="A11" s="4" t="s">
        <v>321</v>
      </c>
      <c r="B11" s="3" t="s">
        <v>322</v>
      </c>
      <c r="C11" s="3"/>
      <c r="D11" s="3"/>
      <c r="E11" s="3"/>
      <c r="F11" s="3"/>
      <c r="G11" s="3"/>
      <c r="H11" s="3"/>
      <c r="I11" s="3"/>
      <c r="J11" s="3"/>
    </row>
    <row r="12" spans="1:10" ht="192" customHeight="1">
      <c r="A12" s="4" t="s">
        <v>323</v>
      </c>
      <c r="B12" s="3" t="s">
        <v>324</v>
      </c>
      <c r="C12" s="3"/>
      <c r="D12" s="3"/>
      <c r="E12" s="3"/>
      <c r="F12" s="3"/>
      <c r="G12" s="3"/>
      <c r="H12" s="3"/>
      <c r="I12" s="3"/>
      <c r="J12" s="3"/>
    </row>
    <row r="13" spans="1:10" ht="42.75" customHeight="1">
      <c r="A13" s="4" t="s">
        <v>325</v>
      </c>
      <c r="B13" s="3">
        <f>Column!B19</f>
        <v>1.751202566884589</v>
      </c>
      <c r="C13" s="3" t="s">
        <v>326</v>
      </c>
      <c r="D13" s="3"/>
      <c r="E13" s="3"/>
      <c r="F13" s="3"/>
      <c r="G13" s="3"/>
      <c r="H13" s="3"/>
      <c r="I13" s="3"/>
      <c r="J13" s="3"/>
    </row>
    <row r="14" spans="1:10">
      <c r="A14" s="3"/>
      <c r="B14" s="3"/>
      <c r="C14" s="3"/>
      <c r="D14" s="3"/>
      <c r="E14" s="3"/>
      <c r="F14" s="3"/>
      <c r="G14" s="3"/>
      <c r="H14" s="3"/>
      <c r="I14" s="3"/>
      <c r="J14" s="3"/>
    </row>
    <row r="15" spans="1:10">
      <c r="A15" s="3"/>
      <c r="B15" s="3"/>
      <c r="C15" s="3"/>
      <c r="D15" s="3"/>
      <c r="E15" s="3"/>
      <c r="F15" s="3"/>
      <c r="G15" s="3"/>
      <c r="H15" s="3"/>
      <c r="I15" s="3"/>
      <c r="J15" s="3"/>
    </row>
    <row r="16" spans="1:10">
      <c r="A16" s="3"/>
      <c r="B16" s="3"/>
      <c r="C16" s="3"/>
      <c r="D16" s="3"/>
      <c r="E16" s="3"/>
      <c r="F16" s="3"/>
      <c r="G16" s="3"/>
      <c r="H16" s="3"/>
      <c r="I16" s="3"/>
      <c r="J16" s="3"/>
    </row>
    <row r="17" spans="1:10">
      <c r="A17" s="3"/>
      <c r="B17" s="3"/>
      <c r="C17" s="3"/>
      <c r="D17" s="3"/>
      <c r="E17" s="3"/>
      <c r="F17" s="3"/>
      <c r="G17" s="3"/>
      <c r="H17" s="3"/>
      <c r="I17" s="3"/>
      <c r="J17" s="3"/>
    </row>
    <row r="18" spans="1:10">
      <c r="A18" s="3"/>
      <c r="B18" s="3"/>
      <c r="C18" s="3"/>
      <c r="D18" s="3"/>
      <c r="E18" s="3"/>
      <c r="F18" s="3"/>
      <c r="G18" s="3"/>
      <c r="H18" s="3"/>
      <c r="I18" s="3"/>
      <c r="J18" s="3"/>
    </row>
    <row r="19" spans="1:10">
      <c r="A19" s="3"/>
      <c r="B19" s="3"/>
      <c r="C19" s="3"/>
      <c r="D19" s="3"/>
      <c r="E19" s="3"/>
      <c r="F19" s="3"/>
      <c r="G19" s="3"/>
      <c r="H19" s="3"/>
      <c r="I19" s="3"/>
      <c r="J19" s="3"/>
    </row>
    <row r="20" spans="1:10">
      <c r="A20" s="3"/>
      <c r="B20" s="3"/>
      <c r="C20" s="3"/>
      <c r="D20" s="3"/>
      <c r="E20" s="3"/>
      <c r="F20" s="3"/>
      <c r="G20" s="3"/>
      <c r="H20" s="3"/>
      <c r="I20" s="3"/>
      <c r="J20" s="3"/>
    </row>
    <row r="21" spans="1:10">
      <c r="A21" s="3"/>
      <c r="B21" s="3"/>
      <c r="C21" s="3"/>
      <c r="D21" s="3"/>
      <c r="E21" s="3"/>
      <c r="F21" s="3"/>
      <c r="G21" s="3"/>
      <c r="H21" s="3"/>
      <c r="I21" s="3"/>
      <c r="J21" s="3"/>
    </row>
    <row r="22" spans="1:10">
      <c r="A22" s="3"/>
      <c r="B22" s="3"/>
      <c r="C22" s="3"/>
      <c r="D22" s="3"/>
      <c r="E22" s="3"/>
      <c r="F22" s="3"/>
      <c r="G22" s="3"/>
      <c r="H22" s="3"/>
      <c r="I22" s="3"/>
      <c r="J22" s="3"/>
    </row>
    <row r="23" spans="1:10">
      <c r="A23" s="3"/>
      <c r="B23" s="3"/>
      <c r="C23" s="3"/>
      <c r="D23" s="3"/>
      <c r="E23" s="3"/>
      <c r="F23" s="3"/>
      <c r="G23" s="3"/>
      <c r="H23" s="3"/>
      <c r="I23" s="3"/>
      <c r="J23" s="3"/>
    </row>
    <row r="24" spans="1:10">
      <c r="A24" s="3"/>
      <c r="B24" s="3"/>
      <c r="C24" s="3"/>
      <c r="D24" s="3"/>
      <c r="E24" s="3"/>
      <c r="F24" s="3"/>
      <c r="G24" s="3"/>
      <c r="H24" s="3"/>
      <c r="I24" s="3"/>
      <c r="J24" s="3"/>
    </row>
    <row r="25" spans="1:10">
      <c r="A25" s="3"/>
      <c r="B25" s="3"/>
      <c r="C25" s="3"/>
      <c r="D25" s="3"/>
      <c r="E25" s="3"/>
      <c r="F25" s="3"/>
      <c r="G25" s="3"/>
      <c r="H25" s="3"/>
      <c r="I25" s="3"/>
      <c r="J25" s="3"/>
    </row>
    <row r="26" spans="1:10">
      <c r="A26" s="3"/>
      <c r="B26" s="3"/>
      <c r="C26" s="3"/>
      <c r="D26" s="3"/>
      <c r="E26" s="3"/>
      <c r="F26" s="3"/>
      <c r="G26" s="3"/>
      <c r="H26" s="3"/>
      <c r="I26" s="3"/>
      <c r="J26" s="3"/>
    </row>
    <row r="27" spans="1:10">
      <c r="A27" s="3"/>
      <c r="B27" s="3"/>
      <c r="C27" s="3"/>
      <c r="D27" s="3"/>
      <c r="E27" s="3"/>
      <c r="F27" s="3"/>
      <c r="G27" s="3"/>
      <c r="H27" s="3"/>
      <c r="I27" s="3"/>
      <c r="J27" s="3"/>
    </row>
    <row r="28" spans="1:10">
      <c r="A28" s="3"/>
      <c r="B28" s="3"/>
      <c r="C28" s="3"/>
      <c r="D28" s="3"/>
      <c r="E28" s="3"/>
      <c r="F28" s="3"/>
      <c r="G28" s="3"/>
      <c r="H28" s="3"/>
      <c r="I28" s="3"/>
      <c r="J28" s="3"/>
    </row>
    <row r="29" spans="1:10">
      <c r="A29" s="3"/>
      <c r="B29" s="3"/>
      <c r="C29" s="3"/>
      <c r="D29" s="3"/>
      <c r="E29" s="3"/>
      <c r="F29" s="3"/>
      <c r="G29" s="3"/>
      <c r="H29" s="3"/>
      <c r="I29" s="3"/>
      <c r="J29" s="3"/>
    </row>
    <row r="30" spans="1:10">
      <c r="A30" s="3"/>
      <c r="B30" s="3"/>
      <c r="C30" s="3"/>
      <c r="D30" s="3"/>
      <c r="E30" s="3"/>
      <c r="F30" s="3"/>
      <c r="G30" s="3"/>
      <c r="H30" s="3"/>
      <c r="I30" s="3"/>
      <c r="J30" s="3"/>
    </row>
    <row r="31" spans="1:10">
      <c r="A31" s="3"/>
      <c r="B31" s="3"/>
      <c r="C31" s="3"/>
      <c r="D31" s="3"/>
      <c r="E31" s="3"/>
      <c r="F31" s="3"/>
      <c r="G31" s="3"/>
      <c r="H31" s="3"/>
      <c r="I31" s="3"/>
      <c r="J31" s="3"/>
    </row>
    <row r="32" spans="1:10">
      <c r="A32" s="3"/>
      <c r="B32" s="3"/>
      <c r="C32" s="3"/>
      <c r="D32" s="3"/>
      <c r="E32" s="3"/>
      <c r="F32" s="3"/>
      <c r="G32" s="3"/>
      <c r="H32" s="3"/>
      <c r="I32" s="3"/>
      <c r="J32" s="3"/>
    </row>
    <row r="33" spans="1:10">
      <c r="A33" s="3"/>
      <c r="B33" s="3"/>
      <c r="C33" s="3"/>
      <c r="D33" s="3"/>
      <c r="E33" s="3"/>
      <c r="F33" s="3"/>
      <c r="G33" s="3"/>
      <c r="H33" s="3"/>
      <c r="I33" s="3"/>
      <c r="J33" s="3"/>
    </row>
    <row r="34" spans="1:10">
      <c r="A34" s="3"/>
      <c r="B34" s="3"/>
      <c r="C34" s="3"/>
      <c r="D34" s="3"/>
      <c r="E34" s="3"/>
      <c r="F34" s="3"/>
      <c r="G34" s="3"/>
      <c r="H34" s="3"/>
      <c r="I34" s="3"/>
      <c r="J34" s="3"/>
    </row>
    <row r="35" spans="1:10">
      <c r="A35" s="3"/>
      <c r="B35" s="3"/>
      <c r="C35" s="3"/>
      <c r="D35" s="3"/>
      <c r="E35" s="3"/>
      <c r="F35" s="3"/>
      <c r="G35" s="3"/>
      <c r="H35" s="3"/>
      <c r="I35" s="3"/>
      <c r="J35" s="3"/>
    </row>
    <row r="36" spans="1:10">
      <c r="A36" s="3"/>
      <c r="B36" s="3"/>
      <c r="C36" s="3"/>
      <c r="D36" s="3"/>
      <c r="E36" s="3"/>
      <c r="F36" s="3"/>
      <c r="G36" s="3"/>
      <c r="H36" s="3"/>
      <c r="I36" s="3"/>
      <c r="J36" s="3"/>
    </row>
    <row r="37" spans="1:10">
      <c r="A37" s="3"/>
      <c r="B37" s="3"/>
      <c r="C37" s="3"/>
      <c r="D37" s="3"/>
      <c r="E37" s="3"/>
      <c r="F37" s="3"/>
      <c r="G37" s="3"/>
      <c r="H37" s="3"/>
      <c r="I37" s="3"/>
      <c r="J37" s="3"/>
    </row>
    <row r="38" spans="1:10">
      <c r="A38" s="3"/>
      <c r="B38" s="3"/>
      <c r="C38" s="3"/>
      <c r="D38" s="3"/>
      <c r="E38" s="3"/>
      <c r="F38" s="3"/>
      <c r="G38" s="3"/>
      <c r="H38" s="3"/>
      <c r="I38" s="3"/>
      <c r="J38" s="3"/>
    </row>
    <row r="39" spans="1:10">
      <c r="A39" s="3"/>
      <c r="B39" s="3"/>
      <c r="C39" s="3"/>
      <c r="D39" s="3"/>
      <c r="E39" s="3"/>
      <c r="F39" s="3"/>
      <c r="G39" s="3"/>
      <c r="H39" s="3"/>
      <c r="I39" s="3"/>
      <c r="J39" s="3"/>
    </row>
    <row r="40" spans="1:10">
      <c r="A40" s="3"/>
      <c r="B40" s="3"/>
      <c r="C40" s="3"/>
      <c r="D40" s="3"/>
      <c r="E40" s="3"/>
      <c r="F40" s="3"/>
      <c r="G40" s="3"/>
      <c r="H40" s="3"/>
      <c r="I40" s="3"/>
      <c r="J40" s="3"/>
    </row>
    <row r="41" spans="1:10">
      <c r="A41" s="3"/>
      <c r="B41" s="3"/>
      <c r="C41" s="3"/>
      <c r="D41" s="3"/>
      <c r="E41" s="3"/>
      <c r="F41" s="3"/>
      <c r="G41" s="3"/>
      <c r="H41" s="3"/>
      <c r="I41" s="3"/>
      <c r="J41" s="3"/>
    </row>
    <row r="42" spans="1:10">
      <c r="A42" s="3"/>
      <c r="B42" s="3"/>
      <c r="C42" s="3"/>
      <c r="D42" s="3"/>
      <c r="E42" s="3"/>
      <c r="F42" s="3"/>
      <c r="G42" s="3"/>
      <c r="H42" s="3"/>
      <c r="I42" s="3"/>
      <c r="J42" s="3"/>
    </row>
    <row r="43" spans="1:10">
      <c r="A43" s="3"/>
      <c r="B43" s="3"/>
      <c r="C43" s="3"/>
      <c r="D43" s="3"/>
      <c r="E43" s="3"/>
      <c r="F43" s="3"/>
      <c r="G43" s="3"/>
      <c r="H43" s="3"/>
      <c r="I43" s="3"/>
      <c r="J43" s="3"/>
    </row>
    <row r="44" spans="1:10">
      <c r="A44" s="3"/>
      <c r="B44" s="3"/>
      <c r="C44" s="3"/>
      <c r="D44" s="3"/>
      <c r="E44" s="3"/>
      <c r="F44" s="3"/>
      <c r="G44" s="3"/>
      <c r="H44" s="3"/>
      <c r="I44" s="3"/>
      <c r="J44" s="3"/>
    </row>
    <row r="45" spans="1:10">
      <c r="A45" s="3"/>
      <c r="B45" s="3"/>
      <c r="C45" s="3"/>
      <c r="D45" s="3"/>
      <c r="E45" s="3"/>
      <c r="F45" s="3"/>
      <c r="G45" s="3"/>
      <c r="H45" s="3"/>
      <c r="I45" s="3"/>
      <c r="J45" s="3"/>
    </row>
    <row r="46" spans="1:10">
      <c r="A46" s="3"/>
      <c r="B46" s="3"/>
      <c r="C46" s="3"/>
      <c r="D46" s="3"/>
      <c r="E46" s="3"/>
      <c r="F46" s="3"/>
      <c r="G46" s="3"/>
      <c r="H46" s="3"/>
      <c r="I46" s="3"/>
      <c r="J46" s="3"/>
    </row>
    <row r="47" spans="1:10">
      <c r="A47" s="3"/>
      <c r="B47" s="3"/>
      <c r="C47" s="3"/>
      <c r="D47" s="3"/>
      <c r="E47" s="3"/>
      <c r="F47" s="3"/>
      <c r="G47" s="3"/>
      <c r="H47" s="3"/>
      <c r="I47" s="3"/>
      <c r="J47" s="3"/>
    </row>
    <row r="48" spans="1:10">
      <c r="A48" s="3"/>
      <c r="B48" s="3"/>
      <c r="C48" s="3"/>
      <c r="D48" s="3"/>
      <c r="E48" s="3"/>
      <c r="F48" s="3"/>
      <c r="G48" s="3"/>
      <c r="H48" s="3"/>
      <c r="I48" s="3"/>
      <c r="J48" s="3"/>
    </row>
    <row r="49" spans="1:10">
      <c r="A49" s="3"/>
      <c r="B49" s="3"/>
      <c r="C49" s="3"/>
      <c r="D49" s="3"/>
      <c r="E49" s="3"/>
      <c r="F49" s="3"/>
      <c r="G49" s="3"/>
      <c r="H49" s="3"/>
      <c r="I49" s="3"/>
      <c r="J49" s="3"/>
    </row>
    <row r="50" spans="1:10">
      <c r="A50" s="3"/>
      <c r="B50" s="3"/>
      <c r="C50" s="3"/>
      <c r="D50" s="3"/>
      <c r="E50" s="3"/>
      <c r="F50" s="3"/>
      <c r="G50" s="3"/>
      <c r="H50" s="3"/>
      <c r="I50" s="3"/>
      <c r="J50" s="3"/>
    </row>
    <row r="51" spans="1:10">
      <c r="A51" s="3"/>
      <c r="B51" s="3"/>
      <c r="C51" s="3"/>
      <c r="D51" s="3"/>
      <c r="E51" s="3"/>
      <c r="F51" s="3"/>
      <c r="G51" s="3"/>
      <c r="H51" s="3"/>
      <c r="I51" s="3"/>
      <c r="J51" s="3"/>
    </row>
    <row r="52" spans="1:10">
      <c r="A52" s="3"/>
      <c r="B52" s="3"/>
      <c r="C52" s="3"/>
      <c r="D52" s="3"/>
      <c r="E52" s="3"/>
      <c r="F52" s="3"/>
      <c r="G52" s="3"/>
      <c r="H52" s="3"/>
      <c r="I52" s="3"/>
      <c r="J52" s="3"/>
    </row>
    <row r="53" spans="1:10">
      <c r="A53" s="3"/>
      <c r="B53" s="3"/>
      <c r="C53" s="3"/>
      <c r="D53" s="3"/>
      <c r="E53" s="3"/>
      <c r="F53" s="3"/>
      <c r="G53" s="3"/>
      <c r="H53" s="3"/>
      <c r="I53" s="3"/>
      <c r="J53" s="3"/>
    </row>
    <row r="54" spans="1:10">
      <c r="A54" s="3"/>
      <c r="B54" s="3"/>
      <c r="C54" s="3"/>
      <c r="D54" s="3"/>
      <c r="E54" s="3"/>
      <c r="F54" s="3"/>
      <c r="G54" s="3"/>
      <c r="H54" s="3"/>
      <c r="I54" s="3"/>
      <c r="J54" s="3"/>
    </row>
    <row r="55" spans="1:10">
      <c r="A55" s="3"/>
      <c r="B55" s="3"/>
      <c r="C55" s="3"/>
      <c r="D55" s="3"/>
      <c r="E55" s="3"/>
      <c r="F55" s="3"/>
      <c r="G55" s="3"/>
      <c r="H55" s="3"/>
      <c r="I55" s="3"/>
      <c r="J55" s="3"/>
    </row>
    <row r="56" spans="1:10">
      <c r="A56" s="3"/>
      <c r="B56" s="3"/>
      <c r="C56" s="3"/>
      <c r="D56" s="3"/>
      <c r="E56" s="3"/>
      <c r="F56" s="3"/>
      <c r="G56" s="3"/>
      <c r="H56" s="3"/>
      <c r="I56" s="3"/>
      <c r="J56" s="3"/>
    </row>
    <row r="57" spans="1:10">
      <c r="A57" s="3"/>
      <c r="B57" s="3"/>
      <c r="C57" s="3"/>
      <c r="D57" s="3"/>
      <c r="E57" s="3"/>
      <c r="F57" s="3"/>
      <c r="G57" s="3"/>
      <c r="H57" s="3"/>
      <c r="I57" s="3"/>
      <c r="J57" s="3"/>
    </row>
    <row r="58" spans="1:10">
      <c r="A58" s="3"/>
      <c r="B58" s="3"/>
      <c r="C58" s="3"/>
      <c r="D58" s="3"/>
      <c r="E58" s="3"/>
      <c r="F58" s="3"/>
      <c r="G58" s="3"/>
      <c r="H58" s="3"/>
      <c r="I58" s="3"/>
      <c r="J58" s="3"/>
    </row>
    <row r="59" spans="1:10">
      <c r="A59" s="3"/>
      <c r="B59" s="3"/>
      <c r="C59" s="3"/>
      <c r="D59" s="3"/>
      <c r="E59" s="3"/>
      <c r="F59" s="3"/>
      <c r="G59" s="3"/>
      <c r="H59" s="3"/>
      <c r="I59" s="3"/>
      <c r="J59" s="3"/>
    </row>
    <row r="60" spans="1:10">
      <c r="A60" s="3"/>
      <c r="B60" s="3"/>
      <c r="C60" s="3"/>
      <c r="D60" s="3"/>
      <c r="E60" s="3"/>
      <c r="F60" s="3"/>
      <c r="G60" s="3"/>
      <c r="H60" s="3"/>
      <c r="I60" s="3"/>
      <c r="J60" s="3"/>
    </row>
  </sheetData>
  <mergeCells count="1">
    <mergeCell ref="A1:H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60"/>
  <sheetViews>
    <sheetView workbookViewId="0">
      <selection sqref="A1:H1"/>
    </sheetView>
  </sheetViews>
  <sheetFormatPr baseColWidth="10" defaultColWidth="8.83203125" defaultRowHeight="15"/>
  <cols>
    <col min="1" max="1" width="22" customWidth="1"/>
    <col min="2" max="7" width="18" customWidth="1"/>
    <col min="8" max="8" width="24" customWidth="1"/>
    <col min="9" max="10" width="18" customWidth="1"/>
  </cols>
  <sheetData>
    <row r="1" spans="1:10" ht="24" customHeight="1">
      <c r="A1" s="81" t="s">
        <v>327</v>
      </c>
      <c r="B1" s="82"/>
      <c r="C1" s="82"/>
      <c r="D1" s="82"/>
      <c r="E1" s="82"/>
      <c r="F1" s="82"/>
      <c r="G1" s="82"/>
      <c r="H1" s="82"/>
      <c r="I1" s="3"/>
      <c r="J1" s="3"/>
    </row>
    <row r="2" spans="1:10">
      <c r="A2" s="3"/>
      <c r="B2" s="3"/>
      <c r="C2" s="3"/>
      <c r="D2" s="3"/>
      <c r="E2" s="3"/>
      <c r="F2" s="3"/>
      <c r="G2" s="3"/>
      <c r="H2" s="3"/>
      <c r="I2" s="3"/>
      <c r="J2" s="3"/>
    </row>
    <row r="3" spans="1:10" ht="21.25" customHeight="1">
      <c r="A3" s="1" t="s">
        <v>328</v>
      </c>
      <c r="B3" s="1" t="s">
        <v>42</v>
      </c>
      <c r="C3" s="1" t="s">
        <v>329</v>
      </c>
      <c r="D3" s="66"/>
      <c r="E3" s="66"/>
      <c r="F3" s="3"/>
      <c r="G3" s="3"/>
      <c r="H3" s="3"/>
      <c r="I3" s="3"/>
      <c r="J3" s="3"/>
    </row>
    <row r="4" spans="1:10" ht="106.75" customHeight="1">
      <c r="A4" s="3">
        <v>1</v>
      </c>
      <c r="B4" s="3" t="s">
        <v>330</v>
      </c>
      <c r="C4" s="3" t="s">
        <v>331</v>
      </c>
      <c r="D4" s="67"/>
      <c r="E4" s="67"/>
      <c r="F4" s="3"/>
      <c r="G4" s="3"/>
      <c r="H4" s="3"/>
      <c r="I4" s="3"/>
      <c r="J4" s="3"/>
    </row>
    <row r="5" spans="1:10" ht="64" customHeight="1">
      <c r="A5" s="3">
        <v>2</v>
      </c>
      <c r="B5" s="3" t="s">
        <v>332</v>
      </c>
      <c r="C5" s="3" t="s">
        <v>333</v>
      </c>
      <c r="D5" s="67"/>
      <c r="E5" s="67"/>
      <c r="F5" s="3"/>
      <c r="G5" s="3"/>
      <c r="H5" s="3"/>
      <c r="I5" s="3"/>
      <c r="J5" s="3"/>
    </row>
    <row r="6" spans="1:10" ht="85.25" customHeight="1">
      <c r="A6" s="3">
        <v>3</v>
      </c>
      <c r="B6" s="3" t="s">
        <v>334</v>
      </c>
      <c r="C6" s="3" t="s">
        <v>335</v>
      </c>
      <c r="D6" s="67"/>
      <c r="E6" s="67"/>
      <c r="F6" s="3"/>
      <c r="G6" s="3"/>
      <c r="H6" s="3"/>
      <c r="I6" s="3"/>
      <c r="J6" s="3"/>
    </row>
    <row r="7" spans="1:10" ht="85.25" customHeight="1">
      <c r="A7" s="3">
        <v>4</v>
      </c>
      <c r="B7" s="3" t="s">
        <v>336</v>
      </c>
      <c r="C7" s="3" t="s">
        <v>337</v>
      </c>
      <c r="D7" s="67"/>
      <c r="E7" s="67"/>
      <c r="F7" s="3"/>
      <c r="G7" s="3"/>
      <c r="H7" s="3"/>
      <c r="I7" s="3"/>
      <c r="J7" s="3"/>
    </row>
    <row r="8" spans="1:10" ht="85.25" customHeight="1">
      <c r="A8" s="3">
        <v>5</v>
      </c>
      <c r="B8" s="3" t="s">
        <v>338</v>
      </c>
      <c r="C8" s="3" t="s">
        <v>339</v>
      </c>
      <c r="D8" s="67"/>
      <c r="E8" s="67"/>
      <c r="F8" s="3"/>
      <c r="G8" s="3"/>
      <c r="H8" s="3"/>
      <c r="I8" s="3"/>
      <c r="J8" s="3"/>
    </row>
    <row r="9" spans="1:10" ht="106.75" customHeight="1">
      <c r="A9" s="3">
        <v>6</v>
      </c>
      <c r="B9" s="3" t="s">
        <v>340</v>
      </c>
      <c r="C9" s="3" t="s">
        <v>341</v>
      </c>
      <c r="D9" s="67"/>
      <c r="E9" s="67"/>
      <c r="F9" s="3"/>
      <c r="G9" s="3"/>
      <c r="H9" s="3"/>
      <c r="I9" s="3"/>
      <c r="J9" s="3"/>
    </row>
    <row r="10" spans="1:10" ht="106.75" customHeight="1">
      <c r="A10" s="3">
        <v>7</v>
      </c>
      <c r="B10" s="3" t="s">
        <v>342</v>
      </c>
      <c r="C10" s="3" t="s">
        <v>343</v>
      </c>
      <c r="D10" s="67"/>
      <c r="E10" s="67"/>
      <c r="F10" s="3"/>
      <c r="G10" s="3"/>
      <c r="H10" s="3"/>
      <c r="I10" s="3"/>
      <c r="J10" s="3"/>
    </row>
    <row r="11" spans="1:10" ht="64" customHeight="1">
      <c r="A11" s="3">
        <v>8</v>
      </c>
      <c r="B11" s="3" t="s">
        <v>344</v>
      </c>
      <c r="C11" s="3" t="s">
        <v>345</v>
      </c>
      <c r="D11" s="67"/>
      <c r="E11" s="67"/>
      <c r="F11" s="3"/>
      <c r="G11" s="3"/>
      <c r="H11" s="3"/>
      <c r="I11" s="3"/>
      <c r="J11" s="3"/>
    </row>
    <row r="12" spans="1:10" ht="85.25" customHeight="1">
      <c r="A12" s="3">
        <v>9</v>
      </c>
      <c r="B12" s="3" t="s">
        <v>346</v>
      </c>
      <c r="C12" s="3" t="s">
        <v>347</v>
      </c>
      <c r="D12" s="67"/>
      <c r="E12" s="67"/>
      <c r="F12" s="3"/>
      <c r="G12" s="3"/>
      <c r="H12" s="3"/>
      <c r="I12" s="3"/>
      <c r="J12" s="3"/>
    </row>
    <row r="13" spans="1:10" ht="64" customHeight="1">
      <c r="A13" s="3">
        <v>10</v>
      </c>
      <c r="B13" s="3" t="s">
        <v>348</v>
      </c>
      <c r="C13" s="3" t="s">
        <v>349</v>
      </c>
      <c r="D13" s="67"/>
      <c r="E13" s="67"/>
      <c r="F13" s="3"/>
      <c r="G13" s="3"/>
      <c r="H13" s="3"/>
      <c r="I13" s="3"/>
      <c r="J13" s="3"/>
    </row>
    <row r="14" spans="1:10" ht="64" customHeight="1">
      <c r="A14" s="3">
        <v>11</v>
      </c>
      <c r="B14" s="3" t="s">
        <v>350</v>
      </c>
      <c r="C14" s="3" t="s">
        <v>351</v>
      </c>
      <c r="D14" s="67"/>
      <c r="E14" s="67"/>
      <c r="F14" s="3"/>
      <c r="G14" s="3"/>
      <c r="H14" s="3"/>
      <c r="I14" s="3"/>
      <c r="J14" s="3"/>
    </row>
    <row r="15" spans="1:10" ht="64" customHeight="1">
      <c r="A15" s="3">
        <v>12</v>
      </c>
      <c r="B15" s="3" t="s">
        <v>352</v>
      </c>
      <c r="C15" s="3" t="s">
        <v>353</v>
      </c>
      <c r="D15" s="67"/>
      <c r="E15" s="67"/>
      <c r="F15" s="3"/>
      <c r="G15" s="3"/>
      <c r="H15" s="3"/>
      <c r="I15" s="3"/>
      <c r="J15" s="3"/>
    </row>
    <row r="16" spans="1:10" ht="70.25" customHeight="1">
      <c r="A16" s="3">
        <v>13</v>
      </c>
      <c r="B16" s="3" t="s">
        <v>354</v>
      </c>
      <c r="C16" s="3" t="s">
        <v>355</v>
      </c>
      <c r="D16" s="67"/>
      <c r="E16" s="67"/>
      <c r="F16" s="3"/>
      <c r="G16" s="3"/>
      <c r="H16" s="3"/>
      <c r="I16" s="3"/>
      <c r="J16" s="3"/>
    </row>
    <row r="17" spans="1:10" ht="52.75" customHeight="1">
      <c r="A17" s="3">
        <v>14</v>
      </c>
      <c r="B17" s="3" t="s">
        <v>356</v>
      </c>
      <c r="C17" s="3" t="s">
        <v>357</v>
      </c>
      <c r="D17" s="67"/>
      <c r="E17" s="67"/>
      <c r="F17" s="3"/>
      <c r="G17" s="3"/>
      <c r="H17" s="3"/>
      <c r="I17" s="3"/>
      <c r="J17" s="3"/>
    </row>
    <row r="18" spans="1:10" ht="64">
      <c r="A18" s="3">
        <v>15</v>
      </c>
      <c r="B18" s="3" t="s">
        <v>358</v>
      </c>
      <c r="C18" s="3" t="s">
        <v>359</v>
      </c>
      <c r="D18" s="67"/>
      <c r="E18" s="67"/>
      <c r="F18" s="3"/>
      <c r="G18" s="3"/>
      <c r="H18" s="3"/>
      <c r="I18" s="3"/>
      <c r="J18" s="3"/>
    </row>
    <row r="19" spans="1:10">
      <c r="A19" s="3"/>
      <c r="B19" s="3"/>
      <c r="C19" s="3"/>
      <c r="D19" s="67"/>
      <c r="E19" s="67"/>
      <c r="F19" s="3"/>
      <c r="G19" s="3"/>
      <c r="H19" s="3"/>
      <c r="I19" s="3"/>
      <c r="J19" s="3"/>
    </row>
    <row r="20" spans="1:10">
      <c r="A20" s="67"/>
      <c r="B20" s="67"/>
      <c r="C20" s="67"/>
      <c r="D20" s="67"/>
      <c r="E20" s="67"/>
      <c r="F20" s="3"/>
      <c r="G20" s="3"/>
      <c r="H20" s="3"/>
      <c r="I20" s="3"/>
      <c r="J20" s="3"/>
    </row>
    <row r="21" spans="1:10">
      <c r="A21" s="67"/>
      <c r="B21" s="67"/>
      <c r="C21" s="67"/>
      <c r="D21" s="67"/>
      <c r="E21" s="67"/>
      <c r="F21" s="3"/>
      <c r="G21" s="3"/>
      <c r="H21" s="3"/>
      <c r="I21" s="3"/>
      <c r="J21" s="3"/>
    </row>
    <row r="22" spans="1:10">
      <c r="A22" s="68"/>
      <c r="B22" s="68"/>
      <c r="C22" s="68"/>
      <c r="D22" s="68"/>
      <c r="E22" s="68"/>
      <c r="F22" s="3"/>
      <c r="G22" s="3"/>
      <c r="H22" s="3"/>
      <c r="I22" s="3"/>
      <c r="J22" s="3"/>
    </row>
    <row r="23" spans="1:10">
      <c r="A23" s="3"/>
      <c r="B23" s="3"/>
      <c r="C23" s="3"/>
      <c r="D23" s="3"/>
      <c r="E23" s="3"/>
      <c r="F23" s="3"/>
      <c r="G23" s="3"/>
      <c r="H23" s="3"/>
      <c r="I23" s="3"/>
      <c r="J23" s="3"/>
    </row>
    <row r="24" spans="1:10">
      <c r="A24" s="3"/>
      <c r="B24" s="3"/>
      <c r="C24" s="3"/>
      <c r="D24" s="3"/>
      <c r="E24" s="3"/>
      <c r="F24" s="3"/>
      <c r="G24" s="3"/>
      <c r="H24" s="3"/>
      <c r="I24" s="3"/>
      <c r="J24" s="3"/>
    </row>
    <row r="25" spans="1:10">
      <c r="A25" s="3"/>
      <c r="B25" s="3"/>
      <c r="C25" s="3"/>
      <c r="D25" s="3"/>
      <c r="E25" s="3"/>
      <c r="F25" s="3"/>
      <c r="G25" s="3"/>
      <c r="H25" s="3"/>
      <c r="I25" s="3"/>
      <c r="J25" s="3"/>
    </row>
    <row r="26" spans="1:10">
      <c r="A26" s="3"/>
      <c r="B26" s="3"/>
      <c r="C26" s="3"/>
      <c r="D26" s="3"/>
      <c r="E26" s="3"/>
      <c r="F26" s="3"/>
      <c r="G26" s="3"/>
      <c r="H26" s="3"/>
      <c r="I26" s="3"/>
      <c r="J26" s="3"/>
    </row>
    <row r="27" spans="1:10">
      <c r="A27" s="3"/>
      <c r="B27" s="3"/>
      <c r="C27" s="3"/>
      <c r="D27" s="3"/>
      <c r="E27" s="3"/>
      <c r="F27" s="3"/>
      <c r="G27" s="3"/>
      <c r="H27" s="3"/>
      <c r="I27" s="3"/>
      <c r="J27" s="3"/>
    </row>
    <row r="28" spans="1:10">
      <c r="A28" s="3"/>
      <c r="B28" s="3"/>
      <c r="C28" s="3"/>
      <c r="D28" s="3"/>
      <c r="E28" s="3"/>
      <c r="F28" s="3"/>
      <c r="G28" s="3"/>
      <c r="H28" s="3"/>
      <c r="I28" s="3"/>
      <c r="J28" s="3"/>
    </row>
    <row r="29" spans="1:10">
      <c r="A29" s="3"/>
      <c r="B29" s="3"/>
      <c r="C29" s="3"/>
      <c r="D29" s="3"/>
      <c r="E29" s="3"/>
      <c r="F29" s="3"/>
      <c r="G29" s="3"/>
      <c r="H29" s="3"/>
      <c r="I29" s="3"/>
      <c r="J29" s="3"/>
    </row>
    <row r="30" spans="1:10">
      <c r="A30" s="3"/>
      <c r="B30" s="3"/>
      <c r="C30" s="3"/>
      <c r="D30" s="3"/>
      <c r="E30" s="3"/>
      <c r="F30" s="3"/>
      <c r="G30" s="3"/>
      <c r="H30" s="3"/>
      <c r="I30" s="3"/>
      <c r="J30" s="3"/>
    </row>
    <row r="31" spans="1:10">
      <c r="A31" s="3"/>
      <c r="B31" s="3"/>
      <c r="C31" s="3"/>
      <c r="D31" s="3"/>
      <c r="E31" s="3"/>
      <c r="F31" s="3"/>
      <c r="G31" s="3"/>
      <c r="H31" s="3"/>
      <c r="I31" s="3"/>
      <c r="J31" s="3"/>
    </row>
    <row r="32" spans="1:10">
      <c r="A32" s="3"/>
      <c r="B32" s="3"/>
      <c r="C32" s="3"/>
      <c r="D32" s="3"/>
      <c r="E32" s="3"/>
      <c r="F32" s="3"/>
      <c r="G32" s="3"/>
      <c r="H32" s="3"/>
      <c r="I32" s="3"/>
      <c r="J32" s="3"/>
    </row>
    <row r="33" spans="1:10">
      <c r="A33" s="3"/>
      <c r="B33" s="3"/>
      <c r="C33" s="3"/>
      <c r="D33" s="3"/>
      <c r="E33" s="3"/>
      <c r="F33" s="3"/>
      <c r="G33" s="3"/>
      <c r="H33" s="3"/>
      <c r="I33" s="3"/>
      <c r="J33" s="3"/>
    </row>
    <row r="34" spans="1:10">
      <c r="A34" s="3"/>
      <c r="B34" s="3"/>
      <c r="C34" s="3"/>
      <c r="D34" s="3"/>
      <c r="E34" s="3"/>
      <c r="F34" s="3"/>
      <c r="G34" s="3"/>
      <c r="H34" s="3"/>
      <c r="I34" s="3"/>
      <c r="J34" s="3"/>
    </row>
    <row r="35" spans="1:10">
      <c r="A35" s="3"/>
      <c r="B35" s="3"/>
      <c r="C35" s="3"/>
      <c r="D35" s="3"/>
      <c r="E35" s="3"/>
      <c r="F35" s="3"/>
      <c r="G35" s="3"/>
      <c r="H35" s="3"/>
      <c r="I35" s="3"/>
      <c r="J35" s="3"/>
    </row>
    <row r="36" spans="1:10">
      <c r="A36" s="3"/>
      <c r="B36" s="3"/>
      <c r="C36" s="3"/>
      <c r="D36" s="3"/>
      <c r="E36" s="3"/>
      <c r="F36" s="3"/>
      <c r="G36" s="3"/>
      <c r="H36" s="3"/>
      <c r="I36" s="3"/>
      <c r="J36" s="3"/>
    </row>
    <row r="37" spans="1:10">
      <c r="A37" s="3"/>
      <c r="B37" s="3"/>
      <c r="C37" s="3"/>
      <c r="D37" s="3"/>
      <c r="E37" s="3"/>
      <c r="F37" s="3"/>
      <c r="G37" s="3"/>
      <c r="H37" s="3"/>
      <c r="I37" s="3"/>
      <c r="J37" s="3"/>
    </row>
    <row r="38" spans="1:10">
      <c r="A38" s="3"/>
      <c r="B38" s="3"/>
      <c r="C38" s="3"/>
      <c r="D38" s="3"/>
      <c r="E38" s="3"/>
      <c r="F38" s="3"/>
      <c r="G38" s="3"/>
      <c r="H38" s="3"/>
      <c r="I38" s="3"/>
      <c r="J38" s="3"/>
    </row>
    <row r="39" spans="1:10">
      <c r="A39" s="3"/>
      <c r="B39" s="3"/>
      <c r="C39" s="3"/>
      <c r="D39" s="3"/>
      <c r="E39" s="3"/>
      <c r="F39" s="3"/>
      <c r="G39" s="3"/>
      <c r="H39" s="3"/>
      <c r="I39" s="3"/>
      <c r="J39" s="3"/>
    </row>
    <row r="40" spans="1:10">
      <c r="A40" s="3"/>
      <c r="B40" s="3"/>
      <c r="C40" s="3"/>
      <c r="D40" s="3"/>
      <c r="E40" s="3"/>
      <c r="F40" s="3"/>
      <c r="G40" s="3"/>
      <c r="H40" s="3"/>
      <c r="I40" s="3"/>
      <c r="J40" s="3"/>
    </row>
    <row r="41" spans="1:10">
      <c r="A41" s="3"/>
      <c r="B41" s="3"/>
      <c r="C41" s="3"/>
      <c r="D41" s="3"/>
      <c r="E41" s="3"/>
      <c r="F41" s="3"/>
      <c r="G41" s="3"/>
      <c r="H41" s="3"/>
      <c r="I41" s="3"/>
      <c r="J41" s="3"/>
    </row>
    <row r="42" spans="1:10">
      <c r="A42" s="3"/>
      <c r="B42" s="3"/>
      <c r="C42" s="3"/>
      <c r="D42" s="3"/>
      <c r="E42" s="3"/>
      <c r="F42" s="3"/>
      <c r="G42" s="3"/>
      <c r="H42" s="3"/>
      <c r="I42" s="3"/>
      <c r="J42" s="3"/>
    </row>
    <row r="43" spans="1:10">
      <c r="A43" s="3"/>
      <c r="B43" s="3"/>
      <c r="C43" s="3"/>
      <c r="D43" s="3"/>
      <c r="E43" s="3"/>
      <c r="F43" s="3"/>
      <c r="G43" s="3"/>
      <c r="H43" s="3"/>
      <c r="I43" s="3"/>
      <c r="J43" s="3"/>
    </row>
    <row r="44" spans="1:10">
      <c r="A44" s="3"/>
      <c r="B44" s="3"/>
      <c r="C44" s="3"/>
      <c r="D44" s="3"/>
      <c r="E44" s="3"/>
      <c r="F44" s="3"/>
      <c r="G44" s="3"/>
      <c r="H44" s="3"/>
      <c r="I44" s="3"/>
      <c r="J44" s="3"/>
    </row>
    <row r="45" spans="1:10">
      <c r="A45" s="3"/>
      <c r="B45" s="3"/>
      <c r="C45" s="3"/>
      <c r="D45" s="3"/>
      <c r="E45" s="3"/>
      <c r="F45" s="3"/>
      <c r="G45" s="3"/>
      <c r="H45" s="3"/>
      <c r="I45" s="3"/>
      <c r="J45" s="3"/>
    </row>
    <row r="46" spans="1:10">
      <c r="A46" s="3"/>
      <c r="B46" s="3"/>
      <c r="C46" s="3"/>
      <c r="D46" s="3"/>
      <c r="E46" s="3"/>
      <c r="F46" s="3"/>
      <c r="G46" s="3"/>
      <c r="H46" s="3"/>
      <c r="I46" s="3"/>
      <c r="J46" s="3"/>
    </row>
    <row r="47" spans="1:10">
      <c r="A47" s="3"/>
      <c r="B47" s="3"/>
      <c r="C47" s="3"/>
      <c r="D47" s="3"/>
      <c r="E47" s="3"/>
      <c r="F47" s="3"/>
      <c r="G47" s="3"/>
      <c r="H47" s="3"/>
      <c r="I47" s="3"/>
      <c r="J47" s="3"/>
    </row>
    <row r="48" spans="1:10">
      <c r="A48" s="3"/>
      <c r="B48" s="3"/>
      <c r="C48" s="3"/>
      <c r="D48" s="3"/>
      <c r="E48" s="3"/>
      <c r="F48" s="3"/>
      <c r="G48" s="3"/>
      <c r="H48" s="3"/>
      <c r="I48" s="3"/>
      <c r="J48" s="3"/>
    </row>
    <row r="49" spans="1:10">
      <c r="A49" s="3"/>
      <c r="B49" s="3"/>
      <c r="C49" s="3"/>
      <c r="D49" s="3"/>
      <c r="E49" s="3"/>
      <c r="F49" s="3"/>
      <c r="G49" s="3"/>
      <c r="H49" s="3"/>
      <c r="I49" s="3"/>
      <c r="J49" s="3"/>
    </row>
    <row r="50" spans="1:10">
      <c r="A50" s="3"/>
      <c r="B50" s="3"/>
      <c r="C50" s="3"/>
      <c r="D50" s="3"/>
      <c r="E50" s="3"/>
      <c r="F50" s="3"/>
      <c r="G50" s="3"/>
      <c r="H50" s="3"/>
      <c r="I50" s="3"/>
      <c r="J50" s="3"/>
    </row>
    <row r="51" spans="1:10">
      <c r="A51" s="3"/>
      <c r="B51" s="3"/>
      <c r="C51" s="3"/>
      <c r="D51" s="3"/>
      <c r="E51" s="3"/>
      <c r="F51" s="3"/>
      <c r="G51" s="3"/>
      <c r="H51" s="3"/>
      <c r="I51" s="3"/>
      <c r="J51" s="3"/>
    </row>
    <row r="52" spans="1:10">
      <c r="A52" s="3"/>
      <c r="B52" s="3"/>
      <c r="C52" s="3"/>
      <c r="D52" s="3"/>
      <c r="E52" s="3"/>
      <c r="F52" s="3"/>
      <c r="G52" s="3"/>
      <c r="H52" s="3"/>
      <c r="I52" s="3"/>
      <c r="J52" s="3"/>
    </row>
    <row r="53" spans="1:10">
      <c r="A53" s="3"/>
      <c r="B53" s="3"/>
      <c r="C53" s="3"/>
      <c r="D53" s="3"/>
      <c r="E53" s="3"/>
      <c r="F53" s="3"/>
      <c r="G53" s="3"/>
      <c r="H53" s="3"/>
      <c r="I53" s="3"/>
      <c r="J53" s="3"/>
    </row>
    <row r="54" spans="1:10">
      <c r="A54" s="3"/>
      <c r="B54" s="3"/>
      <c r="C54" s="3"/>
      <c r="D54" s="3"/>
      <c r="E54" s="3"/>
      <c r="F54" s="3"/>
      <c r="G54" s="3"/>
      <c r="H54" s="3"/>
      <c r="I54" s="3"/>
      <c r="J54" s="3"/>
    </row>
    <row r="55" spans="1:10">
      <c r="A55" s="3"/>
      <c r="B55" s="3"/>
      <c r="C55" s="3"/>
      <c r="D55" s="3"/>
      <c r="E55" s="3"/>
      <c r="F55" s="3"/>
      <c r="G55" s="3"/>
      <c r="H55" s="3"/>
      <c r="I55" s="3"/>
      <c r="J55" s="3"/>
    </row>
    <row r="56" spans="1:10">
      <c r="A56" s="3"/>
      <c r="B56" s="3"/>
      <c r="C56" s="3"/>
      <c r="D56" s="3"/>
      <c r="E56" s="3"/>
      <c r="F56" s="3"/>
      <c r="G56" s="3"/>
      <c r="H56" s="3"/>
      <c r="I56" s="3"/>
      <c r="J56" s="3"/>
    </row>
    <row r="57" spans="1:10">
      <c r="A57" s="3"/>
      <c r="B57" s="3"/>
      <c r="C57" s="3"/>
      <c r="D57" s="3"/>
      <c r="E57" s="3"/>
      <c r="F57" s="3"/>
      <c r="G57" s="3"/>
      <c r="H57" s="3"/>
      <c r="I57" s="3"/>
      <c r="J57" s="3"/>
    </row>
    <row r="58" spans="1:10">
      <c r="A58" s="3"/>
      <c r="B58" s="3"/>
      <c r="C58" s="3"/>
      <c r="D58" s="3"/>
      <c r="E58" s="3"/>
      <c r="F58" s="3"/>
      <c r="G58" s="3"/>
      <c r="H58" s="3"/>
      <c r="I58" s="3"/>
      <c r="J58" s="3"/>
    </row>
    <row r="59" spans="1:10">
      <c r="A59" s="3"/>
      <c r="B59" s="3"/>
      <c r="C59" s="3"/>
      <c r="D59" s="3"/>
      <c r="E59" s="3"/>
      <c r="F59" s="3"/>
      <c r="G59" s="3"/>
      <c r="H59" s="3"/>
      <c r="I59" s="3"/>
      <c r="J59" s="3"/>
    </row>
    <row r="60" spans="1:10">
      <c r="A60" s="3"/>
      <c r="B60" s="3"/>
      <c r="C60" s="3"/>
      <c r="D60" s="3"/>
      <c r="E60" s="3"/>
      <c r="F60" s="3"/>
      <c r="G60" s="3"/>
      <c r="H60" s="3"/>
      <c r="I60" s="3"/>
      <c r="J60" s="3"/>
    </row>
  </sheetData>
  <mergeCells count="1">
    <mergeCell ref="A1:H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59"/>
  <sheetViews>
    <sheetView workbookViewId="0">
      <selection activeCell="G5" sqref="G5"/>
    </sheetView>
  </sheetViews>
  <sheetFormatPr baseColWidth="10" defaultColWidth="8.83203125" defaultRowHeight="15"/>
  <cols>
    <col min="1" max="1" width="16" customWidth="1"/>
    <col min="2" max="2" width="14" customWidth="1"/>
    <col min="3" max="3" width="18" customWidth="1"/>
    <col min="4" max="4" width="15" customWidth="1"/>
    <col min="5" max="5" width="38" customWidth="1"/>
    <col min="6" max="6" width="12" customWidth="1"/>
    <col min="7" max="7" width="10" customWidth="1"/>
    <col min="8" max="8" width="15" customWidth="1"/>
    <col min="9" max="9" width="14" customWidth="1"/>
    <col min="10" max="10" width="20" customWidth="1"/>
    <col min="11" max="11" width="52" customWidth="1"/>
    <col min="12" max="12" width="12" customWidth="1"/>
  </cols>
  <sheetData>
    <row r="1" spans="1:12" ht="35.75" customHeight="1">
      <c r="A1" s="83" t="s">
        <v>360</v>
      </c>
      <c r="B1" s="80"/>
      <c r="C1" s="80"/>
      <c r="D1" s="80"/>
      <c r="E1" s="80"/>
      <c r="F1" s="80"/>
      <c r="G1" s="80"/>
      <c r="H1" s="80"/>
      <c r="I1" s="80"/>
      <c r="J1" s="80"/>
      <c r="K1" s="80"/>
    </row>
    <row r="2" spans="1:12" ht="35.75" customHeight="1">
      <c r="A2" s="84"/>
      <c r="B2" s="60"/>
      <c r="C2" s="60"/>
      <c r="D2" s="60"/>
      <c r="E2" s="60"/>
      <c r="F2" s="60"/>
      <c r="G2" s="60"/>
      <c r="H2" s="60"/>
      <c r="I2" s="60"/>
      <c r="J2" s="60"/>
      <c r="K2" s="60"/>
    </row>
    <row r="3" spans="1:12" ht="35.75" customHeight="1">
      <c r="A3" s="84"/>
      <c r="B3" s="60"/>
      <c r="C3" s="60"/>
      <c r="D3" s="60"/>
      <c r="E3" s="60"/>
      <c r="F3" s="60"/>
      <c r="G3" s="60"/>
      <c r="H3" s="60"/>
      <c r="I3" s="60"/>
      <c r="J3" s="60"/>
      <c r="K3" s="60"/>
    </row>
    <row r="4" spans="1:12" ht="35.75" customHeight="1">
      <c r="A4" s="25"/>
      <c r="B4" s="25"/>
      <c r="C4" s="25"/>
      <c r="D4" s="25"/>
      <c r="E4" s="25"/>
      <c r="F4" s="25"/>
      <c r="G4" s="25"/>
      <c r="H4" s="25"/>
      <c r="I4" s="25"/>
      <c r="J4" s="25"/>
      <c r="K4" s="25"/>
    </row>
    <row r="5" spans="1:12" ht="35.75" customHeight="1">
      <c r="A5" s="20" t="s">
        <v>361</v>
      </c>
      <c r="B5" s="21" t="s">
        <v>362</v>
      </c>
      <c r="C5" s="21" t="s">
        <v>363</v>
      </c>
      <c r="D5" s="21" t="s">
        <v>54</v>
      </c>
      <c r="E5" s="22" t="s">
        <v>364</v>
      </c>
      <c r="F5" s="25"/>
      <c r="G5" s="25"/>
      <c r="H5" s="25"/>
      <c r="I5" s="25"/>
      <c r="J5" s="25"/>
      <c r="K5" s="25"/>
    </row>
    <row r="6" spans="1:12" ht="35.75" customHeight="1">
      <c r="A6" s="26" t="s">
        <v>365</v>
      </c>
      <c r="B6" s="27" t="s">
        <v>366</v>
      </c>
      <c r="C6" s="28">
        <f>Column!B9</f>
        <v>0.95</v>
      </c>
      <c r="D6" s="27" t="s">
        <v>78</v>
      </c>
      <c r="E6" s="29" t="s">
        <v>367</v>
      </c>
      <c r="F6" s="25"/>
      <c r="G6" s="20" t="s">
        <v>368</v>
      </c>
      <c r="H6" s="21" t="s">
        <v>369</v>
      </c>
      <c r="I6" s="21" t="s">
        <v>370</v>
      </c>
      <c r="J6" s="21" t="s">
        <v>371</v>
      </c>
      <c r="K6" s="64" t="s">
        <v>372</v>
      </c>
      <c r="L6" s="22" t="s">
        <v>373</v>
      </c>
    </row>
    <row r="7" spans="1:12" ht="35.75" customHeight="1">
      <c r="A7" s="26" t="s">
        <v>374</v>
      </c>
      <c r="B7" s="27" t="s">
        <v>375</v>
      </c>
      <c r="C7" s="28">
        <f>Column!B10</f>
        <v>5.0000000000000001E-3</v>
      </c>
      <c r="D7" s="27" t="s">
        <v>78</v>
      </c>
      <c r="E7" s="29" t="s">
        <v>376</v>
      </c>
      <c r="F7" s="25"/>
      <c r="G7" s="30">
        <v>0</v>
      </c>
      <c r="H7" s="28">
        <f t="shared" ref="H7:H27" si="0">$C$9*G7/(1+($C$9-1)*G7)</f>
        <v>0</v>
      </c>
      <c r="I7" s="28">
        <f t="shared" ref="I7:I27" si="1">G7</f>
        <v>0</v>
      </c>
      <c r="J7" s="28">
        <f t="shared" ref="J7:J27" si="2">$C$16*G7+$C$17</f>
        <v>0.34530354523322593</v>
      </c>
      <c r="K7" s="28">
        <f t="shared" ref="K7:K27" si="3">$C$19*G7+$C$20</f>
        <v>-8.1938733191238983E-3</v>
      </c>
      <c r="L7" s="23">
        <f t="shared" ref="L7:L27" si="4">$C$8</f>
        <v>0.17654990703124168</v>
      </c>
    </row>
    <row r="8" spans="1:12" ht="35.75" customHeight="1">
      <c r="A8" s="26" t="s">
        <v>377</v>
      </c>
      <c r="B8" s="27" t="s">
        <v>378</v>
      </c>
      <c r="C8" s="28">
        <f>Column!C4</f>
        <v>0.17654990703124168</v>
      </c>
      <c r="D8" s="27" t="s">
        <v>78</v>
      </c>
      <c r="E8" s="29" t="s">
        <v>379</v>
      </c>
      <c r="F8" s="25"/>
      <c r="G8" s="30">
        <v>0.05</v>
      </c>
      <c r="H8" s="28">
        <f t="shared" si="0"/>
        <v>0.19148936170212766</v>
      </c>
      <c r="I8" s="28">
        <f t="shared" si="1"/>
        <v>0.05</v>
      </c>
      <c r="J8" s="28">
        <f t="shared" si="2"/>
        <v>0.37712967443147721</v>
      </c>
      <c r="K8" s="28">
        <f t="shared" si="3"/>
        <v>0.12374485987211507</v>
      </c>
      <c r="L8" s="23">
        <f t="shared" si="4"/>
        <v>0.17654990703124168</v>
      </c>
    </row>
    <row r="9" spans="1:12" ht="35.75" customHeight="1">
      <c r="A9" s="26" t="s">
        <v>380</v>
      </c>
      <c r="B9" s="27" t="s">
        <v>381</v>
      </c>
      <c r="C9" s="28">
        <f>Column!B11</f>
        <v>4.5</v>
      </c>
      <c r="D9" s="27" t="s">
        <v>78</v>
      </c>
      <c r="E9" s="29" t="s">
        <v>382</v>
      </c>
      <c r="F9" s="25"/>
      <c r="G9" s="30">
        <v>0.1</v>
      </c>
      <c r="H9" s="28">
        <f t="shared" si="0"/>
        <v>0.33333333333333331</v>
      </c>
      <c r="I9" s="28">
        <f t="shared" si="1"/>
        <v>0.1</v>
      </c>
      <c r="J9" s="28">
        <f t="shared" si="2"/>
        <v>0.4089558036297285</v>
      </c>
      <c r="K9" s="28">
        <f t="shared" si="3"/>
        <v>0.25568359306335403</v>
      </c>
      <c r="L9" s="23">
        <f t="shared" si="4"/>
        <v>0.17654990703124168</v>
      </c>
    </row>
    <row r="10" spans="1:12" ht="35.75" customHeight="1">
      <c r="A10" s="26" t="s">
        <v>383</v>
      </c>
      <c r="B10" s="27" t="s">
        <v>384</v>
      </c>
      <c r="C10" s="28">
        <f>Column!B12</f>
        <v>1</v>
      </c>
      <c r="D10" s="27" t="s">
        <v>78</v>
      </c>
      <c r="E10" s="29" t="s">
        <v>385</v>
      </c>
      <c r="F10" s="25"/>
      <c r="G10" s="30">
        <v>0.15</v>
      </c>
      <c r="H10" s="28">
        <f t="shared" si="0"/>
        <v>0.44262295081967212</v>
      </c>
      <c r="I10" s="28">
        <f t="shared" si="1"/>
        <v>0.15</v>
      </c>
      <c r="J10" s="28">
        <f t="shared" si="2"/>
        <v>0.44078193282797973</v>
      </c>
      <c r="K10" s="28">
        <f t="shared" si="3"/>
        <v>0.38762232625459297</v>
      </c>
      <c r="L10" s="23">
        <f t="shared" si="4"/>
        <v>0.17654990703124168</v>
      </c>
    </row>
    <row r="11" spans="1:12" ht="35.75" customHeight="1">
      <c r="A11" s="26" t="s">
        <v>386</v>
      </c>
      <c r="B11" s="27" t="s">
        <v>387</v>
      </c>
      <c r="C11" s="28">
        <f>C9*C8/(1+(C9-1)*C8)</f>
        <v>0.49104546961212303</v>
      </c>
      <c r="D11" s="27" t="s">
        <v>78</v>
      </c>
      <c r="E11" s="29" t="s">
        <v>388</v>
      </c>
      <c r="F11" s="25"/>
      <c r="G11" s="30">
        <v>0.2</v>
      </c>
      <c r="H11" s="28">
        <f t="shared" si="0"/>
        <v>0.52941176470588236</v>
      </c>
      <c r="I11" s="28">
        <f t="shared" si="1"/>
        <v>0.2</v>
      </c>
      <c r="J11" s="28">
        <f t="shared" si="2"/>
        <v>0.47260806202623107</v>
      </c>
      <c r="K11" s="28">
        <f t="shared" si="3"/>
        <v>0.51956105944583197</v>
      </c>
      <c r="L11" s="23">
        <f t="shared" si="4"/>
        <v>0.17654990703124168</v>
      </c>
    </row>
    <row r="12" spans="1:12" ht="35.75" customHeight="1">
      <c r="A12" s="26" t="s">
        <v>389</v>
      </c>
      <c r="B12" s="27" t="s">
        <v>390</v>
      </c>
      <c r="C12" s="28">
        <f>(C6-C11)/(C6-C8)</f>
        <v>0.5933860950565758</v>
      </c>
      <c r="D12" s="27" t="s">
        <v>78</v>
      </c>
      <c r="E12" s="29" t="s">
        <v>391</v>
      </c>
      <c r="F12" s="25"/>
      <c r="G12" s="30">
        <v>0.25</v>
      </c>
      <c r="H12" s="28">
        <f t="shared" si="0"/>
        <v>0.6</v>
      </c>
      <c r="I12" s="28">
        <f t="shared" si="1"/>
        <v>0.25</v>
      </c>
      <c r="J12" s="28">
        <f t="shared" si="2"/>
        <v>0.5044341912244823</v>
      </c>
      <c r="K12" s="28">
        <f t="shared" si="3"/>
        <v>0.65149979263707092</v>
      </c>
      <c r="L12" s="23">
        <f t="shared" si="4"/>
        <v>0.17654990703124168</v>
      </c>
    </row>
    <row r="13" spans="1:12" ht="35.75" customHeight="1">
      <c r="A13" s="26" t="s">
        <v>392</v>
      </c>
      <c r="B13" s="27" t="s">
        <v>153</v>
      </c>
      <c r="C13" s="28">
        <f>C12/(1-C12)</f>
        <v>1.4593354724038246</v>
      </c>
      <c r="D13" s="27" t="s">
        <v>78</v>
      </c>
      <c r="E13" s="29" t="s">
        <v>393</v>
      </c>
      <c r="F13" s="25"/>
      <c r="G13" s="30">
        <v>0.3</v>
      </c>
      <c r="H13" s="28">
        <f t="shared" si="0"/>
        <v>0.65853658536585369</v>
      </c>
      <c r="I13" s="28">
        <f t="shared" si="1"/>
        <v>0.3</v>
      </c>
      <c r="J13" s="28">
        <f t="shared" si="2"/>
        <v>0.53626032042273353</v>
      </c>
      <c r="K13" s="28">
        <f t="shared" si="3"/>
        <v>0.78343852582830986</v>
      </c>
      <c r="L13" s="23">
        <f t="shared" si="4"/>
        <v>0.17654990703124168</v>
      </c>
    </row>
    <row r="14" spans="1:12" ht="35.75" customHeight="1">
      <c r="A14" s="26" t="s">
        <v>394</v>
      </c>
      <c r="B14" s="27" t="s">
        <v>315</v>
      </c>
      <c r="C14" s="28">
        <f>Column!B13</f>
        <v>1.2</v>
      </c>
      <c r="D14" s="27" t="s">
        <v>78</v>
      </c>
      <c r="E14" s="29" t="s">
        <v>395</v>
      </c>
      <c r="F14" s="25"/>
      <c r="G14" s="30">
        <v>0.35</v>
      </c>
      <c r="H14" s="28">
        <f t="shared" si="0"/>
        <v>0.70786516853932591</v>
      </c>
      <c r="I14" s="28">
        <f t="shared" si="1"/>
        <v>0.35</v>
      </c>
      <c r="J14" s="28">
        <f t="shared" si="2"/>
        <v>0.56808644962098487</v>
      </c>
      <c r="K14" s="28">
        <f t="shared" si="3"/>
        <v>0.91537725901954881</v>
      </c>
      <c r="L14" s="23">
        <f t="shared" si="4"/>
        <v>0.17654990703124168</v>
      </c>
    </row>
    <row r="15" spans="1:12" ht="35.75" customHeight="1">
      <c r="A15" s="26" t="s">
        <v>396</v>
      </c>
      <c r="B15" s="27" t="s">
        <v>316</v>
      </c>
      <c r="C15" s="28">
        <f>C14*C13</f>
        <v>1.7512025668845894</v>
      </c>
      <c r="D15" s="27" t="s">
        <v>78</v>
      </c>
      <c r="E15" s="29" t="s">
        <v>397</v>
      </c>
      <c r="F15" s="25"/>
      <c r="G15" s="30">
        <v>0.4</v>
      </c>
      <c r="H15" s="28">
        <f t="shared" si="0"/>
        <v>0.74999999999999989</v>
      </c>
      <c r="I15" s="28">
        <f t="shared" si="1"/>
        <v>0.4</v>
      </c>
      <c r="J15" s="28">
        <f t="shared" si="2"/>
        <v>0.5999125788192361</v>
      </c>
      <c r="K15" s="28">
        <f t="shared" si="3"/>
        <v>1.047315992210788</v>
      </c>
      <c r="L15" s="23">
        <f t="shared" si="4"/>
        <v>0.17654990703124168</v>
      </c>
    </row>
    <row r="16" spans="1:12" ht="35.75" customHeight="1">
      <c r="A16" s="26" t="s">
        <v>398</v>
      </c>
      <c r="B16" s="27" t="s">
        <v>399</v>
      </c>
      <c r="C16" s="28">
        <f>C15/(C15+1)</f>
        <v>0.63652258396502548</v>
      </c>
      <c r="D16" s="27" t="s">
        <v>78</v>
      </c>
      <c r="E16" s="29" t="s">
        <v>400</v>
      </c>
      <c r="F16" s="25"/>
      <c r="G16" s="30">
        <v>0.45</v>
      </c>
      <c r="H16" s="28">
        <f t="shared" si="0"/>
        <v>0.78640776699029113</v>
      </c>
      <c r="I16" s="28">
        <f t="shared" si="1"/>
        <v>0.45</v>
      </c>
      <c r="J16" s="28">
        <f t="shared" si="2"/>
        <v>0.63173870801748744</v>
      </c>
      <c r="K16" s="28">
        <f t="shared" si="3"/>
        <v>1.1792547254020269</v>
      </c>
      <c r="L16" s="23">
        <f t="shared" si="4"/>
        <v>0.17654990703124168</v>
      </c>
    </row>
    <row r="17" spans="1:12" ht="35.75" customHeight="1">
      <c r="A17" s="26" t="s">
        <v>401</v>
      </c>
      <c r="B17" s="27" t="s">
        <v>402</v>
      </c>
      <c r="C17" s="28">
        <f>C6/(C15+1)</f>
        <v>0.34530354523322593</v>
      </c>
      <c r="D17" s="27" t="s">
        <v>78</v>
      </c>
      <c r="E17" s="29" t="s">
        <v>403</v>
      </c>
      <c r="F17" s="25"/>
      <c r="G17" s="30">
        <v>0.5</v>
      </c>
      <c r="H17" s="28">
        <f t="shared" si="0"/>
        <v>0.81818181818181823</v>
      </c>
      <c r="I17" s="28">
        <f t="shared" si="1"/>
        <v>0.5</v>
      </c>
      <c r="J17" s="28">
        <f t="shared" si="2"/>
        <v>0.66356483721573867</v>
      </c>
      <c r="K17" s="28">
        <f t="shared" si="3"/>
        <v>1.3111934585932659</v>
      </c>
      <c r="L17" s="23">
        <f t="shared" si="4"/>
        <v>0.17654990703124168</v>
      </c>
    </row>
    <row r="18" spans="1:12" ht="35.75" customHeight="1">
      <c r="A18" s="26" t="s">
        <v>404</v>
      </c>
      <c r="B18" s="27" t="s">
        <v>405</v>
      </c>
      <c r="C18" s="28">
        <f>C16*C8+C17</f>
        <v>0.45768154825553692</v>
      </c>
      <c r="D18" s="27" t="s">
        <v>78</v>
      </c>
      <c r="E18" s="29" t="s">
        <v>406</v>
      </c>
      <c r="F18" s="25"/>
      <c r="G18" s="30">
        <v>0.55000000000000004</v>
      </c>
      <c r="H18" s="28">
        <f t="shared" si="0"/>
        <v>0.84615384615384615</v>
      </c>
      <c r="I18" s="28">
        <f t="shared" si="1"/>
        <v>0.55000000000000004</v>
      </c>
      <c r="J18" s="28">
        <f t="shared" si="2"/>
        <v>0.6953909664139899</v>
      </c>
      <c r="K18" s="28">
        <f t="shared" si="3"/>
        <v>1.443132191784505</v>
      </c>
      <c r="L18" s="23">
        <f t="shared" si="4"/>
        <v>0.17654990703124168</v>
      </c>
    </row>
    <row r="19" spans="1:12" ht="35.75" customHeight="1">
      <c r="A19" s="26" t="s">
        <v>407</v>
      </c>
      <c r="B19" s="27" t="s">
        <v>408</v>
      </c>
      <c r="C19" s="28">
        <f>(C18-C7)/(C8-C7)</f>
        <v>2.6387746638247793</v>
      </c>
      <c r="D19" s="27" t="s">
        <v>78</v>
      </c>
      <c r="E19" s="29" t="s">
        <v>409</v>
      </c>
      <c r="F19" s="25"/>
      <c r="G19" s="30">
        <v>0.6</v>
      </c>
      <c r="H19" s="28">
        <f t="shared" si="0"/>
        <v>0.87096774193548376</v>
      </c>
      <c r="I19" s="28">
        <f t="shared" si="1"/>
        <v>0.6</v>
      </c>
      <c r="J19" s="28">
        <f t="shared" si="2"/>
        <v>0.72721709561224124</v>
      </c>
      <c r="K19" s="28">
        <f t="shared" si="3"/>
        <v>1.5750709249757437</v>
      </c>
      <c r="L19" s="23">
        <f t="shared" si="4"/>
        <v>0.17654990703124168</v>
      </c>
    </row>
    <row r="20" spans="1:12" ht="35.75" customHeight="1">
      <c r="A20" s="26" t="s">
        <v>410</v>
      </c>
      <c r="B20" s="27" t="s">
        <v>411</v>
      </c>
      <c r="C20" s="28">
        <f>C7-C19*C7</f>
        <v>-8.1938733191238983E-3</v>
      </c>
      <c r="D20" s="27" t="s">
        <v>78</v>
      </c>
      <c r="E20" s="29" t="s">
        <v>412</v>
      </c>
      <c r="F20" s="25"/>
      <c r="G20" s="30">
        <v>0.65</v>
      </c>
      <c r="H20" s="28">
        <f t="shared" si="0"/>
        <v>0.89312977099236657</v>
      </c>
      <c r="I20" s="28">
        <f t="shared" si="1"/>
        <v>0.65</v>
      </c>
      <c r="J20" s="28">
        <f t="shared" si="2"/>
        <v>0.75904322481049258</v>
      </c>
      <c r="K20" s="28">
        <f t="shared" si="3"/>
        <v>1.7070096581669829</v>
      </c>
      <c r="L20" s="23">
        <f t="shared" si="4"/>
        <v>0.17654990703124168</v>
      </c>
    </row>
    <row r="21" spans="1:12" ht="35.75" customHeight="1">
      <c r="A21" s="26" t="s">
        <v>413</v>
      </c>
      <c r="B21" s="27" t="s">
        <v>414</v>
      </c>
      <c r="C21" s="28">
        <f>MATCH("Reached xB",F32:F59,0)</f>
        <v>14</v>
      </c>
      <c r="D21" s="27" t="s">
        <v>78</v>
      </c>
      <c r="E21" s="29" t="s">
        <v>415</v>
      </c>
      <c r="F21" s="25"/>
      <c r="G21" s="30">
        <v>0.7</v>
      </c>
      <c r="H21" s="28">
        <f t="shared" si="0"/>
        <v>0.91304347826086962</v>
      </c>
      <c r="I21" s="28">
        <f t="shared" si="1"/>
        <v>0.7</v>
      </c>
      <c r="J21" s="28">
        <f t="shared" si="2"/>
        <v>0.7908693540087437</v>
      </c>
      <c r="K21" s="28">
        <f t="shared" si="3"/>
        <v>1.8389483913582216</v>
      </c>
      <c r="L21" s="23">
        <f t="shared" si="4"/>
        <v>0.17654990703124168</v>
      </c>
    </row>
    <row r="22" spans="1:12" ht="35.75" customHeight="1">
      <c r="A22" s="26" t="s">
        <v>161</v>
      </c>
      <c r="B22" s="27" t="s">
        <v>416</v>
      </c>
      <c r="C22" s="28">
        <f>ROUNDUP(C21,0)</f>
        <v>14</v>
      </c>
      <c r="D22" s="27" t="s">
        <v>78</v>
      </c>
      <c r="E22" s="29" t="s">
        <v>417</v>
      </c>
      <c r="F22" s="25"/>
      <c r="G22" s="30">
        <v>0.75</v>
      </c>
      <c r="H22" s="28">
        <f t="shared" si="0"/>
        <v>0.93103448275862066</v>
      </c>
      <c r="I22" s="28">
        <f t="shared" si="1"/>
        <v>0.75</v>
      </c>
      <c r="J22" s="28">
        <f t="shared" si="2"/>
        <v>0.82269548320699504</v>
      </c>
      <c r="K22" s="28">
        <f t="shared" si="3"/>
        <v>1.9708871245494606</v>
      </c>
      <c r="L22" s="23">
        <f t="shared" si="4"/>
        <v>0.17654990703124168</v>
      </c>
    </row>
    <row r="23" spans="1:12" ht="35.75" customHeight="1">
      <c r="A23" s="26" t="s">
        <v>94</v>
      </c>
      <c r="B23" s="27" t="s">
        <v>418</v>
      </c>
      <c r="C23" s="28">
        <f>Column!B14</f>
        <v>0.7</v>
      </c>
      <c r="D23" s="27" t="s">
        <v>78</v>
      </c>
      <c r="E23" s="29" t="s">
        <v>419</v>
      </c>
      <c r="F23" s="25"/>
      <c r="G23" s="30">
        <v>0.8</v>
      </c>
      <c r="H23" s="28">
        <f t="shared" si="0"/>
        <v>0.94736842105263153</v>
      </c>
      <c r="I23" s="28">
        <f t="shared" si="1"/>
        <v>0.8</v>
      </c>
      <c r="J23" s="28">
        <f t="shared" si="2"/>
        <v>0.85452161240524638</v>
      </c>
      <c r="K23" s="28">
        <f t="shared" si="3"/>
        <v>2.1028258577406995</v>
      </c>
      <c r="L23" s="23">
        <f t="shared" si="4"/>
        <v>0.17654990703124168</v>
      </c>
    </row>
    <row r="24" spans="1:12" ht="35.75" customHeight="1">
      <c r="A24" s="26" t="s">
        <v>162</v>
      </c>
      <c r="B24" s="27" t="s">
        <v>420</v>
      </c>
      <c r="C24" s="28">
        <f>ROUNDUP(C22/C23,0)</f>
        <v>20</v>
      </c>
      <c r="D24" s="27" t="s">
        <v>421</v>
      </c>
      <c r="E24" s="29" t="s">
        <v>422</v>
      </c>
      <c r="F24" s="25"/>
      <c r="G24" s="30">
        <v>0.85</v>
      </c>
      <c r="H24" s="28">
        <f t="shared" si="0"/>
        <v>0.96226415094339612</v>
      </c>
      <c r="I24" s="28">
        <f t="shared" si="1"/>
        <v>0.85</v>
      </c>
      <c r="J24" s="28">
        <f t="shared" si="2"/>
        <v>0.88634774160349761</v>
      </c>
      <c r="K24" s="28">
        <f t="shared" si="3"/>
        <v>2.2347645909319382</v>
      </c>
      <c r="L24" s="23">
        <f t="shared" si="4"/>
        <v>0.17654990703124168</v>
      </c>
    </row>
    <row r="25" spans="1:12" ht="35.75" customHeight="1">
      <c r="A25" s="26"/>
      <c r="B25" s="27"/>
      <c r="C25" s="28"/>
      <c r="D25" s="27"/>
      <c r="E25" s="29"/>
      <c r="F25" s="25"/>
      <c r="G25" s="30">
        <v>0.9</v>
      </c>
      <c r="H25" s="28">
        <f t="shared" si="0"/>
        <v>0.97590361445783125</v>
      </c>
      <c r="I25" s="28">
        <f t="shared" si="1"/>
        <v>0.9</v>
      </c>
      <c r="J25" s="28">
        <f t="shared" si="2"/>
        <v>0.91817387080174884</v>
      </c>
      <c r="K25" s="28">
        <f t="shared" si="3"/>
        <v>2.3667033241231774</v>
      </c>
      <c r="L25" s="23">
        <f t="shared" si="4"/>
        <v>0.17654990703124168</v>
      </c>
    </row>
    <row r="26" spans="1:12" ht="35.75" customHeight="1">
      <c r="A26" s="26"/>
      <c r="B26" s="27"/>
      <c r="C26" s="28"/>
      <c r="D26" s="27"/>
      <c r="E26" s="29"/>
      <c r="F26" s="25"/>
      <c r="G26" s="30">
        <v>0.95</v>
      </c>
      <c r="H26" s="28">
        <f t="shared" si="0"/>
        <v>0.98843930635838151</v>
      </c>
      <c r="I26" s="28">
        <f t="shared" si="1"/>
        <v>0.95</v>
      </c>
      <c r="J26" s="28">
        <f t="shared" si="2"/>
        <v>0.95000000000000007</v>
      </c>
      <c r="K26" s="28">
        <f t="shared" si="3"/>
        <v>2.4986420573144161</v>
      </c>
      <c r="L26" s="23">
        <f t="shared" si="4"/>
        <v>0.17654990703124168</v>
      </c>
    </row>
    <row r="27" spans="1:12" ht="35.75" customHeight="1">
      <c r="A27" s="26"/>
      <c r="B27" s="27"/>
      <c r="C27" s="28"/>
      <c r="D27" s="27"/>
      <c r="E27" s="29"/>
      <c r="F27" s="25"/>
      <c r="G27" s="31">
        <v>1</v>
      </c>
      <c r="H27" s="32">
        <f t="shared" si="0"/>
        <v>1</v>
      </c>
      <c r="I27" s="32">
        <f t="shared" si="1"/>
        <v>1</v>
      </c>
      <c r="J27" s="32">
        <f t="shared" si="2"/>
        <v>0.98182612919825141</v>
      </c>
      <c r="K27" s="32">
        <f t="shared" si="3"/>
        <v>2.6305807905056553</v>
      </c>
      <c r="L27" s="24">
        <f t="shared" si="4"/>
        <v>0.17654990703124168</v>
      </c>
    </row>
    <row r="28" spans="1:12" ht="35.75" customHeight="1">
      <c r="A28" s="33"/>
      <c r="B28" s="34"/>
      <c r="C28" s="32"/>
      <c r="D28" s="34"/>
      <c r="E28" s="35"/>
      <c r="F28" s="25"/>
      <c r="G28" s="25"/>
      <c r="H28" s="25"/>
      <c r="I28" s="25"/>
      <c r="J28" s="25"/>
      <c r="K28" s="25"/>
    </row>
    <row r="29" spans="1:12" ht="35.75" customHeight="1">
      <c r="A29" s="25"/>
      <c r="B29" s="25"/>
      <c r="C29" s="25"/>
      <c r="D29" s="25"/>
      <c r="E29" s="25"/>
      <c r="F29" s="25"/>
      <c r="G29" s="25"/>
      <c r="H29" s="25"/>
      <c r="I29" s="25"/>
      <c r="J29" s="25"/>
      <c r="K29" s="25"/>
    </row>
    <row r="30" spans="1:12" ht="35.75" customHeight="1">
      <c r="A30" s="25" t="s">
        <v>423</v>
      </c>
      <c r="B30" s="25"/>
      <c r="C30" s="25"/>
      <c r="D30" s="25"/>
      <c r="E30" s="25"/>
      <c r="F30" s="25"/>
      <c r="G30" s="25"/>
      <c r="H30" s="25"/>
      <c r="I30" s="25"/>
      <c r="J30" s="20" t="s">
        <v>424</v>
      </c>
      <c r="K30" s="22" t="s">
        <v>425</v>
      </c>
    </row>
    <row r="31" spans="1:12" ht="35.75" customHeight="1">
      <c r="A31" s="20" t="s">
        <v>426</v>
      </c>
      <c r="B31" s="21" t="s">
        <v>427</v>
      </c>
      <c r="C31" s="21" t="s">
        <v>428</v>
      </c>
      <c r="D31" s="21" t="s">
        <v>429</v>
      </c>
      <c r="E31" s="21" t="s">
        <v>430</v>
      </c>
      <c r="F31" s="21" t="s">
        <v>431</v>
      </c>
      <c r="G31" s="21" t="s">
        <v>432</v>
      </c>
      <c r="H31" s="22" t="s">
        <v>433</v>
      </c>
      <c r="I31" s="25"/>
      <c r="J31" s="26" t="s">
        <v>434</v>
      </c>
      <c r="K31" s="29" t="s">
        <v>435</v>
      </c>
    </row>
    <row r="32" spans="1:12" ht="35.75" customHeight="1">
      <c r="A32" s="26">
        <v>1</v>
      </c>
      <c r="B32" s="28">
        <f>$C$6</f>
        <v>0.95</v>
      </c>
      <c r="C32" s="28">
        <f t="shared" ref="C32:C45" si="5">B32/($C$9-($C$9-1)*B32)</f>
        <v>0.80851063829787206</v>
      </c>
      <c r="D32" s="27" t="str">
        <f t="shared" ref="D32:D45" si="6">IF(C32&gt;$C$8,"Rectifying","Stripping")</f>
        <v>Rectifying</v>
      </c>
      <c r="E32" s="28">
        <f t="shared" ref="E32:E45" si="7">IF(C32&gt;$C$8,$C$16*C32+$C$17,$C$19*C32+$C$20)</f>
        <v>0.85993882588579951</v>
      </c>
      <c r="F32" s="27" t="str">
        <f t="shared" ref="F32:F45" si="8">IF(C32&lt;=$C$7,"Reached xB","Continue")</f>
        <v>Continue</v>
      </c>
      <c r="G32" s="27" t="str">
        <f t="shared" ref="G32:G45" si="9">IF(C32&gt;$C$8,"Above feed tray","Below feed tray")</f>
        <v>Above feed tray</v>
      </c>
      <c r="H32" s="29">
        <f t="shared" ref="H32:H45" si="10">IF(AND(A32&gt;=1,C32&gt;0),1,0)</f>
        <v>1</v>
      </c>
      <c r="I32" s="25"/>
      <c r="J32" s="26" t="s">
        <v>436</v>
      </c>
      <c r="K32" s="29" t="s">
        <v>437</v>
      </c>
    </row>
    <row r="33" spans="1:11" ht="35.75" customHeight="1">
      <c r="A33" s="26">
        <v>2</v>
      </c>
      <c r="B33" s="28">
        <f t="shared" ref="B33:B45" si="11">E32</f>
        <v>0.85993882588579951</v>
      </c>
      <c r="C33" s="28">
        <f t="shared" si="5"/>
        <v>0.57705722987162289</v>
      </c>
      <c r="D33" s="27" t="str">
        <f t="shared" si="6"/>
        <v>Rectifying</v>
      </c>
      <c r="E33" s="28">
        <f t="shared" si="7"/>
        <v>0.71261350428681103</v>
      </c>
      <c r="F33" s="27" t="str">
        <f t="shared" si="8"/>
        <v>Continue</v>
      </c>
      <c r="G33" s="27" t="str">
        <f t="shared" si="9"/>
        <v>Above feed tray</v>
      </c>
      <c r="H33" s="29">
        <f t="shared" si="10"/>
        <v>1</v>
      </c>
      <c r="I33" s="25"/>
      <c r="J33" s="26" t="s">
        <v>438</v>
      </c>
      <c r="K33" s="29" t="s">
        <v>439</v>
      </c>
    </row>
    <row r="34" spans="1:11" ht="35.75" customHeight="1">
      <c r="A34" s="26">
        <v>3</v>
      </c>
      <c r="B34" s="28">
        <f t="shared" si="11"/>
        <v>0.71261350428681103</v>
      </c>
      <c r="C34" s="28">
        <f t="shared" si="5"/>
        <v>0.35526711001950739</v>
      </c>
      <c r="D34" s="27" t="str">
        <f t="shared" si="6"/>
        <v>Rectifying</v>
      </c>
      <c r="E34" s="28">
        <f t="shared" si="7"/>
        <v>0.57143908410062982</v>
      </c>
      <c r="F34" s="27" t="str">
        <f t="shared" si="8"/>
        <v>Continue</v>
      </c>
      <c r="G34" s="27" t="str">
        <f t="shared" si="9"/>
        <v>Above feed tray</v>
      </c>
      <c r="H34" s="29">
        <f t="shared" si="10"/>
        <v>1</v>
      </c>
      <c r="I34" s="25"/>
      <c r="J34" s="26" t="s">
        <v>440</v>
      </c>
      <c r="K34" s="29" t="s">
        <v>441</v>
      </c>
    </row>
    <row r="35" spans="1:11" ht="35.75" customHeight="1">
      <c r="A35" s="26">
        <v>4</v>
      </c>
      <c r="B35" s="28">
        <f t="shared" si="11"/>
        <v>0.57143908410062982</v>
      </c>
      <c r="C35" s="28">
        <f t="shared" si="5"/>
        <v>0.22857899780671265</v>
      </c>
      <c r="D35" s="27" t="str">
        <f t="shared" si="6"/>
        <v>Rectifying</v>
      </c>
      <c r="E35" s="28">
        <f t="shared" si="7"/>
        <v>0.49079923955729055</v>
      </c>
      <c r="F35" s="27" t="str">
        <f t="shared" si="8"/>
        <v>Continue</v>
      </c>
      <c r="G35" s="27" t="str">
        <f t="shared" si="9"/>
        <v>Above feed tray</v>
      </c>
      <c r="H35" s="29">
        <f t="shared" si="10"/>
        <v>1</v>
      </c>
      <c r="I35" s="25"/>
      <c r="J35" s="26" t="s">
        <v>387</v>
      </c>
      <c r="K35" s="29" t="s">
        <v>442</v>
      </c>
    </row>
    <row r="36" spans="1:11" ht="35.75" customHeight="1">
      <c r="A36" s="26">
        <v>5</v>
      </c>
      <c r="B36" s="28">
        <f t="shared" si="11"/>
        <v>0.49079923955729055</v>
      </c>
      <c r="C36" s="28">
        <f t="shared" si="5"/>
        <v>0.17640671772053848</v>
      </c>
      <c r="D36" s="27" t="str">
        <f t="shared" si="6"/>
        <v>Stripping</v>
      </c>
      <c r="E36" s="28">
        <f t="shared" si="7"/>
        <v>0.45730370393032277</v>
      </c>
      <c r="F36" s="27" t="str">
        <f t="shared" si="8"/>
        <v>Continue</v>
      </c>
      <c r="G36" s="27" t="str">
        <f t="shared" si="9"/>
        <v>Below feed tray</v>
      </c>
      <c r="H36" s="29">
        <f t="shared" si="10"/>
        <v>1</v>
      </c>
      <c r="I36" s="25"/>
      <c r="J36" s="26" t="s">
        <v>443</v>
      </c>
      <c r="K36" s="29" t="s">
        <v>444</v>
      </c>
    </row>
    <row r="37" spans="1:11" ht="35.75" customHeight="1">
      <c r="A37" s="26">
        <v>6</v>
      </c>
      <c r="B37" s="28">
        <f t="shared" si="11"/>
        <v>0.45730370393032277</v>
      </c>
      <c r="C37" s="28">
        <f t="shared" si="5"/>
        <v>0.15772155015400691</v>
      </c>
      <c r="D37" s="27" t="str">
        <f t="shared" si="6"/>
        <v>Stripping</v>
      </c>
      <c r="E37" s="28">
        <f t="shared" si="7"/>
        <v>0.40799775716643871</v>
      </c>
      <c r="F37" s="27" t="str">
        <f t="shared" si="8"/>
        <v>Continue</v>
      </c>
      <c r="G37" s="27" t="str">
        <f t="shared" si="9"/>
        <v>Below feed tray</v>
      </c>
      <c r="H37" s="29">
        <f t="shared" si="10"/>
        <v>1</v>
      </c>
      <c r="I37" s="25"/>
      <c r="J37" s="26" t="s">
        <v>445</v>
      </c>
      <c r="K37" s="29" t="s">
        <v>446</v>
      </c>
    </row>
    <row r="38" spans="1:11" ht="35.75" customHeight="1">
      <c r="A38" s="26">
        <v>7</v>
      </c>
      <c r="B38" s="28">
        <f t="shared" si="11"/>
        <v>0.40799775716643871</v>
      </c>
      <c r="C38" s="28">
        <f t="shared" si="5"/>
        <v>0.13281143053635111</v>
      </c>
      <c r="D38" s="27" t="str">
        <f t="shared" si="6"/>
        <v>Stripping</v>
      </c>
      <c r="E38" s="28">
        <f t="shared" si="7"/>
        <v>0.34226556464652402</v>
      </c>
      <c r="F38" s="27" t="str">
        <f t="shared" si="8"/>
        <v>Continue</v>
      </c>
      <c r="G38" s="27" t="str">
        <f t="shared" si="9"/>
        <v>Below feed tray</v>
      </c>
      <c r="H38" s="29">
        <f t="shared" si="10"/>
        <v>1</v>
      </c>
      <c r="I38" s="25"/>
      <c r="J38" s="33" t="s">
        <v>147</v>
      </c>
      <c r="K38" s="35" t="s">
        <v>447</v>
      </c>
    </row>
    <row r="39" spans="1:11" ht="35.75" customHeight="1">
      <c r="A39" s="26">
        <v>8</v>
      </c>
      <c r="B39" s="28">
        <f t="shared" si="11"/>
        <v>0.34226556464652402</v>
      </c>
      <c r="C39" s="28">
        <f t="shared" si="5"/>
        <v>0.10365180337189164</v>
      </c>
      <c r="D39" s="27" t="str">
        <f t="shared" si="6"/>
        <v>Stripping</v>
      </c>
      <c r="E39" s="28">
        <f t="shared" si="7"/>
        <v>0.26531987927837158</v>
      </c>
      <c r="F39" s="27" t="str">
        <f t="shared" si="8"/>
        <v>Continue</v>
      </c>
      <c r="G39" s="27" t="str">
        <f t="shared" si="9"/>
        <v>Below feed tray</v>
      </c>
      <c r="H39" s="29">
        <f t="shared" si="10"/>
        <v>1</v>
      </c>
      <c r="I39" s="25"/>
      <c r="J39" s="25"/>
      <c r="K39" s="25"/>
    </row>
    <row r="40" spans="1:11" ht="35.75" customHeight="1">
      <c r="A40" s="26">
        <v>9</v>
      </c>
      <c r="B40" s="28">
        <f t="shared" si="11"/>
        <v>0.26531987927837158</v>
      </c>
      <c r="C40" s="28">
        <f t="shared" si="5"/>
        <v>7.4290567760556842E-2</v>
      </c>
      <c r="D40" s="27" t="str">
        <f t="shared" si="6"/>
        <v>Stripping</v>
      </c>
      <c r="E40" s="28">
        <f t="shared" si="7"/>
        <v>0.18784219464859148</v>
      </c>
      <c r="F40" s="27" t="str">
        <f t="shared" si="8"/>
        <v>Continue</v>
      </c>
      <c r="G40" s="27" t="str">
        <f t="shared" si="9"/>
        <v>Below feed tray</v>
      </c>
      <c r="H40" s="29">
        <f t="shared" si="10"/>
        <v>1</v>
      </c>
      <c r="I40" s="25"/>
      <c r="J40" s="25"/>
      <c r="K40" s="25"/>
    </row>
    <row r="41" spans="1:11" ht="35.75" customHeight="1">
      <c r="A41" s="26">
        <v>10</v>
      </c>
      <c r="B41" s="28">
        <f t="shared" si="11"/>
        <v>0.18784219464859148</v>
      </c>
      <c r="C41" s="28">
        <f t="shared" si="5"/>
        <v>4.8884746144635068E-2</v>
      </c>
      <c r="D41" s="27" t="str">
        <f t="shared" si="6"/>
        <v>Stripping</v>
      </c>
      <c r="E41" s="28">
        <f t="shared" si="7"/>
        <v>0.12080195625484517</v>
      </c>
      <c r="F41" s="27" t="str">
        <f t="shared" si="8"/>
        <v>Continue</v>
      </c>
      <c r="G41" s="27" t="str">
        <f t="shared" si="9"/>
        <v>Below feed tray</v>
      </c>
      <c r="H41" s="29">
        <f t="shared" si="10"/>
        <v>1</v>
      </c>
      <c r="I41" s="25"/>
      <c r="J41" s="25"/>
      <c r="K41" s="25"/>
    </row>
    <row r="42" spans="1:11" ht="35.75" customHeight="1">
      <c r="A42" s="26">
        <v>11</v>
      </c>
      <c r="B42" s="28">
        <f t="shared" si="11"/>
        <v>0.12080195625484517</v>
      </c>
      <c r="C42" s="28">
        <f t="shared" si="5"/>
        <v>2.962870575870508E-2</v>
      </c>
      <c r="D42" s="27" t="str">
        <f t="shared" si="6"/>
        <v>Stripping</v>
      </c>
      <c r="E42" s="28">
        <f t="shared" si="7"/>
        <v>6.9989604758866397E-2</v>
      </c>
      <c r="F42" s="27" t="str">
        <f t="shared" si="8"/>
        <v>Continue</v>
      </c>
      <c r="G42" s="27" t="str">
        <f t="shared" si="9"/>
        <v>Below feed tray</v>
      </c>
      <c r="H42" s="29">
        <f t="shared" si="10"/>
        <v>1</v>
      </c>
      <c r="I42" s="25"/>
      <c r="J42" s="25"/>
      <c r="K42" s="25"/>
    </row>
    <row r="43" spans="1:11" ht="35.75" customHeight="1">
      <c r="A43" s="26">
        <v>12</v>
      </c>
      <c r="B43" s="28">
        <f t="shared" si="11"/>
        <v>6.9989604758866397E-2</v>
      </c>
      <c r="C43" s="28">
        <f t="shared" si="5"/>
        <v>1.6448650129722898E-2</v>
      </c>
      <c r="D43" s="27" t="str">
        <f t="shared" si="6"/>
        <v>Stripping</v>
      </c>
      <c r="E43" s="28">
        <f t="shared" si="7"/>
        <v>3.5210407897307054E-2</v>
      </c>
      <c r="F43" s="27" t="str">
        <f t="shared" si="8"/>
        <v>Continue</v>
      </c>
      <c r="G43" s="27" t="str">
        <f t="shared" si="9"/>
        <v>Below feed tray</v>
      </c>
      <c r="H43" s="29">
        <f t="shared" si="10"/>
        <v>1</v>
      </c>
      <c r="I43" s="25"/>
      <c r="J43" s="25"/>
      <c r="K43" s="25"/>
    </row>
    <row r="44" spans="1:11" ht="35.75" customHeight="1">
      <c r="A44" s="26">
        <v>13</v>
      </c>
      <c r="B44" s="28">
        <f t="shared" si="11"/>
        <v>3.5210407897307054E-2</v>
      </c>
      <c r="C44" s="28">
        <f t="shared" si="5"/>
        <v>8.0448503363698565E-3</v>
      </c>
      <c r="D44" s="27" t="str">
        <f t="shared" si="6"/>
        <v>Stripping</v>
      </c>
      <c r="E44" s="28">
        <f t="shared" si="7"/>
        <v>1.3034673922751133E-2</v>
      </c>
      <c r="F44" s="27" t="str">
        <f t="shared" si="8"/>
        <v>Continue</v>
      </c>
      <c r="G44" s="27" t="str">
        <f t="shared" si="9"/>
        <v>Below feed tray</v>
      </c>
      <c r="H44" s="29">
        <f t="shared" si="10"/>
        <v>1</v>
      </c>
      <c r="I44" s="25"/>
      <c r="J44" s="25"/>
      <c r="K44" s="25"/>
    </row>
    <row r="45" spans="1:11" ht="35.75" customHeight="1">
      <c r="A45" s="26">
        <v>14</v>
      </c>
      <c r="B45" s="28">
        <f t="shared" si="11"/>
        <v>1.3034673922751133E-2</v>
      </c>
      <c r="C45" s="28">
        <f t="shared" si="5"/>
        <v>2.9262608710411953E-3</v>
      </c>
      <c r="D45" s="27" t="str">
        <f t="shared" si="6"/>
        <v>Stripping</v>
      </c>
      <c r="E45" s="28">
        <f t="shared" si="7"/>
        <v>-4.7213027287856205E-4</v>
      </c>
      <c r="F45" s="27" t="str">
        <f t="shared" si="8"/>
        <v>Reached xB</v>
      </c>
      <c r="G45" s="27" t="str">
        <f t="shared" si="9"/>
        <v>Below feed tray</v>
      </c>
      <c r="H45" s="29">
        <f t="shared" si="10"/>
        <v>1</v>
      </c>
      <c r="I45" s="25"/>
      <c r="J45" s="25"/>
      <c r="K45" s="25"/>
    </row>
    <row r="46" spans="1:11" ht="35.75" customHeight="1">
      <c r="I46" s="25"/>
      <c r="J46" s="25"/>
      <c r="K46" s="25"/>
    </row>
    <row r="47" spans="1:11" ht="35.75" customHeight="1">
      <c r="I47" s="25"/>
      <c r="J47" s="25"/>
      <c r="K47" s="25"/>
    </row>
    <row r="48" spans="1:11" ht="35.75" customHeight="1">
      <c r="I48" s="25"/>
      <c r="J48" s="25"/>
      <c r="K48" s="25"/>
    </row>
    <row r="49" spans="9:11" ht="35.75" customHeight="1">
      <c r="I49" s="25"/>
      <c r="J49" s="25"/>
      <c r="K49" s="25"/>
    </row>
    <row r="50" spans="9:11" ht="35.75" customHeight="1">
      <c r="I50" s="25"/>
      <c r="J50" s="25"/>
      <c r="K50" s="25"/>
    </row>
    <row r="51" spans="9:11" ht="35.75" customHeight="1">
      <c r="I51" s="25"/>
      <c r="J51" s="25"/>
      <c r="K51" s="25"/>
    </row>
    <row r="52" spans="9:11" ht="35.75" customHeight="1">
      <c r="I52" s="25"/>
      <c r="J52" s="25"/>
      <c r="K52" s="25"/>
    </row>
    <row r="53" spans="9:11" ht="35.75" customHeight="1">
      <c r="I53" s="25"/>
      <c r="J53" s="25"/>
      <c r="K53" s="25"/>
    </row>
    <row r="54" spans="9:11" ht="35.75" customHeight="1">
      <c r="I54" s="25"/>
      <c r="J54" s="25"/>
      <c r="K54" s="25"/>
    </row>
    <row r="55" spans="9:11" ht="35.75" customHeight="1">
      <c r="I55" s="25"/>
      <c r="J55" s="25"/>
      <c r="K55" s="25"/>
    </row>
    <row r="56" spans="9:11" ht="35.75" customHeight="1">
      <c r="I56" s="25"/>
      <c r="J56" s="25"/>
      <c r="K56" s="25"/>
    </row>
    <row r="57" spans="9:11" ht="35.75" customHeight="1">
      <c r="I57" s="25"/>
      <c r="J57" s="25"/>
      <c r="K57" s="25"/>
    </row>
    <row r="58" spans="9:11" ht="35.75" customHeight="1">
      <c r="I58" s="25"/>
      <c r="J58" s="25"/>
      <c r="K58" s="25"/>
    </row>
    <row r="59" spans="9:11" ht="35.75" customHeight="1">
      <c r="I59" s="25"/>
      <c r="J59" s="25"/>
      <c r="K59" s="25"/>
    </row>
  </sheetData>
  <mergeCells count="1">
    <mergeCell ref="A1:K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3"/>
  <sheetViews>
    <sheetView workbookViewId="0">
      <selection activeCell="E18" sqref="E18"/>
    </sheetView>
  </sheetViews>
  <sheetFormatPr baseColWidth="10" defaultColWidth="8.83203125" defaultRowHeight="15"/>
  <cols>
    <col min="1" max="1" width="18" customWidth="1"/>
    <col min="2" max="2" width="22" customWidth="1"/>
    <col min="3" max="3" width="14" customWidth="1"/>
    <col min="4" max="6" width="18" customWidth="1"/>
    <col min="7" max="7" width="12" customWidth="1"/>
    <col min="8" max="8" width="18" customWidth="1"/>
    <col min="9" max="9" width="14" customWidth="1"/>
    <col min="10" max="10" width="18" customWidth="1"/>
    <col min="11" max="11" width="14.5" customWidth="1"/>
  </cols>
  <sheetData>
    <row r="1" spans="1:11" ht="18">
      <c r="A1" s="81" t="s">
        <v>448</v>
      </c>
      <c r="B1" s="81"/>
      <c r="C1" s="81"/>
      <c r="D1" s="81"/>
      <c r="E1" s="81"/>
      <c r="F1" s="81"/>
      <c r="G1" s="81"/>
      <c r="H1" s="81"/>
      <c r="I1" s="81"/>
      <c r="J1" s="81"/>
      <c r="K1" s="81"/>
    </row>
    <row r="2" spans="1:11">
      <c r="A2" s="57"/>
      <c r="B2" s="57"/>
      <c r="C2" s="57"/>
      <c r="D2" s="57"/>
      <c r="E2" s="57"/>
      <c r="F2" s="57"/>
      <c r="G2" s="57"/>
      <c r="H2" s="57"/>
      <c r="I2" s="57"/>
      <c r="J2" s="57"/>
      <c r="K2" s="57"/>
    </row>
    <row r="4" spans="1:11" ht="32">
      <c r="A4" s="65" t="s">
        <v>449</v>
      </c>
      <c r="B4" s="65" t="s">
        <v>450</v>
      </c>
      <c r="C4" s="65" t="s">
        <v>451</v>
      </c>
      <c r="D4" s="65" t="s">
        <v>452</v>
      </c>
      <c r="E4" s="65" t="s">
        <v>453</v>
      </c>
      <c r="F4" s="65" t="s">
        <v>454</v>
      </c>
      <c r="G4" s="65" t="s">
        <v>455</v>
      </c>
      <c r="H4" s="65" t="s">
        <v>456</v>
      </c>
      <c r="I4" s="65" t="s">
        <v>457</v>
      </c>
      <c r="J4" s="65" t="s">
        <v>458</v>
      </c>
      <c r="K4" s="56"/>
    </row>
    <row r="5" spans="1:11">
      <c r="A5" t="s">
        <v>459</v>
      </c>
      <c r="B5" t="s">
        <v>460</v>
      </c>
      <c r="C5" s="50">
        <f>Feed!C8</f>
        <v>100</v>
      </c>
      <c r="D5" s="50">
        <f>Feed!C4</f>
        <v>12.920000000000002</v>
      </c>
      <c r="E5" s="50">
        <f>Feed!C5</f>
        <v>61.18</v>
      </c>
      <c r="F5" s="50">
        <f>Feed!C6</f>
        <v>25.900000000000002</v>
      </c>
      <c r="G5" s="51">
        <f t="shared" ref="G5:G12" si="0">D5/C5</f>
        <v>0.12920000000000001</v>
      </c>
      <c r="H5" s="51">
        <f t="shared" ref="H5:H12" si="1">E5/C5</f>
        <v>0.61180000000000001</v>
      </c>
      <c r="I5" s="51">
        <f t="shared" ref="I5:I12" si="2">F5/C5</f>
        <v>0.25900000000000001</v>
      </c>
      <c r="J5" t="s">
        <v>461</v>
      </c>
    </row>
    <row r="6" spans="1:11">
      <c r="A6" t="s">
        <v>462</v>
      </c>
      <c r="B6" t="s">
        <v>463</v>
      </c>
      <c r="C6" s="50">
        <f>Flash!F14</f>
        <v>37.61168134537737</v>
      </c>
      <c r="D6" s="50">
        <f>Flash!F10</f>
        <v>9.5867591505669036</v>
      </c>
      <c r="E6" s="50">
        <f>Flash!F11</f>
        <v>28.024906580638127</v>
      </c>
      <c r="F6" s="50">
        <f>Flash!F12</f>
        <v>1.5614172341504843E-5</v>
      </c>
      <c r="G6" s="51">
        <f t="shared" si="0"/>
        <v>0.25488781164911034</v>
      </c>
      <c r="H6" s="51">
        <f t="shared" si="1"/>
        <v>0.74511177320932243</v>
      </c>
      <c r="I6" s="51">
        <f t="shared" si="2"/>
        <v>4.15141567273325E-7</v>
      </c>
      <c r="J6" t="s">
        <v>464</v>
      </c>
    </row>
    <row r="7" spans="1:11">
      <c r="A7" t="s">
        <v>465</v>
      </c>
      <c r="B7" t="s">
        <v>466</v>
      </c>
      <c r="C7" s="50">
        <f>Flash!G14</f>
        <v>62.38831865462263</v>
      </c>
      <c r="D7" s="50">
        <f>Flash!G10</f>
        <v>3.3332408494330972</v>
      </c>
      <c r="E7" s="50">
        <f>Flash!G11</f>
        <v>33.155093419361876</v>
      </c>
      <c r="F7" s="50">
        <f>Flash!G12</f>
        <v>25.899984385827658</v>
      </c>
      <c r="G7" s="51">
        <f t="shared" si="0"/>
        <v>5.3427322955851488E-2</v>
      </c>
      <c r="H7" s="51">
        <f t="shared" si="1"/>
        <v>0.53143110977082353</v>
      </c>
      <c r="I7" s="51">
        <f t="shared" si="2"/>
        <v>0.41514156727332502</v>
      </c>
      <c r="J7" t="s">
        <v>467</v>
      </c>
    </row>
    <row r="8" spans="1:11">
      <c r="A8" t="s">
        <v>468</v>
      </c>
      <c r="B8" t="s">
        <v>469</v>
      </c>
      <c r="C8" s="50">
        <f>Flash!F29</f>
        <v>35.378381123591716</v>
      </c>
      <c r="D8" s="50">
        <f>Flash!F25</f>
        <v>3.2996295925341124</v>
      </c>
      <c r="E8" s="50">
        <f>Flash!F26</f>
        <v>32.078717606568979</v>
      </c>
      <c r="F8" s="50">
        <f>Flash!F27</f>
        <v>3.3924488623888505E-5</v>
      </c>
      <c r="G8" s="51">
        <f t="shared" si="0"/>
        <v>9.3266833804721144E-2</v>
      </c>
      <c r="H8" s="51">
        <f t="shared" si="1"/>
        <v>0.90673220729078563</v>
      </c>
      <c r="I8" s="51">
        <f t="shared" si="2"/>
        <v>9.5890449326598225E-7</v>
      </c>
      <c r="J8" t="s">
        <v>464</v>
      </c>
    </row>
    <row r="9" spans="1:11">
      <c r="A9" t="s">
        <v>470</v>
      </c>
      <c r="B9" t="s">
        <v>297</v>
      </c>
      <c r="C9" s="50">
        <f>Flash!G29</f>
        <v>27.009937531030918</v>
      </c>
      <c r="D9" s="50">
        <f>Flash!G25</f>
        <v>3.3611256898985128E-2</v>
      </c>
      <c r="E9" s="50">
        <f>Flash!G26</f>
        <v>1.0763758127928968</v>
      </c>
      <c r="F9" s="50">
        <f>Flash!G27</f>
        <v>25.899950461339035</v>
      </c>
      <c r="G9" s="51">
        <f t="shared" si="0"/>
        <v>1.2444033556305027E-3</v>
      </c>
      <c r="H9" s="51">
        <f t="shared" si="1"/>
        <v>3.9851103378387327E-2</v>
      </c>
      <c r="I9" s="51">
        <f t="shared" si="2"/>
        <v>0.95890449326598215</v>
      </c>
      <c r="J9" t="s">
        <v>471</v>
      </c>
    </row>
    <row r="10" spans="1:11">
      <c r="A10" t="s">
        <v>472</v>
      </c>
      <c r="B10" t="s">
        <v>473</v>
      </c>
      <c r="C10" s="50">
        <f>Column!B22</f>
        <v>72.990062468969086</v>
      </c>
      <c r="D10" s="50">
        <f>Column!B4</f>
        <v>12.886388743101016</v>
      </c>
      <c r="E10" s="50">
        <f>Column!B5</f>
        <v>60.103624187207103</v>
      </c>
      <c r="F10" s="50">
        <f>Column!B6</f>
        <v>4.9538660965393351E-5</v>
      </c>
      <c r="G10" s="51">
        <f t="shared" si="0"/>
        <v>0.17654990703124168</v>
      </c>
      <c r="H10" s="51">
        <f t="shared" si="1"/>
        <v>0.82344941426457186</v>
      </c>
      <c r="I10" s="51">
        <f t="shared" si="2"/>
        <v>6.787041864288603E-7</v>
      </c>
      <c r="J10" t="s">
        <v>474</v>
      </c>
    </row>
    <row r="11" spans="1:11">
      <c r="A11" t="s">
        <v>475</v>
      </c>
      <c r="B11" t="s">
        <v>476</v>
      </c>
      <c r="C11" s="50">
        <f>Column!D4+Column!D5+Column!D6</f>
        <v>13.250199397625577</v>
      </c>
      <c r="D11" s="50">
        <f>Column!D4</f>
        <v>12.587689427744298</v>
      </c>
      <c r="E11" s="50">
        <f>Column!D5</f>
        <v>0.66250996988127941</v>
      </c>
      <c r="F11" s="50">
        <f>Column!D6</f>
        <v>0</v>
      </c>
      <c r="G11" s="51">
        <f t="shared" si="0"/>
        <v>0.95</v>
      </c>
      <c r="H11" s="51">
        <f t="shared" si="1"/>
        <v>5.0000000000000044E-2</v>
      </c>
      <c r="I11" s="51">
        <f t="shared" si="2"/>
        <v>0</v>
      </c>
      <c r="J11" t="s">
        <v>471</v>
      </c>
    </row>
    <row r="12" spans="1:11">
      <c r="A12" t="s">
        <v>477</v>
      </c>
      <c r="B12" t="s">
        <v>478</v>
      </c>
      <c r="C12" s="50">
        <f>Column!F4+Column!F5+Column!F6</f>
        <v>59.739863071343514</v>
      </c>
      <c r="D12" s="50">
        <f>Column!F4</f>
        <v>0.29869931535671768</v>
      </c>
      <c r="E12" s="50">
        <f>Column!F5</f>
        <v>59.441114217325826</v>
      </c>
      <c r="F12" s="50">
        <f>Column!F6</f>
        <v>4.9538660965393351E-5</v>
      </c>
      <c r="G12" s="51">
        <f t="shared" si="0"/>
        <v>5.0000000000000018E-3</v>
      </c>
      <c r="H12" s="51">
        <f t="shared" si="1"/>
        <v>0.99499917076038635</v>
      </c>
      <c r="I12" s="51">
        <f t="shared" si="2"/>
        <v>8.2923961352627275E-7</v>
      </c>
      <c r="J12" t="s">
        <v>471</v>
      </c>
    </row>
    <row r="16" spans="1:11">
      <c r="A16" t="s">
        <v>479</v>
      </c>
      <c r="B16" t="s">
        <v>480</v>
      </c>
      <c r="C16" t="s">
        <v>53</v>
      </c>
    </row>
    <row r="17" spans="1:4">
      <c r="A17" t="s">
        <v>481</v>
      </c>
      <c r="B17" t="s">
        <v>482</v>
      </c>
      <c r="C17" s="44">
        <f>C5-C9-C11-C12</f>
        <v>0</v>
      </c>
      <c r="D17" s="52"/>
    </row>
    <row r="18" spans="1:4">
      <c r="A18" t="s">
        <v>483</v>
      </c>
      <c r="B18" t="s">
        <v>484</v>
      </c>
      <c r="C18" s="44">
        <f>C10-C11-C12</f>
        <v>0</v>
      </c>
      <c r="D18" s="52"/>
    </row>
    <row r="19" spans="1:4">
      <c r="A19" t="s">
        <v>485</v>
      </c>
      <c r="B19" t="s">
        <v>486</v>
      </c>
      <c r="C19" s="44">
        <f>G11</f>
        <v>0.95</v>
      </c>
      <c r="D19" s="52"/>
    </row>
    <row r="20" spans="1:4">
      <c r="A20" t="s">
        <v>487</v>
      </c>
      <c r="B20" t="s">
        <v>488</v>
      </c>
      <c r="C20" s="44">
        <f>H12</f>
        <v>0.99499917076038635</v>
      </c>
      <c r="D20" s="52"/>
    </row>
    <row r="21" spans="1:4">
      <c r="A21" t="s">
        <v>489</v>
      </c>
      <c r="B21" t="s">
        <v>490</v>
      </c>
      <c r="C21" s="44">
        <f>I9</f>
        <v>0.95890449326598215</v>
      </c>
      <c r="D21" s="52"/>
    </row>
    <row r="22" spans="1:4">
      <c r="A22" t="s">
        <v>491</v>
      </c>
      <c r="B22" t="s">
        <v>492</v>
      </c>
      <c r="C22" s="44">
        <f>D11/D5</f>
        <v>0.97427936747246879</v>
      </c>
      <c r="D22" s="52"/>
    </row>
    <row r="23" spans="1:4">
      <c r="A23" t="s">
        <v>493</v>
      </c>
      <c r="B23" t="s">
        <v>494</v>
      </c>
      <c r="C23" s="44">
        <f>E12/E5</f>
        <v>0.97157754523252415</v>
      </c>
      <c r="D23" s="52"/>
    </row>
  </sheetData>
  <mergeCells count="1">
    <mergeCell ref="A1:K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5"/>
  <sheetViews>
    <sheetView workbookViewId="0">
      <selection activeCell="E27" sqref="E27"/>
    </sheetView>
  </sheetViews>
  <sheetFormatPr baseColWidth="10" defaultColWidth="8.83203125" defaultRowHeight="15"/>
  <cols>
    <col min="1" max="1" width="18" customWidth="1"/>
    <col min="2" max="2" width="22" customWidth="1"/>
    <col min="3" max="3" width="14" customWidth="1"/>
    <col min="4" max="6" width="18" customWidth="1"/>
    <col min="7" max="7" width="12" customWidth="1"/>
    <col min="8" max="8" width="20.83203125" customWidth="1"/>
    <col min="9" max="9" width="14" customWidth="1"/>
    <col min="10" max="10" width="18" customWidth="1"/>
    <col min="11" max="11" width="32" customWidth="1"/>
  </cols>
  <sheetData>
    <row r="1" spans="1:11" ht="18">
      <c r="A1" s="81" t="s">
        <v>495</v>
      </c>
      <c r="B1" s="81"/>
      <c r="C1" s="81"/>
      <c r="D1" s="81"/>
      <c r="E1" s="81"/>
      <c r="F1" s="81"/>
      <c r="G1" s="81"/>
      <c r="H1" s="81"/>
      <c r="I1" s="81"/>
      <c r="J1" s="81"/>
      <c r="K1" s="81"/>
    </row>
    <row r="2" spans="1:11">
      <c r="A2" s="58"/>
      <c r="B2" s="58"/>
      <c r="C2" s="58"/>
      <c r="D2" s="58"/>
      <c r="E2" s="58"/>
      <c r="F2" s="58"/>
      <c r="G2" s="58"/>
      <c r="H2" s="58"/>
      <c r="I2" s="58"/>
      <c r="J2" s="58"/>
      <c r="K2" s="58"/>
    </row>
    <row r="4" spans="1:11" ht="16">
      <c r="A4" s="65" t="s">
        <v>168</v>
      </c>
      <c r="B4" s="65" t="s">
        <v>496</v>
      </c>
      <c r="C4" s="65" t="s">
        <v>54</v>
      </c>
      <c r="D4" s="65" t="s">
        <v>497</v>
      </c>
      <c r="E4" s="65" t="s">
        <v>170</v>
      </c>
      <c r="F4" s="65" t="s">
        <v>498</v>
      </c>
      <c r="G4" s="65" t="s">
        <v>54</v>
      </c>
      <c r="H4" s="65" t="s">
        <v>497</v>
      </c>
      <c r="I4" s="65" t="s">
        <v>170</v>
      </c>
      <c r="J4" s="59"/>
      <c r="K4" s="59"/>
    </row>
    <row r="5" spans="1:11">
      <c r="A5" t="s">
        <v>499</v>
      </c>
      <c r="B5" s="50">
        <f>Column!B19*Column!B15</f>
        <v>23.203783196854545</v>
      </c>
      <c r="C5" t="s">
        <v>500</v>
      </c>
      <c r="D5" t="s">
        <v>501</v>
      </c>
      <c r="E5" t="s">
        <v>502</v>
      </c>
      <c r="F5" s="50">
        <f>Column!B19*Column!B15+Column!B22</f>
        <v>96.19384566582363</v>
      </c>
      <c r="G5" t="s">
        <v>500</v>
      </c>
      <c r="H5" t="s">
        <v>503</v>
      </c>
      <c r="I5" t="s">
        <v>502</v>
      </c>
      <c r="J5" s="60"/>
      <c r="K5" s="60"/>
    </row>
    <row r="6" spans="1:11">
      <c r="A6" t="s">
        <v>504</v>
      </c>
      <c r="B6" s="50">
        <f>Column!B20</f>
        <v>36.453982594480124</v>
      </c>
      <c r="C6" t="s">
        <v>500</v>
      </c>
      <c r="D6" t="s">
        <v>505</v>
      </c>
      <c r="E6" t="s">
        <v>502</v>
      </c>
      <c r="F6" s="50">
        <f>Column!B20</f>
        <v>36.453982594480124</v>
      </c>
      <c r="G6" t="s">
        <v>500</v>
      </c>
      <c r="H6" t="s">
        <v>506</v>
      </c>
      <c r="I6" t="s">
        <v>502</v>
      </c>
      <c r="J6" s="60"/>
      <c r="K6" s="60"/>
    </row>
    <row r="7" spans="1:11">
      <c r="A7" t="s">
        <v>507</v>
      </c>
      <c r="B7" s="50">
        <f>SUMPRODUCT(Column!E4:E6,Inputs!C13:C15)</f>
        <v>31.340569999999996</v>
      </c>
      <c r="C7" t="s">
        <v>508</v>
      </c>
      <c r="D7" t="s">
        <v>509</v>
      </c>
      <c r="E7" t="s">
        <v>502</v>
      </c>
      <c r="F7" s="50">
        <f>SUMPRODUCT(Column!G4:G6,Inputs!C13:C15)</f>
        <v>18.08549442882671</v>
      </c>
      <c r="G7" t="s">
        <v>508</v>
      </c>
      <c r="H7" t="s">
        <v>510</v>
      </c>
      <c r="I7" t="s">
        <v>502</v>
      </c>
      <c r="J7" s="60"/>
      <c r="K7" s="60"/>
    </row>
    <row r="8" spans="1:11">
      <c r="A8" t="s">
        <v>511</v>
      </c>
      <c r="B8" s="50">
        <f>B6*B7/3600</f>
        <v>0.31735794257807937</v>
      </c>
      <c r="C8" t="s">
        <v>172</v>
      </c>
      <c r="D8" t="s">
        <v>512</v>
      </c>
      <c r="E8" t="s">
        <v>502</v>
      </c>
      <c r="F8" s="50">
        <f>F6*F7/3600</f>
        <v>0.18313563864472671</v>
      </c>
      <c r="G8" t="s">
        <v>172</v>
      </c>
      <c r="H8" t="s">
        <v>512</v>
      </c>
      <c r="I8" t="s">
        <v>502</v>
      </c>
      <c r="J8" s="60"/>
      <c r="K8" s="60"/>
    </row>
    <row r="9" spans="1:11">
      <c r="A9" t="s">
        <v>513</v>
      </c>
      <c r="B9" s="50">
        <f>B5*B7/3600</f>
        <v>0.20200549765162321</v>
      </c>
      <c r="C9" t="s">
        <v>172</v>
      </c>
      <c r="D9" t="s">
        <v>514</v>
      </c>
      <c r="E9" t="s">
        <v>502</v>
      </c>
      <c r="F9" s="50">
        <f>F5*SUMPRODUCT(Column!C4:C6,Inputs!C13:C15)/3600</f>
        <v>0.54754993764296422</v>
      </c>
      <c r="G9" t="s">
        <v>172</v>
      </c>
      <c r="H9" t="s">
        <v>515</v>
      </c>
      <c r="I9" t="s">
        <v>502</v>
      </c>
      <c r="J9" s="60"/>
      <c r="K9" s="60"/>
    </row>
    <row r="10" spans="1:11">
      <c r="A10" t="s">
        <v>516</v>
      </c>
      <c r="B10" s="50">
        <f>Inputs!B28*100000*(B7/1000)/(8.314*(68+273.15))</f>
        <v>0.62659390997918685</v>
      </c>
      <c r="C10" t="s">
        <v>59</v>
      </c>
      <c r="D10" t="s">
        <v>517</v>
      </c>
      <c r="E10" t="s">
        <v>502</v>
      </c>
      <c r="F10" s="50">
        <f>Hydraulics!B6</f>
        <v>0.6</v>
      </c>
      <c r="G10" t="s">
        <v>59</v>
      </c>
      <c r="H10" t="s">
        <v>518</v>
      </c>
      <c r="I10" t="s">
        <v>502</v>
      </c>
      <c r="J10" s="60"/>
      <c r="K10" s="60"/>
    </row>
    <row r="11" spans="1:11">
      <c r="A11" t="s">
        <v>519</v>
      </c>
      <c r="B11" s="50">
        <v>790</v>
      </c>
      <c r="C11" t="s">
        <v>59</v>
      </c>
      <c r="D11" t="s">
        <v>520</v>
      </c>
      <c r="E11" t="s">
        <v>179</v>
      </c>
      <c r="F11" s="50">
        <f>Hydraulics!B7</f>
        <v>950</v>
      </c>
      <c r="G11" t="s">
        <v>59</v>
      </c>
      <c r="H11" t="s">
        <v>518</v>
      </c>
      <c r="I11" t="s">
        <v>179</v>
      </c>
      <c r="J11" s="60"/>
      <c r="K11" s="60"/>
    </row>
    <row r="12" spans="1:11">
      <c r="A12" t="s">
        <v>185</v>
      </c>
      <c r="B12" s="50">
        <v>2.1999999999999999E-2</v>
      </c>
      <c r="C12" t="s">
        <v>68</v>
      </c>
      <c r="D12" t="s">
        <v>521</v>
      </c>
      <c r="E12" t="s">
        <v>179</v>
      </c>
      <c r="F12" s="50">
        <f>Hydraulics!B8</f>
        <v>5.5E-2</v>
      </c>
      <c r="G12" t="s">
        <v>68</v>
      </c>
      <c r="H12" t="s">
        <v>518</v>
      </c>
      <c r="I12" t="s">
        <v>179</v>
      </c>
      <c r="J12" s="60"/>
      <c r="K12" s="60"/>
    </row>
    <row r="13" spans="1:11">
      <c r="A13" t="s">
        <v>72</v>
      </c>
      <c r="B13" s="50">
        <v>0.06</v>
      </c>
      <c r="C13" t="s">
        <v>73</v>
      </c>
      <c r="D13" t="s">
        <v>522</v>
      </c>
      <c r="E13" t="s">
        <v>179</v>
      </c>
      <c r="F13" s="50">
        <f>Hydraulics!B10</f>
        <v>0.06</v>
      </c>
      <c r="G13" t="s">
        <v>73</v>
      </c>
      <c r="H13" t="s">
        <v>518</v>
      </c>
      <c r="I13" t="s">
        <v>179</v>
      </c>
      <c r="J13" s="60"/>
      <c r="K13" s="60"/>
    </row>
    <row r="14" spans="1:11">
      <c r="A14" t="s">
        <v>194</v>
      </c>
      <c r="B14" s="50">
        <f>B13*(B12/0.02)^0.2</f>
        <v>6.1154692589487393E-2</v>
      </c>
      <c r="C14" t="s">
        <v>73</v>
      </c>
      <c r="D14" t="s">
        <v>523</v>
      </c>
      <c r="E14" t="s">
        <v>524</v>
      </c>
      <c r="F14" s="50">
        <f>F13*(F12/0.02)^0.2</f>
        <v>7.345439552185648E-2</v>
      </c>
      <c r="G14" t="s">
        <v>73</v>
      </c>
      <c r="H14" t="s">
        <v>523</v>
      </c>
      <c r="I14" t="s">
        <v>524</v>
      </c>
      <c r="J14" s="60"/>
      <c r="K14" s="60"/>
    </row>
    <row r="15" spans="1:11">
      <c r="A15" t="s">
        <v>197</v>
      </c>
      <c r="B15" s="50">
        <f>B14*SQRT((B11-B10)/B10)</f>
        <v>2.1705907509881852</v>
      </c>
      <c r="C15" t="s">
        <v>73</v>
      </c>
      <c r="D15" t="s">
        <v>525</v>
      </c>
      <c r="E15" t="s">
        <v>524</v>
      </c>
      <c r="F15" s="50">
        <f>F14*SQRT((F11-F10)/F10)</f>
        <v>2.9219096157234725</v>
      </c>
      <c r="G15" t="s">
        <v>73</v>
      </c>
      <c r="H15" t="s">
        <v>525</v>
      </c>
      <c r="I15" t="s">
        <v>524</v>
      </c>
      <c r="J15" s="60"/>
      <c r="K15" s="60"/>
    </row>
    <row r="16" spans="1:11">
      <c r="A16" t="s">
        <v>200</v>
      </c>
      <c r="B16" s="50">
        <v>0.7</v>
      </c>
      <c r="C16" t="s">
        <v>78</v>
      </c>
      <c r="D16" t="s">
        <v>526</v>
      </c>
      <c r="E16" t="s">
        <v>179</v>
      </c>
      <c r="F16" s="50">
        <v>0.7</v>
      </c>
      <c r="G16" t="s">
        <v>78</v>
      </c>
      <c r="H16" t="s">
        <v>526</v>
      </c>
      <c r="I16" t="s">
        <v>179</v>
      </c>
      <c r="J16" s="60"/>
      <c r="K16" s="60"/>
    </row>
    <row r="17" spans="1:11">
      <c r="A17" t="s">
        <v>173</v>
      </c>
      <c r="B17" s="50">
        <v>9.4500000000000001E-2</v>
      </c>
      <c r="C17" t="s">
        <v>78</v>
      </c>
      <c r="D17" t="s">
        <v>527</v>
      </c>
      <c r="E17" t="s">
        <v>179</v>
      </c>
      <c r="F17" s="50">
        <v>9.4500000000000001E-2</v>
      </c>
      <c r="G17" t="s">
        <v>78</v>
      </c>
      <c r="H17" t="s">
        <v>527</v>
      </c>
      <c r="I17" t="s">
        <v>179</v>
      </c>
      <c r="J17" s="60"/>
      <c r="K17" s="60"/>
    </row>
    <row r="18" spans="1:11">
      <c r="A18" s="85" t="s">
        <v>204</v>
      </c>
      <c r="B18" s="86">
        <f>SQRT(4*B8/(PI()*B10*(B16*B15)*(1-B17)))</f>
        <v>0.68462765654930158</v>
      </c>
      <c r="C18" s="85" t="s">
        <v>83</v>
      </c>
      <c r="D18" s="85" t="s">
        <v>528</v>
      </c>
      <c r="E18" s="85"/>
      <c r="F18" s="86">
        <f>SQRT(4*F8/(PI()*F10*(F16*F15)*(1-F17)))</f>
        <v>0.45807778598361654</v>
      </c>
      <c r="G18" s="85" t="s">
        <v>83</v>
      </c>
      <c r="H18" s="85" t="s">
        <v>528</v>
      </c>
      <c r="I18" s="85"/>
      <c r="J18" s="74"/>
      <c r="K18" s="74"/>
    </row>
    <row r="19" spans="1:11">
      <c r="A19" s="85" t="s">
        <v>529</v>
      </c>
      <c r="B19" s="86">
        <f>CEILING(MAX(B18,F18),0.05)</f>
        <v>0.70000000000000007</v>
      </c>
      <c r="C19" s="85" t="s">
        <v>83</v>
      </c>
      <c r="D19" s="85" t="s">
        <v>530</v>
      </c>
      <c r="E19" s="85"/>
      <c r="F19" s="86">
        <f>B19</f>
        <v>0.70000000000000007</v>
      </c>
      <c r="G19" s="85" t="s">
        <v>83</v>
      </c>
      <c r="H19" s="85" t="s">
        <v>531</v>
      </c>
      <c r="I19" s="85"/>
      <c r="J19" s="74"/>
      <c r="K19" s="74"/>
    </row>
    <row r="20" spans="1:11">
      <c r="A20" s="85" t="s">
        <v>532</v>
      </c>
      <c r="B20" s="86">
        <f>B8/(B10*(PI()*B19^2/4)*(1-B17))/B15</f>
        <v>0.66959289730312621</v>
      </c>
      <c r="C20" s="85" t="s">
        <v>78</v>
      </c>
      <c r="D20" s="85" t="s">
        <v>533</v>
      </c>
      <c r="E20" s="85"/>
      <c r="F20" s="86">
        <f>F8/(F10*(PI()*F19^2/4)*(1-F17))/F15</f>
        <v>0.29976465430235993</v>
      </c>
      <c r="G20" s="85" t="s">
        <v>78</v>
      </c>
      <c r="H20" s="85" t="s">
        <v>533</v>
      </c>
      <c r="I20" s="85"/>
      <c r="J20" s="74"/>
      <c r="K20" s="74"/>
    </row>
    <row r="21" spans="1:11">
      <c r="A21" s="85" t="s">
        <v>534</v>
      </c>
      <c r="B21" s="86" t="str">
        <f>IF(B20&lt;0.7,"OK","Check")</f>
        <v>OK</v>
      </c>
      <c r="C21" s="85" t="s">
        <v>78</v>
      </c>
      <c r="D21" s="85" t="s">
        <v>535</v>
      </c>
      <c r="E21" s="85"/>
      <c r="F21" s="86" t="str">
        <f>IF(F20&lt;0.7,"OK","Check")</f>
        <v>OK</v>
      </c>
      <c r="G21" s="85" t="s">
        <v>78</v>
      </c>
      <c r="H21" s="85" t="s">
        <v>535</v>
      </c>
      <c r="I21" s="85"/>
      <c r="J21" s="74"/>
      <c r="K21" s="74"/>
    </row>
    <row r="22" spans="1:11">
      <c r="A22" s="85" t="s">
        <v>536</v>
      </c>
      <c r="B22" s="86">
        <f>B19</f>
        <v>0.70000000000000007</v>
      </c>
      <c r="C22" s="85" t="s">
        <v>83</v>
      </c>
      <c r="D22" s="85" t="s">
        <v>537</v>
      </c>
      <c r="E22" s="85"/>
      <c r="F22" s="86">
        <f>B19</f>
        <v>0.70000000000000007</v>
      </c>
      <c r="G22" s="85" t="s">
        <v>83</v>
      </c>
      <c r="H22" s="85" t="s">
        <v>538</v>
      </c>
      <c r="I22" s="85"/>
      <c r="J22" s="74"/>
      <c r="K22" s="74"/>
    </row>
    <row r="23" spans="1:11">
      <c r="A23" s="74"/>
      <c r="B23" s="75"/>
      <c r="C23" s="74"/>
      <c r="D23" s="74"/>
      <c r="E23" s="74"/>
      <c r="F23" s="75"/>
      <c r="G23" s="74"/>
      <c r="H23" s="74"/>
      <c r="I23" s="74"/>
      <c r="J23" s="74"/>
      <c r="K23" s="74"/>
    </row>
    <row r="24" spans="1:11">
      <c r="B24" s="50"/>
      <c r="F24" s="50"/>
    </row>
    <row r="25" spans="1:11">
      <c r="B25" s="50"/>
      <c r="F25" s="50"/>
    </row>
  </sheetData>
  <mergeCells count="1">
    <mergeCell ref="A1:K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1"/>
  <sheetViews>
    <sheetView workbookViewId="0">
      <selection sqref="A1:H1"/>
    </sheetView>
  </sheetViews>
  <sheetFormatPr baseColWidth="10" defaultColWidth="8.83203125" defaultRowHeight="15"/>
  <cols>
    <col min="1" max="1" width="18" customWidth="1"/>
    <col min="2" max="2" width="22" customWidth="1"/>
    <col min="3" max="3" width="14" customWidth="1"/>
    <col min="4" max="4" width="45.83203125" customWidth="1"/>
    <col min="5" max="6" width="18" customWidth="1"/>
    <col min="7" max="7" width="12" customWidth="1"/>
    <col min="8" max="8" width="18" customWidth="1"/>
    <col min="9" max="9" width="14" customWidth="1"/>
    <col min="10" max="10" width="18" customWidth="1"/>
    <col min="11" max="11" width="32" customWidth="1"/>
  </cols>
  <sheetData>
    <row r="1" spans="1:11" ht="18">
      <c r="A1" s="81" t="s">
        <v>539</v>
      </c>
      <c r="B1" s="81"/>
      <c r="C1" s="81"/>
      <c r="D1" s="81"/>
      <c r="E1" s="81"/>
      <c r="F1" s="81"/>
      <c r="G1" s="81"/>
      <c r="H1" s="81"/>
      <c r="I1" s="63"/>
      <c r="J1" s="63"/>
      <c r="K1" s="63"/>
    </row>
    <row r="2" spans="1:11">
      <c r="A2" s="62"/>
      <c r="B2" s="62"/>
      <c r="C2" s="62"/>
      <c r="D2" s="62"/>
      <c r="E2" s="62"/>
      <c r="F2" s="62"/>
      <c r="G2" s="62"/>
      <c r="H2" s="62"/>
      <c r="I2" s="62"/>
      <c r="J2" s="62"/>
      <c r="K2" s="62"/>
    </row>
    <row r="4" spans="1:11" ht="32">
      <c r="A4" s="65" t="s">
        <v>540</v>
      </c>
      <c r="B4" s="65" t="s">
        <v>541</v>
      </c>
      <c r="C4" s="65" t="s">
        <v>542</v>
      </c>
      <c r="D4" s="65" t="s">
        <v>543</v>
      </c>
      <c r="E4" s="65" t="s">
        <v>544</v>
      </c>
      <c r="F4" s="59"/>
      <c r="G4" s="59" t="s">
        <v>221</v>
      </c>
      <c r="H4" s="59"/>
      <c r="I4" s="59"/>
      <c r="J4" s="59"/>
      <c r="K4" s="59"/>
    </row>
    <row r="5" spans="1:11">
      <c r="A5" t="s">
        <v>545</v>
      </c>
      <c r="B5" t="s">
        <v>546</v>
      </c>
      <c r="C5">
        <v>1</v>
      </c>
      <c r="D5" t="s">
        <v>547</v>
      </c>
      <c r="E5" s="53">
        <f>Energy_Cost!D4</f>
        <v>625.14877940193981</v>
      </c>
      <c r="F5" s="52"/>
    </row>
    <row r="6" spans="1:11">
      <c r="A6" t="s">
        <v>548</v>
      </c>
      <c r="B6" t="s">
        <v>549</v>
      </c>
      <c r="C6">
        <v>1</v>
      </c>
      <c r="D6" t="s">
        <v>550</v>
      </c>
      <c r="E6" s="53" t="s">
        <v>551</v>
      </c>
      <c r="F6" s="52"/>
    </row>
    <row r="7" spans="1:11">
      <c r="A7" t="s">
        <v>552</v>
      </c>
      <c r="B7" t="s">
        <v>553</v>
      </c>
      <c r="C7">
        <v>1</v>
      </c>
      <c r="D7" t="s">
        <v>554</v>
      </c>
      <c r="E7" s="53">
        <f>Energy_Cost!D5</f>
        <v>469.87715280006438</v>
      </c>
      <c r="F7" s="52"/>
    </row>
    <row r="8" spans="1:11">
      <c r="A8" t="s">
        <v>555</v>
      </c>
      <c r="B8" t="s">
        <v>556</v>
      </c>
      <c r="C8">
        <v>1</v>
      </c>
      <c r="D8" t="s">
        <v>557</v>
      </c>
      <c r="E8" s="53" t="s">
        <v>558</v>
      </c>
      <c r="F8" s="52"/>
    </row>
    <row r="9" spans="1:11">
      <c r="A9" t="s">
        <v>559</v>
      </c>
      <c r="B9" t="s">
        <v>560</v>
      </c>
      <c r="C9">
        <v>1</v>
      </c>
      <c r="D9" t="s">
        <v>561</v>
      </c>
      <c r="E9" s="53" t="s">
        <v>562</v>
      </c>
      <c r="F9" s="52"/>
    </row>
    <row r="10" spans="1:11">
      <c r="A10" t="s">
        <v>563</v>
      </c>
      <c r="B10" t="s">
        <v>564</v>
      </c>
      <c r="C10">
        <v>1</v>
      </c>
      <c r="D10" t="s">
        <v>565</v>
      </c>
      <c r="E10" s="53" t="s">
        <v>558</v>
      </c>
      <c r="F10" s="52"/>
    </row>
    <row r="11" spans="1:11">
      <c r="A11" t="s">
        <v>566</v>
      </c>
      <c r="B11" t="s">
        <v>567</v>
      </c>
      <c r="C11">
        <v>1</v>
      </c>
      <c r="D11" t="s">
        <v>568</v>
      </c>
      <c r="E11" s="53">
        <f>Energy_Cost!D9</f>
        <v>805.86306306966526</v>
      </c>
      <c r="F11" s="52"/>
    </row>
    <row r="12" spans="1:11">
      <c r="A12" t="s">
        <v>569</v>
      </c>
      <c r="B12" t="s">
        <v>570</v>
      </c>
      <c r="C12">
        <v>1</v>
      </c>
      <c r="D12" t="s">
        <v>571</v>
      </c>
      <c r="E12" s="53">
        <f>Energy_Cost!D10</f>
        <v>20</v>
      </c>
      <c r="F12" s="52"/>
    </row>
    <row r="13" spans="1:11">
      <c r="A13" t="s">
        <v>572</v>
      </c>
      <c r="B13" t="s">
        <v>573</v>
      </c>
      <c r="C13">
        <v>1</v>
      </c>
      <c r="D13" t="s">
        <v>574</v>
      </c>
      <c r="E13" s="53">
        <f>Energy_Cost!D11</f>
        <v>5.8290822072013609E-2</v>
      </c>
      <c r="F13" s="52"/>
    </row>
    <row r="14" spans="1:11">
      <c r="A14" t="s">
        <v>575</v>
      </c>
      <c r="B14" t="s">
        <v>576</v>
      </c>
      <c r="C14">
        <v>1</v>
      </c>
      <c r="D14" t="s">
        <v>577</v>
      </c>
      <c r="E14" s="53">
        <f>Energy_Cost!D8</f>
        <v>69.620153484581365</v>
      </c>
      <c r="F14" s="52"/>
    </row>
    <row r="15" spans="1:11">
      <c r="A15" t="s">
        <v>578</v>
      </c>
      <c r="B15" t="s">
        <v>579</v>
      </c>
      <c r="C15">
        <v>1</v>
      </c>
      <c r="D15" t="s">
        <v>580</v>
      </c>
      <c r="E15" s="53" t="s">
        <v>581</v>
      </c>
      <c r="F15" s="52"/>
    </row>
    <row r="16" spans="1:11">
      <c r="A16" t="s">
        <v>582</v>
      </c>
      <c r="B16" t="s">
        <v>583</v>
      </c>
      <c r="C16">
        <v>1</v>
      </c>
      <c r="D16" t="s">
        <v>584</v>
      </c>
      <c r="E16" s="53">
        <f>Energy_Cost!D7</f>
        <v>360.18560024601607</v>
      </c>
      <c r="F16" s="52"/>
    </row>
    <row r="17" spans="1:8">
      <c r="A17" t="s">
        <v>585</v>
      </c>
      <c r="B17" t="s">
        <v>586</v>
      </c>
      <c r="C17">
        <v>1</v>
      </c>
      <c r="D17" t="s">
        <v>587</v>
      </c>
      <c r="E17" s="53" t="s">
        <v>588</v>
      </c>
      <c r="F17" s="52"/>
    </row>
    <row r="18" spans="1:8">
      <c r="A18" t="s">
        <v>589</v>
      </c>
      <c r="B18" t="s">
        <v>590</v>
      </c>
      <c r="C18">
        <v>1</v>
      </c>
      <c r="D18" t="s">
        <v>591</v>
      </c>
      <c r="E18" s="53">
        <f>Energy_Cost!D6</f>
        <v>411.85877881707552</v>
      </c>
      <c r="F18" s="52"/>
    </row>
    <row r="21" spans="1:8">
      <c r="A21" s="61"/>
      <c r="B21" s="61"/>
      <c r="C21" s="61"/>
      <c r="D21" s="61"/>
      <c r="E21" s="61"/>
      <c r="F21" s="61"/>
      <c r="G21" s="61"/>
      <c r="H21" s="61"/>
    </row>
  </sheetData>
  <mergeCells count="2">
    <mergeCell ref="A1:H1"/>
    <mergeCell ref="A21:H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12</vt:i4>
      </vt:variant>
    </vt:vector>
  </HeadingPairs>
  <TitlesOfParts>
    <vt:vector size="12" baseType="lpstr">
      <vt:lpstr>Inputs</vt:lpstr>
      <vt:lpstr>Feed</vt:lpstr>
      <vt:lpstr>Flash</vt:lpstr>
      <vt:lpstr>Column</vt:lpstr>
      <vt:lpstr>Hydraulics</vt:lpstr>
      <vt:lpstr>Energy_Cost</vt:lpstr>
      <vt:lpstr>Sensitivity</vt:lpstr>
      <vt:lpstr>References</vt:lpstr>
      <vt:lpstr>McCabe_Thiele</vt:lpstr>
      <vt:lpstr>Stream_Summary_Final</vt:lpstr>
      <vt:lpstr>Hydraulics_TopBottom</vt:lpstr>
      <vt:lpstr>Equipment_List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Atahan Ergin</cp:lastModifiedBy>
  <dcterms:created xsi:type="dcterms:W3CDTF">2026-06-23T18:42:53Z</dcterms:created>
  <dcterms:modified xsi:type="dcterms:W3CDTF">2026-06-23T19:09:23Z</dcterms:modified>
</cp:coreProperties>
</file>