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МОДЕЛИРОВАНИЕ\ERW3\"/>
    </mc:Choice>
  </mc:AlternateContent>
  <xr:revisionPtr revIDLastSave="0" documentId="13_ncr:1_{F12A7E2D-2FD3-4B38-9E8A-23365AAC0AE6}" xr6:coauthVersionLast="37" xr6:coauthVersionMax="47" xr10:uidLastSave="{00000000-0000-0000-0000-000000000000}"/>
  <bookViews>
    <workbookView xWindow="-105" yWindow="-105" windowWidth="14505" windowHeight="10530" firstSheet="7" activeTab="15" xr2:uid="{00000000-000D-0000-FFFF-FFFF00000000}"/>
  </bookViews>
  <sheets>
    <sheet name="Вариант 1" sheetId="1" r:id="rId1"/>
    <sheet name="Вариант 2" sheetId="2" r:id="rId2"/>
    <sheet name="Вариант 3" sheetId="3" r:id="rId3"/>
    <sheet name="ρ0,9" sheetId="4" r:id="rId4"/>
    <sheet name="Вариант 4" sheetId="5" r:id="rId5"/>
    <sheet name="Вариант 5" sheetId="6" r:id="rId6"/>
    <sheet name="Вариант 6" sheetId="7" r:id="rId7"/>
    <sheet name="ρ0,6" sheetId="8" r:id="rId8"/>
    <sheet name="Вариант 7" sheetId="9" r:id="rId9"/>
    <sheet name="Вариант 8" sheetId="10" r:id="rId10"/>
    <sheet name="Вариант 9" sheetId="11" r:id="rId11"/>
    <sheet name="ρ0,3" sheetId="12" r:id="rId12"/>
    <sheet name="Вариант 10" sheetId="13" r:id="rId13"/>
    <sheet name="Вариант 11" sheetId="14" r:id="rId14"/>
    <sheet name="Вариант 12" sheetId="15" r:id="rId15"/>
    <sheet name="Очереди" sheetId="16" r:id="rId16"/>
    <sheet name="Адекватность" sheetId="17" r:id="rId17"/>
  </sheets>
  <externalReferences>
    <externalReference r:id="rId18"/>
  </externalReferences>
  <calcPr calcId="179021"/>
</workbook>
</file>

<file path=xl/calcChain.xml><?xml version="1.0" encoding="utf-8"?>
<calcChain xmlns="http://schemas.openxmlformats.org/spreadsheetml/2006/main">
  <c r="Q6" i="16" l="1"/>
  <c r="P6" i="16"/>
  <c r="O6" i="16"/>
  <c r="Q5" i="16"/>
  <c r="P5" i="16"/>
  <c r="O5" i="16"/>
  <c r="Q4" i="16"/>
  <c r="P4" i="16"/>
  <c r="O4" i="16"/>
  <c r="J32" i="15"/>
  <c r="K32" i="15" s="1"/>
  <c r="L32" i="15" s="1"/>
  <c r="H32" i="15"/>
  <c r="F32" i="15"/>
  <c r="G32" i="15"/>
  <c r="J31" i="15"/>
  <c r="K31" i="15" s="1"/>
  <c r="L31" i="15" s="1"/>
  <c r="H31" i="15"/>
  <c r="G31" i="15"/>
  <c r="F31" i="15"/>
  <c r="J30" i="15"/>
  <c r="K30" i="15" s="1"/>
  <c r="L30" i="15" s="1"/>
  <c r="H30" i="15"/>
  <c r="G30" i="15"/>
  <c r="F30" i="15"/>
  <c r="J29" i="15"/>
  <c r="K29" i="15" s="1"/>
  <c r="L29" i="15" s="1"/>
  <c r="H29" i="15"/>
  <c r="G29" i="15"/>
  <c r="F29" i="15"/>
  <c r="J28" i="15"/>
  <c r="K28" i="15" s="1"/>
  <c r="L28" i="15" s="1"/>
  <c r="H28" i="15"/>
  <c r="I28" i="15" s="1"/>
  <c r="F28" i="15"/>
  <c r="G28" i="15"/>
  <c r="J27" i="15"/>
  <c r="K27" i="15" s="1"/>
  <c r="L27" i="15" s="1"/>
  <c r="H27" i="15"/>
  <c r="F27" i="15"/>
  <c r="G27" i="15"/>
  <c r="J26" i="15"/>
  <c r="K26" i="15" s="1"/>
  <c r="L26" i="15" s="1"/>
  <c r="H26" i="15"/>
  <c r="F26" i="15"/>
  <c r="G26" i="15"/>
  <c r="J25" i="15"/>
  <c r="H25" i="15"/>
  <c r="F25" i="15"/>
  <c r="G25" i="15"/>
  <c r="J24" i="15"/>
  <c r="H24" i="15"/>
  <c r="F24" i="15"/>
  <c r="G24" i="15"/>
  <c r="J32" i="14"/>
  <c r="K32" i="14" s="1"/>
  <c r="L32" i="14" s="1"/>
  <c r="H32" i="14"/>
  <c r="I32" i="14"/>
  <c r="G32" i="14"/>
  <c r="F32" i="14"/>
  <c r="J31" i="14"/>
  <c r="K31" i="14" s="1"/>
  <c r="L31" i="14" s="1"/>
  <c r="H31" i="14"/>
  <c r="F31" i="14"/>
  <c r="G31" i="14"/>
  <c r="J30" i="14"/>
  <c r="K30" i="14" s="1"/>
  <c r="L30" i="14" s="1"/>
  <c r="H30" i="14"/>
  <c r="G30" i="14"/>
  <c r="F30" i="14"/>
  <c r="J29" i="14"/>
  <c r="K29" i="14" s="1"/>
  <c r="L29" i="14" s="1"/>
  <c r="H29" i="14"/>
  <c r="I30" i="14"/>
  <c r="G29" i="14"/>
  <c r="F29" i="14"/>
  <c r="J28" i="14"/>
  <c r="H28" i="14"/>
  <c r="F28" i="14"/>
  <c r="G28" i="14"/>
  <c r="H27" i="14"/>
  <c r="J27" i="14"/>
  <c r="G26" i="14"/>
  <c r="I28" i="14"/>
  <c r="F27" i="14"/>
  <c r="G27" i="14"/>
  <c r="J26" i="14"/>
  <c r="K26" i="14" s="1"/>
  <c r="L26" i="14" s="1"/>
  <c r="H26" i="14"/>
  <c r="F26" i="14"/>
  <c r="J25" i="14"/>
  <c r="K25" i="14" s="1"/>
  <c r="L25" i="14" s="1"/>
  <c r="H25" i="14"/>
  <c r="F25" i="14"/>
  <c r="G25" i="14"/>
  <c r="J24" i="14"/>
  <c r="K24" i="14" s="1"/>
  <c r="L24" i="14" s="1"/>
  <c r="H24" i="14"/>
  <c r="G24" i="14"/>
  <c r="F24" i="14"/>
  <c r="J32" i="13"/>
  <c r="H32" i="13"/>
  <c r="F32" i="13"/>
  <c r="G32" i="13"/>
  <c r="J31" i="13"/>
  <c r="K31" i="13" s="1"/>
  <c r="L31" i="13" s="1"/>
  <c r="H31" i="13"/>
  <c r="F31" i="13"/>
  <c r="G31" i="13"/>
  <c r="H30" i="13"/>
  <c r="I31" i="13" s="1"/>
  <c r="J30" i="13"/>
  <c r="K30" i="13" s="1"/>
  <c r="L30" i="13" s="1"/>
  <c r="G30" i="13"/>
  <c r="F30" i="13"/>
  <c r="J29" i="13"/>
  <c r="K29" i="13" s="1"/>
  <c r="L29" i="13" s="1"/>
  <c r="H29" i="13"/>
  <c r="G29" i="13"/>
  <c r="F29" i="13"/>
  <c r="J28" i="13"/>
  <c r="K28" i="13" s="1"/>
  <c r="L28" i="13" s="1"/>
  <c r="H28" i="13"/>
  <c r="F28" i="13"/>
  <c r="G28" i="13"/>
  <c r="J27" i="13"/>
  <c r="H27" i="13"/>
  <c r="F27" i="13"/>
  <c r="G27" i="13"/>
  <c r="G25" i="13"/>
  <c r="J26" i="13"/>
  <c r="K26" i="13" s="1"/>
  <c r="L26" i="13" s="1"/>
  <c r="H26" i="13"/>
  <c r="G26" i="13"/>
  <c r="F26" i="13"/>
  <c r="J25" i="13"/>
  <c r="H25" i="13"/>
  <c r="F25" i="13"/>
  <c r="J24" i="13"/>
  <c r="F24" i="13"/>
  <c r="G24" i="13"/>
  <c r="K27" i="14"/>
  <c r="L27" i="14" s="1"/>
  <c r="K28" i="14"/>
  <c r="L28" i="14" s="1"/>
  <c r="I31" i="14"/>
  <c r="E30" i="14"/>
  <c r="E31" i="14"/>
  <c r="E32" i="14"/>
  <c r="D25" i="14"/>
  <c r="D26" i="14"/>
  <c r="D27" i="14"/>
  <c r="D28" i="14"/>
  <c r="D29" i="14"/>
  <c r="D30" i="14"/>
  <c r="D31" i="14"/>
  <c r="D32" i="14"/>
  <c r="K25" i="13"/>
  <c r="L25" i="13" s="1"/>
  <c r="K27" i="13"/>
  <c r="L27" i="13" s="1"/>
  <c r="K32" i="13"/>
  <c r="L32" i="13" s="1"/>
  <c r="D25" i="13"/>
  <c r="D26" i="13"/>
  <c r="D27" i="13"/>
  <c r="D28" i="13"/>
  <c r="D29" i="13"/>
  <c r="E29" i="13" s="1"/>
  <c r="D30" i="13"/>
  <c r="D31" i="13"/>
  <c r="D32" i="13"/>
  <c r="E32" i="13" s="1"/>
  <c r="K25" i="15"/>
  <c r="L25" i="15" s="1"/>
  <c r="I26" i="15"/>
  <c r="I27" i="15"/>
  <c r="D26" i="15"/>
  <c r="D27" i="15"/>
  <c r="D28" i="15"/>
  <c r="D29" i="15"/>
  <c r="D30" i="15"/>
  <c r="D31" i="15"/>
  <c r="D32" i="15"/>
  <c r="E32" i="15" s="1"/>
  <c r="E30" i="15"/>
  <c r="E31" i="15"/>
  <c r="D24" i="14"/>
  <c r="E25" i="10"/>
  <c r="E26" i="10"/>
  <c r="E22" i="1"/>
  <c r="E22" i="2"/>
  <c r="E22" i="3"/>
  <c r="E22" i="5"/>
  <c r="E22" i="6"/>
  <c r="I32" i="15" l="1"/>
  <c r="I31" i="15"/>
  <c r="I30" i="15"/>
  <c r="E29" i="15"/>
  <c r="I29" i="15"/>
  <c r="I29" i="14"/>
  <c r="E29" i="14"/>
  <c r="E28" i="14"/>
  <c r="I27" i="14"/>
  <c r="I26" i="14"/>
  <c r="I25" i="14"/>
  <c r="E26" i="14"/>
  <c r="I32" i="13"/>
  <c r="I30" i="13"/>
  <c r="E31" i="13"/>
  <c r="I29" i="13"/>
  <c r="I28" i="13"/>
  <c r="E28" i="13"/>
  <c r="I27" i="13"/>
  <c r="E27" i="13"/>
  <c r="I26" i="13"/>
  <c r="E26" i="13"/>
  <c r="E30" i="13"/>
  <c r="E28" i="15"/>
  <c r="E27" i="14"/>
  <c r="E27" i="15"/>
  <c r="E25" i="14"/>
  <c r="Q6" i="12"/>
  <c r="P6" i="12"/>
  <c r="O6" i="12"/>
  <c r="Q5" i="12"/>
  <c r="P5" i="12"/>
  <c r="O5" i="12"/>
  <c r="Q4" i="12"/>
  <c r="P4" i="12"/>
  <c r="O4" i="12"/>
  <c r="J35" i="11"/>
  <c r="H35" i="11"/>
  <c r="F35" i="11"/>
  <c r="G35" i="11"/>
  <c r="J34" i="11"/>
  <c r="H34" i="11"/>
  <c r="G34" i="11"/>
  <c r="F34" i="11"/>
  <c r="J33" i="11"/>
  <c r="H33" i="11"/>
  <c r="F33" i="11"/>
  <c r="G33" i="11"/>
  <c r="J32" i="11"/>
  <c r="H32" i="11"/>
  <c r="F32" i="11"/>
  <c r="G32" i="11"/>
  <c r="J31" i="11"/>
  <c r="H31" i="11"/>
  <c r="F31" i="11"/>
  <c r="G31" i="11"/>
  <c r="J30" i="11"/>
  <c r="H30" i="11"/>
  <c r="F30" i="11"/>
  <c r="G30" i="11"/>
  <c r="J29" i="11"/>
  <c r="H29" i="11"/>
  <c r="G29" i="11"/>
  <c r="F29" i="11"/>
  <c r="J28" i="11"/>
  <c r="H28" i="11"/>
  <c r="F28" i="11"/>
  <c r="G28" i="11"/>
  <c r="J27" i="11"/>
  <c r="H27" i="11"/>
  <c r="F27" i="11"/>
  <c r="G27" i="11"/>
  <c r="J26" i="11"/>
  <c r="H26" i="11"/>
  <c r="F26" i="11"/>
  <c r="G26" i="11"/>
  <c r="J25" i="11"/>
  <c r="H25" i="11"/>
  <c r="G25" i="11"/>
  <c r="F25" i="11"/>
  <c r="G24" i="11"/>
  <c r="J35" i="10"/>
  <c r="H35" i="10"/>
  <c r="F35" i="10"/>
  <c r="G35" i="10"/>
  <c r="J34" i="10"/>
  <c r="H34" i="10"/>
  <c r="F34" i="10"/>
  <c r="G34" i="10"/>
  <c r="J33" i="10"/>
  <c r="H33" i="10"/>
  <c r="F33" i="10"/>
  <c r="G33" i="10"/>
  <c r="J32" i="10"/>
  <c r="H32" i="10"/>
  <c r="F32" i="10"/>
  <c r="G32" i="10"/>
  <c r="J31" i="10"/>
  <c r="H31" i="10"/>
  <c r="F31" i="10"/>
  <c r="G31" i="10"/>
  <c r="J30" i="10"/>
  <c r="H30" i="10"/>
  <c r="F30" i="10"/>
  <c r="G30" i="10"/>
  <c r="H29" i="10"/>
  <c r="J29" i="10"/>
  <c r="F29" i="10"/>
  <c r="G29" i="10"/>
  <c r="J28" i="10"/>
  <c r="H28" i="10"/>
  <c r="F28" i="10"/>
  <c r="G28" i="10"/>
  <c r="J27" i="10"/>
  <c r="H27" i="10"/>
  <c r="F27" i="10"/>
  <c r="G27" i="10"/>
  <c r="J26" i="10"/>
  <c r="H26" i="10"/>
  <c r="G26" i="10"/>
  <c r="F26" i="10"/>
  <c r="G25" i="10"/>
  <c r="G24" i="10"/>
  <c r="H35" i="9"/>
  <c r="J35" i="9"/>
  <c r="F35" i="9"/>
  <c r="G35" i="9"/>
  <c r="H34" i="9"/>
  <c r="J34" i="9"/>
  <c r="F34" i="9"/>
  <c r="H33" i="9"/>
  <c r="J33" i="9"/>
  <c r="F33" i="9"/>
  <c r="G33" i="9"/>
  <c r="J32" i="9"/>
  <c r="H32" i="9"/>
  <c r="F32" i="9"/>
  <c r="G32" i="9"/>
  <c r="J31" i="9"/>
  <c r="H31" i="9"/>
  <c r="F31" i="9"/>
  <c r="G31" i="9"/>
  <c r="J30" i="9"/>
  <c r="G30" i="9"/>
  <c r="H30" i="9"/>
  <c r="F30" i="9"/>
  <c r="J29" i="9"/>
  <c r="H29" i="9"/>
  <c r="F29" i="9"/>
  <c r="G29" i="9"/>
  <c r="J28" i="9"/>
  <c r="H28" i="9"/>
  <c r="F28" i="9"/>
  <c r="G28" i="9"/>
  <c r="J27" i="9"/>
  <c r="H27" i="9"/>
  <c r="G27" i="9"/>
  <c r="F27" i="9"/>
  <c r="J26" i="9"/>
  <c r="H26" i="9"/>
  <c r="G26" i="9"/>
  <c r="F26" i="9"/>
  <c r="G25" i="9"/>
  <c r="G34" i="9"/>
  <c r="G24" i="9"/>
  <c r="Q6" i="8" l="1"/>
  <c r="P6" i="8"/>
  <c r="O6" i="8"/>
  <c r="Q5" i="8"/>
  <c r="P5" i="8"/>
  <c r="O5" i="8"/>
  <c r="Q4" i="8"/>
  <c r="P4" i="8"/>
  <c r="O4" i="8"/>
  <c r="H22" i="5"/>
  <c r="K25" i="11" l="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I26" i="11"/>
  <c r="I27" i="11"/>
  <c r="I28" i="11"/>
  <c r="I29" i="11"/>
  <c r="I30" i="11"/>
  <c r="I31" i="11"/>
  <c r="I32" i="11"/>
  <c r="I33" i="11"/>
  <c r="I34" i="11"/>
  <c r="I35" i="11"/>
  <c r="E27" i="11"/>
  <c r="E28" i="11"/>
  <c r="E29" i="11"/>
  <c r="E33" i="11"/>
  <c r="E34" i="11"/>
  <c r="E35" i="11"/>
  <c r="D25" i="11"/>
  <c r="D26" i="11"/>
  <c r="D27" i="11"/>
  <c r="D28" i="11"/>
  <c r="D29" i="11"/>
  <c r="D30" i="11"/>
  <c r="E30" i="11" s="1"/>
  <c r="D31" i="11"/>
  <c r="D32" i="11"/>
  <c r="D33" i="11"/>
  <c r="D34" i="11"/>
  <c r="D35" i="11"/>
  <c r="L25" i="10"/>
  <c r="L26" i="10"/>
  <c r="L27" i="10"/>
  <c r="L28" i="10"/>
  <c r="L29" i="10"/>
  <c r="L31" i="10"/>
  <c r="L32" i="10"/>
  <c r="L33" i="10"/>
  <c r="L34" i="10"/>
  <c r="K25" i="10"/>
  <c r="K26" i="10"/>
  <c r="K27" i="10"/>
  <c r="K28" i="10"/>
  <c r="K29" i="10"/>
  <c r="K30" i="10"/>
  <c r="L30" i="10" s="1"/>
  <c r="K31" i="10"/>
  <c r="K32" i="10"/>
  <c r="K33" i="10"/>
  <c r="K34" i="10"/>
  <c r="K35" i="10"/>
  <c r="L35" i="10" s="1"/>
  <c r="I26" i="10"/>
  <c r="I27" i="10"/>
  <c r="I28" i="10"/>
  <c r="I29" i="10"/>
  <c r="I30" i="10"/>
  <c r="I31" i="10"/>
  <c r="I32" i="10"/>
  <c r="I33" i="10"/>
  <c r="I34" i="10"/>
  <c r="I35" i="10"/>
  <c r="D25" i="10"/>
  <c r="D26" i="10"/>
  <c r="E27" i="10" s="1"/>
  <c r="D27" i="10"/>
  <c r="E28" i="10" s="1"/>
  <c r="D28" i="10"/>
  <c r="E29" i="10" s="1"/>
  <c r="D29" i="10"/>
  <c r="D30" i="10"/>
  <c r="E31" i="10" s="1"/>
  <c r="D31" i="10"/>
  <c r="D32" i="10"/>
  <c r="D33" i="10"/>
  <c r="D34" i="10"/>
  <c r="D35" i="10"/>
  <c r="K25" i="9"/>
  <c r="L25" i="9" s="1"/>
  <c r="K26" i="9"/>
  <c r="L26" i="9" s="1"/>
  <c r="K27" i="9"/>
  <c r="L27" i="9" s="1"/>
  <c r="K28" i="9"/>
  <c r="L28" i="9" s="1"/>
  <c r="K29" i="9"/>
  <c r="L29" i="9" s="1"/>
  <c r="K30" i="9"/>
  <c r="L30" i="9" s="1"/>
  <c r="K31" i="9"/>
  <c r="L31" i="9" s="1"/>
  <c r="K32" i="9"/>
  <c r="L32" i="9" s="1"/>
  <c r="K33" i="9"/>
  <c r="L33" i="9" s="1"/>
  <c r="K34" i="9"/>
  <c r="K35" i="9"/>
  <c r="L34" i="9"/>
  <c r="L35" i="9"/>
  <c r="I26" i="9"/>
  <c r="I27" i="9"/>
  <c r="I28" i="9"/>
  <c r="I29" i="9"/>
  <c r="I30" i="9"/>
  <c r="I31" i="9"/>
  <c r="I32" i="9"/>
  <c r="I33" i="9"/>
  <c r="I34" i="9"/>
  <c r="I35" i="9"/>
  <c r="D35" i="9"/>
  <c r="D25" i="9"/>
  <c r="D26" i="9"/>
  <c r="D27" i="9"/>
  <c r="D28" i="9"/>
  <c r="D29" i="9"/>
  <c r="E29" i="9" s="1"/>
  <c r="D30" i="9"/>
  <c r="E30" i="9" s="1"/>
  <c r="D31" i="9"/>
  <c r="D32" i="9"/>
  <c r="D33" i="9"/>
  <c r="D34" i="9"/>
  <c r="I35" i="5"/>
  <c r="E32" i="11" l="1"/>
  <c r="E31" i="11"/>
  <c r="E26" i="11"/>
  <c r="E35" i="10"/>
  <c r="E34" i="10"/>
  <c r="E33" i="10"/>
  <c r="E32" i="10"/>
  <c r="E30" i="10"/>
  <c r="E34" i="9"/>
  <c r="E33" i="9"/>
  <c r="E35" i="9"/>
  <c r="E31" i="9"/>
  <c r="E32" i="9"/>
  <c r="I26" i="7"/>
  <c r="I27" i="7"/>
  <c r="I28" i="7"/>
  <c r="I29" i="7"/>
  <c r="I30" i="7"/>
  <c r="I31" i="7"/>
  <c r="I32" i="7"/>
  <c r="I33" i="7"/>
  <c r="I34" i="7"/>
  <c r="I35" i="7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D35" i="7"/>
  <c r="D25" i="7"/>
  <c r="D26" i="7"/>
  <c r="D27" i="7"/>
  <c r="D28" i="7"/>
  <c r="E28" i="7" s="1"/>
  <c r="D29" i="7"/>
  <c r="E29" i="7" s="1"/>
  <c r="D30" i="7"/>
  <c r="D31" i="7"/>
  <c r="D32" i="7"/>
  <c r="E32" i="7" s="1"/>
  <c r="D33" i="7"/>
  <c r="D34" i="7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I26" i="6"/>
  <c r="I27" i="6"/>
  <c r="I28" i="6"/>
  <c r="I29" i="6"/>
  <c r="I30" i="6"/>
  <c r="I31" i="6"/>
  <c r="I32" i="6"/>
  <c r="I33" i="6"/>
  <c r="I34" i="6"/>
  <c r="I35" i="6"/>
  <c r="D25" i="6"/>
  <c r="D26" i="6"/>
  <c r="D27" i="6"/>
  <c r="E27" i="6" s="1"/>
  <c r="D28" i="6"/>
  <c r="D29" i="6"/>
  <c r="E29" i="6" s="1"/>
  <c r="D30" i="6"/>
  <c r="E30" i="6" s="1"/>
  <c r="D31" i="6"/>
  <c r="D32" i="6"/>
  <c r="D33" i="6"/>
  <c r="D34" i="6"/>
  <c r="D35" i="6"/>
  <c r="L34" i="5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K35" i="5"/>
  <c r="L35" i="5" s="1"/>
  <c r="I26" i="5"/>
  <c r="I27" i="5"/>
  <c r="I28" i="5"/>
  <c r="I29" i="5"/>
  <c r="I30" i="5"/>
  <c r="I31" i="5"/>
  <c r="I32" i="5"/>
  <c r="I33" i="5"/>
  <c r="I34" i="5"/>
  <c r="D25" i="5"/>
  <c r="D26" i="5"/>
  <c r="D27" i="5"/>
  <c r="D28" i="5"/>
  <c r="D29" i="5"/>
  <c r="D30" i="5"/>
  <c r="D31" i="5"/>
  <c r="E31" i="5" s="1"/>
  <c r="D32" i="5"/>
  <c r="D33" i="5"/>
  <c r="D34" i="5"/>
  <c r="D35" i="5"/>
  <c r="E35" i="5" s="1"/>
  <c r="Q6" i="4"/>
  <c r="P6" i="4"/>
  <c r="Q5" i="4"/>
  <c r="P5" i="4"/>
  <c r="P4" i="4"/>
  <c r="L29" i="3"/>
  <c r="L34" i="3"/>
  <c r="K35" i="3"/>
  <c r="L35" i="3" s="1"/>
  <c r="K26" i="3"/>
  <c r="L26" i="3" s="1"/>
  <c r="K27" i="3"/>
  <c r="L27" i="3" s="1"/>
  <c r="K28" i="3"/>
  <c r="L28" i="3" s="1"/>
  <c r="K29" i="3"/>
  <c r="K30" i="3"/>
  <c r="L30" i="3" s="1"/>
  <c r="K31" i="3"/>
  <c r="L31" i="3" s="1"/>
  <c r="K32" i="3"/>
  <c r="L32" i="3" s="1"/>
  <c r="K33" i="3"/>
  <c r="L33" i="3" s="1"/>
  <c r="K34" i="3"/>
  <c r="I26" i="3"/>
  <c r="I27" i="3"/>
  <c r="I28" i="3"/>
  <c r="I29" i="3"/>
  <c r="I30" i="3"/>
  <c r="I31" i="3"/>
  <c r="I32" i="3"/>
  <c r="I33" i="3"/>
  <c r="I34" i="3"/>
  <c r="I35" i="3"/>
  <c r="D34" i="1"/>
  <c r="I34" i="1"/>
  <c r="K34" i="1"/>
  <c r="L34" i="1" s="1"/>
  <c r="D35" i="1"/>
  <c r="I35" i="1"/>
  <c r="K35" i="1"/>
  <c r="L35" i="1"/>
  <c r="D36" i="1"/>
  <c r="E36" i="1" s="1"/>
  <c r="I36" i="1"/>
  <c r="K36" i="1"/>
  <c r="L36" i="1"/>
  <c r="D37" i="1"/>
  <c r="E37" i="1"/>
  <c r="I37" i="1"/>
  <c r="K37" i="1"/>
  <c r="L37" i="1" s="1"/>
  <c r="D38" i="1"/>
  <c r="O4" i="4" s="1"/>
  <c r="E38" i="1"/>
  <c r="I38" i="1"/>
  <c r="K38" i="1"/>
  <c r="L38" i="1" s="1"/>
  <c r="L35" i="2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I26" i="2"/>
  <c r="I27" i="2"/>
  <c r="I28" i="2"/>
  <c r="I29" i="2"/>
  <c r="I30" i="2"/>
  <c r="I31" i="2"/>
  <c r="I32" i="2"/>
  <c r="I33" i="2"/>
  <c r="I34" i="2"/>
  <c r="I35" i="2"/>
  <c r="D25" i="2"/>
  <c r="D26" i="2"/>
  <c r="D27" i="2"/>
  <c r="D28" i="2"/>
  <c r="D29" i="2"/>
  <c r="E29" i="2" s="1"/>
  <c r="D30" i="2"/>
  <c r="E30" i="2" s="1"/>
  <c r="D31" i="2"/>
  <c r="D32" i="2"/>
  <c r="D33" i="2"/>
  <c r="D34" i="2"/>
  <c r="E35" i="2" s="1"/>
  <c r="D35" i="2"/>
  <c r="I25" i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I27" i="1"/>
  <c r="I28" i="1"/>
  <c r="I29" i="1"/>
  <c r="I30" i="1"/>
  <c r="I31" i="1"/>
  <c r="I32" i="1"/>
  <c r="I33" i="1"/>
  <c r="D27" i="1"/>
  <c r="D28" i="1"/>
  <c r="D29" i="1"/>
  <c r="E29" i="1" s="1"/>
  <c r="D30" i="1"/>
  <c r="D31" i="1"/>
  <c r="D32" i="1"/>
  <c r="D33" i="1"/>
  <c r="E34" i="1" s="1"/>
  <c r="I26" i="1"/>
  <c r="C4" i="17"/>
  <c r="I25" i="15"/>
  <c r="D25" i="15"/>
  <c r="E26" i="15" s="1"/>
  <c r="K24" i="15"/>
  <c r="L24" i="15" s="1"/>
  <c r="D24" i="15"/>
  <c r="I25" i="13"/>
  <c r="K24" i="13"/>
  <c r="L24" i="13" s="1"/>
  <c r="D24" i="13"/>
  <c r="I25" i="11"/>
  <c r="K24" i="11"/>
  <c r="L24" i="11" s="1"/>
  <c r="D24" i="11"/>
  <c r="I25" i="10"/>
  <c r="K24" i="10"/>
  <c r="L24" i="10" s="1"/>
  <c r="D24" i="10"/>
  <c r="I25" i="9"/>
  <c r="K24" i="9"/>
  <c r="L24" i="9" s="1"/>
  <c r="D24" i="9"/>
  <c r="I25" i="7"/>
  <c r="K24" i="7"/>
  <c r="L24" i="7" s="1"/>
  <c r="D24" i="7"/>
  <c r="E22" i="7"/>
  <c r="D22" i="7"/>
  <c r="I25" i="6"/>
  <c r="K24" i="6"/>
  <c r="L24" i="6" s="1"/>
  <c r="D24" i="6"/>
  <c r="I25" i="5"/>
  <c r="K24" i="5"/>
  <c r="L24" i="5" s="1"/>
  <c r="D24" i="5"/>
  <c r="O6" i="4"/>
  <c r="O5" i="4"/>
  <c r="D35" i="3"/>
  <c r="Q4" i="4" s="1"/>
  <c r="D34" i="3"/>
  <c r="D33" i="3"/>
  <c r="E33" i="3" s="1"/>
  <c r="D32" i="3"/>
  <c r="D31" i="3"/>
  <c r="D30" i="3"/>
  <c r="E31" i="3" s="1"/>
  <c r="D29" i="3"/>
  <c r="D28" i="3"/>
  <c r="D27" i="3"/>
  <c r="E27" i="3" s="1"/>
  <c r="D26" i="3"/>
  <c r="E26" i="3" s="1"/>
  <c r="K25" i="3"/>
  <c r="L25" i="3" s="1"/>
  <c r="I25" i="3"/>
  <c r="D25" i="3"/>
  <c r="K24" i="3"/>
  <c r="L24" i="3" s="1"/>
  <c r="D24" i="3"/>
  <c r="I25" i="2"/>
  <c r="K24" i="2"/>
  <c r="L24" i="2" s="1"/>
  <c r="D24" i="2"/>
  <c r="K26" i="1"/>
  <c r="L26" i="1" s="1"/>
  <c r="D26" i="1"/>
  <c r="K25" i="1"/>
  <c r="L25" i="1" s="1"/>
  <c r="D25" i="1"/>
  <c r="K24" i="1"/>
  <c r="L24" i="1" s="1"/>
  <c r="D24" i="1"/>
  <c r="E25" i="15" l="1"/>
  <c r="E25" i="13"/>
  <c r="E33" i="7"/>
  <c r="E31" i="7"/>
  <c r="E27" i="7"/>
  <c r="E35" i="6"/>
  <c r="E34" i="6"/>
  <c r="E26" i="6"/>
  <c r="E26" i="7"/>
  <c r="E33" i="6"/>
  <c r="E31" i="6"/>
  <c r="E25" i="11"/>
  <c r="E32" i="3"/>
  <c r="E32" i="6"/>
  <c r="E34" i="2"/>
  <c r="E32" i="5"/>
  <c r="E28" i="6"/>
  <c r="E28" i="3"/>
  <c r="E31" i="1"/>
  <c r="E35" i="1"/>
  <c r="E30" i="5"/>
  <c r="E34" i="7"/>
  <c r="E34" i="5"/>
  <c r="E33" i="5"/>
  <c r="E29" i="5"/>
  <c r="E28" i="5"/>
  <c r="E30" i="7"/>
  <c r="E35" i="7"/>
  <c r="E25" i="7"/>
  <c r="E25" i="6"/>
  <c r="E35" i="3"/>
  <c r="E34" i="3"/>
  <c r="E30" i="3"/>
  <c r="E29" i="3"/>
  <c r="E25" i="3"/>
  <c r="E33" i="2"/>
  <c r="E30" i="1"/>
  <c r="E28" i="1"/>
  <c r="E32" i="1"/>
  <c r="E32" i="2"/>
  <c r="E31" i="2"/>
  <c r="E28" i="2"/>
  <c r="E27" i="2"/>
  <c r="E26" i="2"/>
  <c r="E25" i="2"/>
  <c r="E26" i="1"/>
  <c r="E27" i="1"/>
  <c r="E33" i="1"/>
</calcChain>
</file>

<file path=xl/sharedStrings.xml><?xml version="1.0" encoding="utf-8"?>
<sst xmlns="http://schemas.openxmlformats.org/spreadsheetml/2006/main" count="434" uniqueCount="58">
  <si>
    <t>ρ</t>
  </si>
  <si>
    <t>Номер варианта</t>
  </si>
  <si>
    <t>Количество приборов</t>
  </si>
  <si>
    <t>Емкость накопителя</t>
  </si>
  <si>
    <t>Интервалы между заявками входящего потока</t>
  </si>
  <si>
    <t>Ср. значение</t>
  </si>
  <si>
    <t>Характер потока</t>
  </si>
  <si>
    <t>Экспоненциальный</t>
  </si>
  <si>
    <t>Длительность обслуживания заявок</t>
  </si>
  <si>
    <t>Коэф-т вариации</t>
  </si>
  <si>
    <t>Исх.данные (вариант 1):</t>
  </si>
  <si>
    <t>K</t>
  </si>
  <si>
    <t>E</t>
  </si>
  <si>
    <t>поток</t>
  </si>
  <si>
    <t>a</t>
  </si>
  <si>
    <t>b</t>
  </si>
  <si>
    <t>КВ</t>
  </si>
  <si>
    <t>трасса</t>
  </si>
  <si>
    <t>Заявок</t>
  </si>
  <si>
    <t>Потери</t>
  </si>
  <si>
    <t>Вер-ть потери</t>
  </si>
  <si>
    <t>П(%)</t>
  </si>
  <si>
    <t>Длина очер.</t>
  </si>
  <si>
    <t>Загрузка</t>
  </si>
  <si>
    <t>Ср.вр.ож.</t>
  </si>
  <si>
    <t>О(%)</t>
  </si>
  <si>
    <t>СКО вр.ож.</t>
  </si>
  <si>
    <t>Дов.инт.(0.95)</t>
  </si>
  <si>
    <t>Д(%)</t>
  </si>
  <si>
    <t>-</t>
  </si>
  <si>
    <t>Аппроксимирующий</t>
  </si>
  <si>
    <t>Трасса</t>
  </si>
  <si>
    <t>Экспоненциальное</t>
  </si>
  <si>
    <t>Аппроксимирующее</t>
  </si>
  <si>
    <t>π</t>
  </si>
  <si>
    <t>l</t>
  </si>
  <si>
    <t>w</t>
  </si>
  <si>
    <t>УИР2</t>
  </si>
  <si>
    <t>Имитационная модель</t>
  </si>
  <si>
    <t>прост.</t>
  </si>
  <si>
    <t>аппр.</t>
  </si>
  <si>
    <t>аппр</t>
  </si>
  <si>
    <t>Исх.данные (вариант 4):</t>
  </si>
  <si>
    <t>Исх.данные (вариант 7):</t>
  </si>
  <si>
    <t>Исх.данные (вариант 8):</t>
  </si>
  <si>
    <t>Исх.данные (вариант 9):</t>
  </si>
  <si>
    <t>2+1</t>
  </si>
  <si>
    <t xml:space="preserve"> </t>
  </si>
  <si>
    <t>4+2</t>
  </si>
  <si>
    <t>8+4</t>
  </si>
  <si>
    <t>2_1</t>
  </si>
  <si>
    <t>16+8</t>
  </si>
  <si>
    <t>l = 24</t>
  </si>
  <si>
    <t>l = 12</t>
  </si>
  <si>
    <t>l = 6</t>
  </si>
  <si>
    <t>Исх.данные (вариант 2_1):</t>
  </si>
  <si>
    <t>Исх.данные (вариант 2_2):</t>
  </si>
  <si>
    <t>Исх.данные (вариант 2_3):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</si>
</sst>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 applyAlignment="1">
      <alignment wrapText="1"/>
    </xf>
    <xf numFmtId="4" fontId="1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/>
    <xf numFmtId="0" fontId="3" fillId="3" borderId="0" xfId="0" applyFont="1" applyFill="1"/>
    <xf numFmtId="164" fontId="0" fillId="0" borderId="0" xfId="0" applyNumberFormat="1"/>
    <xf numFmtId="0" fontId="1" fillId="0" borderId="2" xfId="0" applyFont="1" applyBorder="1"/>
    <xf numFmtId="0" fontId="1" fillId="0" borderId="1" xfId="0" applyFont="1" applyBorder="1" applyAlignment="1">
      <alignment horizontal="right"/>
    </xf>
    <xf numFmtId="0" fontId="4" fillId="0" borderId="0" xfId="0" applyFont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10" xfId="0" applyFont="1" applyBorder="1"/>
    <xf numFmtId="0" fontId="1" fillId="0" borderId="15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" fillId="0" borderId="10" xfId="0" applyFont="1" applyBorder="1"/>
    <xf numFmtId="0" fontId="3" fillId="0" borderId="16" xfId="0" applyFont="1" applyBorder="1"/>
    <xf numFmtId="4" fontId="1" fillId="0" borderId="5" xfId="0" applyNumberFormat="1" applyFont="1" applyBorder="1"/>
    <xf numFmtId="0" fontId="1" fillId="0" borderId="6" xfId="0" applyFont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wrapText="1"/>
    </xf>
    <xf numFmtId="0" fontId="2" fillId="0" borderId="5" xfId="0" applyFont="1" applyBorder="1"/>
    <xf numFmtId="0" fontId="2" fillId="0" borderId="1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D875-4472-9421-B8FAE157C925}"/>
              </c:ext>
            </c:extLst>
          </c:dPt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1'!$D$24:$D$38</c:f>
              <c:numCache>
                <c:formatCode>#,##0.00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5.5E-2</c:v>
                </c:pt>
                <c:pt idx="5">
                  <c:v>6.4000000000000001E-2</c:v>
                </c:pt>
                <c:pt idx="6">
                  <c:v>6.7000000000000004E-2</c:v>
                </c:pt>
                <c:pt idx="7">
                  <c:v>8.2199999999999995E-2</c:v>
                </c:pt>
                <c:pt idx="8">
                  <c:v>7.9600000000000004E-2</c:v>
                </c:pt>
                <c:pt idx="9">
                  <c:v>8.1900000000000001E-2</c:v>
                </c:pt>
                <c:pt idx="10">
                  <c:v>8.1089999999999995E-2</c:v>
                </c:pt>
                <c:pt idx="11">
                  <c:v>8.1098000000000003E-2</c:v>
                </c:pt>
                <c:pt idx="12">
                  <c:v>8.1557000000000004E-2</c:v>
                </c:pt>
                <c:pt idx="13">
                  <c:v>8.1731600000000001E-2</c:v>
                </c:pt>
                <c:pt idx="14">
                  <c:v>8.1670499999999993E-2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5-4472-9421-B8FAE157C925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2'!$D$24:$D$35</c:f>
              <c:numCache>
                <c:formatCode>#,##0.00</c:formatCode>
                <c:ptCount val="12"/>
                <c:pt idx="0">
                  <c:v>0.4</c:v>
                </c:pt>
                <c:pt idx="1">
                  <c:v>0.4</c:v>
                </c:pt>
                <c:pt idx="2">
                  <c:v>0.38</c:v>
                </c:pt>
                <c:pt idx="3">
                  <c:v>0.35</c:v>
                </c:pt>
                <c:pt idx="4">
                  <c:v>0.375</c:v>
                </c:pt>
                <c:pt idx="5">
                  <c:v>0.35799999999999998</c:v>
                </c:pt>
                <c:pt idx="6">
                  <c:v>0.39200000000000002</c:v>
                </c:pt>
                <c:pt idx="7">
                  <c:v>0.40760000000000002</c:v>
                </c:pt>
                <c:pt idx="8">
                  <c:v>0.41510000000000002</c:v>
                </c:pt>
                <c:pt idx="9">
                  <c:v>0.41552</c:v>
                </c:pt>
                <c:pt idx="10">
                  <c:v>0.41582999999999998</c:v>
                </c:pt>
                <c:pt idx="11">
                  <c:v>0.41604799999999997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5-4472-9421-B8FAE157C925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3'!$D$24:$D$35</c:f>
              <c:numCache>
                <c:formatCode>#,##0.00</c:formatCode>
                <c:ptCount val="12"/>
                <c:pt idx="0">
                  <c:v>0.8</c:v>
                </c:pt>
                <c:pt idx="1">
                  <c:v>0.85</c:v>
                </c:pt>
                <c:pt idx="2">
                  <c:v>0.8</c:v>
                </c:pt>
                <c:pt idx="3">
                  <c:v>0.79</c:v>
                </c:pt>
                <c:pt idx="4">
                  <c:v>0.77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0.79879999999999995</c:v>
                </c:pt>
                <c:pt idx="8">
                  <c:v>0.80389999999999995</c:v>
                </c:pt>
                <c:pt idx="9">
                  <c:v>0.80611999999999995</c:v>
                </c:pt>
                <c:pt idx="10">
                  <c:v>0.80739000000000005</c:v>
                </c:pt>
                <c:pt idx="11">
                  <c:v>0.80832800000000005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5-4472-9421-B8FAE157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44228"/>
        <c:axId val="1986237990"/>
      </c:lineChart>
      <c:catAx>
        <c:axId val="475944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86237990"/>
        <c:crosses val="autoZero"/>
        <c:auto val="1"/>
        <c:lblAlgn val="ctr"/>
        <c:lblOffset val="100"/>
        <c:noMultiLvlLbl val="1"/>
      </c:catAx>
      <c:valAx>
        <c:axId val="198623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759442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5F7C-400A-83B8-1EFE69C3EBBC}"/>
              </c:ext>
            </c:extLst>
          </c:dPt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7'!$D$24:$D$35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1.0200000000000001E-2</c:v>
                </c:pt>
                <c:pt idx="8">
                  <c:v>1.06E-2</c:v>
                </c:pt>
                <c:pt idx="9">
                  <c:v>1.1299999999999999E-2</c:v>
                </c:pt>
                <c:pt idx="10">
                  <c:v>1.077E-2</c:v>
                </c:pt>
                <c:pt idx="11">
                  <c:v>1.1022000000000001E-2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C-400A-83B8-1EFE69C3EBBC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8'!$D$24:$D$35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3.5000000000000003E-2</c:v>
                </c:pt>
                <c:pt idx="7">
                  <c:v>5.1999999999999998E-2</c:v>
                </c:pt>
                <c:pt idx="8">
                  <c:v>5.1299999999999998E-2</c:v>
                </c:pt>
                <c:pt idx="9">
                  <c:v>5.144E-2</c:v>
                </c:pt>
                <c:pt idx="10">
                  <c:v>5.0659999999999997E-2</c:v>
                </c:pt>
                <c:pt idx="11">
                  <c:v>5.1589999999999997E-2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C-400A-83B8-1EFE69C3EBBC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9'!$D$24:$D$35</c:f>
              <c:numCache>
                <c:formatCode>#,##0.00</c:formatCode>
                <c:ptCount val="12"/>
                <c:pt idx="0">
                  <c:v>0.5</c:v>
                </c:pt>
                <c:pt idx="1">
                  <c:v>0.45</c:v>
                </c:pt>
                <c:pt idx="2">
                  <c:v>0.48</c:v>
                </c:pt>
                <c:pt idx="3">
                  <c:v>0.45</c:v>
                </c:pt>
                <c:pt idx="4">
                  <c:v>0.495</c:v>
                </c:pt>
                <c:pt idx="5">
                  <c:v>0.46</c:v>
                </c:pt>
                <c:pt idx="6">
                  <c:v>0.5</c:v>
                </c:pt>
                <c:pt idx="7">
                  <c:v>0.50819999999999999</c:v>
                </c:pt>
                <c:pt idx="8">
                  <c:v>0.51619999999999999</c:v>
                </c:pt>
                <c:pt idx="9">
                  <c:v>0.51246000000000003</c:v>
                </c:pt>
                <c:pt idx="10">
                  <c:v>0.51258000000000004</c:v>
                </c:pt>
                <c:pt idx="11">
                  <c:v>0.51363400000000003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C-400A-83B8-1EFE69C3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00571"/>
        <c:axId val="1274766988"/>
      </c:lineChart>
      <c:catAx>
        <c:axId val="42500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74766988"/>
        <c:crosses val="autoZero"/>
        <c:auto val="1"/>
        <c:lblAlgn val="ctr"/>
        <c:lblOffset val="100"/>
        <c:noMultiLvlLbl val="1"/>
      </c:catAx>
      <c:valAx>
        <c:axId val="1274766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5000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7'!$F$24:$F$35</c:f>
              <c:numCache>
                <c:formatCode>#,##0.00</c:formatCode>
                <c:ptCount val="12"/>
                <c:pt idx="0">
                  <c:v>0.20499999999999999</c:v>
                </c:pt>
                <c:pt idx="1">
                  <c:v>9.7000000000000003E-2</c:v>
                </c:pt>
                <c:pt idx="2">
                  <c:v>4.8999999999999995E-2</c:v>
                </c:pt>
                <c:pt idx="3">
                  <c:v>4.3999999999999997E-2</c:v>
                </c:pt>
                <c:pt idx="4">
                  <c:v>3.7999999999999999E-2</c:v>
                </c:pt>
                <c:pt idx="5">
                  <c:v>0.04</c:v>
                </c:pt>
                <c:pt idx="6">
                  <c:v>4.0999999999999995E-2</c:v>
                </c:pt>
                <c:pt idx="7">
                  <c:v>4.7E-2</c:v>
                </c:pt>
                <c:pt idx="8">
                  <c:v>4.5999999999999999E-2</c:v>
                </c:pt>
                <c:pt idx="9">
                  <c:v>4.3999999999999997E-2</c:v>
                </c:pt>
                <c:pt idx="10">
                  <c:v>4.3000000000000003E-2</c:v>
                </c:pt>
                <c:pt idx="11">
                  <c:v>4.3000000000000003E-2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C-48F0-A476-540F1CD85282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8'!$F$24:$F$35</c:f>
              <c:numCache>
                <c:formatCode>#,##0.00</c:formatCode>
                <c:ptCount val="12"/>
                <c:pt idx="0">
                  <c:v>0.377</c:v>
                </c:pt>
                <c:pt idx="1">
                  <c:v>0.24299999999999999</c:v>
                </c:pt>
                <c:pt idx="2">
                  <c:v>0.32399999999999995</c:v>
                </c:pt>
                <c:pt idx="3">
                  <c:v>0.41899999999999998</c:v>
                </c:pt>
                <c:pt idx="4">
                  <c:v>0.371</c:v>
                </c:pt>
                <c:pt idx="5">
                  <c:v>0.33100000000000002</c:v>
                </c:pt>
                <c:pt idx="6">
                  <c:v>0.30099999999999999</c:v>
                </c:pt>
                <c:pt idx="7">
                  <c:v>0.39800000000000002</c:v>
                </c:pt>
                <c:pt idx="8">
                  <c:v>0.4</c:v>
                </c:pt>
                <c:pt idx="9">
                  <c:v>0.39</c:v>
                </c:pt>
                <c:pt idx="10">
                  <c:v>0.38900000000000001</c:v>
                </c:pt>
                <c:pt idx="11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C-48F0-A476-540F1CD85282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9'!$F$24:$F$35</c:f>
              <c:numCache>
                <c:formatCode>#,##0.00</c:formatCode>
                <c:ptCount val="12"/>
                <c:pt idx="0">
                  <c:v>1.5369999999999999</c:v>
                </c:pt>
                <c:pt idx="1">
                  <c:v>1.5790000000000002</c:v>
                </c:pt>
                <c:pt idx="2">
                  <c:v>1.9259999999999999</c:v>
                </c:pt>
                <c:pt idx="3">
                  <c:v>1.927</c:v>
                </c:pt>
                <c:pt idx="4">
                  <c:v>2.0949999999999998</c:v>
                </c:pt>
                <c:pt idx="5">
                  <c:v>1.9570000000000001</c:v>
                </c:pt>
                <c:pt idx="6">
                  <c:v>2.0350000000000001</c:v>
                </c:pt>
                <c:pt idx="7">
                  <c:v>2.048</c:v>
                </c:pt>
                <c:pt idx="8">
                  <c:v>2.0609999999999999</c:v>
                </c:pt>
                <c:pt idx="9">
                  <c:v>2.052</c:v>
                </c:pt>
                <c:pt idx="10">
                  <c:v>2.052</c:v>
                </c:pt>
                <c:pt idx="11">
                  <c:v>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C-48F0-A476-540F1CD8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125844"/>
        <c:axId val="1003931159"/>
      </c:lineChart>
      <c:catAx>
        <c:axId val="2097125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3931159"/>
        <c:crosses val="autoZero"/>
        <c:auto val="1"/>
        <c:lblAlgn val="ctr"/>
        <c:lblOffset val="100"/>
        <c:noMultiLvlLbl val="1"/>
      </c:catAx>
      <c:valAx>
        <c:axId val="1003931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71258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7'!$H$24:$H$35</c:f>
              <c:numCache>
                <c:formatCode>#,##0.00</c:formatCode>
                <c:ptCount val="12"/>
                <c:pt idx="0">
                  <c:v>3.28</c:v>
                </c:pt>
                <c:pt idx="1">
                  <c:v>1.8149999999999999</c:v>
                </c:pt>
                <c:pt idx="2">
                  <c:v>1.1619999999999999</c:v>
                </c:pt>
                <c:pt idx="3">
                  <c:v>1.151</c:v>
                </c:pt>
                <c:pt idx="4">
                  <c:v>1.157</c:v>
                </c:pt>
                <c:pt idx="5">
                  <c:v>1.2949999999999999</c:v>
                </c:pt>
                <c:pt idx="6">
                  <c:v>1.26</c:v>
                </c:pt>
                <c:pt idx="7">
                  <c:v>1.38</c:v>
                </c:pt>
                <c:pt idx="8">
                  <c:v>1.3380000000000001</c:v>
                </c:pt>
                <c:pt idx="9">
                  <c:v>1.3109999999999999</c:v>
                </c:pt>
                <c:pt idx="10">
                  <c:v>1.284</c:v>
                </c:pt>
                <c:pt idx="11">
                  <c:v>1.278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713-B27A-9A4ABDC8C6FD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8'!$H$24:$H$35</c:f>
              <c:numCache>
                <c:formatCode>#,##0.00</c:formatCode>
                <c:ptCount val="12"/>
                <c:pt idx="0">
                  <c:v>2.0019999999999998</c:v>
                </c:pt>
                <c:pt idx="1">
                  <c:v>1.286</c:v>
                </c:pt>
                <c:pt idx="2">
                  <c:v>2.2720000000000002</c:v>
                </c:pt>
                <c:pt idx="3">
                  <c:v>3.38</c:v>
                </c:pt>
                <c:pt idx="4">
                  <c:v>2.9610000000000003</c:v>
                </c:pt>
                <c:pt idx="5">
                  <c:v>2.9240000000000004</c:v>
                </c:pt>
                <c:pt idx="6">
                  <c:v>2.613</c:v>
                </c:pt>
                <c:pt idx="7">
                  <c:v>3.367</c:v>
                </c:pt>
                <c:pt idx="8">
                  <c:v>3.371</c:v>
                </c:pt>
                <c:pt idx="9">
                  <c:v>3.3209999999999997</c:v>
                </c:pt>
                <c:pt idx="10">
                  <c:v>3.3140000000000001</c:v>
                </c:pt>
                <c:pt idx="11">
                  <c:v>3.327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E-4713-B27A-9A4ABDC8C6FD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9'!$H$24:$H$35</c:f>
              <c:numCache>
                <c:formatCode>#,##0.00</c:formatCode>
                <c:ptCount val="12"/>
                <c:pt idx="0">
                  <c:v>4.0449999999999999</c:v>
                </c:pt>
                <c:pt idx="1">
                  <c:v>4.9349999999999996</c:v>
                </c:pt>
                <c:pt idx="2">
                  <c:v>7.5220000000000002</c:v>
                </c:pt>
                <c:pt idx="3">
                  <c:v>7.9799999999999995</c:v>
                </c:pt>
                <c:pt idx="4">
                  <c:v>10.042</c:v>
                </c:pt>
                <c:pt idx="5">
                  <c:v>8.6419999999999995</c:v>
                </c:pt>
                <c:pt idx="6">
                  <c:v>9.7289999999999992</c:v>
                </c:pt>
                <c:pt idx="7">
                  <c:v>9.7109999999999985</c:v>
                </c:pt>
                <c:pt idx="8">
                  <c:v>9.9429999999999996</c:v>
                </c:pt>
                <c:pt idx="9">
                  <c:v>9.8379999999999992</c:v>
                </c:pt>
                <c:pt idx="10">
                  <c:v>9.8469999999999995</c:v>
                </c:pt>
                <c:pt idx="11">
                  <c:v>9.8629999999999995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E-4713-B27A-9A4ABDC8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32365"/>
        <c:axId val="1925382974"/>
      </c:lineChart>
      <c:catAx>
        <c:axId val="125313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25382974"/>
        <c:crosses val="autoZero"/>
        <c:auto val="1"/>
        <c:lblAlgn val="ctr"/>
        <c:lblOffset val="100"/>
        <c:noMultiLvlLbl val="1"/>
      </c:catAx>
      <c:valAx>
        <c:axId val="1925382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53132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'ρ0,3'!$O$3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'ρ0,3'!$N$4:$N$6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'ρ0,3'!$O$4:$O$6</c:f>
              <c:numCache>
                <c:formatCode>#,##0.00</c:formatCode>
                <c:ptCount val="3"/>
                <c:pt idx="0">
                  <c:v>1.1022000000000001E-2</c:v>
                </c:pt>
                <c:pt idx="1">
                  <c:v>4.3000000000000003E-2</c:v>
                </c:pt>
                <c:pt idx="2">
                  <c:v>1.278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23-4EF8-B1A8-8D5F7ED5BB11}"/>
            </c:ext>
          </c:extLst>
        </c:ser>
        <c:ser>
          <c:idx val="1"/>
          <c:order val="1"/>
          <c:tx>
            <c:strRef>
              <c:f>'ρ0,3'!$P$3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'ρ0,3'!$N$4:$N$6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'ρ0,3'!$P$4:$P$6</c:f>
              <c:numCache>
                <c:formatCode>#,##0.00</c:formatCode>
                <c:ptCount val="3"/>
                <c:pt idx="0">
                  <c:v>5.1589999999999997E-2</c:v>
                </c:pt>
                <c:pt idx="1">
                  <c:v>0.39100000000000001</c:v>
                </c:pt>
                <c:pt idx="2">
                  <c:v>3.327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23-4EF8-B1A8-8D5F7ED5BB11}"/>
            </c:ext>
          </c:extLst>
        </c:ser>
        <c:ser>
          <c:idx val="2"/>
          <c:order val="2"/>
          <c:tx>
            <c:strRef>
              <c:f>'ρ0,3'!$Q$3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'ρ0,3'!$N$4:$N$6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'ρ0,3'!$Q$4:$Q$6</c:f>
              <c:numCache>
                <c:formatCode>#,##0.00</c:formatCode>
                <c:ptCount val="3"/>
                <c:pt idx="0">
                  <c:v>0.51363400000000003</c:v>
                </c:pt>
                <c:pt idx="1">
                  <c:v>2.052</c:v>
                </c:pt>
                <c:pt idx="2">
                  <c:v>9.8629999999999995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323-4EF8-B1A8-8D5F7ED5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4145078"/>
        <c:axId val="732841583"/>
      </c:barChart>
      <c:catAx>
        <c:axId val="1964145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2841583"/>
        <c:crosses val="autoZero"/>
        <c:auto val="1"/>
        <c:lblAlgn val="ctr"/>
        <c:lblOffset val="100"/>
        <c:noMultiLvlLbl val="1"/>
      </c:catAx>
      <c:valAx>
        <c:axId val="732841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641450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для l = 6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1929-410C-AE41-B18701767D7E}"/>
              </c:ext>
            </c:extLst>
          </c:dPt>
          <c:cat>
            <c:numRef>
              <c:f>'Вариант 10'!$B$24:$B$32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'Вариант 10'!$D$24:$D$32</c:f>
              <c:numCache>
                <c:formatCode>#,##0.00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0.78</c:v>
                </c:pt>
                <c:pt idx="3">
                  <c:v>0.79</c:v>
                </c:pt>
                <c:pt idx="4">
                  <c:v>0.76</c:v>
                </c:pt>
                <c:pt idx="5">
                  <c:v>0.79</c:v>
                </c:pt>
                <c:pt idx="6">
                  <c:v>0.78900000000000003</c:v>
                </c:pt>
                <c:pt idx="7">
                  <c:v>0.79579999999999995</c:v>
                </c:pt>
                <c:pt idx="8">
                  <c:v>0.80059999999999998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9-410C-AE41-B18701767D7E}"/>
            </c:ext>
          </c:extLst>
        </c:ser>
        <c:ser>
          <c:idx val="1"/>
          <c:order val="1"/>
          <c:tx>
            <c:v>Вер-ть потери для l = 12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10'!$B$24:$B$32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'Вариант 11'!$D$24:$D$32</c:f>
              <c:numCache>
                <c:formatCode>#,##0.00</c:formatCode>
                <c:ptCount val="9"/>
                <c:pt idx="0">
                  <c:v>0.7</c:v>
                </c:pt>
                <c:pt idx="1">
                  <c:v>0.65</c:v>
                </c:pt>
                <c:pt idx="2">
                  <c:v>0.76</c:v>
                </c:pt>
                <c:pt idx="3">
                  <c:v>0.77</c:v>
                </c:pt>
                <c:pt idx="4">
                  <c:v>0.755</c:v>
                </c:pt>
                <c:pt idx="5">
                  <c:v>0.79</c:v>
                </c:pt>
                <c:pt idx="6">
                  <c:v>0.78700000000000003</c:v>
                </c:pt>
                <c:pt idx="7">
                  <c:v>0.79759999999999998</c:v>
                </c:pt>
                <c:pt idx="8">
                  <c:v>0.79949999999999999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9-410C-AE41-B18701767D7E}"/>
            </c:ext>
          </c:extLst>
        </c:ser>
        <c:ser>
          <c:idx val="2"/>
          <c:order val="2"/>
          <c:tx>
            <c:v>Вер-ть потери для l = 24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10'!$B$24:$B$32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'Вариант 12'!$D$24:$D$32</c:f>
              <c:numCache>
                <c:formatCode>#,##0.00</c:formatCode>
                <c:ptCount val="9"/>
                <c:pt idx="0">
                  <c:v>0.3</c:v>
                </c:pt>
                <c:pt idx="1">
                  <c:v>0.6</c:v>
                </c:pt>
                <c:pt idx="2">
                  <c:v>0.66</c:v>
                </c:pt>
                <c:pt idx="3">
                  <c:v>0.74</c:v>
                </c:pt>
                <c:pt idx="4">
                  <c:v>0.74</c:v>
                </c:pt>
                <c:pt idx="5">
                  <c:v>0.78800000000000003</c:v>
                </c:pt>
                <c:pt idx="6">
                  <c:v>0.78500000000000003</c:v>
                </c:pt>
                <c:pt idx="7">
                  <c:v>0.79659999999999997</c:v>
                </c:pt>
                <c:pt idx="8">
                  <c:v>0.79949999999999999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9-410C-AE41-B1870176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651327"/>
        <c:axId val="1041277209"/>
      </c:lineChart>
      <c:catAx>
        <c:axId val="98865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1277209"/>
        <c:crosses val="autoZero"/>
        <c:auto val="1"/>
        <c:lblAlgn val="ctr"/>
        <c:lblOffset val="100"/>
        <c:noMultiLvlLbl val="1"/>
      </c:catAx>
      <c:valAx>
        <c:axId val="1041277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886513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10'!$B$24:$B$32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'Вариант 10'!$F$24:$F$32</c:f>
              <c:numCache>
                <c:formatCode>#,##0.00</c:formatCode>
                <c:ptCount val="9"/>
                <c:pt idx="0">
                  <c:v>3.2769999999999997</c:v>
                </c:pt>
                <c:pt idx="1">
                  <c:v>4.1749999999999998</c:v>
                </c:pt>
                <c:pt idx="2">
                  <c:v>4.8609999999999998</c:v>
                </c:pt>
                <c:pt idx="3">
                  <c:v>5.2669999999999995</c:v>
                </c:pt>
                <c:pt idx="4">
                  <c:v>5.3010000000000002</c:v>
                </c:pt>
                <c:pt idx="5">
                  <c:v>5.5209999999999999</c:v>
                </c:pt>
                <c:pt idx="6">
                  <c:v>5.524</c:v>
                </c:pt>
                <c:pt idx="7">
                  <c:v>5.62</c:v>
                </c:pt>
                <c:pt idx="8">
                  <c:v>5.6239999999999997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6-4EE7-9F5C-29C128404D17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10'!$B$24:$B$32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'Вариант 11'!$F$24:$F$32</c:f>
              <c:numCache>
                <c:formatCode>#,##0.00</c:formatCode>
                <c:ptCount val="9"/>
                <c:pt idx="0">
                  <c:v>6.6230000000000002</c:v>
                </c:pt>
                <c:pt idx="1">
                  <c:v>7.8949999999999996</c:v>
                </c:pt>
                <c:pt idx="2">
                  <c:v>9.6539999999999999</c:v>
                </c:pt>
                <c:pt idx="3">
                  <c:v>10.58</c:v>
                </c:pt>
                <c:pt idx="4">
                  <c:v>10.937999999999999</c:v>
                </c:pt>
                <c:pt idx="5">
                  <c:v>11.366</c:v>
                </c:pt>
                <c:pt idx="6">
                  <c:v>11.478</c:v>
                </c:pt>
                <c:pt idx="7">
                  <c:v>11.594999999999999</c:v>
                </c:pt>
                <c:pt idx="8">
                  <c:v>11.618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6-4EE7-9F5C-29C128404D17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10'!$B$24:$B$32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'Вариант 12'!$F$24:$F$32</c:f>
              <c:numCache>
                <c:formatCode>#,##0.00</c:formatCode>
                <c:ptCount val="9"/>
                <c:pt idx="0">
                  <c:v>11.417</c:v>
                </c:pt>
                <c:pt idx="1">
                  <c:v>14.986999999999998</c:v>
                </c:pt>
                <c:pt idx="2">
                  <c:v>18.343</c:v>
                </c:pt>
                <c:pt idx="3">
                  <c:v>20.427</c:v>
                </c:pt>
                <c:pt idx="4">
                  <c:v>21.759</c:v>
                </c:pt>
                <c:pt idx="5">
                  <c:v>22.858999999999998</c:v>
                </c:pt>
                <c:pt idx="6">
                  <c:v>23.213000000000001</c:v>
                </c:pt>
                <c:pt idx="7">
                  <c:v>23.54</c:v>
                </c:pt>
                <c:pt idx="8">
                  <c:v>23.591999999999999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6-4EE7-9F5C-29C12840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95551"/>
        <c:axId val="1166290628"/>
      </c:lineChart>
      <c:catAx>
        <c:axId val="65259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66290628"/>
        <c:crosses val="autoZero"/>
        <c:auto val="1"/>
        <c:lblAlgn val="ctr"/>
        <c:lblOffset val="100"/>
        <c:noMultiLvlLbl val="1"/>
      </c:catAx>
      <c:valAx>
        <c:axId val="11662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52595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10'!$B$24:$B$32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'Вариант 10'!$H$24:$H$32</c:f>
              <c:numCache>
                <c:formatCode>#,##0.00</c:formatCode>
                <c:ptCount val="9"/>
                <c:pt idx="0">
                  <c:v>12.06</c:v>
                </c:pt>
                <c:pt idx="1">
                  <c:v>21.692</c:v>
                </c:pt>
                <c:pt idx="2">
                  <c:v>34.628999999999998</c:v>
                </c:pt>
                <c:pt idx="3">
                  <c:v>48.054000000000002</c:v>
                </c:pt>
                <c:pt idx="4">
                  <c:v>52.811</c:v>
                </c:pt>
                <c:pt idx="5">
                  <c:v>64.865000000000009</c:v>
                </c:pt>
                <c:pt idx="6">
                  <c:v>67.103000000000009</c:v>
                </c:pt>
                <c:pt idx="7">
                  <c:v>73.853999999999999</c:v>
                </c:pt>
                <c:pt idx="8">
                  <c:v>75.366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8C7-AB80-4E0A700200BB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10'!$B$24:$B$32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'Вариант 11'!$H$24:$H$32</c:f>
              <c:numCache>
                <c:formatCode>#,##0.00</c:formatCode>
                <c:ptCount val="9"/>
                <c:pt idx="0">
                  <c:v>17.622</c:v>
                </c:pt>
                <c:pt idx="1">
                  <c:v>25.265999999999998</c:v>
                </c:pt>
                <c:pt idx="2">
                  <c:v>53.036999999999999</c:v>
                </c:pt>
                <c:pt idx="3">
                  <c:v>77.727000000000004</c:v>
                </c:pt>
                <c:pt idx="4">
                  <c:v>95.734999999999999</c:v>
                </c:pt>
                <c:pt idx="5">
                  <c:v>124.646</c:v>
                </c:pt>
                <c:pt idx="6">
                  <c:v>129.31799999999998</c:v>
                </c:pt>
                <c:pt idx="7">
                  <c:v>152.61199999999999</c:v>
                </c:pt>
                <c:pt idx="8">
                  <c:v>151.797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D-48C7-AB80-4E0A700200BB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10'!$B$24:$B$32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'Вариант 12'!$H$24:$H$32</c:f>
              <c:numCache>
                <c:formatCode>#,##0.00</c:formatCode>
                <c:ptCount val="9"/>
                <c:pt idx="0">
                  <c:v>23.093</c:v>
                </c:pt>
                <c:pt idx="1">
                  <c:v>40.39</c:v>
                </c:pt>
                <c:pt idx="2">
                  <c:v>68.453000000000003</c:v>
                </c:pt>
                <c:pt idx="3">
                  <c:v>114.49099999999999</c:v>
                </c:pt>
                <c:pt idx="4">
                  <c:v>153.608</c:v>
                </c:pt>
                <c:pt idx="5">
                  <c:v>224.727</c:v>
                </c:pt>
                <c:pt idx="6">
                  <c:v>243.52699999999999</c:v>
                </c:pt>
                <c:pt idx="7">
                  <c:v>304.13099999999997</c:v>
                </c:pt>
                <c:pt idx="8">
                  <c:v>305.80799999999999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D-48C7-AB80-4E0A7002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94698"/>
        <c:axId val="1710229618"/>
      </c:lineChart>
      <c:catAx>
        <c:axId val="1003894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10229618"/>
        <c:crosses val="autoZero"/>
        <c:auto val="1"/>
        <c:lblAlgn val="ctr"/>
        <c:lblOffset val="100"/>
        <c:noMultiLvlLbl val="1"/>
      </c:catAx>
      <c:valAx>
        <c:axId val="1710229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38946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Суммарный размер буффера</a:t>
            </a:r>
            <a:r>
              <a:rPr lang="ru-RU" b="0" baseline="0">
                <a:solidFill>
                  <a:srgbClr val="757575"/>
                </a:solidFill>
                <a:latin typeface="+mn-lt"/>
              </a:rPr>
              <a:t> 6,12 и 24</a:t>
            </a:r>
            <a:endParaRPr lang="ru-RU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Очереди!$O$3</c:f>
              <c:strCache>
                <c:ptCount val="1"/>
                <c:pt idx="0">
                  <c:v>l = 6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Очереди!$N$4:$N$6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Очереди!$O$4:$O$6</c:f>
              <c:numCache>
                <c:formatCode>#,##0.00</c:formatCode>
                <c:ptCount val="3"/>
                <c:pt idx="0">
                  <c:v>0.80059999999999998</c:v>
                </c:pt>
                <c:pt idx="1">
                  <c:v>5.6239999999999997</c:v>
                </c:pt>
                <c:pt idx="2">
                  <c:v>75.366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A5-408E-8EAC-C6030DD2036F}"/>
            </c:ext>
          </c:extLst>
        </c:ser>
        <c:ser>
          <c:idx val="1"/>
          <c:order val="1"/>
          <c:tx>
            <c:strRef>
              <c:f>Очереди!$P$3</c:f>
              <c:strCache>
                <c:ptCount val="1"/>
                <c:pt idx="0">
                  <c:v>l = 12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Очереди!$N$4:$N$6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Очереди!$P$4:$P$6</c:f>
              <c:numCache>
                <c:formatCode>#,##0.00</c:formatCode>
                <c:ptCount val="3"/>
                <c:pt idx="0">
                  <c:v>0.79949999999999999</c:v>
                </c:pt>
                <c:pt idx="1">
                  <c:v>11.618</c:v>
                </c:pt>
                <c:pt idx="2">
                  <c:v>151.797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A5-408E-8EAC-C6030DD2036F}"/>
            </c:ext>
          </c:extLst>
        </c:ser>
        <c:ser>
          <c:idx val="2"/>
          <c:order val="2"/>
          <c:tx>
            <c:strRef>
              <c:f>Очереди!$Q$3</c:f>
              <c:strCache>
                <c:ptCount val="1"/>
                <c:pt idx="0">
                  <c:v>l = 24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Очереди!$N$4:$N$6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Очереди!$Q$4:$Q$6</c:f>
              <c:numCache>
                <c:formatCode>#,##0.00</c:formatCode>
                <c:ptCount val="3"/>
                <c:pt idx="0">
                  <c:v>0.80059999999999998</c:v>
                </c:pt>
                <c:pt idx="1">
                  <c:v>23.591999999999999</c:v>
                </c:pt>
                <c:pt idx="2">
                  <c:v>305.80799999999999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8A5-408E-8EAC-C6030DD2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733107"/>
        <c:axId val="125290783"/>
      </c:barChart>
      <c:catAx>
        <c:axId val="1134733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5290783"/>
        <c:crosses val="autoZero"/>
        <c:auto val="1"/>
        <c:lblAlgn val="ctr"/>
        <c:lblOffset val="100"/>
        <c:noMultiLvlLbl val="1"/>
      </c:catAx>
      <c:valAx>
        <c:axId val="125290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4733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1'!$F$24:$F$38</c:f>
              <c:numCache>
                <c:formatCode>#,##0.00</c:formatCode>
                <c:ptCount val="15"/>
                <c:pt idx="0">
                  <c:v>0.53600000000000003</c:v>
                </c:pt>
                <c:pt idx="1">
                  <c:v>0.34599999999999997</c:v>
                </c:pt>
                <c:pt idx="2">
                  <c:v>0.33600000000000002</c:v>
                </c:pt>
                <c:pt idx="3">
                  <c:v>0.379</c:v>
                </c:pt>
                <c:pt idx="4">
                  <c:v>0.32200000000000001</c:v>
                </c:pt>
                <c:pt idx="5">
                  <c:v>0.34200000000000003</c:v>
                </c:pt>
                <c:pt idx="6">
                  <c:v>0.33800000000000002</c:v>
                </c:pt>
                <c:pt idx="7">
                  <c:v>0.36699999999999999</c:v>
                </c:pt>
                <c:pt idx="8">
                  <c:v>0.371</c:v>
                </c:pt>
                <c:pt idx="9">
                  <c:v>0.373</c:v>
                </c:pt>
                <c:pt idx="10">
                  <c:v>0.374</c:v>
                </c:pt>
                <c:pt idx="11">
                  <c:v>0.37</c:v>
                </c:pt>
                <c:pt idx="12">
                  <c:v>0.37</c:v>
                </c:pt>
                <c:pt idx="13">
                  <c:v>0.38</c:v>
                </c:pt>
                <c:pt idx="1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E-4D63-879E-FEC66F7F0956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2'!$F$24:$F$35</c:f>
              <c:numCache>
                <c:formatCode>#,##0.00</c:formatCode>
                <c:ptCount val="12"/>
                <c:pt idx="0">
                  <c:v>1.4710000000000001</c:v>
                </c:pt>
                <c:pt idx="1">
                  <c:v>1.6639999999999999</c:v>
                </c:pt>
                <c:pt idx="2">
                  <c:v>1.849</c:v>
                </c:pt>
                <c:pt idx="3">
                  <c:v>1.681</c:v>
                </c:pt>
                <c:pt idx="4">
                  <c:v>1.7769999999999999</c:v>
                </c:pt>
                <c:pt idx="5">
                  <c:v>1.637</c:v>
                </c:pt>
                <c:pt idx="6">
                  <c:v>1.7290000000000001</c:v>
                </c:pt>
                <c:pt idx="7">
                  <c:v>1.7549999999999999</c:v>
                </c:pt>
                <c:pt idx="8">
                  <c:v>1.7709999999999999</c:v>
                </c:pt>
                <c:pt idx="9">
                  <c:v>1.7889999999999999</c:v>
                </c:pt>
                <c:pt idx="10">
                  <c:v>1.7929999999999999</c:v>
                </c:pt>
                <c:pt idx="11">
                  <c:v>1.7969999999999999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E-4D63-879E-FEC66F7F0956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3'!$F$24:$F$35</c:f>
              <c:numCache>
                <c:formatCode>#,##0.00</c:formatCode>
                <c:ptCount val="12"/>
                <c:pt idx="0">
                  <c:v>1.748</c:v>
                </c:pt>
                <c:pt idx="1">
                  <c:v>2.1760000000000002</c:v>
                </c:pt>
                <c:pt idx="2">
                  <c:v>2.4180000000000001</c:v>
                </c:pt>
                <c:pt idx="3">
                  <c:v>2.54</c:v>
                </c:pt>
                <c:pt idx="4">
                  <c:v>2.5659999999999998</c:v>
                </c:pt>
                <c:pt idx="5">
                  <c:v>2.617</c:v>
                </c:pt>
                <c:pt idx="6">
                  <c:v>2.6179999999999999</c:v>
                </c:pt>
                <c:pt idx="7">
                  <c:v>2.665</c:v>
                </c:pt>
                <c:pt idx="8">
                  <c:v>2.6789999999999998</c:v>
                </c:pt>
                <c:pt idx="9">
                  <c:v>2.6859999999999999</c:v>
                </c:pt>
                <c:pt idx="10">
                  <c:v>2.6890000000000001</c:v>
                </c:pt>
                <c:pt idx="11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E-4D63-879E-FEC66F7F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40645"/>
        <c:axId val="482202240"/>
      </c:lineChart>
      <c:catAx>
        <c:axId val="1283540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2202240"/>
        <c:crosses val="autoZero"/>
        <c:auto val="1"/>
        <c:lblAlgn val="ctr"/>
        <c:lblOffset val="100"/>
        <c:noMultiLvlLbl val="1"/>
      </c:catAx>
      <c:valAx>
        <c:axId val="48220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835406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1'!$H$24:$H$38</c:f>
              <c:numCache>
                <c:formatCode>#,##0.00</c:formatCode>
                <c:ptCount val="15"/>
                <c:pt idx="0">
                  <c:v>8.891</c:v>
                </c:pt>
                <c:pt idx="1">
                  <c:v>7.0119999999999996</c:v>
                </c:pt>
                <c:pt idx="2">
                  <c:v>7.859</c:v>
                </c:pt>
                <c:pt idx="3">
                  <c:v>11.986000000000001</c:v>
                </c:pt>
                <c:pt idx="4">
                  <c:v>10.294</c:v>
                </c:pt>
                <c:pt idx="5">
                  <c:v>10.909000000000001</c:v>
                </c:pt>
                <c:pt idx="6">
                  <c:v>10.468999999999999</c:v>
                </c:pt>
                <c:pt idx="7">
                  <c:v>11.353999999999999</c:v>
                </c:pt>
                <c:pt idx="8">
                  <c:v>11.398</c:v>
                </c:pt>
                <c:pt idx="9">
                  <c:v>11.614000000000001</c:v>
                </c:pt>
                <c:pt idx="10">
                  <c:v>11.638999999999999</c:v>
                </c:pt>
                <c:pt idx="11">
                  <c:v>11.743</c:v>
                </c:pt>
                <c:pt idx="12">
                  <c:v>11.743</c:v>
                </c:pt>
                <c:pt idx="13">
                  <c:v>11.743</c:v>
                </c:pt>
                <c:pt idx="14">
                  <c:v>11.747999999999999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1-4CAD-85F0-FB8A468834AB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2'!$H$24:$H$35</c:f>
              <c:numCache>
                <c:formatCode>#,##0.00</c:formatCode>
                <c:ptCount val="12"/>
                <c:pt idx="0">
                  <c:v>12.12</c:v>
                </c:pt>
                <c:pt idx="1">
                  <c:v>18.265000000000001</c:v>
                </c:pt>
                <c:pt idx="2">
                  <c:v>21.571999999999999</c:v>
                </c:pt>
                <c:pt idx="3">
                  <c:v>20.178000000000001</c:v>
                </c:pt>
                <c:pt idx="4">
                  <c:v>25.052</c:v>
                </c:pt>
                <c:pt idx="5">
                  <c:v>22.995999999999999</c:v>
                </c:pt>
                <c:pt idx="6">
                  <c:v>25.600999999999999</c:v>
                </c:pt>
                <c:pt idx="7">
                  <c:v>26.393000000000001</c:v>
                </c:pt>
                <c:pt idx="8">
                  <c:v>27.015999999999998</c:v>
                </c:pt>
                <c:pt idx="9">
                  <c:v>27.547000000000001</c:v>
                </c:pt>
                <c:pt idx="10">
                  <c:v>27.597000000000001</c:v>
                </c:pt>
                <c:pt idx="11">
                  <c:v>27.689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1-4CAD-85F0-FB8A468834AB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3'!$H$24:$H$35</c:f>
              <c:numCache>
                <c:formatCode>#,##0.00</c:formatCode>
                <c:ptCount val="12"/>
                <c:pt idx="0">
                  <c:v>9.4770000000000003</c:v>
                </c:pt>
                <c:pt idx="1">
                  <c:v>14.975</c:v>
                </c:pt>
                <c:pt idx="2">
                  <c:v>20.890999999999998</c:v>
                </c:pt>
                <c:pt idx="3">
                  <c:v>26.033999999999999</c:v>
                </c:pt>
                <c:pt idx="4">
                  <c:v>28.948</c:v>
                </c:pt>
                <c:pt idx="5">
                  <c:v>31.856999999999999</c:v>
                </c:pt>
                <c:pt idx="6">
                  <c:v>33.688000000000002</c:v>
                </c:pt>
                <c:pt idx="7">
                  <c:v>35.082000000000001</c:v>
                </c:pt>
                <c:pt idx="8">
                  <c:v>36.036000000000001</c:v>
                </c:pt>
                <c:pt idx="9">
                  <c:v>36.555</c:v>
                </c:pt>
                <c:pt idx="10">
                  <c:v>37.093000000000004</c:v>
                </c:pt>
                <c:pt idx="11">
                  <c:v>37.415999999999997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1-4CAD-85F0-FB8A4688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46161"/>
        <c:axId val="649081172"/>
      </c:lineChart>
      <c:catAx>
        <c:axId val="1177746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49081172"/>
        <c:crosses val="autoZero"/>
        <c:auto val="1"/>
        <c:lblAlgn val="ctr"/>
        <c:lblOffset val="100"/>
        <c:noMultiLvlLbl val="1"/>
      </c:catAx>
      <c:valAx>
        <c:axId val="649081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777461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'ρ0,9'!$O$3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'ρ0,9'!$O$4:$O$6</c:f>
              <c:numCache>
                <c:formatCode>#,##0.00</c:formatCode>
                <c:ptCount val="3"/>
                <c:pt idx="0">
                  <c:v>8.1670499999999993E-2</c:v>
                </c:pt>
                <c:pt idx="1">
                  <c:v>0.38</c:v>
                </c:pt>
                <c:pt idx="2">
                  <c:v>11.747999999999999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D8-468B-B584-FE8131BFACB3}"/>
            </c:ext>
          </c:extLst>
        </c:ser>
        <c:ser>
          <c:idx val="1"/>
          <c:order val="1"/>
          <c:tx>
            <c:strRef>
              <c:f>'ρ0,9'!$P$3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'ρ0,9'!$P$4:$P$6</c:f>
              <c:numCache>
                <c:formatCode>#,##0.00</c:formatCode>
                <c:ptCount val="3"/>
                <c:pt idx="0">
                  <c:v>0.41604799999999997</c:v>
                </c:pt>
                <c:pt idx="1">
                  <c:v>1.7969999999999999</c:v>
                </c:pt>
                <c:pt idx="2">
                  <c:v>27.689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D8-468B-B584-FE8131BFACB3}"/>
            </c:ext>
          </c:extLst>
        </c:ser>
        <c:ser>
          <c:idx val="2"/>
          <c:order val="2"/>
          <c:tx>
            <c:strRef>
              <c:f>'ρ0,9'!$Q$3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'ρ0,9'!$Q$4:$Q$6</c:f>
              <c:numCache>
                <c:formatCode>#,##0.00</c:formatCode>
                <c:ptCount val="3"/>
                <c:pt idx="0">
                  <c:v>0.80832800000000005</c:v>
                </c:pt>
                <c:pt idx="1">
                  <c:v>2.69</c:v>
                </c:pt>
                <c:pt idx="2">
                  <c:v>37.415999999999997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BD8-468B-B584-FE8131BF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522175"/>
        <c:axId val="2088856445"/>
      </c:barChart>
      <c:catAx>
        <c:axId val="203452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88856445"/>
        <c:crosses val="autoZero"/>
        <c:auto val="1"/>
        <c:lblAlgn val="ctr"/>
        <c:lblOffset val="100"/>
        <c:noMultiLvlLbl val="1"/>
      </c:catAx>
      <c:valAx>
        <c:axId val="2088856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4522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'Вариант 4'!$H$23</c:f>
              <c:strCache>
                <c:ptCount val="1"/>
                <c:pt idx="0">
                  <c:v>Ср.вр.ож.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4'!$H$24:$H$35</c:f>
              <c:numCache>
                <c:formatCode>#,##0.00</c:formatCode>
                <c:ptCount val="12"/>
                <c:pt idx="0">
                  <c:v>7.2030000000000003</c:v>
                </c:pt>
                <c:pt idx="1">
                  <c:v>4.6520000000000001</c:v>
                </c:pt>
                <c:pt idx="2">
                  <c:v>3.952</c:v>
                </c:pt>
                <c:pt idx="3">
                  <c:v>5.0599999999999996</c:v>
                </c:pt>
                <c:pt idx="4">
                  <c:v>4.0599999999999996</c:v>
                </c:pt>
                <c:pt idx="5">
                  <c:v>4.62</c:v>
                </c:pt>
                <c:pt idx="6">
                  <c:v>4.3659999999999997</c:v>
                </c:pt>
                <c:pt idx="7">
                  <c:v>4.7210000000000001</c:v>
                </c:pt>
                <c:pt idx="8">
                  <c:v>4.9859999999999998</c:v>
                </c:pt>
                <c:pt idx="9">
                  <c:v>4.9050000000000002</c:v>
                </c:pt>
                <c:pt idx="10">
                  <c:v>4.8650000000000002</c:v>
                </c:pt>
                <c:pt idx="11">
                  <c:v>4.9630000000000001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5-483F-8BCF-7C0F6E54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54077"/>
        <c:axId val="1334263703"/>
      </c:lineChart>
      <c:catAx>
        <c:axId val="802454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34263703"/>
        <c:crosses val="autoZero"/>
        <c:auto val="1"/>
        <c:lblAlgn val="ctr"/>
        <c:lblOffset val="100"/>
        <c:noMultiLvlLbl val="1"/>
      </c:catAx>
      <c:valAx>
        <c:axId val="133426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024540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FCAA-488F-B4CC-4F11754D8EA0}"/>
              </c:ext>
            </c:extLst>
          </c:dPt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3.5999999999999997E-2</c:v>
                </c:pt>
                <c:pt idx="7">
                  <c:v>3.4799999999999998E-2</c:v>
                </c:pt>
                <c:pt idx="8">
                  <c:v>3.49E-2</c:v>
                </c:pt>
                <c:pt idx="9">
                  <c:v>3.5279999999999999E-2</c:v>
                </c:pt>
                <c:pt idx="10">
                  <c:v>3.4500000000000003E-2</c:v>
                </c:pt>
                <c:pt idx="11">
                  <c:v>3.5346000000000002E-2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A-488F-B4CC-4F11754D8EA0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5'!$D$24:$D$35</c:f>
              <c:numCache>
                <c:formatCode>#,##0.00</c:formatCode>
                <c:ptCount val="12"/>
                <c:pt idx="0">
                  <c:v>0.4</c:v>
                </c:pt>
                <c:pt idx="1">
                  <c:v>0.2</c:v>
                </c:pt>
                <c:pt idx="2">
                  <c:v>0.16</c:v>
                </c:pt>
                <c:pt idx="3">
                  <c:v>0.21</c:v>
                </c:pt>
                <c:pt idx="4">
                  <c:v>0.215</c:v>
                </c:pt>
                <c:pt idx="5">
                  <c:v>0.20799999999999999</c:v>
                </c:pt>
                <c:pt idx="6">
                  <c:v>0.22</c:v>
                </c:pt>
                <c:pt idx="7">
                  <c:v>0.2326</c:v>
                </c:pt>
                <c:pt idx="8">
                  <c:v>0.2389</c:v>
                </c:pt>
                <c:pt idx="9">
                  <c:v>0.23916000000000001</c:v>
                </c:pt>
                <c:pt idx="10">
                  <c:v>0.23916999999999999</c:v>
                </c:pt>
                <c:pt idx="11">
                  <c:v>0.23996799999999999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A-488F-B4CC-4F11754D8EA0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6'!$D$24:$D$35</c:f>
              <c:numCache>
                <c:formatCode>#,##0.00</c:formatCode>
                <c:ptCount val="12"/>
                <c:pt idx="0">
                  <c:v>0.7</c:v>
                </c:pt>
                <c:pt idx="1">
                  <c:v>0.65</c:v>
                </c:pt>
                <c:pt idx="2">
                  <c:v>0.64</c:v>
                </c:pt>
                <c:pt idx="3">
                  <c:v>0.68</c:v>
                </c:pt>
                <c:pt idx="4">
                  <c:v>0.66</c:v>
                </c:pt>
                <c:pt idx="5">
                  <c:v>0.69</c:v>
                </c:pt>
                <c:pt idx="6">
                  <c:v>0.68100000000000005</c:v>
                </c:pt>
                <c:pt idx="7">
                  <c:v>0.70799999999999996</c:v>
                </c:pt>
                <c:pt idx="8">
                  <c:v>0.71030000000000004</c:v>
                </c:pt>
                <c:pt idx="9">
                  <c:v>0.71338000000000001</c:v>
                </c:pt>
                <c:pt idx="10">
                  <c:v>0.71540999999999999</c:v>
                </c:pt>
                <c:pt idx="11">
                  <c:v>0.71692199999999995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A-488F-B4CC-4F11754D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149060"/>
        <c:axId val="1044695389"/>
      </c:lineChart>
      <c:catAx>
        <c:axId val="1064149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4695389"/>
        <c:crosses val="autoZero"/>
        <c:auto val="1"/>
        <c:lblAlgn val="ctr"/>
        <c:lblOffset val="100"/>
        <c:noMultiLvlLbl val="1"/>
      </c:catAx>
      <c:valAx>
        <c:axId val="104469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4149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4'!$F$24:$F$35</c:f>
              <c:numCache>
                <c:formatCode>#,##0.00</c:formatCode>
                <c:ptCount val="12"/>
                <c:pt idx="0">
                  <c:v>0.4</c:v>
                </c:pt>
                <c:pt idx="1">
                  <c:v>0.23100000000000001</c:v>
                </c:pt>
                <c:pt idx="2">
                  <c:v>0.182</c:v>
                </c:pt>
                <c:pt idx="3">
                  <c:v>0.189</c:v>
                </c:pt>
                <c:pt idx="4">
                  <c:v>0.14000000000000001</c:v>
                </c:pt>
                <c:pt idx="5">
                  <c:v>0.151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0.16800000000000001</c:v>
                </c:pt>
                <c:pt idx="9">
                  <c:v>0.16500000000000001</c:v>
                </c:pt>
                <c:pt idx="10">
                  <c:v>0.16400000000000001</c:v>
                </c:pt>
                <c:pt idx="11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D-45F3-A68E-142B27EC02D6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5'!$F$24:$F$35</c:f>
              <c:numCache>
                <c:formatCode>#,##0.00</c:formatCode>
                <c:ptCount val="12"/>
                <c:pt idx="0">
                  <c:v>1.5389999999999999</c:v>
                </c:pt>
                <c:pt idx="1">
                  <c:v>1.286</c:v>
                </c:pt>
                <c:pt idx="2">
                  <c:v>1.2330000000000001</c:v>
                </c:pt>
                <c:pt idx="3">
                  <c:v>1.3240000000000001</c:v>
                </c:pt>
                <c:pt idx="4">
                  <c:v>1.202</c:v>
                </c:pt>
                <c:pt idx="5">
                  <c:v>1.085</c:v>
                </c:pt>
                <c:pt idx="6">
                  <c:v>1.135</c:v>
                </c:pt>
                <c:pt idx="7">
                  <c:v>1.1870000000000001</c:v>
                </c:pt>
                <c:pt idx="8">
                  <c:v>1.2030000000000001</c:v>
                </c:pt>
                <c:pt idx="9">
                  <c:v>1.2210000000000001</c:v>
                </c:pt>
                <c:pt idx="10">
                  <c:v>1.2290000000000001</c:v>
                </c:pt>
                <c:pt idx="11">
                  <c:v>1.236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D-45F3-A68E-142B27EC02D6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6'!$F$24:$F$35</c:f>
              <c:numCache>
                <c:formatCode>#,##0.00</c:formatCode>
                <c:ptCount val="12"/>
                <c:pt idx="0">
                  <c:v>1.635</c:v>
                </c:pt>
                <c:pt idx="1">
                  <c:v>1.9670000000000001</c:v>
                </c:pt>
                <c:pt idx="2">
                  <c:v>2.38</c:v>
                </c:pt>
                <c:pt idx="3">
                  <c:v>2.5089999999999999</c:v>
                </c:pt>
                <c:pt idx="4">
                  <c:v>2.3340000000000001</c:v>
                </c:pt>
                <c:pt idx="5">
                  <c:v>2.4889999999999999</c:v>
                </c:pt>
                <c:pt idx="6">
                  <c:v>2.44</c:v>
                </c:pt>
                <c:pt idx="7">
                  <c:v>2.476</c:v>
                </c:pt>
                <c:pt idx="8">
                  <c:v>2.4900000000000002</c:v>
                </c:pt>
                <c:pt idx="9">
                  <c:v>2.4990000000000001</c:v>
                </c:pt>
                <c:pt idx="10">
                  <c:v>2.5099999999999998</c:v>
                </c:pt>
                <c:pt idx="11">
                  <c:v>2.5139999999999998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D-45F3-A68E-142B27EC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06310"/>
        <c:axId val="1740402493"/>
      </c:lineChart>
      <c:catAx>
        <c:axId val="1139306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0402493"/>
        <c:crosses val="autoZero"/>
        <c:auto val="1"/>
        <c:lblAlgn val="ctr"/>
        <c:lblOffset val="100"/>
        <c:noMultiLvlLbl val="1"/>
      </c:catAx>
      <c:valAx>
        <c:axId val="1740402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93063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4'!$H$24:$H$35</c:f>
              <c:numCache>
                <c:formatCode>#,##0.00</c:formatCode>
                <c:ptCount val="12"/>
                <c:pt idx="0">
                  <c:v>7.2030000000000003</c:v>
                </c:pt>
                <c:pt idx="1">
                  <c:v>4.6520000000000001</c:v>
                </c:pt>
                <c:pt idx="2">
                  <c:v>3.952</c:v>
                </c:pt>
                <c:pt idx="3">
                  <c:v>5.0599999999999996</c:v>
                </c:pt>
                <c:pt idx="4">
                  <c:v>4.0599999999999996</c:v>
                </c:pt>
                <c:pt idx="5">
                  <c:v>4.62</c:v>
                </c:pt>
                <c:pt idx="6">
                  <c:v>4.3659999999999997</c:v>
                </c:pt>
                <c:pt idx="7">
                  <c:v>4.7210000000000001</c:v>
                </c:pt>
                <c:pt idx="8">
                  <c:v>4.9859999999999998</c:v>
                </c:pt>
                <c:pt idx="9">
                  <c:v>4.9050000000000002</c:v>
                </c:pt>
                <c:pt idx="10">
                  <c:v>4.8650000000000002</c:v>
                </c:pt>
                <c:pt idx="11">
                  <c:v>4.9630000000000001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A-4DF7-95DB-73635C601374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5'!$H$24:$H$35</c:f>
              <c:numCache>
                <c:formatCode>#,##0.00</c:formatCode>
                <c:ptCount val="12"/>
                <c:pt idx="0">
                  <c:v>13.334</c:v>
                </c:pt>
                <c:pt idx="1">
                  <c:v>10.225</c:v>
                </c:pt>
                <c:pt idx="2">
                  <c:v>10.166</c:v>
                </c:pt>
                <c:pt idx="3">
                  <c:v>13.699</c:v>
                </c:pt>
                <c:pt idx="4">
                  <c:v>12.462</c:v>
                </c:pt>
                <c:pt idx="5">
                  <c:v>11.818</c:v>
                </c:pt>
                <c:pt idx="6">
                  <c:v>12.371</c:v>
                </c:pt>
                <c:pt idx="7">
                  <c:v>12.897</c:v>
                </c:pt>
                <c:pt idx="8">
                  <c:v>13.192</c:v>
                </c:pt>
                <c:pt idx="9">
                  <c:v>13.484</c:v>
                </c:pt>
                <c:pt idx="10">
                  <c:v>13.59</c:v>
                </c:pt>
                <c:pt idx="11">
                  <c:v>13.691000000000001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A-4DF7-95DB-73635C601374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6'!$H$24:$H$35</c:f>
              <c:numCache>
                <c:formatCode>#,##0.00</c:formatCode>
                <c:ptCount val="12"/>
                <c:pt idx="0">
                  <c:v>5.7210000000000001</c:v>
                </c:pt>
                <c:pt idx="1">
                  <c:v>9.8360000000000003</c:v>
                </c:pt>
                <c:pt idx="2">
                  <c:v>13.032999999999999</c:v>
                </c:pt>
                <c:pt idx="3">
                  <c:v>17.562000000000001</c:v>
                </c:pt>
                <c:pt idx="4">
                  <c:v>14.417999999999999</c:v>
                </c:pt>
                <c:pt idx="5">
                  <c:v>18.966999999999999</c:v>
                </c:pt>
                <c:pt idx="6">
                  <c:v>18.420999999999999</c:v>
                </c:pt>
                <c:pt idx="7">
                  <c:v>21.536000000000001</c:v>
                </c:pt>
                <c:pt idx="8">
                  <c:v>21.824000000000002</c:v>
                </c:pt>
                <c:pt idx="9">
                  <c:v>22.085999999999999</c:v>
                </c:pt>
                <c:pt idx="10">
                  <c:v>22.437999999999999</c:v>
                </c:pt>
                <c:pt idx="11">
                  <c:v>22.715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A-4DF7-95DB-73635C60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558537"/>
        <c:axId val="1022758603"/>
      </c:lineChart>
      <c:catAx>
        <c:axId val="109655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22758603"/>
        <c:crosses val="autoZero"/>
        <c:auto val="1"/>
        <c:lblAlgn val="ctr"/>
        <c:lblOffset val="100"/>
        <c:noMultiLvlLbl val="1"/>
      </c:catAx>
      <c:valAx>
        <c:axId val="1022758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965585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'ρ0,6'!$O$3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'ρ0,6'!$O$4:$O$6</c:f>
              <c:numCache>
                <c:formatCode>#,##0.00</c:formatCode>
                <c:ptCount val="3"/>
                <c:pt idx="0">
                  <c:v>3.5346000000000002E-2</c:v>
                </c:pt>
                <c:pt idx="1">
                  <c:v>0.16600000000000001</c:v>
                </c:pt>
                <c:pt idx="2">
                  <c:v>4.9630000000000001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DA-4D1B-BB1F-A7024D875702}"/>
            </c:ext>
          </c:extLst>
        </c:ser>
        <c:ser>
          <c:idx val="1"/>
          <c:order val="1"/>
          <c:tx>
            <c:strRef>
              <c:f>'ρ0,6'!$P$3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'ρ0,6'!$P$4:$P$6</c:f>
              <c:numCache>
                <c:formatCode>#,##0.00</c:formatCode>
                <c:ptCount val="3"/>
                <c:pt idx="0">
                  <c:v>0.23996799999999999</c:v>
                </c:pt>
                <c:pt idx="1">
                  <c:v>1.236</c:v>
                </c:pt>
                <c:pt idx="2">
                  <c:v>13.691000000000001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DA-4D1B-BB1F-A7024D875702}"/>
            </c:ext>
          </c:extLst>
        </c:ser>
        <c:ser>
          <c:idx val="2"/>
          <c:order val="2"/>
          <c:tx>
            <c:strRef>
              <c:f>'ρ0,6'!$Q$3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'ρ0,6'!$Q$4:$Q$6</c:f>
              <c:numCache>
                <c:formatCode>#,##0.00</c:formatCode>
                <c:ptCount val="3"/>
                <c:pt idx="0">
                  <c:v>0.71692199999999995</c:v>
                </c:pt>
                <c:pt idx="1">
                  <c:v>2.5139999999999998</c:v>
                </c:pt>
                <c:pt idx="2">
                  <c:v>22.715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8DA-4D1B-BB1F-A7024D87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52896"/>
        <c:axId val="995655565"/>
      </c:barChart>
      <c:catAx>
        <c:axId val="10520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5655565"/>
        <c:crosses val="autoZero"/>
        <c:auto val="1"/>
        <c:lblAlgn val="ctr"/>
        <c:lblOffset val="100"/>
        <c:noMultiLvlLbl val="1"/>
      </c:catAx>
      <c:valAx>
        <c:axId val="995655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520528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76200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123825</xdr:colOff>
      <xdr:row>2</xdr:row>
      <xdr:rowOff>76200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9525</xdr:rowOff>
    </xdr:from>
    <xdr:ext cx="57150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123825</xdr:colOff>
      <xdr:row>20</xdr:row>
      <xdr:rowOff>0</xdr:rowOff>
    </xdr:from>
    <xdr:ext cx="5715000" cy="353377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1371600</xdr:colOff>
      <xdr:row>37</xdr:row>
      <xdr:rowOff>161925</xdr:rowOff>
    </xdr:from>
    <xdr:ext cx="5715000" cy="35337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</xdr:row>
      <xdr:rowOff>66675</xdr:rowOff>
    </xdr:from>
    <xdr:ext cx="5715000" cy="353377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2</xdr:row>
      <xdr:rowOff>66675</xdr:rowOff>
    </xdr:from>
    <xdr:ext cx="5715000" cy="35337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0</xdr:rowOff>
    </xdr:from>
    <xdr:ext cx="5715000" cy="353377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552450</xdr:colOff>
      <xdr:row>20</xdr:row>
      <xdr:rowOff>0</xdr:rowOff>
    </xdr:from>
    <xdr:ext cx="5715000" cy="3533775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</xdr:row>
      <xdr:rowOff>66675</xdr:rowOff>
    </xdr:from>
    <xdr:ext cx="5715000" cy="3533775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2</xdr:row>
      <xdr:rowOff>66675</xdr:rowOff>
    </xdr:from>
    <xdr:ext cx="5715000" cy="3533775"/>
    <xdr:graphicFrame macro="">
      <xdr:nvGraphicFramePr>
        <xdr:cNvPr id="11" name="Chart 11" title="Диаграмма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0</xdr:rowOff>
    </xdr:from>
    <xdr:ext cx="5715000" cy="3533775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552450</xdr:colOff>
      <xdr:row>20</xdr:row>
      <xdr:rowOff>0</xdr:rowOff>
    </xdr:from>
    <xdr:ext cx="5715000" cy="3533775"/>
    <xdr:graphicFrame macro="">
      <xdr:nvGraphicFramePr>
        <xdr:cNvPr id="13" name="Chart 13" title="Диаграмма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</xdr:row>
      <xdr:rowOff>66675</xdr:rowOff>
    </xdr:from>
    <xdr:ext cx="5715000" cy="3533775"/>
    <xdr:graphicFrame macro="">
      <xdr:nvGraphicFramePr>
        <xdr:cNvPr id="14" name="Chart 14" title="Диаграмма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2</xdr:row>
      <xdr:rowOff>66675</xdr:rowOff>
    </xdr:from>
    <xdr:ext cx="5715000" cy="3533775"/>
    <xdr:graphicFrame macro="">
      <xdr:nvGraphicFramePr>
        <xdr:cNvPr id="15" name="Chart 15" title="Диаграмма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0</xdr:rowOff>
    </xdr:from>
    <xdr:ext cx="5715000" cy="3533775"/>
    <xdr:graphicFrame macro="">
      <xdr:nvGraphicFramePr>
        <xdr:cNvPr id="16" name="Chart 16" title="Диаграмма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552450</xdr:colOff>
      <xdr:row>20</xdr:row>
      <xdr:rowOff>0</xdr:rowOff>
    </xdr:from>
    <xdr:ext cx="5715000" cy="3533775"/>
    <xdr:graphicFrame macro="">
      <xdr:nvGraphicFramePr>
        <xdr:cNvPr id="17" name="Chart 17" title="Диаграмма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7">
          <cell r="Q17">
            <v>0.11310000000000001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3"/>
  <sheetViews>
    <sheetView workbookViewId="0">
      <selection activeCell="F17" sqref="F17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ht="12.75" x14ac:dyDescent="0.2">
      <c r="G2" s="1" t="s">
        <v>0</v>
      </c>
    </row>
    <row r="3" spans="2:7" ht="12.75" x14ac:dyDescent="0.2">
      <c r="B3" s="30" t="s">
        <v>1</v>
      </c>
      <c r="C3" s="31"/>
      <c r="D3" s="1">
        <v>1</v>
      </c>
      <c r="G3" s="1">
        <v>0.9</v>
      </c>
    </row>
    <row r="4" spans="2:7" ht="12.75" x14ac:dyDescent="0.2">
      <c r="B4" s="30" t="s">
        <v>2</v>
      </c>
      <c r="C4" s="31"/>
      <c r="D4" s="1">
        <v>3</v>
      </c>
    </row>
    <row r="5" spans="2:7" ht="12.75" x14ac:dyDescent="0.2">
      <c r="B5" s="30" t="s">
        <v>3</v>
      </c>
      <c r="C5" s="31"/>
      <c r="D5" s="12" t="s">
        <v>46</v>
      </c>
    </row>
    <row r="6" spans="2:7" ht="12.75" x14ac:dyDescent="0.2">
      <c r="B6" s="32" t="s">
        <v>4</v>
      </c>
      <c r="C6" s="1" t="s">
        <v>5</v>
      </c>
      <c r="D6" s="1">
        <v>14.093</v>
      </c>
    </row>
    <row r="7" spans="2:7" ht="12.75" x14ac:dyDescent="0.2">
      <c r="B7" s="33"/>
      <c r="C7" s="1" t="s">
        <v>6</v>
      </c>
      <c r="D7" s="1" t="s">
        <v>7</v>
      </c>
    </row>
    <row r="8" spans="2:7" ht="12.75" x14ac:dyDescent="0.2">
      <c r="B8" s="32" t="s">
        <v>8</v>
      </c>
      <c r="C8" s="1" t="s">
        <v>5</v>
      </c>
      <c r="D8" s="2">
        <v>13.831</v>
      </c>
    </row>
    <row r="9" spans="2:7" ht="12.75" x14ac:dyDescent="0.2">
      <c r="B9" s="33"/>
      <c r="C9" s="1" t="s">
        <v>9</v>
      </c>
      <c r="D9" s="1">
        <v>1</v>
      </c>
    </row>
    <row r="21" spans="2:12" ht="12.75" x14ac:dyDescent="0.2">
      <c r="B21" s="26" t="s">
        <v>10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28"/>
      <c r="C22" s="29"/>
      <c r="D22" s="1">
        <v>3</v>
      </c>
      <c r="E22" s="1" t="str">
        <f>D5</f>
        <v>2+1</v>
      </c>
      <c r="F22" s="1" t="s">
        <v>39</v>
      </c>
      <c r="G22" s="8">
        <v>14.093</v>
      </c>
      <c r="H22" s="8">
        <v>13.831</v>
      </c>
      <c r="I22" s="1">
        <v>1</v>
      </c>
    </row>
    <row r="23" spans="2:12" ht="12.75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2.75" x14ac:dyDescent="0.2">
      <c r="B24" s="1">
        <v>10</v>
      </c>
      <c r="C24" s="7">
        <v>0</v>
      </c>
      <c r="D24" s="2">
        <f t="shared" ref="D24:D38" si="0">C24/B24</f>
        <v>0</v>
      </c>
      <c r="E24" s="2">
        <v>0</v>
      </c>
      <c r="F24" s="6">
        <v>0.53600000000000003</v>
      </c>
      <c r="G24" s="6">
        <v>0.3</v>
      </c>
      <c r="H24" s="6">
        <v>8.891</v>
      </c>
      <c r="I24" s="2" t="s">
        <v>29</v>
      </c>
      <c r="J24" s="6">
        <v>7.923</v>
      </c>
      <c r="K24" s="2">
        <f t="shared" ref="K24:K38" si="1">SQRT(J24^2/B24)*1.96</f>
        <v>4.9107262766967574</v>
      </c>
      <c r="L24" s="2">
        <f t="shared" ref="L24:L38" si="2">K24/J24*100</f>
        <v>61.980642139300237</v>
      </c>
    </row>
    <row r="25" spans="2:12" ht="12.75" x14ac:dyDescent="0.2">
      <c r="B25" s="1">
        <v>20</v>
      </c>
      <c r="C25" s="7">
        <v>1</v>
      </c>
      <c r="D25" s="2">
        <f t="shared" si="0"/>
        <v>0.05</v>
      </c>
      <c r="E25" s="2">
        <v>0</v>
      </c>
      <c r="F25" s="6">
        <v>0.34599999999999997</v>
      </c>
      <c r="G25" s="6">
        <v>0.221</v>
      </c>
      <c r="H25" s="6">
        <v>7.0119999999999996</v>
      </c>
      <c r="I25" s="2">
        <f t="shared" ref="I25:I38" si="3">ABS(100*H25/H24-100)</f>
        <v>21.133730738949509</v>
      </c>
      <c r="J25" s="6">
        <v>8.077</v>
      </c>
      <c r="K25" s="2">
        <f t="shared" si="1"/>
        <v>3.5399013266360968</v>
      </c>
      <c r="L25" s="2">
        <f t="shared" si="2"/>
        <v>43.826932358995876</v>
      </c>
    </row>
    <row r="26" spans="2:12" ht="12.75" x14ac:dyDescent="0.2">
      <c r="B26" s="1">
        <v>50</v>
      </c>
      <c r="C26" s="7">
        <v>2</v>
      </c>
      <c r="D26" s="2">
        <f t="shared" si="0"/>
        <v>0.04</v>
      </c>
      <c r="E26" s="2">
        <f t="shared" ref="E26:E38" si="4">ABS(100*D26/D25-100)</f>
        <v>20</v>
      </c>
      <c r="F26" s="6">
        <v>0.33600000000000002</v>
      </c>
      <c r="G26" s="6">
        <v>0.27600000000000002</v>
      </c>
      <c r="H26" s="6">
        <v>7.859</v>
      </c>
      <c r="I26" s="2">
        <f t="shared" si="3"/>
        <v>12.079292641186541</v>
      </c>
      <c r="J26" s="6">
        <v>10.164</v>
      </c>
      <c r="K26" s="2">
        <f t="shared" si="1"/>
        <v>2.8173170630001869</v>
      </c>
      <c r="L26" s="2">
        <f t="shared" si="2"/>
        <v>27.718585822512665</v>
      </c>
    </row>
    <row r="27" spans="2:12" ht="12.75" x14ac:dyDescent="0.2">
      <c r="B27" s="1">
        <v>100</v>
      </c>
      <c r="C27" s="7">
        <v>7</v>
      </c>
      <c r="D27" s="2">
        <f t="shared" si="0"/>
        <v>7.0000000000000007E-2</v>
      </c>
      <c r="E27" s="2">
        <f t="shared" si="4"/>
        <v>75.000000000000028</v>
      </c>
      <c r="F27" s="6">
        <v>0.379</v>
      </c>
      <c r="G27" s="6">
        <v>0.29199999999999998</v>
      </c>
      <c r="H27" s="6">
        <v>11.986000000000001</v>
      </c>
      <c r="I27" s="2">
        <f t="shared" si="3"/>
        <v>52.513042371803039</v>
      </c>
      <c r="J27" s="6">
        <v>29.215</v>
      </c>
      <c r="K27" s="2">
        <f t="shared" si="1"/>
        <v>5.72614</v>
      </c>
      <c r="L27" s="2">
        <f t="shared" si="2"/>
        <v>19.600000000000001</v>
      </c>
    </row>
    <row r="28" spans="2:12" ht="12.75" x14ac:dyDescent="0.2">
      <c r="B28" s="1">
        <v>200</v>
      </c>
      <c r="C28" s="7">
        <v>11</v>
      </c>
      <c r="D28" s="2">
        <f t="shared" si="0"/>
        <v>5.5E-2</v>
      </c>
      <c r="E28" s="2">
        <f t="shared" si="4"/>
        <v>21.428571428571431</v>
      </c>
      <c r="F28" s="6">
        <v>0.32200000000000001</v>
      </c>
      <c r="G28" s="6">
        <v>0.27800000000000002</v>
      </c>
      <c r="H28" s="6">
        <v>10.294</v>
      </c>
      <c r="I28" s="2">
        <f t="shared" si="3"/>
        <v>14.116469214083097</v>
      </c>
      <c r="J28" s="6">
        <v>26.82</v>
      </c>
      <c r="K28" s="2">
        <f t="shared" si="1"/>
        <v>3.7170623587989482</v>
      </c>
      <c r="L28" s="2">
        <f t="shared" si="2"/>
        <v>13.859292911256333</v>
      </c>
    </row>
    <row r="29" spans="2:12" ht="12.75" x14ac:dyDescent="0.2">
      <c r="B29" s="1">
        <v>500</v>
      </c>
      <c r="C29" s="7">
        <v>32</v>
      </c>
      <c r="D29" s="2">
        <f t="shared" si="0"/>
        <v>6.4000000000000001E-2</v>
      </c>
      <c r="E29" s="2">
        <f t="shared" si="4"/>
        <v>16.363636363636374</v>
      </c>
      <c r="F29" s="6">
        <v>0.34200000000000003</v>
      </c>
      <c r="G29" s="6">
        <v>0.29099999999999998</v>
      </c>
      <c r="H29" s="6">
        <v>10.909000000000001</v>
      </c>
      <c r="I29" s="2">
        <f t="shared" si="3"/>
        <v>5.9743539926170683</v>
      </c>
      <c r="J29" s="6">
        <v>25.047999999999998</v>
      </c>
      <c r="K29" s="2">
        <f t="shared" si="1"/>
        <v>2.1955540034562575</v>
      </c>
      <c r="L29" s="2">
        <f t="shared" si="2"/>
        <v>8.765386471799177</v>
      </c>
    </row>
    <row r="30" spans="2:12" ht="12.75" x14ac:dyDescent="0.2">
      <c r="B30" s="1">
        <v>1000</v>
      </c>
      <c r="C30" s="7">
        <v>67</v>
      </c>
      <c r="D30" s="2">
        <f t="shared" si="0"/>
        <v>6.7000000000000004E-2</v>
      </c>
      <c r="E30" s="2">
        <f t="shared" si="4"/>
        <v>4.6875</v>
      </c>
      <c r="F30" s="6">
        <v>0.33800000000000002</v>
      </c>
      <c r="G30" s="6">
        <v>0.28799999999999998</v>
      </c>
      <c r="H30" s="6">
        <v>10.468999999999999</v>
      </c>
      <c r="I30" s="2">
        <f t="shared" si="3"/>
        <v>4.0333669447245626</v>
      </c>
      <c r="J30" s="6">
        <v>24.251000000000001</v>
      </c>
      <c r="K30" s="2">
        <f t="shared" si="1"/>
        <v>1.5030925525201702</v>
      </c>
      <c r="L30" s="2">
        <f t="shared" si="2"/>
        <v>6.1980642139300244</v>
      </c>
    </row>
    <row r="31" spans="2:12" ht="12.75" x14ac:dyDescent="0.2">
      <c r="B31" s="1">
        <v>5000</v>
      </c>
      <c r="C31" s="7">
        <v>411</v>
      </c>
      <c r="D31" s="2">
        <f t="shared" si="0"/>
        <v>8.2199999999999995E-2</v>
      </c>
      <c r="E31" s="2">
        <f t="shared" si="4"/>
        <v>22.686567164179081</v>
      </c>
      <c r="F31" s="6">
        <v>0.36699999999999999</v>
      </c>
      <c r="G31" s="6">
        <v>0.29499999999999998</v>
      </c>
      <c r="H31" s="6">
        <v>11.353999999999999</v>
      </c>
      <c r="I31" s="2">
        <f t="shared" si="3"/>
        <v>8.453529467953004</v>
      </c>
      <c r="J31" s="6">
        <v>23.22</v>
      </c>
      <c r="K31" s="2">
        <f t="shared" si="1"/>
        <v>0.64362556279874394</v>
      </c>
      <c r="L31" s="2">
        <f t="shared" si="2"/>
        <v>2.7718585822512658</v>
      </c>
    </row>
    <row r="32" spans="2:12" ht="12.75" x14ac:dyDescent="0.2">
      <c r="B32" s="1">
        <v>10000</v>
      </c>
      <c r="C32" s="7">
        <v>796</v>
      </c>
      <c r="D32" s="2">
        <f t="shared" si="0"/>
        <v>7.9600000000000004E-2</v>
      </c>
      <c r="E32" s="2">
        <f t="shared" si="4"/>
        <v>3.1630170316301474</v>
      </c>
      <c r="F32" s="6">
        <v>0.371</v>
      </c>
      <c r="G32" s="6">
        <v>0.3</v>
      </c>
      <c r="H32" s="6">
        <v>11.398</v>
      </c>
      <c r="I32" s="2">
        <f t="shared" si="3"/>
        <v>0.38752862427338641</v>
      </c>
      <c r="J32" s="6">
        <v>22.812999999999999</v>
      </c>
      <c r="K32" s="2">
        <f t="shared" si="1"/>
        <v>0.4471348</v>
      </c>
      <c r="L32" s="2">
        <f t="shared" si="2"/>
        <v>1.96</v>
      </c>
    </row>
    <row r="33" spans="2:12" ht="12.75" x14ac:dyDescent="0.2">
      <c r="B33" s="1">
        <v>50000</v>
      </c>
      <c r="C33" s="7">
        <v>4095</v>
      </c>
      <c r="D33" s="2">
        <f t="shared" si="0"/>
        <v>8.1900000000000001E-2</v>
      </c>
      <c r="E33" s="2">
        <f t="shared" si="4"/>
        <v>2.8894472361808994</v>
      </c>
      <c r="F33" s="6">
        <v>0.373</v>
      </c>
      <c r="G33" s="6">
        <v>0.3</v>
      </c>
      <c r="H33" s="6">
        <v>11.614000000000001</v>
      </c>
      <c r="I33" s="2">
        <f t="shared" si="3"/>
        <v>1.8950693104053471</v>
      </c>
      <c r="J33" s="6">
        <v>23.638000000000002</v>
      </c>
      <c r="K33" s="2">
        <f t="shared" si="1"/>
        <v>0.20719620542038891</v>
      </c>
      <c r="L33" s="2">
        <f t="shared" si="2"/>
        <v>0.87653864717991747</v>
      </c>
    </row>
    <row r="34" spans="2:12" ht="12.75" x14ac:dyDescent="0.2">
      <c r="B34" s="1">
        <v>100000</v>
      </c>
      <c r="C34" s="7">
        <v>8109</v>
      </c>
      <c r="D34" s="2">
        <f t="shared" si="0"/>
        <v>8.1089999999999995E-2</v>
      </c>
      <c r="E34" s="2">
        <f t="shared" si="4"/>
        <v>0.9890109890109926</v>
      </c>
      <c r="F34" s="6">
        <v>0.374</v>
      </c>
      <c r="G34" s="6">
        <v>0.3</v>
      </c>
      <c r="H34" s="6">
        <v>11.638999999999999</v>
      </c>
      <c r="I34" s="2">
        <f t="shared" si="3"/>
        <v>0.21525744790767476</v>
      </c>
      <c r="J34" s="6">
        <v>23.556999999999999</v>
      </c>
      <c r="K34" s="2">
        <f t="shared" si="1"/>
        <v>0.14600779868754954</v>
      </c>
      <c r="L34" s="2">
        <f t="shared" si="2"/>
        <v>0.61980642139300224</v>
      </c>
    </row>
    <row r="35" spans="2:12" ht="12.75" x14ac:dyDescent="0.2">
      <c r="B35" s="1">
        <v>500000</v>
      </c>
      <c r="C35" s="7">
        <v>40549</v>
      </c>
      <c r="D35" s="2">
        <f t="shared" si="0"/>
        <v>8.1098000000000003E-2</v>
      </c>
      <c r="E35" s="2">
        <f t="shared" si="4"/>
        <v>9.8655814527148777E-3</v>
      </c>
      <c r="F35" s="6">
        <v>0.37</v>
      </c>
      <c r="G35" s="6">
        <v>0.3</v>
      </c>
      <c r="H35" s="6">
        <v>11.743</v>
      </c>
      <c r="I35" s="2">
        <f t="shared" si="3"/>
        <v>0.89354755563192612</v>
      </c>
      <c r="J35" s="6">
        <v>23.824000000000002</v>
      </c>
      <c r="K35" s="2">
        <f t="shared" si="1"/>
        <v>6.603675886355416E-2</v>
      </c>
      <c r="L35" s="2">
        <f t="shared" si="2"/>
        <v>0.27718585822512659</v>
      </c>
    </row>
    <row r="36" spans="2:12" ht="12.75" x14ac:dyDescent="0.2">
      <c r="B36" s="1">
        <v>1000000</v>
      </c>
      <c r="C36" s="7">
        <v>81557</v>
      </c>
      <c r="D36" s="2">
        <f t="shared" si="0"/>
        <v>8.1557000000000004E-2</v>
      </c>
      <c r="E36" s="2">
        <f t="shared" si="4"/>
        <v>0.56598189844386582</v>
      </c>
      <c r="F36" s="6">
        <v>0.37</v>
      </c>
      <c r="G36" s="6">
        <v>0.3</v>
      </c>
      <c r="H36" s="6">
        <v>11.743</v>
      </c>
      <c r="I36" s="2">
        <f t="shared" si="3"/>
        <v>0</v>
      </c>
      <c r="J36" s="6">
        <v>23.811</v>
      </c>
      <c r="K36" s="2">
        <f t="shared" si="1"/>
        <v>4.6669559999999999E-2</v>
      </c>
      <c r="L36" s="2">
        <f t="shared" si="2"/>
        <v>0.19600000000000001</v>
      </c>
    </row>
    <row r="37" spans="2:12" ht="12.75" x14ac:dyDescent="0.2">
      <c r="B37" s="1">
        <v>5000000</v>
      </c>
      <c r="C37" s="7">
        <v>408658</v>
      </c>
      <c r="D37" s="2">
        <f t="shared" si="0"/>
        <v>8.1731600000000001E-2</v>
      </c>
      <c r="E37" s="2">
        <f t="shared" si="4"/>
        <v>0.21408340179259255</v>
      </c>
      <c r="F37" s="6">
        <v>0.38</v>
      </c>
      <c r="G37" s="6">
        <v>0.3</v>
      </c>
      <c r="H37" s="6">
        <v>11.743</v>
      </c>
      <c r="I37" s="2">
        <f t="shared" si="3"/>
        <v>0</v>
      </c>
      <c r="J37" s="6">
        <v>23.81</v>
      </c>
      <c r="K37" s="2">
        <f t="shared" si="1"/>
        <v>2.0870385189353836E-2</v>
      </c>
      <c r="L37" s="2">
        <f t="shared" si="2"/>
        <v>8.7653864717991761E-2</v>
      </c>
    </row>
    <row r="38" spans="2:12" ht="12.75" x14ac:dyDescent="0.2">
      <c r="B38" s="1">
        <v>10000000</v>
      </c>
      <c r="C38" s="7">
        <v>816705</v>
      </c>
      <c r="D38" s="2">
        <f t="shared" si="0"/>
        <v>8.1670499999999993E-2</v>
      </c>
      <c r="E38" s="2">
        <f t="shared" si="4"/>
        <v>7.4756887177059639E-2</v>
      </c>
      <c r="F38" s="6">
        <v>0.38</v>
      </c>
      <c r="G38" s="6">
        <v>0.3</v>
      </c>
      <c r="H38" s="6">
        <v>11.747999999999999</v>
      </c>
      <c r="I38" s="2">
        <f t="shared" si="3"/>
        <v>4.2578557438460507E-2</v>
      </c>
      <c r="J38" s="6">
        <v>23.800999999999998</v>
      </c>
      <c r="K38" s="2">
        <f t="shared" si="1"/>
        <v>1.4752012635574848E-2</v>
      </c>
      <c r="L38" s="2">
        <f t="shared" si="2"/>
        <v>6.198064213930024E-2</v>
      </c>
    </row>
    <row r="42" spans="2:12" ht="12.75" x14ac:dyDescent="0.2">
      <c r="D42" s="3"/>
      <c r="E42" s="3"/>
      <c r="F42" s="3"/>
    </row>
    <row r="43" spans="2:12" ht="12.75" x14ac:dyDescent="0.2">
      <c r="D43" s="4"/>
      <c r="E43" s="4"/>
      <c r="F43" s="4"/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M35"/>
  <sheetViews>
    <sheetView workbookViewId="0">
      <selection activeCell="H38" sqref="H38"/>
    </sheetView>
  </sheetViews>
  <sheetFormatPr defaultColWidth="12.5703125" defaultRowHeight="15.75" customHeight="1" x14ac:dyDescent="0.2"/>
  <cols>
    <col min="2" max="2" width="23.5703125" customWidth="1"/>
    <col min="4" max="4" width="12.85546875" bestFit="1" customWidth="1"/>
  </cols>
  <sheetData>
    <row r="2" spans="2:7" ht="15.75" customHeight="1" x14ac:dyDescent="0.2">
      <c r="G2" s="1" t="s">
        <v>0</v>
      </c>
    </row>
    <row r="3" spans="2:7" ht="15.75" customHeight="1" x14ac:dyDescent="0.2">
      <c r="B3" s="30" t="s">
        <v>1</v>
      </c>
      <c r="C3" s="31"/>
      <c r="D3" s="1">
        <v>8</v>
      </c>
      <c r="G3" s="1">
        <v>0.3</v>
      </c>
    </row>
    <row r="4" spans="2:7" ht="15.75" customHeight="1" x14ac:dyDescent="0.2">
      <c r="B4" s="30" t="s">
        <v>2</v>
      </c>
      <c r="C4" s="31"/>
      <c r="D4" s="1">
        <v>3</v>
      </c>
    </row>
    <row r="5" spans="2:7" ht="15.75" customHeight="1" x14ac:dyDescent="0.2">
      <c r="B5" s="30" t="s">
        <v>3</v>
      </c>
      <c r="C5" s="31"/>
      <c r="D5" s="12" t="s">
        <v>46</v>
      </c>
    </row>
    <row r="6" spans="2:7" ht="15.75" customHeight="1" x14ac:dyDescent="0.2">
      <c r="B6" s="32" t="s">
        <v>4</v>
      </c>
      <c r="C6" s="1" t="s">
        <v>5</v>
      </c>
      <c r="D6" s="1">
        <v>14.093</v>
      </c>
    </row>
    <row r="7" spans="2:7" ht="15.75" customHeight="1" x14ac:dyDescent="0.2">
      <c r="B7" s="33"/>
      <c r="C7" s="1" t="s">
        <v>6</v>
      </c>
      <c r="D7" s="1" t="s">
        <v>31</v>
      </c>
    </row>
    <row r="8" spans="2:7" ht="15.75" customHeight="1" x14ac:dyDescent="0.2">
      <c r="B8" s="32" t="s">
        <v>8</v>
      </c>
      <c r="C8" s="1" t="s">
        <v>5</v>
      </c>
      <c r="D8" s="2">
        <v>4.484</v>
      </c>
    </row>
    <row r="9" spans="2:7" ht="15.75" customHeight="1" x14ac:dyDescent="0.2">
      <c r="B9" s="33"/>
      <c r="C9" s="1" t="s">
        <v>9</v>
      </c>
      <c r="D9" s="1">
        <v>3.1259999999999999</v>
      </c>
    </row>
    <row r="21" spans="2:12" ht="15.75" customHeight="1" x14ac:dyDescent="0.2">
      <c r="B21" s="26" t="s">
        <v>44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28"/>
      <c r="C22" s="29"/>
      <c r="D22" s="1">
        <v>3</v>
      </c>
      <c r="E22" s="1" t="s">
        <v>46</v>
      </c>
      <c r="F22" s="1" t="s">
        <v>17</v>
      </c>
      <c r="G22" s="8">
        <v>14.093</v>
      </c>
      <c r="H22" s="2">
        <v>4.484</v>
      </c>
      <c r="I22" s="1">
        <v>1</v>
      </c>
    </row>
    <row r="23" spans="2:12" ht="15.75" customHeight="1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">
      <c r="B24" s="1">
        <v>10</v>
      </c>
      <c r="C24" s="7">
        <v>0</v>
      </c>
      <c r="D24" s="2">
        <f t="shared" ref="D24:D35" si="0">C24/B24</f>
        <v>0</v>
      </c>
      <c r="E24" s="2" t="s">
        <v>29</v>
      </c>
      <c r="F24" s="6">
        <v>0.377</v>
      </c>
      <c r="G24" s="6">
        <f>AVERAGE(0.751,0.097,0.058)</f>
        <v>0.30199999999999999</v>
      </c>
      <c r="H24" s="6">
        <v>2.0019999999999998</v>
      </c>
      <c r="I24" s="2" t="s">
        <v>29</v>
      </c>
      <c r="J24" s="6">
        <v>3.2040000000000002</v>
      </c>
      <c r="K24" s="2">
        <f t="shared" ref="K24:K35" si="1">SQRT(J24^2/B24)*1.96</f>
        <v>1.9858597741431796</v>
      </c>
      <c r="L24" s="2">
        <f t="shared" ref="L24:L35" si="2">K24/J24*100</f>
        <v>61.980642139300237</v>
      </c>
    </row>
    <row r="25" spans="2:12" ht="15.75" customHeight="1" x14ac:dyDescent="0.2">
      <c r="B25" s="1">
        <v>20</v>
      </c>
      <c r="C25" s="7">
        <v>0</v>
      </c>
      <c r="D25" s="2">
        <f t="shared" si="0"/>
        <v>0</v>
      </c>
      <c r="E25" s="2" t="e">
        <f t="shared" ref="E25:E35" si="3">ABS(100*D25/D24-100)</f>
        <v>#DIV/0!</v>
      </c>
      <c r="F25" s="6">
        <v>0.24299999999999999</v>
      </c>
      <c r="G25" s="6">
        <f>AVERAGE(0.73,0.049,0.064)</f>
        <v>0.28099999999999997</v>
      </c>
      <c r="H25" s="6">
        <v>1.286</v>
      </c>
      <c r="I25" s="2">
        <f t="shared" ref="I25:I35" si="4">ABS(100*H25/H24-100)</f>
        <v>35.764235764235764</v>
      </c>
      <c r="J25" s="6">
        <v>2.5720000000000001</v>
      </c>
      <c r="K25" s="2">
        <f t="shared" si="1"/>
        <v>1.1272287002733739</v>
      </c>
      <c r="L25" s="2">
        <f t="shared" si="2"/>
        <v>43.826932358995876</v>
      </c>
    </row>
    <row r="26" spans="2:12" ht="15.75" customHeight="1" x14ac:dyDescent="0.2">
      <c r="B26" s="1">
        <v>50</v>
      </c>
      <c r="C26" s="7">
        <v>1</v>
      </c>
      <c r="D26" s="2">
        <f t="shared" si="0"/>
        <v>0.02</v>
      </c>
      <c r="E26" s="2" t="e">
        <f t="shared" si="3"/>
        <v>#DIV/0!</v>
      </c>
      <c r="F26" s="6">
        <f>0.286+0.038</f>
        <v>0.32399999999999995</v>
      </c>
      <c r="G26" s="6">
        <f>AVERAGE(0.66,0.029,0.231)</f>
        <v>0.3066666666666667</v>
      </c>
      <c r="H26" s="6">
        <f>1.732+0.54</f>
        <v>2.2720000000000002</v>
      </c>
      <c r="I26" s="2">
        <f t="shared" si="4"/>
        <v>76.671850699844498</v>
      </c>
      <c r="J26" s="6">
        <f>3.567+4.052</f>
        <v>7.6189999999999998</v>
      </c>
      <c r="K26" s="2">
        <f t="shared" si="1"/>
        <v>2.1118790538172396</v>
      </c>
      <c r="L26" s="2">
        <f t="shared" si="2"/>
        <v>27.718585822512658</v>
      </c>
    </row>
    <row r="27" spans="2:12" ht="15.75" customHeight="1" x14ac:dyDescent="0.2">
      <c r="B27" s="1">
        <v>100</v>
      </c>
      <c r="C27" s="7">
        <v>4</v>
      </c>
      <c r="D27" s="2">
        <f t="shared" si="0"/>
        <v>0.04</v>
      </c>
      <c r="E27" s="2">
        <f t="shared" si="3"/>
        <v>100</v>
      </c>
      <c r="F27" s="6">
        <f>0.351+0.068</f>
        <v>0.41899999999999998</v>
      </c>
      <c r="G27" s="6">
        <f>AVERAGE(0.626,0.103,0.247)</f>
        <v>0.32533333333333331</v>
      </c>
      <c r="H27" s="6">
        <f>2.532+0.848</f>
        <v>3.38</v>
      </c>
      <c r="I27" s="2">
        <f t="shared" si="4"/>
        <v>48.767605633802788</v>
      </c>
      <c r="J27" s="6">
        <f>5.155+4.663</f>
        <v>9.8180000000000014</v>
      </c>
      <c r="K27" s="2">
        <f t="shared" si="1"/>
        <v>1.9243280000000003</v>
      </c>
      <c r="L27" s="2">
        <f t="shared" si="2"/>
        <v>19.600000000000001</v>
      </c>
    </row>
    <row r="28" spans="2:12" ht="12.75" x14ac:dyDescent="0.2">
      <c r="B28" s="1">
        <v>200</v>
      </c>
      <c r="C28" s="7">
        <v>7</v>
      </c>
      <c r="D28" s="2">
        <f t="shared" si="0"/>
        <v>3.5000000000000003E-2</v>
      </c>
      <c r="E28" s="2">
        <f t="shared" si="3"/>
        <v>12.499999999999986</v>
      </c>
      <c r="F28" s="6">
        <f>0.33+0.041</f>
        <v>0.371</v>
      </c>
      <c r="G28" s="6">
        <f>AVERAGE(0.603,0.153,0.257)</f>
        <v>0.33766666666666662</v>
      </c>
      <c r="H28" s="6">
        <f>2.398+0.563</f>
        <v>2.9610000000000003</v>
      </c>
      <c r="I28" s="2">
        <f t="shared" si="4"/>
        <v>12.396449704142</v>
      </c>
      <c r="J28" s="6">
        <f>5.432+3.692</f>
        <v>9.1240000000000006</v>
      </c>
      <c r="K28" s="2">
        <f t="shared" si="1"/>
        <v>1.2645218852230278</v>
      </c>
      <c r="L28" s="2">
        <f t="shared" si="2"/>
        <v>13.859292911256333</v>
      </c>
    </row>
    <row r="29" spans="2:12" ht="12.75" x14ac:dyDescent="0.2">
      <c r="B29" s="1">
        <v>500</v>
      </c>
      <c r="C29" s="7">
        <v>17</v>
      </c>
      <c r="D29" s="2">
        <f t="shared" si="0"/>
        <v>3.4000000000000002E-2</v>
      </c>
      <c r="E29" s="2">
        <f t="shared" si="3"/>
        <v>2.8571428571428612</v>
      </c>
      <c r="F29" s="6">
        <f>0.265+0.066</f>
        <v>0.33100000000000002</v>
      </c>
      <c r="G29" s="6">
        <f>AVERAGE(0.549,0.147,0.329)</f>
        <v>0.34166666666666673</v>
      </c>
      <c r="H29" s="6">
        <f>2.071+0.853</f>
        <v>2.9240000000000004</v>
      </c>
      <c r="I29" s="2">
        <f t="shared" si="4"/>
        <v>1.2495778453225199</v>
      </c>
      <c r="J29" s="6">
        <f>5.217+4.267</f>
        <v>9.484</v>
      </c>
      <c r="K29" s="2">
        <f t="shared" si="1"/>
        <v>0.83130925298543379</v>
      </c>
      <c r="L29" s="2">
        <f t="shared" si="2"/>
        <v>8.7653864717991752</v>
      </c>
    </row>
    <row r="30" spans="2:12" ht="12.75" x14ac:dyDescent="0.2">
      <c r="B30" s="1">
        <v>1000</v>
      </c>
      <c r="C30" s="7">
        <v>35</v>
      </c>
      <c r="D30" s="2">
        <f t="shared" si="0"/>
        <v>3.5000000000000003E-2</v>
      </c>
      <c r="E30" s="2">
        <f t="shared" si="3"/>
        <v>2.9411764705882462</v>
      </c>
      <c r="F30" s="6">
        <f>0.242+0.059</f>
        <v>0.30099999999999999</v>
      </c>
      <c r="G30" s="6">
        <f>AVERAGE(0.547,0.143,0.323)</f>
        <v>0.33766666666666673</v>
      </c>
      <c r="H30" s="6">
        <f>1.844+0.769</f>
        <v>2.613</v>
      </c>
      <c r="I30" s="2">
        <f t="shared" si="4"/>
        <v>10.636114911080725</v>
      </c>
      <c r="J30" s="6">
        <f>4.965+3.911</f>
        <v>8.8759999999999994</v>
      </c>
      <c r="K30" s="2">
        <f t="shared" si="1"/>
        <v>0.55014017962842876</v>
      </c>
      <c r="L30" s="2">
        <f t="shared" si="2"/>
        <v>6.1980642139300226</v>
      </c>
    </row>
    <row r="31" spans="2:12" ht="12.75" x14ac:dyDescent="0.2">
      <c r="B31" s="1">
        <v>5000</v>
      </c>
      <c r="C31" s="7">
        <v>260</v>
      </c>
      <c r="D31" s="2">
        <f t="shared" si="0"/>
        <v>5.1999999999999998E-2</v>
      </c>
      <c r="E31" s="2">
        <f t="shared" si="3"/>
        <v>48.571428571428555</v>
      </c>
      <c r="F31" s="6">
        <f>0.339+0.059</f>
        <v>0.39800000000000002</v>
      </c>
      <c r="G31" s="6">
        <f>AVERAGE(0.591,0.14,0.318)</f>
        <v>0.34966666666666663</v>
      </c>
      <c r="H31" s="6">
        <f>2.544+0.823</f>
        <v>3.367</v>
      </c>
      <c r="I31" s="2">
        <f t="shared" si="4"/>
        <v>28.855721393034827</v>
      </c>
      <c r="J31" s="6">
        <f>5.877+4.363</f>
        <v>10.24</v>
      </c>
      <c r="K31" s="2">
        <f t="shared" si="1"/>
        <v>0.28383831882252969</v>
      </c>
      <c r="L31" s="2">
        <f t="shared" si="2"/>
        <v>2.7718585822512667</v>
      </c>
    </row>
    <row r="32" spans="2:12" ht="12.75" x14ac:dyDescent="0.2">
      <c r="B32" s="1">
        <v>10000</v>
      </c>
      <c r="C32" s="7">
        <v>513</v>
      </c>
      <c r="D32" s="2">
        <f t="shared" si="0"/>
        <v>5.1299999999999998E-2</v>
      </c>
      <c r="E32" s="2">
        <f t="shared" si="3"/>
        <v>1.3461538461538396</v>
      </c>
      <c r="F32" s="6">
        <f>0.341+0.059</f>
        <v>0.4</v>
      </c>
      <c r="G32" s="6">
        <f>AVERAGE(0.595,0.139,0.312)</f>
        <v>0.34866666666666668</v>
      </c>
      <c r="H32" s="6">
        <f>2.549+0.822</f>
        <v>3.371</v>
      </c>
      <c r="I32" s="2">
        <f t="shared" si="4"/>
        <v>0.11880011880012376</v>
      </c>
      <c r="J32" s="6">
        <f>5.96+4.375</f>
        <v>10.335000000000001</v>
      </c>
      <c r="K32" s="2">
        <f t="shared" si="1"/>
        <v>0.202566</v>
      </c>
      <c r="L32" s="2">
        <f t="shared" si="2"/>
        <v>1.96</v>
      </c>
    </row>
    <row r="33" spans="2:13" ht="12.75" x14ac:dyDescent="0.2">
      <c r="B33" s="1">
        <v>50000</v>
      </c>
      <c r="C33" s="7">
        <v>2572</v>
      </c>
      <c r="D33" s="2">
        <f t="shared" si="0"/>
        <v>5.144E-2</v>
      </c>
      <c r="E33" s="2">
        <f t="shared" si="3"/>
        <v>0.27290448343080698</v>
      </c>
      <c r="F33" s="6">
        <f>0.328+0.062</f>
        <v>0.39</v>
      </c>
      <c r="G33" s="6">
        <f>AVERAGE(0.593,0.143,0.321)</f>
        <v>0.35233333333333333</v>
      </c>
      <c r="H33" s="6">
        <f>2.461+0.86</f>
        <v>3.3209999999999997</v>
      </c>
      <c r="I33" s="2">
        <f t="shared" si="4"/>
        <v>1.4832393948383356</v>
      </c>
      <c r="J33" s="6">
        <f>5.834+4.482</f>
        <v>10.315999999999999</v>
      </c>
      <c r="K33" s="2">
        <f t="shared" si="1"/>
        <v>9.0423726843080282E-2</v>
      </c>
      <c r="L33" s="2">
        <f t="shared" si="2"/>
        <v>0.87653864717991747</v>
      </c>
    </row>
    <row r="34" spans="2:13" ht="12.75" x14ac:dyDescent="0.2">
      <c r="B34" s="1">
        <v>100000</v>
      </c>
      <c r="C34" s="7">
        <v>5066</v>
      </c>
      <c r="D34" s="2">
        <f t="shared" si="0"/>
        <v>5.0659999999999997E-2</v>
      </c>
      <c r="E34" s="2">
        <f t="shared" si="3"/>
        <v>1.5163297045101132</v>
      </c>
      <c r="F34" s="6">
        <f>0.328+0.061</f>
        <v>0.38900000000000001</v>
      </c>
      <c r="G34" s="6">
        <f>AVERAGE(0.593,0.142,0.323)</f>
        <v>0.35266666666666668</v>
      </c>
      <c r="H34" s="6">
        <f>2.466+0.848</f>
        <v>3.3140000000000001</v>
      </c>
      <c r="I34" s="2">
        <f t="shared" si="4"/>
        <v>0.21077988557662763</v>
      </c>
      <c r="J34" s="6">
        <f>5.844+4.432</f>
        <v>10.276</v>
      </c>
      <c r="K34" s="2">
        <f t="shared" si="1"/>
        <v>6.369130786234492E-2</v>
      </c>
      <c r="L34" s="2">
        <f t="shared" si="2"/>
        <v>0.61980642139300235</v>
      </c>
    </row>
    <row r="35" spans="2:13" ht="15" x14ac:dyDescent="0.25">
      <c r="B35" s="1">
        <v>500000</v>
      </c>
      <c r="C35" s="7">
        <v>25795</v>
      </c>
      <c r="D35" s="2">
        <f t="shared" si="0"/>
        <v>5.1589999999999997E-2</v>
      </c>
      <c r="E35" s="2">
        <f t="shared" si="3"/>
        <v>1.8357678641926611</v>
      </c>
      <c r="F35" s="6">
        <f>0.33+0.061</f>
        <v>0.39100000000000001</v>
      </c>
      <c r="G35" s="6">
        <f>AVERAGE(0.593,0.144,0.325)</f>
        <v>0.35400000000000004</v>
      </c>
      <c r="H35" s="6">
        <f>2.485+0.842</f>
        <v>3.327</v>
      </c>
      <c r="I35" s="2">
        <f t="shared" si="4"/>
        <v>0.39227519613758943</v>
      </c>
      <c r="J35" s="6">
        <f>5.903+4.471</f>
        <v>10.373999999999999</v>
      </c>
      <c r="K35" s="2">
        <f t="shared" si="1"/>
        <v>2.875526093227463E-2</v>
      </c>
      <c r="L35" s="2">
        <f t="shared" si="2"/>
        <v>0.27718585822512659</v>
      </c>
      <c r="M35" s="8"/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L35"/>
  <sheetViews>
    <sheetView workbookViewId="0">
      <selection activeCell="G24" sqref="G24"/>
    </sheetView>
  </sheetViews>
  <sheetFormatPr defaultColWidth="12.5703125" defaultRowHeight="15.75" customHeight="1" x14ac:dyDescent="0.2"/>
  <cols>
    <col min="2" max="2" width="23.5703125" customWidth="1"/>
    <col min="4" max="4" width="18.85546875" bestFit="1" customWidth="1"/>
  </cols>
  <sheetData>
    <row r="2" spans="2:7" ht="15.75" customHeight="1" x14ac:dyDescent="0.2">
      <c r="G2" s="1" t="s">
        <v>0</v>
      </c>
    </row>
    <row r="3" spans="2:7" ht="15.75" customHeight="1" x14ac:dyDescent="0.2">
      <c r="B3" s="30" t="s">
        <v>1</v>
      </c>
      <c r="C3" s="31"/>
      <c r="D3" s="1">
        <v>9</v>
      </c>
      <c r="G3" s="1">
        <v>0.3</v>
      </c>
    </row>
    <row r="4" spans="2:7" ht="15.75" customHeight="1" x14ac:dyDescent="0.2">
      <c r="B4" s="30" t="s">
        <v>2</v>
      </c>
      <c r="C4" s="31"/>
      <c r="D4" s="1">
        <v>3</v>
      </c>
    </row>
    <row r="5" spans="2:7" ht="15.75" customHeight="1" x14ac:dyDescent="0.2">
      <c r="B5" s="30" t="s">
        <v>3</v>
      </c>
      <c r="C5" s="31"/>
      <c r="D5" s="12" t="s">
        <v>46</v>
      </c>
    </row>
    <row r="6" spans="2:7" ht="15.75" customHeight="1" x14ac:dyDescent="0.2">
      <c r="B6" s="32" t="s">
        <v>4</v>
      </c>
      <c r="C6" s="1" t="s">
        <v>5</v>
      </c>
      <c r="D6" s="1">
        <v>14.093</v>
      </c>
    </row>
    <row r="7" spans="2:7" ht="15.75" customHeight="1" x14ac:dyDescent="0.2">
      <c r="B7" s="33"/>
      <c r="C7" s="1" t="s">
        <v>6</v>
      </c>
      <c r="D7" s="1" t="s">
        <v>30</v>
      </c>
    </row>
    <row r="8" spans="2:7" ht="15.75" customHeight="1" x14ac:dyDescent="0.2">
      <c r="B8" s="32" t="s">
        <v>8</v>
      </c>
      <c r="C8" s="1" t="s">
        <v>5</v>
      </c>
      <c r="D8" s="2">
        <v>4.484</v>
      </c>
    </row>
    <row r="9" spans="2:7" ht="15.75" customHeight="1" x14ac:dyDescent="0.2">
      <c r="B9" s="33"/>
      <c r="C9" s="1" t="s">
        <v>9</v>
      </c>
      <c r="D9" s="1">
        <v>3.109</v>
      </c>
    </row>
    <row r="21" spans="2:12" ht="15.75" customHeight="1" x14ac:dyDescent="0.2">
      <c r="B21" s="26" t="s">
        <v>45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28"/>
      <c r="C22" s="29"/>
      <c r="D22" s="1">
        <v>3</v>
      </c>
      <c r="E22" s="1" t="s">
        <v>46</v>
      </c>
      <c r="F22" s="1" t="s">
        <v>41</v>
      </c>
      <c r="G22" s="8">
        <v>14.093</v>
      </c>
      <c r="H22" s="2">
        <v>4.484</v>
      </c>
      <c r="I22" s="1">
        <v>1</v>
      </c>
    </row>
    <row r="23" spans="2:12" ht="15.75" customHeight="1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2.75" x14ac:dyDescent="0.2">
      <c r="B24" s="1">
        <v>10</v>
      </c>
      <c r="C24" s="7">
        <v>5</v>
      </c>
      <c r="D24" s="2">
        <f t="shared" ref="D24:D35" si="0">C24/B24</f>
        <v>0.5</v>
      </c>
      <c r="E24" s="2" t="s">
        <v>29</v>
      </c>
      <c r="F24" s="6">
        <v>1.5369999999999999</v>
      </c>
      <c r="G24" s="6">
        <f>AVERAGE(0.924,0.62,0.24)</f>
        <v>0.59466666666666668</v>
      </c>
      <c r="H24" s="6">
        <v>4.0449999999999999</v>
      </c>
      <c r="I24" s="2" t="s">
        <v>29</v>
      </c>
      <c r="J24" s="6">
        <v>5.0570000000000004</v>
      </c>
      <c r="K24" s="2">
        <f t="shared" ref="K24:K35" si="1">SQRT(J24^2/B24)*1.96</f>
        <v>3.1343610729844129</v>
      </c>
      <c r="L24" s="2">
        <f t="shared" ref="L24:L35" si="2">K24/J24*100</f>
        <v>61.980642139300237</v>
      </c>
    </row>
    <row r="25" spans="2:12" ht="12.75" x14ac:dyDescent="0.2">
      <c r="B25" s="1">
        <v>20</v>
      </c>
      <c r="C25" s="7">
        <v>9</v>
      </c>
      <c r="D25" s="2">
        <f t="shared" si="0"/>
        <v>0.45</v>
      </c>
      <c r="E25" s="2">
        <f t="shared" ref="E25:E35" si="3">ABS(100*D25/D24-100)</f>
        <v>10</v>
      </c>
      <c r="F25" s="6">
        <f>1.469+0.11</f>
        <v>1.5790000000000002</v>
      </c>
      <c r="G25" s="6">
        <f>AVERAGE(0.958,0.34,0.455)</f>
        <v>0.58433333333333337</v>
      </c>
      <c r="H25" s="6">
        <f>4.406+0.529</f>
        <v>4.9349999999999996</v>
      </c>
      <c r="I25" s="2">
        <f t="shared" ref="I25:I35" si="4">ABS(100*H25/H24-100)</f>
        <v>22.002472187886269</v>
      </c>
      <c r="J25" s="6">
        <f>5.035+1.322</f>
        <v>6.3570000000000002</v>
      </c>
      <c r="K25" s="2">
        <f t="shared" si="1"/>
        <v>2.786078090061368</v>
      </c>
      <c r="L25" s="2">
        <f t="shared" si="2"/>
        <v>43.826932358995876</v>
      </c>
    </row>
    <row r="26" spans="2:12" ht="12.75" x14ac:dyDescent="0.2">
      <c r="B26" s="1">
        <v>50</v>
      </c>
      <c r="C26" s="7">
        <v>24</v>
      </c>
      <c r="D26" s="2">
        <f t="shared" si="0"/>
        <v>0.48</v>
      </c>
      <c r="E26" s="2">
        <f t="shared" si="3"/>
        <v>6.6666666666666572</v>
      </c>
      <c r="F26" s="6">
        <f>1.619+0.307</f>
        <v>1.9259999999999999</v>
      </c>
      <c r="G26" s="6">
        <f>AVERAGE(0.981,0.265,0.628)</f>
        <v>0.6246666666666667</v>
      </c>
      <c r="H26" s="6">
        <f>6.245+1.277</f>
        <v>7.5220000000000002</v>
      </c>
      <c r="I26" s="2">
        <f t="shared" si="4"/>
        <v>52.421479229989899</v>
      </c>
      <c r="J26" s="6">
        <f>6.725+2.767</f>
        <v>9.4919999999999991</v>
      </c>
      <c r="K26" s="2">
        <f t="shared" si="1"/>
        <v>2.6310481662729019</v>
      </c>
      <c r="L26" s="2">
        <f t="shared" si="2"/>
        <v>27.718585822512665</v>
      </c>
    </row>
    <row r="27" spans="2:12" ht="12.75" x14ac:dyDescent="0.2">
      <c r="B27" s="1">
        <v>100</v>
      </c>
      <c r="C27" s="7">
        <v>45</v>
      </c>
      <c r="D27" s="2">
        <f t="shared" si="0"/>
        <v>0.45</v>
      </c>
      <c r="E27" s="2">
        <f t="shared" si="3"/>
        <v>6.25</v>
      </c>
      <c r="F27" s="6">
        <f>1.563+0.364</f>
        <v>1.927</v>
      </c>
      <c r="G27" s="6">
        <f>AVERAGE(0.957,0.292,0.722)</f>
        <v>0.65699999999999992</v>
      </c>
      <c r="H27" s="6">
        <f>6.52+1.46</f>
        <v>7.9799999999999995</v>
      </c>
      <c r="I27" s="2">
        <f t="shared" si="4"/>
        <v>6.0888061685721908</v>
      </c>
      <c r="J27" s="6">
        <f>7.087+2.372</f>
        <v>9.4589999999999996</v>
      </c>
      <c r="K27" s="2">
        <f t="shared" si="1"/>
        <v>1.8539639999999999</v>
      </c>
      <c r="L27" s="2">
        <f t="shared" si="2"/>
        <v>19.600000000000001</v>
      </c>
    </row>
    <row r="28" spans="2:12" ht="12.75" x14ac:dyDescent="0.2">
      <c r="B28" s="1">
        <v>200</v>
      </c>
      <c r="C28" s="7">
        <v>99</v>
      </c>
      <c r="D28" s="2">
        <f t="shared" si="0"/>
        <v>0.495</v>
      </c>
      <c r="E28" s="2">
        <f t="shared" si="3"/>
        <v>10</v>
      </c>
      <c r="F28" s="6">
        <f>1.66+0.435</f>
        <v>2.0949999999999998</v>
      </c>
      <c r="G28" s="6">
        <f>AVERAGE(0.978,0.347,0.77)</f>
        <v>0.69833333333333325</v>
      </c>
      <c r="H28" s="6">
        <f>7.876+2.166</f>
        <v>10.042</v>
      </c>
      <c r="I28" s="2">
        <f t="shared" si="4"/>
        <v>25.839598997493738</v>
      </c>
      <c r="J28" s="6">
        <f>8.26+3.416</f>
        <v>11.676</v>
      </c>
      <c r="K28" s="2">
        <f t="shared" si="1"/>
        <v>1.6182110403182892</v>
      </c>
      <c r="L28" s="2">
        <f t="shared" si="2"/>
        <v>13.859292911256329</v>
      </c>
    </row>
    <row r="29" spans="2:12" ht="12.75" x14ac:dyDescent="0.2">
      <c r="B29" s="1">
        <v>500</v>
      </c>
      <c r="C29" s="7">
        <v>230</v>
      </c>
      <c r="D29" s="2">
        <f t="shared" si="0"/>
        <v>0.46</v>
      </c>
      <c r="E29" s="2">
        <f t="shared" si="3"/>
        <v>7.0707070707070727</v>
      </c>
      <c r="F29" s="6">
        <f>1.494+0.463</f>
        <v>1.9570000000000001</v>
      </c>
      <c r="G29" s="6">
        <f>AVERAGE(0.981,0.389,0.794)</f>
        <v>0.72133333333333338</v>
      </c>
      <c r="H29" s="6">
        <f>6.233+2.409</f>
        <v>8.6419999999999995</v>
      </c>
      <c r="I29" s="2">
        <f t="shared" si="4"/>
        <v>13.941445927106159</v>
      </c>
      <c r="J29" s="6">
        <f>6.674+4.249</f>
        <v>10.923</v>
      </c>
      <c r="K29" s="2">
        <f t="shared" si="1"/>
        <v>0.95744316431462395</v>
      </c>
      <c r="L29" s="2">
        <f t="shared" si="2"/>
        <v>8.765386471799177</v>
      </c>
    </row>
    <row r="30" spans="2:12" ht="12.75" x14ac:dyDescent="0.2">
      <c r="B30" s="1">
        <v>1000</v>
      </c>
      <c r="C30" s="7">
        <v>500</v>
      </c>
      <c r="D30" s="2">
        <f t="shared" si="0"/>
        <v>0.5</v>
      </c>
      <c r="E30" s="2">
        <f t="shared" si="3"/>
        <v>8.6956521739130324</v>
      </c>
      <c r="F30" s="6">
        <f>1.552+0.483</f>
        <v>2.0350000000000001</v>
      </c>
      <c r="G30" s="6">
        <f>AVERAGE(0.978,0.349,0.793)</f>
        <v>0.70666666666666667</v>
      </c>
      <c r="H30" s="6">
        <f>7.019+2.71</f>
        <v>9.7289999999999992</v>
      </c>
      <c r="I30" s="2">
        <f t="shared" si="4"/>
        <v>12.578106919694505</v>
      </c>
      <c r="J30" s="6">
        <f>7.564+4.576</f>
        <v>12.14</v>
      </c>
      <c r="K30" s="2">
        <f t="shared" si="1"/>
        <v>0.75244499557110478</v>
      </c>
      <c r="L30" s="2">
        <f t="shared" si="2"/>
        <v>6.1980642139300226</v>
      </c>
    </row>
    <row r="31" spans="2:12" ht="12.75" x14ac:dyDescent="0.2">
      <c r="B31" s="1">
        <v>5000</v>
      </c>
      <c r="C31" s="7">
        <v>2541</v>
      </c>
      <c r="D31" s="2">
        <f t="shared" si="0"/>
        <v>0.50819999999999999</v>
      </c>
      <c r="E31" s="2">
        <f t="shared" si="3"/>
        <v>1.6400000000000006</v>
      </c>
      <c r="F31" s="6">
        <f>1.581+0.467</f>
        <v>2.048</v>
      </c>
      <c r="G31" s="6">
        <f>AVERAGE(0.979,0.375,0.783)</f>
        <v>0.71233333333333337</v>
      </c>
      <c r="H31" s="6">
        <f>7.036+2.675</f>
        <v>9.7109999999999985</v>
      </c>
      <c r="I31" s="2">
        <f t="shared" si="4"/>
        <v>0.18501387604069919</v>
      </c>
      <c r="J31" s="6">
        <f>7.605+4.736</f>
        <v>12.341000000000001</v>
      </c>
      <c r="K31" s="2">
        <f t="shared" si="1"/>
        <v>0.34207506763562878</v>
      </c>
      <c r="L31" s="2">
        <f t="shared" si="2"/>
        <v>2.7718585822512662</v>
      </c>
    </row>
    <row r="32" spans="2:12" ht="12.75" x14ac:dyDescent="0.2">
      <c r="B32" s="1">
        <v>10000</v>
      </c>
      <c r="C32" s="7">
        <v>5162</v>
      </c>
      <c r="D32" s="2">
        <f t="shared" si="0"/>
        <v>0.51619999999999999</v>
      </c>
      <c r="E32" s="2">
        <f t="shared" si="3"/>
        <v>1.5741833923652138</v>
      </c>
      <c r="F32" s="6">
        <f>1.586+0.475</f>
        <v>2.0609999999999999</v>
      </c>
      <c r="G32" s="6">
        <f>AVERAGE(0.979,0.373,0.792)</f>
        <v>0.71466666666666667</v>
      </c>
      <c r="H32" s="6">
        <f>7.168+2.775</f>
        <v>9.9429999999999996</v>
      </c>
      <c r="I32" s="2">
        <f t="shared" si="4"/>
        <v>2.3890433528987813</v>
      </c>
      <c r="J32" s="6">
        <f>7.746+4.883</f>
        <v>12.629000000000001</v>
      </c>
      <c r="K32" s="2">
        <f t="shared" si="1"/>
        <v>0.24752840000000001</v>
      </c>
      <c r="L32" s="2">
        <f t="shared" si="2"/>
        <v>1.96</v>
      </c>
    </row>
    <row r="33" spans="2:12" ht="12.75" x14ac:dyDescent="0.2">
      <c r="B33" s="1">
        <v>50000</v>
      </c>
      <c r="C33" s="7">
        <v>25623</v>
      </c>
      <c r="D33" s="2">
        <f t="shared" si="0"/>
        <v>0.51246000000000003</v>
      </c>
      <c r="E33" s="2">
        <f t="shared" si="3"/>
        <v>0.72452537776055692</v>
      </c>
      <c r="F33" s="6">
        <f>1.591+0.461</f>
        <v>2.052</v>
      </c>
      <c r="G33" s="6">
        <f>AVERAGE(0.98,0.396,0.789)</f>
        <v>0.72166666666666668</v>
      </c>
      <c r="H33" s="6">
        <f>7.233+2.605</f>
        <v>9.8379999999999992</v>
      </c>
      <c r="I33" s="2">
        <f t="shared" si="4"/>
        <v>1.0560193100673843</v>
      </c>
      <c r="J33" s="6">
        <f>7.798+4.438</f>
        <v>12.236000000000001</v>
      </c>
      <c r="K33" s="2">
        <f t="shared" si="1"/>
        <v>0.10725326886893471</v>
      </c>
      <c r="L33" s="2">
        <f t="shared" si="2"/>
        <v>0.87653864717991758</v>
      </c>
    </row>
    <row r="34" spans="2:12" ht="12.75" x14ac:dyDescent="0.2">
      <c r="B34" s="1">
        <v>100000</v>
      </c>
      <c r="C34" s="7">
        <v>51258</v>
      </c>
      <c r="D34" s="2">
        <f t="shared" si="0"/>
        <v>0.51258000000000004</v>
      </c>
      <c r="E34" s="2">
        <f t="shared" si="3"/>
        <v>2.3416461772626462E-2</v>
      </c>
      <c r="F34" s="6">
        <f>1.592+0.46</f>
        <v>2.052</v>
      </c>
      <c r="G34" s="6">
        <f>AVERAGE(0.98,0.399,0.79)</f>
        <v>0.72299999999999998</v>
      </c>
      <c r="H34" s="6">
        <f>7.266+2.581</f>
        <v>9.8469999999999995</v>
      </c>
      <c r="I34" s="2">
        <f t="shared" si="4"/>
        <v>9.1482008538321224E-2</v>
      </c>
      <c r="J34" s="6">
        <f>7.829+4.436</f>
        <v>12.265000000000001</v>
      </c>
      <c r="K34" s="2">
        <f t="shared" si="1"/>
        <v>7.6019257583851738E-2</v>
      </c>
      <c r="L34" s="2">
        <f t="shared" si="2"/>
        <v>0.61980642139300235</v>
      </c>
    </row>
    <row r="35" spans="2:12" ht="12.75" x14ac:dyDescent="0.2">
      <c r="B35" s="1">
        <v>500000</v>
      </c>
      <c r="C35" s="7">
        <v>256817</v>
      </c>
      <c r="D35" s="2">
        <f t="shared" si="0"/>
        <v>0.51363400000000003</v>
      </c>
      <c r="E35" s="2">
        <f t="shared" si="3"/>
        <v>0.20562643879979703</v>
      </c>
      <c r="F35" s="6">
        <f>1.589+0.463</f>
        <v>2.052</v>
      </c>
      <c r="G35" s="6">
        <f>AVERAGE(0.98,0.404,0.795)</f>
        <v>0.72633333333333328</v>
      </c>
      <c r="H35" s="6">
        <f>7.248+2.615</f>
        <v>9.8629999999999995</v>
      </c>
      <c r="I35" s="2">
        <f t="shared" si="4"/>
        <v>0.16248603635625614</v>
      </c>
      <c r="J35" s="6">
        <f>7.812+4.477</f>
        <v>12.289000000000001</v>
      </c>
      <c r="K35" s="2">
        <f t="shared" si="1"/>
        <v>3.4063370117285809E-2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N3:Q6"/>
  <sheetViews>
    <sheetView workbookViewId="0">
      <selection activeCell="Q7" sqref="Q7"/>
    </sheetView>
  </sheetViews>
  <sheetFormatPr defaultColWidth="12.5703125" defaultRowHeight="15.75" customHeight="1" x14ac:dyDescent="0.2"/>
  <sheetData>
    <row r="3" spans="14:17" ht="15.75" customHeight="1" x14ac:dyDescent="0.2">
      <c r="N3" s="1"/>
      <c r="O3" s="1" t="s">
        <v>32</v>
      </c>
      <c r="P3" s="1" t="s">
        <v>33</v>
      </c>
      <c r="Q3" s="1" t="s">
        <v>31</v>
      </c>
    </row>
    <row r="4" spans="14:17" ht="15.75" customHeight="1" x14ac:dyDescent="0.2">
      <c r="N4" s="1" t="s">
        <v>20</v>
      </c>
      <c r="O4" s="2">
        <f>'Вариант 7'!D35</f>
        <v>1.1022000000000001E-2</v>
      </c>
      <c r="P4" s="2">
        <f>'Вариант 8'!D35</f>
        <v>5.1589999999999997E-2</v>
      </c>
      <c r="Q4" s="2">
        <f>'Вариант 9'!D35</f>
        <v>0.51363400000000003</v>
      </c>
    </row>
    <row r="5" spans="14:17" ht="15.75" customHeight="1" x14ac:dyDescent="0.2">
      <c r="N5" s="1" t="s">
        <v>22</v>
      </c>
      <c r="O5" s="2">
        <f>'Вариант 7'!F35</f>
        <v>4.3000000000000003E-2</v>
      </c>
      <c r="P5" s="2">
        <f>'Вариант 8'!F35</f>
        <v>0.39100000000000001</v>
      </c>
      <c r="Q5" s="2">
        <f>'Вариант 9'!F35</f>
        <v>2.052</v>
      </c>
    </row>
    <row r="6" spans="14:17" ht="15.75" customHeight="1" x14ac:dyDescent="0.2">
      <c r="N6" s="1" t="s">
        <v>24</v>
      </c>
      <c r="O6" s="2">
        <f>'Вариант 7'!H35</f>
        <v>1.278</v>
      </c>
      <c r="P6" s="2">
        <f>'Вариант 8'!H35</f>
        <v>3.327</v>
      </c>
      <c r="Q6" s="2">
        <f>'Вариант 9'!H35</f>
        <v>9.8629999999999995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2:L32"/>
  <sheetViews>
    <sheetView workbookViewId="0">
      <selection activeCell="D28" sqref="D28"/>
    </sheetView>
  </sheetViews>
  <sheetFormatPr defaultColWidth="12.5703125" defaultRowHeight="15.75" customHeight="1" x14ac:dyDescent="0.2"/>
  <cols>
    <col min="2" max="2" width="23.5703125" customWidth="1"/>
    <col min="4" max="4" width="18.85546875" bestFit="1" customWidth="1"/>
  </cols>
  <sheetData>
    <row r="2" spans="2:7" ht="15.75" customHeight="1" x14ac:dyDescent="0.2">
      <c r="G2" s="1" t="s">
        <v>0</v>
      </c>
    </row>
    <row r="3" spans="2:7" ht="15.75" customHeight="1" x14ac:dyDescent="0.2">
      <c r="B3" s="30" t="s">
        <v>1</v>
      </c>
      <c r="C3" s="34"/>
      <c r="D3" s="14" t="s">
        <v>50</v>
      </c>
      <c r="G3" s="1">
        <v>0.9</v>
      </c>
    </row>
    <row r="4" spans="2:7" ht="15.75" customHeight="1" x14ac:dyDescent="0.2">
      <c r="B4" s="30" t="s">
        <v>2</v>
      </c>
      <c r="C4" s="34"/>
      <c r="D4" s="15">
        <v>3</v>
      </c>
    </row>
    <row r="5" spans="2:7" ht="15.75" customHeight="1" x14ac:dyDescent="0.2">
      <c r="B5" s="30" t="s">
        <v>3</v>
      </c>
      <c r="C5" s="34"/>
      <c r="D5" s="15" t="s">
        <v>48</v>
      </c>
    </row>
    <row r="6" spans="2:7" ht="15.75" customHeight="1" x14ac:dyDescent="0.25">
      <c r="B6" s="32" t="s">
        <v>4</v>
      </c>
      <c r="C6" s="11" t="s">
        <v>5</v>
      </c>
      <c r="D6" s="16">
        <v>14.093</v>
      </c>
    </row>
    <row r="7" spans="2:7" ht="15.75" customHeight="1" x14ac:dyDescent="0.2">
      <c r="B7" s="33"/>
      <c r="C7" s="11" t="s">
        <v>6</v>
      </c>
      <c r="D7" s="21" t="s">
        <v>30</v>
      </c>
    </row>
    <row r="8" spans="2:7" ht="15.75" customHeight="1" x14ac:dyDescent="0.25">
      <c r="B8" s="32" t="s">
        <v>8</v>
      </c>
      <c r="C8" s="11" t="s">
        <v>5</v>
      </c>
      <c r="D8" s="22">
        <v>13.831</v>
      </c>
    </row>
    <row r="9" spans="2:7" ht="15.75" customHeight="1" x14ac:dyDescent="0.25">
      <c r="B9" s="33"/>
      <c r="C9" s="11" t="s">
        <v>9</v>
      </c>
      <c r="D9" s="20">
        <v>3.109</v>
      </c>
    </row>
    <row r="21" spans="2:12" ht="15.75" customHeight="1" x14ac:dyDescent="0.2">
      <c r="B21" s="26" t="s">
        <v>55</v>
      </c>
      <c r="C21" s="27"/>
      <c r="D21" s="1" t="s">
        <v>11</v>
      </c>
      <c r="E21" s="1" t="s">
        <v>12</v>
      </c>
      <c r="F21" s="11" t="s">
        <v>13</v>
      </c>
      <c r="G21" s="23" t="s">
        <v>14</v>
      </c>
      <c r="H21" s="23" t="s">
        <v>15</v>
      </c>
      <c r="I21" s="17" t="s">
        <v>16</v>
      </c>
    </row>
    <row r="22" spans="2:12" ht="15.75" customHeight="1" x14ac:dyDescent="0.25">
      <c r="B22" s="28"/>
      <c r="C22" s="29"/>
      <c r="D22" s="1">
        <v>3</v>
      </c>
      <c r="E22" s="1" t="s">
        <v>48</v>
      </c>
      <c r="F22" s="11" t="s">
        <v>40</v>
      </c>
      <c r="G22" s="20">
        <v>14.093</v>
      </c>
      <c r="H22" s="20">
        <v>13.831</v>
      </c>
      <c r="I22" s="8">
        <v>3.109</v>
      </c>
    </row>
    <row r="23" spans="2:12" ht="15.75" customHeight="1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9" t="s">
        <v>23</v>
      </c>
      <c r="H23" s="19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">
      <c r="B24" s="1">
        <v>10</v>
      </c>
      <c r="C24" s="7">
        <v>8</v>
      </c>
      <c r="D24" s="2">
        <f>C24/B24</f>
        <v>0.8</v>
      </c>
      <c r="E24" s="2" t="s">
        <v>29</v>
      </c>
      <c r="F24" s="6">
        <f>3.167+0.11</f>
        <v>3.2769999999999997</v>
      </c>
      <c r="G24" s="6">
        <f>AVERAGE(0.944,0.722,0.444)</f>
        <v>0.70333333333333325</v>
      </c>
      <c r="H24" s="6">
        <v>12.06</v>
      </c>
      <c r="I24" s="2" t="s">
        <v>29</v>
      </c>
      <c r="J24" s="6">
        <f>14.25+0.99</f>
        <v>15.24</v>
      </c>
      <c r="K24" s="2">
        <f t="shared" ref="K24:K32" si="0">SQRT(J24^2/B24)*1.96</f>
        <v>9.4458498620293554</v>
      </c>
      <c r="L24" s="2">
        <f t="shared" ref="L24:L32" si="1">K24/J24*100</f>
        <v>61.980642139300237</v>
      </c>
    </row>
    <row r="25" spans="2:12" ht="15.75" customHeight="1" x14ac:dyDescent="0.2">
      <c r="B25" s="1">
        <v>20</v>
      </c>
      <c r="C25" s="7">
        <v>16</v>
      </c>
      <c r="D25" s="2">
        <f t="shared" ref="D25:D32" si="2">C25/B25</f>
        <v>0.8</v>
      </c>
      <c r="E25" s="2">
        <f t="shared" ref="E25:E32" si="3">ABS(100*D25/D24-100)</f>
        <v>0</v>
      </c>
      <c r="F25" s="6">
        <f>3.464+0.711</f>
        <v>4.1749999999999998</v>
      </c>
      <c r="G25" s="6">
        <f>AVERAGE(0.965,0.826,0.652)</f>
        <v>0.81433333333333335</v>
      </c>
      <c r="H25" s="6">
        <f>16.583+5.109</f>
        <v>21.692</v>
      </c>
      <c r="I25" s="2">
        <f t="shared" ref="I25:I32" si="4">ABS(100*H25/H24-100)</f>
        <v>79.867330016583736</v>
      </c>
      <c r="J25" s="6">
        <f>19.9+6.811</f>
        <v>26.710999999999999</v>
      </c>
      <c r="K25" s="2">
        <f t="shared" si="0"/>
        <v>11.706611902411387</v>
      </c>
      <c r="L25" s="2">
        <f t="shared" si="1"/>
        <v>43.826932358995876</v>
      </c>
    </row>
    <row r="26" spans="2:12" ht="15.75" customHeight="1" x14ac:dyDescent="0.2">
      <c r="B26" s="1">
        <v>50</v>
      </c>
      <c r="C26" s="7">
        <v>39</v>
      </c>
      <c r="D26" s="2">
        <f t="shared" si="2"/>
        <v>0.78</v>
      </c>
      <c r="E26" s="2">
        <f t="shared" si="3"/>
        <v>2.5</v>
      </c>
      <c r="F26" s="6">
        <f>3.647+1.214</f>
        <v>4.8609999999999998</v>
      </c>
      <c r="G26" s="6">
        <f>AVERAGE(0.982,0.449,0.825)</f>
        <v>0.75200000000000011</v>
      </c>
      <c r="H26" s="6">
        <f>23.095+11.534</f>
        <v>34.628999999999998</v>
      </c>
      <c r="I26" s="2">
        <f t="shared" si="4"/>
        <v>59.639498432601869</v>
      </c>
      <c r="J26" s="6">
        <f>25.982+13.84</f>
        <v>39.822000000000003</v>
      </c>
      <c r="K26" s="2">
        <f t="shared" si="0"/>
        <v>11.038095246240994</v>
      </c>
      <c r="L26" s="2">
        <f t="shared" si="1"/>
        <v>27.718585822512665</v>
      </c>
    </row>
    <row r="27" spans="2:12" ht="15.75" customHeight="1" x14ac:dyDescent="0.2">
      <c r="B27" s="1">
        <v>100</v>
      </c>
      <c r="C27" s="7">
        <v>79</v>
      </c>
      <c r="D27" s="2">
        <f t="shared" si="2"/>
        <v>0.79</v>
      </c>
      <c r="E27" s="2">
        <f t="shared" si="3"/>
        <v>1.2820512820512846</v>
      </c>
      <c r="F27" s="6">
        <f>3.722+1.545</f>
        <v>5.2669999999999995</v>
      </c>
      <c r="G27" s="6">
        <f>AVERAGE(0.991,0.537,0.908)</f>
        <v>0.81199999999999994</v>
      </c>
      <c r="H27" s="6">
        <f>31.209+16.845</f>
        <v>48.054000000000002</v>
      </c>
      <c r="I27" s="2">
        <f t="shared" si="4"/>
        <v>38.768084553409011</v>
      </c>
      <c r="J27" s="6">
        <f>33.81+18.716</f>
        <v>52.526000000000003</v>
      </c>
      <c r="K27" s="2">
        <f t="shared" si="0"/>
        <v>10.295096000000001</v>
      </c>
      <c r="L27" s="2">
        <f t="shared" si="1"/>
        <v>19.600000000000001</v>
      </c>
    </row>
    <row r="28" spans="2:12" ht="12.75" x14ac:dyDescent="0.2">
      <c r="B28" s="1">
        <v>200</v>
      </c>
      <c r="C28" s="7">
        <v>152</v>
      </c>
      <c r="D28" s="2">
        <f t="shared" si="2"/>
        <v>0.76</v>
      </c>
      <c r="E28" s="2">
        <f t="shared" si="3"/>
        <v>3.7974683544303787</v>
      </c>
      <c r="F28" s="6">
        <f>3.819+1.482</f>
        <v>5.3010000000000002</v>
      </c>
      <c r="G28" s="6">
        <f>AVERAGE(0.995,0.591,0.952)</f>
        <v>0.84599999999999997</v>
      </c>
      <c r="H28" s="6">
        <f>39.909+12.902</f>
        <v>52.811</v>
      </c>
      <c r="I28" s="2">
        <f t="shared" si="4"/>
        <v>9.8992799766928954</v>
      </c>
      <c r="J28" s="6">
        <f>42.01+13.463</f>
        <v>55.472999999999999</v>
      </c>
      <c r="K28" s="2">
        <f t="shared" si="0"/>
        <v>7.6881655566612244</v>
      </c>
      <c r="L28" s="2">
        <f t="shared" si="1"/>
        <v>13.859292911256333</v>
      </c>
    </row>
    <row r="29" spans="2:12" ht="12.75" x14ac:dyDescent="0.2">
      <c r="B29" s="1">
        <v>500</v>
      </c>
      <c r="C29" s="7">
        <v>395</v>
      </c>
      <c r="D29" s="2">
        <f t="shared" si="2"/>
        <v>0.79</v>
      </c>
      <c r="E29" s="2">
        <f t="shared" si="3"/>
        <v>3.9473684210526301</v>
      </c>
      <c r="F29" s="6">
        <f>3.79+1.731</f>
        <v>5.5209999999999999</v>
      </c>
      <c r="G29" s="6">
        <f>AVERAGE(0.998,0.655,0.98)</f>
        <v>0.87766666666666671</v>
      </c>
      <c r="H29" s="6">
        <f>41.773+23.092</f>
        <v>64.865000000000009</v>
      </c>
      <c r="I29" s="2">
        <f t="shared" si="4"/>
        <v>22.824790289901742</v>
      </c>
      <c r="J29" s="6">
        <f>42.701+23.716</f>
        <v>66.417000000000002</v>
      </c>
      <c r="K29" s="2">
        <f t="shared" si="0"/>
        <v>5.8217067329748584</v>
      </c>
      <c r="L29" s="2">
        <f t="shared" si="1"/>
        <v>8.7653864717991752</v>
      </c>
    </row>
    <row r="30" spans="2:12" ht="12.75" x14ac:dyDescent="0.2">
      <c r="B30" s="1">
        <v>1000</v>
      </c>
      <c r="C30" s="7">
        <v>789</v>
      </c>
      <c r="D30" s="2">
        <f t="shared" si="2"/>
        <v>0.78900000000000003</v>
      </c>
      <c r="E30" s="2">
        <f t="shared" si="3"/>
        <v>0.12658227848100978</v>
      </c>
      <c r="F30" s="6">
        <f>3.84+1.684</f>
        <v>5.524</v>
      </c>
      <c r="G30" s="6">
        <f>AVERAGE(0.999,0.665,0.98)</f>
        <v>0.88133333333333341</v>
      </c>
      <c r="H30" s="6">
        <f>46.128+20.975</f>
        <v>67.103000000000009</v>
      </c>
      <c r="I30" s="2">
        <f t="shared" si="4"/>
        <v>3.4502428119941442</v>
      </c>
      <c r="J30" s="6">
        <f>46.128+22.355</f>
        <v>68.483000000000004</v>
      </c>
      <c r="K30" s="2">
        <f t="shared" si="0"/>
        <v>4.2446203156256983</v>
      </c>
      <c r="L30" s="2">
        <f t="shared" si="1"/>
        <v>6.1980642139300235</v>
      </c>
    </row>
    <row r="31" spans="2:12" ht="12.75" x14ac:dyDescent="0.2">
      <c r="B31" s="1">
        <v>5000</v>
      </c>
      <c r="C31" s="7">
        <v>3979</v>
      </c>
      <c r="D31" s="2">
        <f t="shared" si="2"/>
        <v>0.79579999999999995</v>
      </c>
      <c r="E31" s="2">
        <f t="shared" si="3"/>
        <v>0.86185044359947938</v>
      </c>
      <c r="F31" s="6">
        <f>3.888+1.732</f>
        <v>5.62</v>
      </c>
      <c r="G31" s="6">
        <f>AVERAGE(1,0.648,0.989)</f>
        <v>0.879</v>
      </c>
      <c r="H31" s="6">
        <f>50.972+22.882</f>
        <v>73.853999999999999</v>
      </c>
      <c r="I31" s="2">
        <f t="shared" si="4"/>
        <v>10.060653025945172</v>
      </c>
      <c r="J31" s="6">
        <f>51.106+24.089</f>
        <v>75.194999999999993</v>
      </c>
      <c r="K31" s="2">
        <f t="shared" si="0"/>
        <v>2.0842990609238394</v>
      </c>
      <c r="L31" s="2">
        <f t="shared" si="1"/>
        <v>2.7718585822512662</v>
      </c>
    </row>
    <row r="32" spans="2:12" ht="12.75" x14ac:dyDescent="0.2">
      <c r="B32" s="1">
        <v>10000</v>
      </c>
      <c r="C32" s="7">
        <v>8006</v>
      </c>
      <c r="D32" s="2">
        <f t="shared" si="2"/>
        <v>0.80059999999999998</v>
      </c>
      <c r="E32" s="2">
        <f t="shared" si="3"/>
        <v>0.6031666247801013</v>
      </c>
      <c r="F32" s="6">
        <f>3.889+1.735</f>
        <v>5.6239999999999997</v>
      </c>
      <c r="G32" s="6">
        <f>AVERAGE(1,0.659,0.992)</f>
        <v>0.8836666666666666</v>
      </c>
      <c r="H32" s="6">
        <f>52.241+23.125</f>
        <v>75.366</v>
      </c>
      <c r="I32" s="2">
        <f t="shared" si="4"/>
        <v>2.0472824762369015</v>
      </c>
      <c r="J32" s="6">
        <f>52.312+24.188</f>
        <v>76.5</v>
      </c>
      <c r="K32" s="2">
        <f t="shared" si="0"/>
        <v>1.4994000000000001</v>
      </c>
      <c r="L32" s="2">
        <f t="shared" si="1"/>
        <v>1.96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L32"/>
  <sheetViews>
    <sheetView topLeftCell="A10" workbookViewId="0">
      <selection activeCell="B21" sqref="B21:L32"/>
    </sheetView>
  </sheetViews>
  <sheetFormatPr defaultColWidth="12.5703125" defaultRowHeight="15.75" customHeight="1" x14ac:dyDescent="0.2"/>
  <cols>
    <col min="2" max="2" width="23.5703125" customWidth="1"/>
    <col min="4" max="4" width="18.85546875" bestFit="1" customWidth="1"/>
  </cols>
  <sheetData>
    <row r="2" spans="2:7" ht="15.75" customHeight="1" x14ac:dyDescent="0.2">
      <c r="G2" s="1" t="s">
        <v>0</v>
      </c>
    </row>
    <row r="3" spans="2:7" ht="15.75" customHeight="1" x14ac:dyDescent="0.2">
      <c r="B3" s="30" t="s">
        <v>1</v>
      </c>
      <c r="C3" s="31"/>
      <c r="D3" s="14" t="s">
        <v>50</v>
      </c>
      <c r="G3" s="1">
        <v>0.9</v>
      </c>
    </row>
    <row r="4" spans="2:7" ht="15.75" customHeight="1" x14ac:dyDescent="0.2">
      <c r="B4" s="30" t="s">
        <v>2</v>
      </c>
      <c r="C4" s="31"/>
      <c r="D4" s="15">
        <v>3</v>
      </c>
    </row>
    <row r="5" spans="2:7" ht="15.75" customHeight="1" x14ac:dyDescent="0.2">
      <c r="B5" s="30" t="s">
        <v>3</v>
      </c>
      <c r="C5" s="31"/>
      <c r="D5" s="15" t="s">
        <v>49</v>
      </c>
    </row>
    <row r="6" spans="2:7" ht="15.75" customHeight="1" x14ac:dyDescent="0.25">
      <c r="B6" s="32" t="s">
        <v>4</v>
      </c>
      <c r="C6" s="1" t="s">
        <v>5</v>
      </c>
      <c r="D6" s="16">
        <v>14.093</v>
      </c>
    </row>
    <row r="7" spans="2:7" ht="15.75" customHeight="1" x14ac:dyDescent="0.2">
      <c r="B7" s="33"/>
      <c r="C7" s="1" t="s">
        <v>6</v>
      </c>
      <c r="D7" s="21" t="s">
        <v>30</v>
      </c>
    </row>
    <row r="8" spans="2:7" ht="15.75" customHeight="1" x14ac:dyDescent="0.25">
      <c r="B8" s="32" t="s">
        <v>8</v>
      </c>
      <c r="C8" s="1" t="s">
        <v>5</v>
      </c>
      <c r="D8" s="22">
        <v>13.831</v>
      </c>
    </row>
    <row r="9" spans="2:7" ht="15.75" customHeight="1" x14ac:dyDescent="0.25">
      <c r="B9" s="33"/>
      <c r="C9" s="1" t="s">
        <v>9</v>
      </c>
      <c r="D9" s="20">
        <v>3.109</v>
      </c>
    </row>
    <row r="21" spans="2:12" ht="15.75" customHeight="1" x14ac:dyDescent="0.2">
      <c r="B21" s="26" t="s">
        <v>56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28"/>
      <c r="C22" s="29"/>
      <c r="D22" s="1">
        <v>3</v>
      </c>
      <c r="E22" s="1" t="s">
        <v>49</v>
      </c>
      <c r="F22" s="1" t="s">
        <v>40</v>
      </c>
      <c r="G22" s="8">
        <v>14.093</v>
      </c>
      <c r="H22" s="20">
        <v>13.831</v>
      </c>
      <c r="I22" s="8">
        <v>3.109</v>
      </c>
    </row>
    <row r="23" spans="2:12" ht="15.75" customHeight="1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">
      <c r="B24" s="1">
        <v>10</v>
      </c>
      <c r="C24" s="7">
        <v>7</v>
      </c>
      <c r="D24" s="2">
        <f t="shared" ref="D24:D32" si="0">C24/B24</f>
        <v>0.7</v>
      </c>
      <c r="E24" s="2" t="s">
        <v>29</v>
      </c>
      <c r="F24" s="6">
        <f>5.984+0.639</f>
        <v>6.6230000000000002</v>
      </c>
      <c r="G24" s="6">
        <f>AVERAGE(0.96,0.8,0.6)</f>
        <v>0.78666666666666663</v>
      </c>
      <c r="H24" s="6">
        <f>14.959+2.663</f>
        <v>17.622</v>
      </c>
      <c r="I24" s="2" t="s">
        <v>29</v>
      </c>
      <c r="J24" s="6">
        <f>16.261+3.196</f>
        <v>19.457000000000001</v>
      </c>
      <c r="K24" s="2">
        <f t="shared" ref="K24:K32" si="1">SQRT(J24^2/B24)*1.96</f>
        <v>12.059573541043648</v>
      </c>
      <c r="L24" s="2">
        <f t="shared" ref="L24:L32" si="2">K24/J24*100</f>
        <v>61.980642139300237</v>
      </c>
    </row>
    <row r="25" spans="2:12" ht="15.75" customHeight="1" x14ac:dyDescent="0.2">
      <c r="B25" s="1">
        <v>20</v>
      </c>
      <c r="C25" s="7">
        <v>13</v>
      </c>
      <c r="D25" s="2">
        <f t="shared" si="0"/>
        <v>0.65</v>
      </c>
      <c r="E25" s="2">
        <f t="shared" ref="E25:E32" si="3">ABS(100*D25/D24-100)</f>
        <v>7.1428571428571388</v>
      </c>
      <c r="F25" s="6">
        <f>6.462+1.433</f>
        <v>7.8949999999999996</v>
      </c>
      <c r="G25" s="6">
        <f>AVERAGE(0.971,0.741,0.706)</f>
        <v>0.80600000000000005</v>
      </c>
      <c r="H25" s="6">
        <f>18.308+6.958</f>
        <v>25.265999999999998</v>
      </c>
      <c r="I25" s="2">
        <f t="shared" ref="I25:I32" si="4">ABS(100*H25/H24-100)</f>
        <v>43.377596186584952</v>
      </c>
      <c r="J25" s="6">
        <f>19.973+8.118</f>
        <v>28.091000000000001</v>
      </c>
      <c r="K25" s="2">
        <f t="shared" si="1"/>
        <v>12.311423568965532</v>
      </c>
      <c r="L25" s="2">
        <f t="shared" si="2"/>
        <v>43.826932358995876</v>
      </c>
    </row>
    <row r="26" spans="2:12" ht="15.75" customHeight="1" x14ac:dyDescent="0.2">
      <c r="B26" s="1">
        <v>50</v>
      </c>
      <c r="C26" s="7">
        <v>38</v>
      </c>
      <c r="D26" s="2">
        <f t="shared" si="0"/>
        <v>0.76</v>
      </c>
      <c r="E26" s="2">
        <f t="shared" si="3"/>
        <v>16.92307692307692</v>
      </c>
      <c r="F26" s="6">
        <f>7.135+2.519</f>
        <v>9.6539999999999999</v>
      </c>
      <c r="G26" s="6">
        <f>AVERAGE(0.984,0.494,0.844)</f>
        <v>0.77400000000000002</v>
      </c>
      <c r="H26" s="6">
        <f>35.126+17.911</f>
        <v>53.036999999999999</v>
      </c>
      <c r="I26" s="2">
        <f t="shared" si="4"/>
        <v>109.91450961766802</v>
      </c>
      <c r="J26" s="6">
        <f>38.053+20.15</f>
        <v>58.202999999999996</v>
      </c>
      <c r="K26" s="2">
        <f t="shared" si="1"/>
        <v>16.133048506277046</v>
      </c>
      <c r="L26" s="2">
        <f t="shared" si="2"/>
        <v>27.718585822512665</v>
      </c>
    </row>
    <row r="27" spans="2:12" ht="15.75" customHeight="1" x14ac:dyDescent="0.2">
      <c r="B27" s="1">
        <v>100</v>
      </c>
      <c r="C27" s="7">
        <v>77</v>
      </c>
      <c r="D27" s="2">
        <f t="shared" si="0"/>
        <v>0.77</v>
      </c>
      <c r="E27" s="2">
        <f t="shared" si="3"/>
        <v>1.3157894736842053</v>
      </c>
      <c r="F27" s="6">
        <f>7.429+3.151</f>
        <v>10.58</v>
      </c>
      <c r="G27" s="6">
        <f>AVERAGE(0.991,0.559,0.913)</f>
        <v>0.82100000000000006</v>
      </c>
      <c r="H27" s="6">
        <f>49.997+27.73</f>
        <v>77.727000000000004</v>
      </c>
      <c r="I27" s="2">
        <f t="shared" si="4"/>
        <v>46.55240681033996</v>
      </c>
      <c r="J27" s="6">
        <f>53.122+30.041</f>
        <v>83.162999999999997</v>
      </c>
      <c r="K27" s="2">
        <f t="shared" si="1"/>
        <v>16.299948000000001</v>
      </c>
      <c r="L27" s="2">
        <f t="shared" si="2"/>
        <v>19.600000000000001</v>
      </c>
    </row>
    <row r="28" spans="2:12" ht="12.75" x14ac:dyDescent="0.2">
      <c r="B28" s="1">
        <v>200</v>
      </c>
      <c r="C28" s="7">
        <v>151</v>
      </c>
      <c r="D28" s="2">
        <f t="shared" si="0"/>
        <v>0.755</v>
      </c>
      <c r="E28" s="2">
        <f t="shared" si="3"/>
        <v>1.9480519480519547</v>
      </c>
      <c r="F28" s="6">
        <f>7.661+3.277</f>
        <v>10.937999999999999</v>
      </c>
      <c r="G28" s="6">
        <f>AVERAGE(0.995,0.597,0.953)</f>
        <v>0.84833333333333327</v>
      </c>
      <c r="H28" s="6">
        <f>68.633+27.102</f>
        <v>95.734999999999999</v>
      </c>
      <c r="I28" s="2">
        <f t="shared" si="4"/>
        <v>23.168268426672839</v>
      </c>
      <c r="J28" s="6">
        <f>71.617+28.186</f>
        <v>99.802999999999997</v>
      </c>
      <c r="K28" s="2">
        <f t="shared" si="1"/>
        <v>13.831990104221155</v>
      </c>
      <c r="L28" s="2">
        <f t="shared" si="2"/>
        <v>13.859292911256329</v>
      </c>
    </row>
    <row r="29" spans="2:12" ht="12.75" x14ac:dyDescent="0.2">
      <c r="B29" s="1">
        <v>500</v>
      </c>
      <c r="C29" s="7">
        <v>395</v>
      </c>
      <c r="D29" s="2">
        <f t="shared" si="0"/>
        <v>0.79</v>
      </c>
      <c r="E29" s="2">
        <f t="shared" si="3"/>
        <v>4.6357615894039697</v>
      </c>
      <c r="F29" s="6">
        <f>7.723+3.643</f>
        <v>11.366</v>
      </c>
      <c r="G29" s="6">
        <f>AVERAGE(0.998,0.646,0.981)</f>
        <v>0.875</v>
      </c>
      <c r="H29" s="6">
        <f>77.834+46.812</f>
        <v>124.646</v>
      </c>
      <c r="I29" s="2">
        <f t="shared" si="4"/>
        <v>30.198986786441736</v>
      </c>
      <c r="J29" s="6">
        <f>79.391+48.012</f>
        <v>127.40300000000001</v>
      </c>
      <c r="K29" s="2">
        <f t="shared" si="1"/>
        <v>11.167365326666305</v>
      </c>
      <c r="L29" s="2">
        <f t="shared" si="2"/>
        <v>8.765386471799177</v>
      </c>
    </row>
    <row r="30" spans="2:12" ht="12.75" x14ac:dyDescent="0.2">
      <c r="B30" s="1">
        <v>1000</v>
      </c>
      <c r="C30" s="7">
        <v>787</v>
      </c>
      <c r="D30" s="2">
        <f t="shared" si="0"/>
        <v>0.78700000000000003</v>
      </c>
      <c r="E30" s="2">
        <f t="shared" si="3"/>
        <v>0.37974683544304355</v>
      </c>
      <c r="F30" s="6">
        <f>7.81+3.668</f>
        <v>11.478</v>
      </c>
      <c r="G30" s="6">
        <f>AVERAGE(0.999,0.656,0.99)</f>
        <v>0.88166666666666671</v>
      </c>
      <c r="H30" s="6">
        <f>83.383+45.935</f>
        <v>129.31799999999998</v>
      </c>
      <c r="I30" s="2">
        <f t="shared" si="4"/>
        <v>3.7482149447234434</v>
      </c>
      <c r="J30" s="6">
        <f>84.27+46.509</f>
        <v>130.779</v>
      </c>
      <c r="K30" s="2">
        <f t="shared" si="1"/>
        <v>8.105766398335545</v>
      </c>
      <c r="L30" s="2">
        <f t="shared" si="2"/>
        <v>6.1980642139300235</v>
      </c>
    </row>
    <row r="31" spans="2:12" ht="12.75" x14ac:dyDescent="0.2">
      <c r="B31" s="1">
        <v>5000</v>
      </c>
      <c r="C31" s="7">
        <v>3988</v>
      </c>
      <c r="D31" s="2">
        <f t="shared" si="0"/>
        <v>0.79759999999999998</v>
      </c>
      <c r="E31" s="2">
        <f t="shared" si="3"/>
        <v>1.3468869123252745</v>
      </c>
      <c r="F31" s="6">
        <f>7.882+3.713</f>
        <v>11.594999999999999</v>
      </c>
      <c r="G31" s="6">
        <f>AVERAGE(1,0.622,0.998)</f>
        <v>0.87333333333333341</v>
      </c>
      <c r="H31" s="6">
        <f>104.001+48.611</f>
        <v>152.61199999999999</v>
      </c>
      <c r="I31" s="2">
        <f t="shared" si="4"/>
        <v>18.012960299416946</v>
      </c>
      <c r="J31" s="6">
        <f>104.276+48.738</f>
        <v>153.01400000000001</v>
      </c>
      <c r="K31" s="2">
        <f t="shared" si="1"/>
        <v>4.2413316910459526</v>
      </c>
      <c r="L31" s="2">
        <f t="shared" si="2"/>
        <v>2.7718585822512662</v>
      </c>
    </row>
    <row r="32" spans="2:12" ht="12.75" x14ac:dyDescent="0.2">
      <c r="B32" s="1">
        <v>10000</v>
      </c>
      <c r="C32" s="7">
        <v>7995</v>
      </c>
      <c r="D32" s="2">
        <f t="shared" si="0"/>
        <v>0.79949999999999999</v>
      </c>
      <c r="E32" s="2">
        <f t="shared" si="3"/>
        <v>0.23821464393179781</v>
      </c>
      <c r="F32" s="6">
        <f>7.881+3.737</f>
        <v>11.618</v>
      </c>
      <c r="G32" s="6">
        <f>AVERAGE(1,0.663,0.999)</f>
        <v>0.88733333333333331</v>
      </c>
      <c r="H32" s="6">
        <f>101.701+50.096</f>
        <v>151.797</v>
      </c>
      <c r="I32" s="2">
        <f t="shared" si="4"/>
        <v>0.53403402091579721</v>
      </c>
      <c r="J32" s="6">
        <f>101.832+50.163</f>
        <v>151.995</v>
      </c>
      <c r="K32" s="2">
        <f t="shared" si="1"/>
        <v>2.9791020000000001</v>
      </c>
      <c r="L32" s="2">
        <f t="shared" si="2"/>
        <v>1.96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2:L32"/>
  <sheetViews>
    <sheetView workbookViewId="0">
      <selection activeCell="L32" sqref="B21:L32"/>
    </sheetView>
  </sheetViews>
  <sheetFormatPr defaultColWidth="12.5703125" defaultRowHeight="15.75" customHeight="1" x14ac:dyDescent="0.2"/>
  <cols>
    <col min="2" max="2" width="23.5703125" customWidth="1"/>
    <col min="4" max="4" width="18.85546875" bestFit="1" customWidth="1"/>
  </cols>
  <sheetData>
    <row r="2" spans="2:7" ht="15.75" customHeight="1" x14ac:dyDescent="0.2">
      <c r="G2" s="1" t="s">
        <v>0</v>
      </c>
    </row>
    <row r="3" spans="2:7" ht="15.75" customHeight="1" x14ac:dyDescent="0.2">
      <c r="B3" s="30" t="s">
        <v>1</v>
      </c>
      <c r="C3" s="31"/>
      <c r="D3" s="14" t="s">
        <v>50</v>
      </c>
      <c r="G3" s="1">
        <v>0.9</v>
      </c>
    </row>
    <row r="4" spans="2:7" ht="15.75" customHeight="1" x14ac:dyDescent="0.2">
      <c r="B4" s="30" t="s">
        <v>2</v>
      </c>
      <c r="C4" s="31"/>
      <c r="D4" s="15">
        <v>3</v>
      </c>
    </row>
    <row r="5" spans="2:7" ht="15.75" customHeight="1" x14ac:dyDescent="0.2">
      <c r="B5" s="30" t="s">
        <v>3</v>
      </c>
      <c r="C5" s="31"/>
      <c r="D5" s="15" t="s">
        <v>51</v>
      </c>
    </row>
    <row r="6" spans="2:7" ht="15.75" customHeight="1" x14ac:dyDescent="0.25">
      <c r="B6" s="32" t="s">
        <v>4</v>
      </c>
      <c r="C6" s="1" t="s">
        <v>5</v>
      </c>
      <c r="D6" s="16">
        <v>14.093</v>
      </c>
    </row>
    <row r="7" spans="2:7" ht="15.75" customHeight="1" x14ac:dyDescent="0.2">
      <c r="B7" s="33"/>
      <c r="C7" s="1" t="s">
        <v>6</v>
      </c>
      <c r="D7" s="21" t="s">
        <v>30</v>
      </c>
    </row>
    <row r="8" spans="2:7" ht="15.75" customHeight="1" x14ac:dyDescent="0.25">
      <c r="B8" s="32" t="s">
        <v>8</v>
      </c>
      <c r="C8" s="1" t="s">
        <v>5</v>
      </c>
      <c r="D8" s="22">
        <v>13.831</v>
      </c>
    </row>
    <row r="9" spans="2:7" ht="15.75" customHeight="1" x14ac:dyDescent="0.25">
      <c r="B9" s="33"/>
      <c r="C9" s="1" t="s">
        <v>9</v>
      </c>
      <c r="D9" s="20">
        <v>3.109</v>
      </c>
    </row>
    <row r="21" spans="2:12" ht="15.75" customHeight="1" x14ac:dyDescent="0.2">
      <c r="B21" s="26" t="s">
        <v>57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1" t="s">
        <v>15</v>
      </c>
      <c r="I21" s="23" t="s">
        <v>16</v>
      </c>
    </row>
    <row r="22" spans="2:12" ht="15.75" customHeight="1" x14ac:dyDescent="0.25">
      <c r="B22" s="28"/>
      <c r="C22" s="29"/>
      <c r="D22" s="1">
        <v>3</v>
      </c>
      <c r="E22" s="1" t="s">
        <v>51</v>
      </c>
      <c r="F22" s="1" t="s">
        <v>40</v>
      </c>
      <c r="G22" s="8">
        <v>14.093</v>
      </c>
      <c r="H22" s="24">
        <v>13.831</v>
      </c>
      <c r="I22" s="20">
        <v>3.109</v>
      </c>
    </row>
    <row r="23" spans="2:12" ht="15.75" customHeight="1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1" t="s">
        <v>24</v>
      </c>
      <c r="I23" s="23" t="s">
        <v>25</v>
      </c>
      <c r="J23" s="17" t="s">
        <v>26</v>
      </c>
      <c r="K23" s="1" t="s">
        <v>27</v>
      </c>
      <c r="L23" s="1" t="s">
        <v>28</v>
      </c>
    </row>
    <row r="24" spans="2:12" ht="15.75" customHeight="1" x14ac:dyDescent="0.2">
      <c r="B24" s="1">
        <v>10</v>
      </c>
      <c r="C24" s="7">
        <v>3</v>
      </c>
      <c r="D24" s="2">
        <f t="shared" ref="D24:D32" si="0">C24/B24</f>
        <v>0.3</v>
      </c>
      <c r="E24" s="2" t="s">
        <v>29</v>
      </c>
      <c r="F24" s="6">
        <f>10.011+1.406</f>
        <v>11.417</v>
      </c>
      <c r="G24" s="6">
        <f>AVERAGE(0.968,0.794,0.685)</f>
        <v>0.81566666666666665</v>
      </c>
      <c r="H24" s="6">
        <f>16.718+6.375</f>
        <v>23.093</v>
      </c>
      <c r="I24" s="25" t="s">
        <v>29</v>
      </c>
      <c r="J24" s="6">
        <f>17.646+7.437</f>
        <v>25.083000000000002</v>
      </c>
      <c r="K24" s="2">
        <f t="shared" ref="K24:K32" si="1">SQRT(J24^2/B24)*1.96</f>
        <v>15.546604467800679</v>
      </c>
      <c r="L24" s="2">
        <f t="shared" ref="L24:L32" si="2">K24/J24*100</f>
        <v>61.980642139300237</v>
      </c>
    </row>
    <row r="25" spans="2:12" ht="15.75" customHeight="1" x14ac:dyDescent="0.2">
      <c r="B25" s="1">
        <v>20</v>
      </c>
      <c r="C25" s="7">
        <v>12</v>
      </c>
      <c r="D25" s="2">
        <f t="shared" si="0"/>
        <v>0.6</v>
      </c>
      <c r="E25" s="2">
        <f t="shared" ref="E25:E32" si="3">ABS(100*D25/D24-100)</f>
        <v>100</v>
      </c>
      <c r="F25" s="6">
        <f>11.841+3.146</f>
        <v>14.986999999999998</v>
      </c>
      <c r="G25" s="6">
        <f>AVERAGE(0.978,0.556,0.783)</f>
        <v>0.77233333333333343</v>
      </c>
      <c r="H25" s="6">
        <f>27.235+13.155</f>
        <v>40.39</v>
      </c>
      <c r="I25" s="2">
        <f t="shared" ref="I25:I32" si="4">ABS(100*H25/H24-100)</f>
        <v>74.901485298575324</v>
      </c>
      <c r="J25" s="6">
        <f>26.668+14.471</f>
        <v>41.138999999999996</v>
      </c>
      <c r="K25" s="2">
        <f t="shared" si="1"/>
        <v>18.029961703167313</v>
      </c>
      <c r="L25" s="2">
        <f t="shared" si="2"/>
        <v>43.826932358995876</v>
      </c>
    </row>
    <row r="26" spans="2:12" ht="15.75" customHeight="1" x14ac:dyDescent="0.2">
      <c r="B26" s="1">
        <v>50</v>
      </c>
      <c r="C26" s="7">
        <v>33</v>
      </c>
      <c r="D26" s="2">
        <f t="shared" si="0"/>
        <v>0.66</v>
      </c>
      <c r="E26" s="2">
        <f t="shared" si="3"/>
        <v>10</v>
      </c>
      <c r="F26" s="6">
        <f>13.355+4.988</f>
        <v>18.343</v>
      </c>
      <c r="G26" s="6">
        <f>AVERAGE(0.987,0.453,0.87)</f>
        <v>0.77</v>
      </c>
      <c r="H26" s="6">
        <f>42.847+25.606</f>
        <v>68.453000000000003</v>
      </c>
      <c r="I26" s="2">
        <f t="shared" si="4"/>
        <v>69.480069324090124</v>
      </c>
      <c r="J26" s="6">
        <f>44.71+27.435</f>
        <v>72.144999999999996</v>
      </c>
      <c r="K26" s="2">
        <f t="shared" si="1"/>
        <v>19.99757374165176</v>
      </c>
      <c r="L26" s="2">
        <f t="shared" si="2"/>
        <v>27.718585822512665</v>
      </c>
    </row>
    <row r="27" spans="2:12" ht="15.75" customHeight="1" x14ac:dyDescent="0.2">
      <c r="B27" s="1">
        <v>100</v>
      </c>
      <c r="C27" s="7">
        <v>74</v>
      </c>
      <c r="D27" s="2">
        <f t="shared" si="0"/>
        <v>0.74</v>
      </c>
      <c r="E27" s="2">
        <f t="shared" si="3"/>
        <v>12.12121212121211</v>
      </c>
      <c r="F27" s="6">
        <f>14.374+6.053</f>
        <v>20.427</v>
      </c>
      <c r="G27" s="6">
        <f>AVERAGE(0.992,0.594,0.92)</f>
        <v>0.83533333333333326</v>
      </c>
      <c r="H27" s="6">
        <f>72.24+42.251</f>
        <v>114.49099999999999</v>
      </c>
      <c r="I27" s="2">
        <f t="shared" si="4"/>
        <v>67.254904825208513</v>
      </c>
      <c r="J27" s="6">
        <f>75.25+44.736</f>
        <v>119.98599999999999</v>
      </c>
      <c r="K27" s="2">
        <f t="shared" si="1"/>
        <v>23.517256</v>
      </c>
      <c r="L27" s="2">
        <f t="shared" si="2"/>
        <v>19.600000000000001</v>
      </c>
    </row>
    <row r="28" spans="2:12" ht="12.75" x14ac:dyDescent="0.2">
      <c r="B28" s="1">
        <v>200</v>
      </c>
      <c r="C28" s="7">
        <v>148</v>
      </c>
      <c r="D28" s="2">
        <f t="shared" si="0"/>
        <v>0.74</v>
      </c>
      <c r="E28" s="2">
        <f t="shared" si="3"/>
        <v>0</v>
      </c>
      <c r="F28" s="6">
        <f>15.048+6.711</f>
        <v>21.759</v>
      </c>
      <c r="G28" s="6">
        <f>AVERAGE(0.996,0.605,0.956)</f>
        <v>0.85233333333333328</v>
      </c>
      <c r="H28" s="6">
        <f>103.053+50.555</f>
        <v>153.608</v>
      </c>
      <c r="I28" s="2">
        <f t="shared" si="4"/>
        <v>34.166004314749671</v>
      </c>
      <c r="J28" s="6">
        <f>106.274+52.298</f>
        <v>158.572</v>
      </c>
      <c r="K28" s="2">
        <f t="shared" si="1"/>
        <v>21.976957955237388</v>
      </c>
      <c r="L28" s="2">
        <f t="shared" si="2"/>
        <v>13.859292911256329</v>
      </c>
    </row>
    <row r="29" spans="2:12" ht="12.75" x14ac:dyDescent="0.2">
      <c r="B29" s="1">
        <v>500</v>
      </c>
      <c r="C29" s="7">
        <v>394</v>
      </c>
      <c r="D29" s="2">
        <f t="shared" si="0"/>
        <v>0.78800000000000003</v>
      </c>
      <c r="E29" s="2">
        <f t="shared" si="3"/>
        <v>6.4864864864864842</v>
      </c>
      <c r="F29" s="6">
        <f>15.466+7.393</f>
        <v>22.858999999999998</v>
      </c>
      <c r="G29" s="6">
        <f>AVERAGE(0.998,0.651,0.981)</f>
        <v>0.87666666666666659</v>
      </c>
      <c r="H29" s="6">
        <f>138.145+86.582</f>
        <v>224.727</v>
      </c>
      <c r="I29" s="2">
        <f t="shared" si="4"/>
        <v>46.299020884328939</v>
      </c>
      <c r="J29" s="6">
        <f>140.527+88.55</f>
        <v>229.077</v>
      </c>
      <c r="K29" s="2">
        <f t="shared" si="1"/>
        <v>20.079484368003396</v>
      </c>
      <c r="L29" s="2">
        <f t="shared" si="2"/>
        <v>8.7653864717991752</v>
      </c>
    </row>
    <row r="30" spans="2:12" ht="12.75" x14ac:dyDescent="0.2">
      <c r="B30" s="1">
        <v>1000</v>
      </c>
      <c r="C30" s="7">
        <v>785</v>
      </c>
      <c r="D30" s="2">
        <f t="shared" si="0"/>
        <v>0.78500000000000003</v>
      </c>
      <c r="E30" s="2">
        <f t="shared" si="3"/>
        <v>0.38071065989848307</v>
      </c>
      <c r="F30" s="6">
        <f>15.677+7.536</f>
        <v>23.213000000000001</v>
      </c>
      <c r="G30" s="6">
        <f>AVERAGE(0.999,0.655,0.99)</f>
        <v>0.88133333333333341</v>
      </c>
      <c r="H30" s="6">
        <f>154.655+88.872</f>
        <v>243.52699999999999</v>
      </c>
      <c r="I30" s="2">
        <f t="shared" si="4"/>
        <v>8.3657059454360052</v>
      </c>
      <c r="J30" s="6">
        <f>156.157+89.905</f>
        <v>246.06200000000001</v>
      </c>
      <c r="K30" s="2">
        <f t="shared" si="1"/>
        <v>15.251080766080495</v>
      </c>
      <c r="L30" s="2">
        <f t="shared" si="2"/>
        <v>6.1980642139300235</v>
      </c>
    </row>
    <row r="31" spans="2:12" ht="12.75" x14ac:dyDescent="0.2">
      <c r="B31" s="1">
        <v>5000</v>
      </c>
      <c r="C31" s="7">
        <v>3983</v>
      </c>
      <c r="D31" s="2">
        <f t="shared" si="0"/>
        <v>0.79659999999999997</v>
      </c>
      <c r="E31" s="2">
        <f t="shared" si="3"/>
        <v>1.477707006369414</v>
      </c>
      <c r="F31" s="6">
        <f>15.853+7.687</f>
        <v>23.54</v>
      </c>
      <c r="G31" s="6">
        <f>AVERAGE(1,0.622,0.998)</f>
        <v>0.87333333333333341</v>
      </c>
      <c r="H31" s="6">
        <f>204.302+99.829</f>
        <v>304.13099999999997</v>
      </c>
      <c r="I31" s="2">
        <f t="shared" si="4"/>
        <v>24.885946938121847</v>
      </c>
      <c r="J31" s="6">
        <f>204.827+100.088</f>
        <v>304.91499999999996</v>
      </c>
      <c r="K31" s="2">
        <f t="shared" si="1"/>
        <v>8.4518125960714467</v>
      </c>
      <c r="L31" s="2">
        <f t="shared" si="2"/>
        <v>2.7718585822512658</v>
      </c>
    </row>
    <row r="32" spans="2:12" ht="12.75" x14ac:dyDescent="0.2">
      <c r="B32" s="1">
        <v>10000</v>
      </c>
      <c r="C32" s="7">
        <v>7995</v>
      </c>
      <c r="D32" s="2">
        <f t="shared" si="0"/>
        <v>0.79949999999999999</v>
      </c>
      <c r="E32" s="2">
        <f t="shared" si="3"/>
        <v>0.36404720060257034</v>
      </c>
      <c r="F32" s="6">
        <f>15.868+7.724</f>
        <v>23.591999999999999</v>
      </c>
      <c r="G32" s="6">
        <f>AVERAGE(1,0.662,0.999)</f>
        <v>0.88700000000000001</v>
      </c>
      <c r="H32" s="6">
        <f>202.681+103.127</f>
        <v>305.80799999999999</v>
      </c>
      <c r="I32" s="2">
        <f t="shared" si="4"/>
        <v>0.55140712390385715</v>
      </c>
      <c r="J32" s="6">
        <f>202.94+103.265</f>
        <v>306.20499999999998</v>
      </c>
      <c r="K32" s="2">
        <f t="shared" si="1"/>
        <v>6.0016180000000006</v>
      </c>
      <c r="L32" s="2">
        <f t="shared" si="2"/>
        <v>1.9600000000000002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N3:Q6"/>
  <sheetViews>
    <sheetView tabSelected="1" topLeftCell="A7" workbookViewId="0">
      <selection activeCell="O9" sqref="O9"/>
    </sheetView>
  </sheetViews>
  <sheetFormatPr defaultColWidth="12.5703125" defaultRowHeight="15.75" customHeight="1" x14ac:dyDescent="0.2"/>
  <sheetData>
    <row r="3" spans="14:17" ht="15.75" customHeight="1" x14ac:dyDescent="0.2">
      <c r="N3" s="1"/>
      <c r="O3" s="1" t="s">
        <v>54</v>
      </c>
      <c r="P3" s="1" t="s">
        <v>53</v>
      </c>
      <c r="Q3" s="1" t="s">
        <v>52</v>
      </c>
    </row>
    <row r="4" spans="14:17" ht="15.75" customHeight="1" x14ac:dyDescent="0.2">
      <c r="N4" s="1" t="s">
        <v>20</v>
      </c>
      <c r="O4" s="2">
        <f>'Вариант 10'!D32</f>
        <v>0.80059999999999998</v>
      </c>
      <c r="P4" s="2">
        <f>'Вариант 11'!D32</f>
        <v>0.79949999999999999</v>
      </c>
      <c r="Q4" s="2">
        <f>'Вариант 10'!D32</f>
        <v>0.80059999999999998</v>
      </c>
    </row>
    <row r="5" spans="14:17" ht="15.75" customHeight="1" x14ac:dyDescent="0.2">
      <c r="N5" s="1" t="s">
        <v>22</v>
      </c>
      <c r="O5" s="2">
        <f>'Вариант 10'!F32</f>
        <v>5.6239999999999997</v>
      </c>
      <c r="P5" s="2">
        <f>'Вариант 11'!F32</f>
        <v>11.618</v>
      </c>
      <c r="Q5" s="2">
        <f>'Вариант 12'!F32</f>
        <v>23.591999999999999</v>
      </c>
    </row>
    <row r="6" spans="14:17" ht="15.75" customHeight="1" x14ac:dyDescent="0.2">
      <c r="N6" s="1" t="s">
        <v>24</v>
      </c>
      <c r="O6" s="2">
        <f>'Вариант 10'!H32</f>
        <v>75.366</v>
      </c>
      <c r="P6" s="2">
        <f>'Вариант 11'!H32</f>
        <v>151.797</v>
      </c>
      <c r="Q6" s="2">
        <f>'Вариант 12'!H32</f>
        <v>305.80799999999999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2:F4"/>
  <sheetViews>
    <sheetView workbookViewId="0"/>
  </sheetViews>
  <sheetFormatPr defaultColWidth="12.5703125" defaultRowHeight="15.75" customHeight="1" x14ac:dyDescent="0.2"/>
  <sheetData>
    <row r="2" spans="2:6" ht="15.75" customHeight="1" x14ac:dyDescent="0.2">
      <c r="B2" s="1"/>
      <c r="C2" s="1" t="s">
        <v>34</v>
      </c>
      <c r="D2" s="1" t="s">
        <v>35</v>
      </c>
      <c r="E2" s="1" t="s">
        <v>36</v>
      </c>
      <c r="F2" s="1" t="s">
        <v>0</v>
      </c>
    </row>
    <row r="3" spans="2:6" ht="15.75" customHeight="1" x14ac:dyDescent="0.2">
      <c r="B3" s="1" t="s">
        <v>37</v>
      </c>
      <c r="C3" s="2">
        <v>0.73</v>
      </c>
      <c r="D3" s="2">
        <v>6.64</v>
      </c>
      <c r="E3" s="2">
        <v>82.94</v>
      </c>
      <c r="F3" s="2">
        <v>1</v>
      </c>
    </row>
    <row r="4" spans="2:6" ht="15.75" customHeight="1" x14ac:dyDescent="0.2">
      <c r="B4" s="5" t="s">
        <v>38</v>
      </c>
      <c r="C4" s="2">
        <f>7332862/10000000</f>
        <v>0.7332862</v>
      </c>
      <c r="D4" s="2">
        <v>6.6369999999999996</v>
      </c>
      <c r="E4" s="2">
        <v>82.885999999999996</v>
      </c>
      <c r="F4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L35"/>
  <sheetViews>
    <sheetView workbookViewId="0">
      <selection activeCell="I22" sqref="I22"/>
    </sheetView>
  </sheetViews>
  <sheetFormatPr defaultColWidth="12.5703125" defaultRowHeight="15.75" customHeight="1" x14ac:dyDescent="0.2"/>
  <cols>
    <col min="2" max="2" width="23.5703125" customWidth="1"/>
    <col min="4" max="4" width="12.85546875" bestFit="1" customWidth="1"/>
  </cols>
  <sheetData>
    <row r="2" spans="2:7" ht="12.75" x14ac:dyDescent="0.2">
      <c r="G2" s="1" t="s">
        <v>0</v>
      </c>
    </row>
    <row r="3" spans="2:7" ht="12.75" x14ac:dyDescent="0.2">
      <c r="B3" s="30" t="s">
        <v>1</v>
      </c>
      <c r="C3" s="31"/>
      <c r="D3" s="1">
        <v>2</v>
      </c>
      <c r="G3" s="1">
        <v>0.9</v>
      </c>
    </row>
    <row r="4" spans="2:7" ht="12.75" x14ac:dyDescent="0.2">
      <c r="B4" s="30" t="s">
        <v>2</v>
      </c>
      <c r="C4" s="31"/>
      <c r="D4" s="1">
        <v>3</v>
      </c>
    </row>
    <row r="5" spans="2:7" ht="12.75" x14ac:dyDescent="0.2">
      <c r="B5" s="30" t="s">
        <v>3</v>
      </c>
      <c r="C5" s="31"/>
      <c r="D5" s="12" t="s">
        <v>46</v>
      </c>
    </row>
    <row r="6" spans="2:7" ht="12.75" x14ac:dyDescent="0.2">
      <c r="B6" s="32" t="s">
        <v>4</v>
      </c>
      <c r="C6" s="1" t="s">
        <v>5</v>
      </c>
      <c r="D6" s="1">
        <v>14.093</v>
      </c>
    </row>
    <row r="7" spans="2:7" ht="12.75" x14ac:dyDescent="0.2">
      <c r="B7" s="33"/>
      <c r="C7" s="1" t="s">
        <v>6</v>
      </c>
      <c r="D7" s="1" t="s">
        <v>31</v>
      </c>
    </row>
    <row r="8" spans="2:7" ht="12.75" x14ac:dyDescent="0.2">
      <c r="B8" s="32" t="s">
        <v>8</v>
      </c>
      <c r="C8" s="1" t="s">
        <v>5</v>
      </c>
      <c r="D8" s="2">
        <v>13.831</v>
      </c>
    </row>
    <row r="9" spans="2:7" ht="12.75" x14ac:dyDescent="0.2">
      <c r="B9" s="33"/>
      <c r="C9" s="1" t="s">
        <v>9</v>
      </c>
      <c r="D9" s="1">
        <v>3.1259999999999999</v>
      </c>
    </row>
    <row r="21" spans="2:12" ht="12.75" x14ac:dyDescent="0.2">
      <c r="B21" s="26" t="s">
        <v>10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28"/>
      <c r="C22" s="29"/>
      <c r="D22" s="1">
        <v>3</v>
      </c>
      <c r="E22" s="1" t="str">
        <f>D5</f>
        <v>2+1</v>
      </c>
      <c r="F22" s="1" t="s">
        <v>17</v>
      </c>
      <c r="G22" s="9">
        <v>14.093</v>
      </c>
      <c r="H22" s="8">
        <v>13.831</v>
      </c>
      <c r="I22" s="8">
        <v>3.1259999999999999</v>
      </c>
    </row>
    <row r="23" spans="2:12" ht="12.75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2.75" x14ac:dyDescent="0.2">
      <c r="B24" s="1">
        <v>10</v>
      </c>
      <c r="C24" s="7">
        <v>4</v>
      </c>
      <c r="D24" s="2">
        <f t="shared" ref="D24:D35" si="0">C24/B24</f>
        <v>0.4</v>
      </c>
      <c r="E24" s="2" t="s">
        <v>29</v>
      </c>
      <c r="F24" s="6">
        <v>1.4710000000000001</v>
      </c>
      <c r="G24" s="6">
        <v>0.53200000000000003</v>
      </c>
      <c r="H24" s="6">
        <v>12.12</v>
      </c>
      <c r="I24" s="2" t="s">
        <v>29</v>
      </c>
      <c r="J24" s="6">
        <v>8.1620000000000008</v>
      </c>
      <c r="K24" s="2">
        <f t="shared" ref="K24:K35" si="1">SQRT(J24^2/B24)*1.96</f>
        <v>5.0588600114096858</v>
      </c>
      <c r="L24" s="2">
        <f t="shared" ref="L24:L35" si="2">K24/J24*100</f>
        <v>61.980642139300237</v>
      </c>
    </row>
    <row r="25" spans="2:12" ht="12.75" x14ac:dyDescent="0.2">
      <c r="B25" s="1">
        <v>20</v>
      </c>
      <c r="C25" s="7">
        <v>8</v>
      </c>
      <c r="D25" s="2">
        <f t="shared" si="0"/>
        <v>0.4</v>
      </c>
      <c r="E25" s="2">
        <f t="shared" ref="E25:E35" si="3">ABS(100*D25/D24-100)</f>
        <v>0</v>
      </c>
      <c r="F25" s="6">
        <v>1.6639999999999999</v>
      </c>
      <c r="G25" s="6">
        <v>0.49299999999999999</v>
      </c>
      <c r="H25" s="6">
        <v>18.265000000000001</v>
      </c>
      <c r="I25" s="2">
        <f t="shared" ref="I25:I35" si="4">ABS(100*H25/H24-100)</f>
        <v>50.701320132013223</v>
      </c>
      <c r="J25" s="6">
        <v>24.088000000000001</v>
      </c>
      <c r="K25" s="2">
        <f t="shared" si="1"/>
        <v>10.557031466634927</v>
      </c>
      <c r="L25" s="2">
        <f t="shared" si="2"/>
        <v>43.826932358995876</v>
      </c>
    </row>
    <row r="26" spans="2:12" ht="12.75" x14ac:dyDescent="0.2">
      <c r="B26" s="1">
        <v>50</v>
      </c>
      <c r="C26" s="7">
        <v>19</v>
      </c>
      <c r="D26" s="2">
        <f t="shared" si="0"/>
        <v>0.38</v>
      </c>
      <c r="E26" s="2">
        <f t="shared" si="3"/>
        <v>5</v>
      </c>
      <c r="F26" s="6">
        <v>1.849</v>
      </c>
      <c r="G26" s="6">
        <v>0.57399999999999995</v>
      </c>
      <c r="H26" s="6">
        <v>21.571999999999999</v>
      </c>
      <c r="I26" s="2">
        <f t="shared" si="4"/>
        <v>18.105666575417445</v>
      </c>
      <c r="J26" s="6">
        <v>29.591000000000001</v>
      </c>
      <c r="K26" s="2">
        <f t="shared" si="1"/>
        <v>8.2022067307397233</v>
      </c>
      <c r="L26" s="2">
        <f t="shared" si="2"/>
        <v>27.718585822512665</v>
      </c>
    </row>
    <row r="27" spans="2:12" ht="12.75" x14ac:dyDescent="0.2">
      <c r="B27" s="1">
        <v>100</v>
      </c>
      <c r="C27" s="7">
        <v>35</v>
      </c>
      <c r="D27" s="2">
        <f t="shared" si="0"/>
        <v>0.35</v>
      </c>
      <c r="E27" s="2">
        <f t="shared" si="3"/>
        <v>7.8947368421052602</v>
      </c>
      <c r="F27" s="6">
        <v>1.681</v>
      </c>
      <c r="G27" s="6">
        <v>0.63200000000000001</v>
      </c>
      <c r="H27" s="6">
        <v>20.178000000000001</v>
      </c>
      <c r="I27" s="2">
        <f t="shared" si="4"/>
        <v>6.4620804746894009</v>
      </c>
      <c r="J27" s="6">
        <v>29.518999999999998</v>
      </c>
      <c r="K27" s="2">
        <f t="shared" si="1"/>
        <v>5.7857239999999992</v>
      </c>
      <c r="L27" s="2">
        <f t="shared" si="2"/>
        <v>19.599999999999998</v>
      </c>
    </row>
    <row r="28" spans="2:12" ht="12.75" x14ac:dyDescent="0.2">
      <c r="B28" s="1">
        <v>200</v>
      </c>
      <c r="C28" s="7">
        <v>75</v>
      </c>
      <c r="D28" s="2">
        <f t="shared" si="0"/>
        <v>0.375</v>
      </c>
      <c r="E28" s="2">
        <f t="shared" si="3"/>
        <v>7.142857142857153</v>
      </c>
      <c r="F28" s="6">
        <v>1.7769999999999999</v>
      </c>
      <c r="G28" s="6">
        <v>0.66300000000000003</v>
      </c>
      <c r="H28" s="6">
        <v>25.052</v>
      </c>
      <c r="I28" s="2">
        <f t="shared" si="4"/>
        <v>24.155020319159462</v>
      </c>
      <c r="J28" s="6">
        <v>32.972000000000001</v>
      </c>
      <c r="K28" s="2">
        <f t="shared" si="1"/>
        <v>4.5696860586994372</v>
      </c>
      <c r="L28" s="2">
        <f t="shared" si="2"/>
        <v>13.859292911256329</v>
      </c>
    </row>
    <row r="29" spans="2:12" ht="12.75" x14ac:dyDescent="0.2">
      <c r="B29" s="1">
        <v>500</v>
      </c>
      <c r="C29" s="7">
        <v>179</v>
      </c>
      <c r="D29" s="2">
        <f t="shared" si="0"/>
        <v>0.35799999999999998</v>
      </c>
      <c r="E29" s="2">
        <f t="shared" si="3"/>
        <v>4.5333333333333456</v>
      </c>
      <c r="F29" s="6">
        <v>1.637</v>
      </c>
      <c r="G29" s="6">
        <v>0.67</v>
      </c>
      <c r="H29" s="6">
        <v>22.995999999999999</v>
      </c>
      <c r="I29" s="2">
        <f t="shared" si="4"/>
        <v>8.2069295864601628</v>
      </c>
      <c r="J29" s="6">
        <v>32.609000000000002</v>
      </c>
      <c r="K29" s="2">
        <f t="shared" si="1"/>
        <v>2.8583048745889932</v>
      </c>
      <c r="L29" s="2">
        <f t="shared" si="2"/>
        <v>8.7653864717991752</v>
      </c>
    </row>
    <row r="30" spans="2:12" ht="12.75" x14ac:dyDescent="0.2">
      <c r="B30" s="1">
        <v>1000</v>
      </c>
      <c r="C30" s="7">
        <v>392</v>
      </c>
      <c r="D30" s="2">
        <f t="shared" si="0"/>
        <v>0.39200000000000002</v>
      </c>
      <c r="E30" s="2">
        <f t="shared" si="3"/>
        <v>9.4972067039106207</v>
      </c>
      <c r="F30" s="6">
        <v>1.7290000000000001</v>
      </c>
      <c r="G30" s="6">
        <v>0.66900000000000004</v>
      </c>
      <c r="H30" s="6">
        <v>25.600999999999999</v>
      </c>
      <c r="I30" s="2">
        <f t="shared" si="4"/>
        <v>11.328057053400599</v>
      </c>
      <c r="J30" s="6">
        <v>35.655999999999999</v>
      </c>
      <c r="K30" s="2">
        <f t="shared" si="1"/>
        <v>2.2099817761188891</v>
      </c>
      <c r="L30" s="2">
        <f t="shared" si="2"/>
        <v>6.1980642139300235</v>
      </c>
    </row>
    <row r="31" spans="2:12" ht="12.75" x14ac:dyDescent="0.2">
      <c r="B31" s="1">
        <v>5000</v>
      </c>
      <c r="C31" s="7">
        <v>2038</v>
      </c>
      <c r="D31" s="2">
        <f t="shared" si="0"/>
        <v>0.40760000000000002</v>
      </c>
      <c r="E31" s="2">
        <f t="shared" si="3"/>
        <v>3.9795918367346985</v>
      </c>
      <c r="F31" s="6">
        <v>1.7549999999999999</v>
      </c>
      <c r="G31" s="6">
        <v>0.66500000000000004</v>
      </c>
      <c r="H31" s="6">
        <v>26.393000000000001</v>
      </c>
      <c r="I31" s="2">
        <f t="shared" si="4"/>
        <v>3.0936291551111452</v>
      </c>
      <c r="J31" s="6">
        <v>36.127000000000002</v>
      </c>
      <c r="K31" s="2">
        <f t="shared" si="1"/>
        <v>1.0013893500099149</v>
      </c>
      <c r="L31" s="2">
        <f t="shared" si="2"/>
        <v>2.7718585822512658</v>
      </c>
    </row>
    <row r="32" spans="2:12" ht="12.75" x14ac:dyDescent="0.2">
      <c r="B32" s="1">
        <v>10000</v>
      </c>
      <c r="C32" s="7">
        <v>4151</v>
      </c>
      <c r="D32" s="2">
        <f t="shared" si="0"/>
        <v>0.41510000000000002</v>
      </c>
      <c r="E32" s="2">
        <f t="shared" si="3"/>
        <v>1.8400392541707618</v>
      </c>
      <c r="F32" s="6">
        <v>1.7709999999999999</v>
      </c>
      <c r="G32" s="6">
        <v>0.66500000000000004</v>
      </c>
      <c r="H32" s="6">
        <v>27.015999999999998</v>
      </c>
      <c r="I32" s="2">
        <f t="shared" si="4"/>
        <v>2.3604743682036826</v>
      </c>
      <c r="J32" s="6">
        <v>37.093000000000004</v>
      </c>
      <c r="K32" s="2">
        <f t="shared" si="1"/>
        <v>0.72702280000000008</v>
      </c>
      <c r="L32" s="2">
        <f t="shared" si="2"/>
        <v>1.96</v>
      </c>
    </row>
    <row r="33" spans="2:12" ht="12.75" x14ac:dyDescent="0.2">
      <c r="B33" s="1">
        <v>50000</v>
      </c>
      <c r="C33" s="7">
        <v>20776</v>
      </c>
      <c r="D33" s="2">
        <f t="shared" si="0"/>
        <v>0.41552</v>
      </c>
      <c r="E33" s="2">
        <f t="shared" si="3"/>
        <v>0.10118043844856572</v>
      </c>
      <c r="F33" s="6">
        <v>1.7889999999999999</v>
      </c>
      <c r="G33" s="6">
        <v>0.66900000000000004</v>
      </c>
      <c r="H33" s="6">
        <v>27.547000000000001</v>
      </c>
      <c r="I33" s="2">
        <f t="shared" si="4"/>
        <v>1.9655019247853289</v>
      </c>
      <c r="J33" s="6">
        <v>37.018999999999998</v>
      </c>
      <c r="K33" s="2">
        <f t="shared" si="1"/>
        <v>0.32448584179953366</v>
      </c>
      <c r="L33" s="2">
        <f t="shared" si="2"/>
        <v>0.87653864717991758</v>
      </c>
    </row>
    <row r="34" spans="2:12" ht="12.75" x14ac:dyDescent="0.2">
      <c r="B34" s="1">
        <v>100000</v>
      </c>
      <c r="C34" s="7">
        <v>41583</v>
      </c>
      <c r="D34" s="2">
        <f t="shared" si="0"/>
        <v>0.41582999999999998</v>
      </c>
      <c r="E34" s="2">
        <f t="shared" si="3"/>
        <v>7.4605313823639108E-2</v>
      </c>
      <c r="F34" s="6">
        <v>1.7929999999999999</v>
      </c>
      <c r="G34" s="6">
        <v>0.67</v>
      </c>
      <c r="H34" s="6">
        <v>27.597000000000001</v>
      </c>
      <c r="I34" s="2">
        <f t="shared" si="4"/>
        <v>0.18150796819980997</v>
      </c>
      <c r="J34" s="6">
        <v>37.151000000000003</v>
      </c>
      <c r="K34" s="2">
        <f t="shared" si="1"/>
        <v>0.2302642836117143</v>
      </c>
      <c r="L34" s="2">
        <f t="shared" si="2"/>
        <v>0.61980642139300224</v>
      </c>
    </row>
    <row r="35" spans="2:12" ht="12.75" x14ac:dyDescent="0.2">
      <c r="B35" s="1">
        <v>500000</v>
      </c>
      <c r="C35" s="7">
        <v>208024</v>
      </c>
      <c r="D35" s="2">
        <f t="shared" si="0"/>
        <v>0.41604799999999997</v>
      </c>
      <c r="E35" s="2">
        <f t="shared" si="3"/>
        <v>5.2425269942048658E-2</v>
      </c>
      <c r="F35" s="6">
        <v>1.7969999999999999</v>
      </c>
      <c r="G35" s="6">
        <v>0.67</v>
      </c>
      <c r="H35" s="6">
        <v>27.689</v>
      </c>
      <c r="I35" s="2">
        <f t="shared" si="4"/>
        <v>0.33336956915606208</v>
      </c>
      <c r="J35" s="6">
        <v>37.180999999999997</v>
      </c>
      <c r="K35" s="2">
        <f t="shared" si="1"/>
        <v>0.10306047394668431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L35"/>
  <sheetViews>
    <sheetView workbookViewId="0">
      <selection activeCell="I22" sqref="F22:I22"/>
    </sheetView>
  </sheetViews>
  <sheetFormatPr defaultColWidth="12.5703125" defaultRowHeight="15.75" customHeight="1" x14ac:dyDescent="0.2"/>
  <cols>
    <col min="2" max="2" width="23.5703125" customWidth="1"/>
    <col min="4" max="4" width="18.85546875" bestFit="1" customWidth="1"/>
  </cols>
  <sheetData>
    <row r="2" spans="2:7" ht="12.75" x14ac:dyDescent="0.2">
      <c r="G2" s="1" t="s">
        <v>0</v>
      </c>
    </row>
    <row r="3" spans="2:7" ht="12.75" x14ac:dyDescent="0.2">
      <c r="B3" s="30" t="s">
        <v>1</v>
      </c>
      <c r="C3" s="31"/>
      <c r="D3" s="1">
        <v>3</v>
      </c>
      <c r="G3" s="1">
        <v>0.9</v>
      </c>
    </row>
    <row r="4" spans="2:7" ht="12.75" x14ac:dyDescent="0.2">
      <c r="B4" s="30" t="s">
        <v>2</v>
      </c>
      <c r="C4" s="31"/>
      <c r="D4" s="1">
        <v>3</v>
      </c>
    </row>
    <row r="5" spans="2:7" ht="12.75" x14ac:dyDescent="0.2">
      <c r="B5" s="30" t="s">
        <v>3</v>
      </c>
      <c r="C5" s="31"/>
      <c r="D5" s="12" t="s">
        <v>46</v>
      </c>
    </row>
    <row r="6" spans="2:7" ht="12.75" x14ac:dyDescent="0.2">
      <c r="B6" s="32" t="s">
        <v>4</v>
      </c>
      <c r="C6" s="1" t="s">
        <v>5</v>
      </c>
      <c r="D6" s="1">
        <v>14.093</v>
      </c>
    </row>
    <row r="7" spans="2:7" ht="12.75" x14ac:dyDescent="0.2">
      <c r="B7" s="33"/>
      <c r="C7" s="1" t="s">
        <v>6</v>
      </c>
      <c r="D7" s="1" t="s">
        <v>30</v>
      </c>
    </row>
    <row r="8" spans="2:7" ht="12.75" x14ac:dyDescent="0.2">
      <c r="B8" s="32" t="s">
        <v>8</v>
      </c>
      <c r="C8" s="1" t="s">
        <v>5</v>
      </c>
      <c r="D8" s="2">
        <v>13.831</v>
      </c>
    </row>
    <row r="9" spans="2:7" ht="12.75" x14ac:dyDescent="0.2">
      <c r="B9" s="33"/>
      <c r="C9" s="1" t="s">
        <v>9</v>
      </c>
      <c r="D9" s="1">
        <v>3.109</v>
      </c>
    </row>
    <row r="21" spans="2:12" ht="12.75" x14ac:dyDescent="0.2">
      <c r="B21" s="26" t="s">
        <v>10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8" t="s">
        <v>15</v>
      </c>
      <c r="I21" s="1" t="s">
        <v>16</v>
      </c>
    </row>
    <row r="22" spans="2:12" ht="15" x14ac:dyDescent="0.25">
      <c r="B22" s="28"/>
      <c r="C22" s="29"/>
      <c r="D22" s="1">
        <v>3</v>
      </c>
      <c r="E22" s="1" t="str">
        <f>D5</f>
        <v>2+1</v>
      </c>
      <c r="F22" s="1" t="s">
        <v>40</v>
      </c>
      <c r="G22" s="8">
        <v>14.093</v>
      </c>
      <c r="H22" s="20">
        <v>13.831</v>
      </c>
      <c r="I22" s="8">
        <v>3.109</v>
      </c>
    </row>
    <row r="23" spans="2:12" ht="12.75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9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2.75" x14ac:dyDescent="0.2">
      <c r="B24" s="1">
        <v>10</v>
      </c>
      <c r="C24" s="7">
        <v>8</v>
      </c>
      <c r="D24" s="2">
        <f t="shared" ref="D24:D35" si="0">C24/B24</f>
        <v>0.8</v>
      </c>
      <c r="E24" s="2" t="s">
        <v>29</v>
      </c>
      <c r="F24" s="6">
        <v>1.748</v>
      </c>
      <c r="G24" s="6">
        <v>0.66600000000000004</v>
      </c>
      <c r="H24" s="6">
        <v>9.4770000000000003</v>
      </c>
      <c r="I24" s="2" t="s">
        <v>29</v>
      </c>
      <c r="J24" s="6">
        <v>14.46</v>
      </c>
      <c r="K24" s="2">
        <f t="shared" ref="K24:K35" si="1">SQRT(J24^2/B24)*1.96</f>
        <v>8.9624008533428157</v>
      </c>
      <c r="L24" s="2">
        <f t="shared" ref="L24:L35" si="2">K24/J24*100</f>
        <v>61.980642139300244</v>
      </c>
    </row>
    <row r="25" spans="2:12" ht="12.75" x14ac:dyDescent="0.2">
      <c r="B25" s="1">
        <v>20</v>
      </c>
      <c r="C25" s="7">
        <v>17</v>
      </c>
      <c r="D25" s="2">
        <f t="shared" si="0"/>
        <v>0.85</v>
      </c>
      <c r="E25" s="2">
        <f t="shared" ref="E25:E35" si="3">ABS(100*D25/D24-100)</f>
        <v>6.25</v>
      </c>
      <c r="F25" s="6">
        <v>2.1760000000000002</v>
      </c>
      <c r="G25" s="6">
        <v>0.79500000000000004</v>
      </c>
      <c r="H25" s="6">
        <v>14.975</v>
      </c>
      <c r="I25" s="2">
        <f t="shared" ref="I25:I35" si="4">ABS(100*H25/H24-100)</f>
        <v>58.014139495620981</v>
      </c>
      <c r="J25" s="6">
        <v>20.52</v>
      </c>
      <c r="K25" s="2">
        <f t="shared" si="1"/>
        <v>8.9932865200659542</v>
      </c>
      <c r="L25" s="2">
        <f t="shared" si="2"/>
        <v>43.826932358995876</v>
      </c>
    </row>
    <row r="26" spans="2:12" ht="12.75" x14ac:dyDescent="0.2">
      <c r="B26" s="1">
        <v>50</v>
      </c>
      <c r="C26" s="7">
        <v>40</v>
      </c>
      <c r="D26" s="2">
        <f t="shared" si="0"/>
        <v>0.8</v>
      </c>
      <c r="E26" s="2">
        <f t="shared" si="3"/>
        <v>5.8823529411764639</v>
      </c>
      <c r="F26" s="6">
        <v>2.4180000000000001</v>
      </c>
      <c r="G26" s="6">
        <v>0.755</v>
      </c>
      <c r="H26" s="6">
        <v>20.890999999999998</v>
      </c>
      <c r="I26" s="2">
        <f t="shared" si="4"/>
        <v>39.505843071786302</v>
      </c>
      <c r="J26" s="6">
        <v>24.925999999999998</v>
      </c>
      <c r="K26" s="2">
        <f t="shared" si="1"/>
        <v>6.9091347021195046</v>
      </c>
      <c r="L26" s="2">
        <f t="shared" si="2"/>
        <v>27.718585822512658</v>
      </c>
    </row>
    <row r="27" spans="2:12" ht="12.75" x14ac:dyDescent="0.2">
      <c r="B27" s="1">
        <v>100</v>
      </c>
      <c r="C27" s="7">
        <v>79</v>
      </c>
      <c r="D27" s="2">
        <f t="shared" si="0"/>
        <v>0.79</v>
      </c>
      <c r="E27" s="2">
        <f t="shared" si="3"/>
        <v>1.25</v>
      </c>
      <c r="F27" s="6">
        <v>2.54</v>
      </c>
      <c r="G27" s="6">
        <v>0.80700000000000005</v>
      </c>
      <c r="H27" s="6">
        <v>26.033999999999999</v>
      </c>
      <c r="I27" s="2">
        <f t="shared" si="4"/>
        <v>24.618256665549779</v>
      </c>
      <c r="J27" s="6">
        <v>28.853000000000002</v>
      </c>
      <c r="K27" s="2">
        <f t="shared" si="1"/>
        <v>5.6551879999999999</v>
      </c>
      <c r="L27" s="2">
        <f t="shared" si="2"/>
        <v>19.599999999999998</v>
      </c>
    </row>
    <row r="28" spans="2:12" ht="12.75" x14ac:dyDescent="0.2">
      <c r="B28" s="1">
        <v>200</v>
      </c>
      <c r="C28" s="7">
        <v>154</v>
      </c>
      <c r="D28" s="2">
        <f t="shared" si="0"/>
        <v>0.77</v>
      </c>
      <c r="E28" s="2">
        <f t="shared" si="3"/>
        <v>2.5316455696202524</v>
      </c>
      <c r="F28" s="6">
        <v>2.5659999999999998</v>
      </c>
      <c r="G28" s="6">
        <v>0.82299999999999995</v>
      </c>
      <c r="H28" s="6">
        <v>28.948</v>
      </c>
      <c r="I28" s="2">
        <f t="shared" si="4"/>
        <v>11.19305523546133</v>
      </c>
      <c r="J28" s="6">
        <v>32.232999999999997</v>
      </c>
      <c r="K28" s="2">
        <f t="shared" si="1"/>
        <v>4.4672658840852524</v>
      </c>
      <c r="L28" s="2">
        <f t="shared" si="2"/>
        <v>13.859292911256329</v>
      </c>
    </row>
    <row r="29" spans="2:12" ht="12.75" x14ac:dyDescent="0.2">
      <c r="B29" s="1">
        <v>500</v>
      </c>
      <c r="C29" s="7">
        <v>397</v>
      </c>
      <c r="D29" s="2">
        <f t="shared" si="0"/>
        <v>0.79400000000000004</v>
      </c>
      <c r="E29" s="2">
        <f t="shared" si="3"/>
        <v>3.1168831168831161</v>
      </c>
      <c r="F29" s="6">
        <v>2.617</v>
      </c>
      <c r="G29" s="6">
        <v>0.87</v>
      </c>
      <c r="H29" s="6">
        <v>31.856999999999999</v>
      </c>
      <c r="I29" s="2">
        <f t="shared" si="4"/>
        <v>10.049053475196899</v>
      </c>
      <c r="J29" s="6">
        <v>34.097000000000001</v>
      </c>
      <c r="K29" s="2">
        <f t="shared" si="1"/>
        <v>2.9887338252893652</v>
      </c>
      <c r="L29" s="2">
        <f t="shared" si="2"/>
        <v>8.765386471799177</v>
      </c>
    </row>
    <row r="30" spans="2:12" ht="12.75" x14ac:dyDescent="0.2">
      <c r="B30" s="1">
        <v>1000</v>
      </c>
      <c r="C30" s="7">
        <v>794</v>
      </c>
      <c r="D30" s="2">
        <f t="shared" si="0"/>
        <v>0.79400000000000004</v>
      </c>
      <c r="E30" s="2">
        <f t="shared" si="3"/>
        <v>0</v>
      </c>
      <c r="F30" s="6">
        <v>2.6179999999999999</v>
      </c>
      <c r="G30" s="6">
        <v>0.86799999999999999</v>
      </c>
      <c r="H30" s="6">
        <v>33.688000000000002</v>
      </c>
      <c r="I30" s="2">
        <f t="shared" si="4"/>
        <v>5.747559406096002</v>
      </c>
      <c r="J30" s="6">
        <v>36.064</v>
      </c>
      <c r="K30" s="2">
        <f t="shared" si="1"/>
        <v>2.235269878111724</v>
      </c>
      <c r="L30" s="2">
        <f t="shared" si="2"/>
        <v>6.1980642139300244</v>
      </c>
    </row>
    <row r="31" spans="2:12" ht="12.75" x14ac:dyDescent="0.2">
      <c r="B31" s="1">
        <v>5000</v>
      </c>
      <c r="C31" s="7">
        <v>3994</v>
      </c>
      <c r="D31" s="2">
        <f t="shared" si="0"/>
        <v>0.79879999999999995</v>
      </c>
      <c r="E31" s="2">
        <f t="shared" si="3"/>
        <v>0.60453400503777743</v>
      </c>
      <c r="F31" s="6">
        <v>2.665</v>
      </c>
      <c r="G31" s="6">
        <v>0.86799999999999999</v>
      </c>
      <c r="H31" s="6">
        <v>35.082000000000001</v>
      </c>
      <c r="I31" s="2">
        <f t="shared" si="4"/>
        <v>4.1379719781524642</v>
      </c>
      <c r="J31" s="6">
        <v>37.703000000000003</v>
      </c>
      <c r="K31" s="2">
        <f t="shared" si="1"/>
        <v>1.0450738412661948</v>
      </c>
      <c r="L31" s="2">
        <f t="shared" si="2"/>
        <v>2.7718585822512658</v>
      </c>
    </row>
    <row r="32" spans="2:12" ht="12.75" x14ac:dyDescent="0.2">
      <c r="B32" s="1">
        <v>10000</v>
      </c>
      <c r="C32" s="7">
        <v>8039</v>
      </c>
      <c r="D32" s="2">
        <f t="shared" si="0"/>
        <v>0.80389999999999995</v>
      </c>
      <c r="E32" s="2">
        <f t="shared" si="3"/>
        <v>0.63845768652980439</v>
      </c>
      <c r="F32" s="6">
        <v>2.6789999999999998</v>
      </c>
      <c r="G32" s="6">
        <v>0.87</v>
      </c>
      <c r="H32" s="6">
        <v>36.036000000000001</v>
      </c>
      <c r="I32" s="2">
        <f t="shared" si="4"/>
        <v>2.7193432529502388</v>
      </c>
      <c r="J32" s="6">
        <v>38.920999999999999</v>
      </c>
      <c r="K32" s="2">
        <f t="shared" si="1"/>
        <v>0.76285159999999996</v>
      </c>
      <c r="L32" s="2">
        <f t="shared" si="2"/>
        <v>1.96</v>
      </c>
    </row>
    <row r="33" spans="2:12" ht="12.75" x14ac:dyDescent="0.2">
      <c r="B33" s="1">
        <v>50000</v>
      </c>
      <c r="C33" s="7">
        <v>40306</v>
      </c>
      <c r="D33" s="2">
        <f t="shared" si="0"/>
        <v>0.80611999999999995</v>
      </c>
      <c r="E33" s="2">
        <f t="shared" si="3"/>
        <v>0.27615375046647728</v>
      </c>
      <c r="F33" s="6">
        <v>2.6859999999999999</v>
      </c>
      <c r="G33" s="6">
        <v>0.88</v>
      </c>
      <c r="H33" s="6">
        <v>36.555</v>
      </c>
      <c r="I33" s="2">
        <f t="shared" si="4"/>
        <v>1.4402264402264393</v>
      </c>
      <c r="J33" s="6">
        <v>39.286000000000001</v>
      </c>
      <c r="K33" s="2">
        <f t="shared" si="1"/>
        <v>0.34435697293110246</v>
      </c>
      <c r="L33" s="2">
        <f t="shared" si="2"/>
        <v>0.87653864717991758</v>
      </c>
    </row>
    <row r="34" spans="2:12" ht="12.75" x14ac:dyDescent="0.2">
      <c r="B34" s="1">
        <v>100000</v>
      </c>
      <c r="C34" s="7">
        <v>80739</v>
      </c>
      <c r="D34" s="2">
        <f t="shared" si="0"/>
        <v>0.80739000000000005</v>
      </c>
      <c r="E34" s="2">
        <f t="shared" si="3"/>
        <v>0.15754478241454706</v>
      </c>
      <c r="F34" s="6">
        <v>2.6890000000000001</v>
      </c>
      <c r="G34" s="6">
        <v>0.88</v>
      </c>
      <c r="H34" s="6">
        <v>37.093000000000004</v>
      </c>
      <c r="I34" s="2">
        <f t="shared" si="4"/>
        <v>1.4717548898919546</v>
      </c>
      <c r="J34" s="6">
        <v>39.741</v>
      </c>
      <c r="K34" s="2">
        <f t="shared" si="1"/>
        <v>0.24631726992579303</v>
      </c>
      <c r="L34" s="2">
        <f t="shared" si="2"/>
        <v>0.61980642139300224</v>
      </c>
    </row>
    <row r="35" spans="2:12" ht="12.75" x14ac:dyDescent="0.2">
      <c r="B35" s="1">
        <v>500000</v>
      </c>
      <c r="C35" s="7">
        <v>404164</v>
      </c>
      <c r="D35" s="2">
        <f t="shared" si="0"/>
        <v>0.80832800000000005</v>
      </c>
      <c r="E35" s="2">
        <f t="shared" si="3"/>
        <v>0.11617681665613588</v>
      </c>
      <c r="F35" s="6">
        <v>2.69</v>
      </c>
      <c r="G35" s="6">
        <v>0.88</v>
      </c>
      <c r="H35" s="6">
        <v>37.415999999999997</v>
      </c>
      <c r="I35" s="2">
        <f t="shared" si="4"/>
        <v>0.87078424500576546</v>
      </c>
      <c r="J35" s="6">
        <v>40.026000000000003</v>
      </c>
      <c r="K35" s="2">
        <f t="shared" si="1"/>
        <v>0.11094641161318919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N3:Q6"/>
  <sheetViews>
    <sheetView workbookViewId="0">
      <selection activeCell="P28" sqref="P28"/>
    </sheetView>
  </sheetViews>
  <sheetFormatPr defaultColWidth="12.5703125" defaultRowHeight="15.75" customHeight="1" x14ac:dyDescent="0.2"/>
  <sheetData>
    <row r="3" spans="14:17" ht="15.75" customHeight="1" x14ac:dyDescent="0.2">
      <c r="N3" s="1"/>
      <c r="O3" s="1" t="s">
        <v>32</v>
      </c>
      <c r="P3" s="1" t="s">
        <v>33</v>
      </c>
      <c r="Q3" s="1" t="s">
        <v>31</v>
      </c>
    </row>
    <row r="4" spans="14:17" ht="15.75" customHeight="1" x14ac:dyDescent="0.2">
      <c r="N4" s="1" t="s">
        <v>20</v>
      </c>
      <c r="O4" s="2">
        <f>'Вариант 1'!D38</f>
        <v>8.1670499999999993E-2</v>
      </c>
      <c r="P4" s="2">
        <f>'Вариант 2'!D35</f>
        <v>0.41604799999999997</v>
      </c>
      <c r="Q4" s="2">
        <f>'Вариант 3'!D35</f>
        <v>0.80832800000000005</v>
      </c>
    </row>
    <row r="5" spans="14:17" ht="15.75" customHeight="1" x14ac:dyDescent="0.2">
      <c r="N5" s="1" t="s">
        <v>22</v>
      </c>
      <c r="O5" s="2">
        <f>'Вариант 1'!F38</f>
        <v>0.38</v>
      </c>
      <c r="P5" s="2">
        <f>'Вариант 2'!F35</f>
        <v>1.7969999999999999</v>
      </c>
      <c r="Q5" s="2">
        <f>'Вариант 3'!F35</f>
        <v>2.69</v>
      </c>
    </row>
    <row r="6" spans="14:17" ht="15.75" customHeight="1" x14ac:dyDescent="0.2">
      <c r="N6" s="1" t="s">
        <v>24</v>
      </c>
      <c r="O6" s="2">
        <f>'Вариант 1'!H38</f>
        <v>11.747999999999999</v>
      </c>
      <c r="P6" s="2">
        <f>'Вариант 2'!H35</f>
        <v>27.689</v>
      </c>
      <c r="Q6" s="2">
        <f>'Вариант 3'!H35</f>
        <v>37.415999999999997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L35"/>
  <sheetViews>
    <sheetView workbookViewId="0">
      <selection activeCell="D4" sqref="D4:D9"/>
    </sheetView>
  </sheetViews>
  <sheetFormatPr defaultColWidth="12.5703125" defaultRowHeight="15.75" customHeight="1" x14ac:dyDescent="0.2"/>
  <cols>
    <col min="2" max="2" width="23.5703125" customWidth="1"/>
    <col min="4" max="4" width="17.7109375" bestFit="1" customWidth="1"/>
  </cols>
  <sheetData>
    <row r="2" spans="2:7" ht="15.75" customHeight="1" x14ac:dyDescent="0.2">
      <c r="G2" s="1" t="s">
        <v>0</v>
      </c>
    </row>
    <row r="3" spans="2:7" ht="15.75" customHeight="1" x14ac:dyDescent="0.2">
      <c r="B3" s="30" t="s">
        <v>1</v>
      </c>
      <c r="C3" s="31"/>
      <c r="D3" s="1">
        <v>4</v>
      </c>
      <c r="G3" s="1">
        <v>0.6</v>
      </c>
    </row>
    <row r="4" spans="2:7" ht="15.75" customHeight="1" x14ac:dyDescent="0.2">
      <c r="B4" s="30" t="s">
        <v>2</v>
      </c>
      <c r="C4" s="31"/>
      <c r="D4" s="1">
        <v>3</v>
      </c>
    </row>
    <row r="5" spans="2:7" ht="15.75" customHeight="1" x14ac:dyDescent="0.2">
      <c r="B5" s="30" t="s">
        <v>3</v>
      </c>
      <c r="C5" s="31"/>
      <c r="D5" s="12" t="s">
        <v>46</v>
      </c>
    </row>
    <row r="6" spans="2:7" ht="15.75" customHeight="1" x14ac:dyDescent="0.2">
      <c r="B6" s="32" t="s">
        <v>4</v>
      </c>
      <c r="C6" s="1" t="s">
        <v>5</v>
      </c>
      <c r="D6" s="1">
        <v>14.093</v>
      </c>
    </row>
    <row r="7" spans="2:7" ht="15.75" customHeight="1" x14ac:dyDescent="0.2">
      <c r="B7" s="33"/>
      <c r="C7" s="1" t="s">
        <v>6</v>
      </c>
      <c r="D7" s="1" t="s">
        <v>7</v>
      </c>
    </row>
    <row r="8" spans="2:7" ht="15.75" customHeight="1" x14ac:dyDescent="0.2">
      <c r="B8" s="32" t="s">
        <v>8</v>
      </c>
      <c r="C8" s="1" t="s">
        <v>5</v>
      </c>
      <c r="D8" s="2">
        <v>8.8420000000000005</v>
      </c>
    </row>
    <row r="9" spans="2:7" ht="15.75" customHeight="1" x14ac:dyDescent="0.2">
      <c r="B9" s="33"/>
      <c r="C9" s="1" t="s">
        <v>9</v>
      </c>
      <c r="D9" s="1">
        <v>1</v>
      </c>
    </row>
    <row r="21" spans="2:12" ht="15.75" customHeight="1" x14ac:dyDescent="0.2">
      <c r="B21" s="26" t="s">
        <v>42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28"/>
      <c r="C22" s="29"/>
      <c r="D22" s="1">
        <v>3</v>
      </c>
      <c r="E22" s="1" t="str">
        <f>D5</f>
        <v>2+1</v>
      </c>
      <c r="F22" s="1" t="s">
        <v>39</v>
      </c>
      <c r="G22" s="8">
        <v>14.093</v>
      </c>
      <c r="H22" s="10">
        <f>1/[1]Лист1!Q17</f>
        <v>8.8417329796640143</v>
      </c>
      <c r="I22" s="1">
        <v>1</v>
      </c>
    </row>
    <row r="23" spans="2:12" ht="15.75" customHeight="1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">
      <c r="B24" s="1">
        <v>10</v>
      </c>
      <c r="C24" s="7">
        <v>0</v>
      </c>
      <c r="D24" s="2">
        <f t="shared" ref="D24:D35" si="0">C24/B24</f>
        <v>0</v>
      </c>
      <c r="E24" s="2">
        <v>0</v>
      </c>
      <c r="F24" s="6">
        <v>0.4</v>
      </c>
      <c r="G24" s="6">
        <v>0.188</v>
      </c>
      <c r="H24" s="6">
        <v>7.2030000000000003</v>
      </c>
      <c r="I24" s="2" t="s">
        <v>29</v>
      </c>
      <c r="J24" s="6">
        <v>12.605</v>
      </c>
      <c r="K24" s="2">
        <f t="shared" ref="K24:K35" si="1">SQRT(J24^2/B24)*1.96</f>
        <v>7.8126599416587945</v>
      </c>
      <c r="L24" s="2">
        <f t="shared" ref="L24:L35" si="2">K24/J24*100</f>
        <v>61.980642139300237</v>
      </c>
    </row>
    <row r="25" spans="2:12" ht="15.75" customHeight="1" x14ac:dyDescent="0.2">
      <c r="B25" s="1">
        <v>20</v>
      </c>
      <c r="C25" s="7">
        <v>0</v>
      </c>
      <c r="D25" s="2">
        <f t="shared" si="0"/>
        <v>0</v>
      </c>
      <c r="E25" s="2">
        <v>0</v>
      </c>
      <c r="F25" s="6">
        <v>0.23100000000000001</v>
      </c>
      <c r="G25" s="6">
        <v>0.14299999999999999</v>
      </c>
      <c r="H25" s="6">
        <v>4.6520000000000001</v>
      </c>
      <c r="I25" s="2">
        <f t="shared" ref="I25:I35" si="3">ABS(100*H25/H24-100)</f>
        <v>35.415798972650293</v>
      </c>
      <c r="J25" s="6">
        <v>11.631</v>
      </c>
      <c r="K25" s="2">
        <f t="shared" si="1"/>
        <v>5.09751050267481</v>
      </c>
      <c r="L25" s="2">
        <f t="shared" si="2"/>
        <v>43.826932358995876</v>
      </c>
    </row>
    <row r="26" spans="2:12" ht="15.75" customHeight="1" x14ac:dyDescent="0.2">
      <c r="B26" s="1">
        <v>50</v>
      </c>
      <c r="C26" s="7">
        <v>0</v>
      </c>
      <c r="D26" s="2">
        <f t="shared" si="0"/>
        <v>0</v>
      </c>
      <c r="E26" s="2">
        <v>0</v>
      </c>
      <c r="F26" s="6">
        <v>0.182</v>
      </c>
      <c r="G26" s="6">
        <v>0.193</v>
      </c>
      <c r="H26" s="6">
        <v>3.952</v>
      </c>
      <c r="I26" s="2">
        <f t="shared" si="3"/>
        <v>15.047291487532249</v>
      </c>
      <c r="J26" s="6">
        <v>13.584</v>
      </c>
      <c r="K26" s="2">
        <f t="shared" si="1"/>
        <v>3.76529269813012</v>
      </c>
      <c r="L26" s="2">
        <f t="shared" si="2"/>
        <v>27.718585822512665</v>
      </c>
    </row>
    <row r="27" spans="2:12" ht="15.75" customHeight="1" x14ac:dyDescent="0.2">
      <c r="B27" s="1">
        <v>100</v>
      </c>
      <c r="C27" s="7">
        <v>3</v>
      </c>
      <c r="D27" s="2">
        <f t="shared" si="0"/>
        <v>0.03</v>
      </c>
      <c r="E27" s="2">
        <v>0</v>
      </c>
      <c r="F27" s="6">
        <v>0.189</v>
      </c>
      <c r="G27" s="6">
        <v>0.19500000000000001</v>
      </c>
      <c r="H27" s="6">
        <v>5.0599999999999996</v>
      </c>
      <c r="I27" s="2">
        <f t="shared" si="3"/>
        <v>28.036437246963544</v>
      </c>
      <c r="J27" s="6">
        <v>16.867999999999999</v>
      </c>
      <c r="K27" s="2">
        <f t="shared" si="1"/>
        <v>3.3061279999999997</v>
      </c>
      <c r="L27" s="2">
        <f t="shared" si="2"/>
        <v>19.600000000000001</v>
      </c>
    </row>
    <row r="28" spans="2:12" ht="15.75" customHeight="1" x14ac:dyDescent="0.2">
      <c r="B28" s="1">
        <v>200</v>
      </c>
      <c r="C28" s="7">
        <v>7</v>
      </c>
      <c r="D28" s="2">
        <f t="shared" si="0"/>
        <v>3.5000000000000003E-2</v>
      </c>
      <c r="E28" s="2">
        <f t="shared" ref="E28:E35" si="4">ABS(100*D28/D27-100)</f>
        <v>16.666666666666686</v>
      </c>
      <c r="F28" s="6">
        <v>0.14000000000000001</v>
      </c>
      <c r="G28" s="6">
        <v>0.186</v>
      </c>
      <c r="H28" s="6">
        <v>4.0599999999999996</v>
      </c>
      <c r="I28" s="2">
        <f t="shared" si="3"/>
        <v>19.762845849802375</v>
      </c>
      <c r="J28" s="6">
        <v>15.456</v>
      </c>
      <c r="K28" s="2">
        <f t="shared" si="1"/>
        <v>2.1420923123637787</v>
      </c>
      <c r="L28" s="2">
        <f t="shared" si="2"/>
        <v>13.859292911256333</v>
      </c>
    </row>
    <row r="29" spans="2:12" ht="15.75" customHeight="1" x14ac:dyDescent="0.2">
      <c r="B29" s="1">
        <v>500</v>
      </c>
      <c r="C29" s="7">
        <v>17</v>
      </c>
      <c r="D29" s="2">
        <f t="shared" si="0"/>
        <v>3.4000000000000002E-2</v>
      </c>
      <c r="E29" s="2">
        <f t="shared" si="4"/>
        <v>2.8571428571428612</v>
      </c>
      <c r="F29" s="6">
        <v>0.151</v>
      </c>
      <c r="G29" s="6">
        <v>0.193</v>
      </c>
      <c r="H29" s="6">
        <v>4.62</v>
      </c>
      <c r="I29" s="2">
        <f t="shared" si="3"/>
        <v>13.793103448275872</v>
      </c>
      <c r="J29" s="6">
        <v>18.285</v>
      </c>
      <c r="K29" s="2">
        <f t="shared" si="1"/>
        <v>1.6027509163684792</v>
      </c>
      <c r="L29" s="2">
        <f t="shared" si="2"/>
        <v>8.7653864717991752</v>
      </c>
    </row>
    <row r="30" spans="2:12" ht="15.75" customHeight="1" x14ac:dyDescent="0.2">
      <c r="B30" s="1">
        <v>1000</v>
      </c>
      <c r="C30" s="7">
        <v>36</v>
      </c>
      <c r="D30" s="2">
        <f t="shared" si="0"/>
        <v>3.5999999999999997E-2</v>
      </c>
      <c r="E30" s="2">
        <f t="shared" si="4"/>
        <v>5.8823529411764497</v>
      </c>
      <c r="F30" s="6">
        <v>0.14899999999999999</v>
      </c>
      <c r="G30" s="6">
        <v>0.192</v>
      </c>
      <c r="H30" s="6">
        <v>4.3659999999999997</v>
      </c>
      <c r="I30" s="2">
        <f t="shared" si="3"/>
        <v>5.49783549783551</v>
      </c>
      <c r="J30" s="6">
        <v>17.206</v>
      </c>
      <c r="K30" s="2">
        <f t="shared" si="1"/>
        <v>1.0664389286487999</v>
      </c>
      <c r="L30" s="2">
        <f t="shared" si="2"/>
        <v>6.1980642139300244</v>
      </c>
    </row>
    <row r="31" spans="2:12" ht="15.75" customHeight="1" x14ac:dyDescent="0.2">
      <c r="B31" s="1">
        <v>5000</v>
      </c>
      <c r="C31" s="7">
        <v>174</v>
      </c>
      <c r="D31" s="2">
        <f t="shared" si="0"/>
        <v>3.4799999999999998E-2</v>
      </c>
      <c r="E31" s="2">
        <f t="shared" si="4"/>
        <v>3.3333333333333428</v>
      </c>
      <c r="F31" s="6">
        <v>0.16900000000000001</v>
      </c>
      <c r="G31" s="6">
        <v>0.19800000000000001</v>
      </c>
      <c r="H31" s="6">
        <v>4.7210000000000001</v>
      </c>
      <c r="I31" s="2">
        <f t="shared" si="3"/>
        <v>8.1310123683005173</v>
      </c>
      <c r="J31" s="6">
        <v>19.577000000000002</v>
      </c>
      <c r="K31" s="2">
        <f t="shared" si="1"/>
        <v>0.54264675464733036</v>
      </c>
      <c r="L31" s="2">
        <f t="shared" si="2"/>
        <v>2.7718585822512658</v>
      </c>
    </row>
    <row r="32" spans="2:12" ht="15.75" customHeight="1" x14ac:dyDescent="0.2">
      <c r="B32" s="1">
        <v>10000</v>
      </c>
      <c r="C32" s="7">
        <v>349</v>
      </c>
      <c r="D32" s="2">
        <f t="shared" si="0"/>
        <v>3.49E-2</v>
      </c>
      <c r="E32" s="2">
        <f t="shared" si="4"/>
        <v>0.28735632183909843</v>
      </c>
      <c r="F32" s="6">
        <v>0.16800000000000001</v>
      </c>
      <c r="G32" s="6">
        <v>0.19800000000000001</v>
      </c>
      <c r="H32" s="6">
        <v>4.9859999999999998</v>
      </c>
      <c r="I32" s="2">
        <f t="shared" si="3"/>
        <v>5.6132175386570538</v>
      </c>
      <c r="J32" s="6">
        <v>20.094999999999999</v>
      </c>
      <c r="K32" s="2">
        <f t="shared" si="1"/>
        <v>0.39386199999999999</v>
      </c>
      <c r="L32" s="2">
        <f t="shared" si="2"/>
        <v>1.96</v>
      </c>
    </row>
    <row r="33" spans="2:12" ht="15.75" customHeight="1" x14ac:dyDescent="0.2">
      <c r="B33" s="1">
        <v>50000</v>
      </c>
      <c r="C33" s="7">
        <v>1764</v>
      </c>
      <c r="D33" s="2">
        <f t="shared" si="0"/>
        <v>3.5279999999999999E-2</v>
      </c>
      <c r="E33" s="2">
        <f t="shared" si="4"/>
        <v>1.088825214899714</v>
      </c>
      <c r="F33" s="6">
        <v>0.16500000000000001</v>
      </c>
      <c r="G33" s="6">
        <v>0.2</v>
      </c>
      <c r="H33" s="6">
        <v>4.9050000000000002</v>
      </c>
      <c r="I33" s="2">
        <f t="shared" si="3"/>
        <v>1.6245487364620885</v>
      </c>
      <c r="J33" s="6">
        <v>19.818999999999999</v>
      </c>
      <c r="K33" s="2">
        <f t="shared" si="1"/>
        <v>0.17372119448458784</v>
      </c>
      <c r="L33" s="2">
        <f t="shared" si="2"/>
        <v>0.87653864717991747</v>
      </c>
    </row>
    <row r="34" spans="2:12" ht="15.75" customHeight="1" x14ac:dyDescent="0.2">
      <c r="B34" s="1">
        <v>100000</v>
      </c>
      <c r="C34" s="7">
        <v>3450</v>
      </c>
      <c r="D34" s="2">
        <f t="shared" si="0"/>
        <v>3.4500000000000003E-2</v>
      </c>
      <c r="E34" s="2">
        <f t="shared" si="4"/>
        <v>2.2108843537414913</v>
      </c>
      <c r="F34" s="6">
        <v>0.16400000000000001</v>
      </c>
      <c r="G34" s="6">
        <v>0.2</v>
      </c>
      <c r="H34" s="6">
        <v>4.8650000000000002</v>
      </c>
      <c r="I34" s="2">
        <f t="shared" si="3"/>
        <v>0.81549439347604391</v>
      </c>
      <c r="J34" s="6">
        <v>19.702999999999999</v>
      </c>
      <c r="K34" s="2">
        <f t="shared" si="1"/>
        <v>0.12212045920706324</v>
      </c>
      <c r="L34" s="2">
        <f t="shared" si="2"/>
        <v>0.61980642139300235</v>
      </c>
    </row>
    <row r="35" spans="2:12" ht="15.75" customHeight="1" x14ac:dyDescent="0.2">
      <c r="B35" s="1">
        <v>500000</v>
      </c>
      <c r="C35" s="7">
        <v>17673</v>
      </c>
      <c r="D35" s="2">
        <f t="shared" si="0"/>
        <v>3.5346000000000002E-2</v>
      </c>
      <c r="E35" s="2">
        <f t="shared" si="4"/>
        <v>2.452173913043481</v>
      </c>
      <c r="F35" s="6">
        <v>0.16600000000000001</v>
      </c>
      <c r="G35" s="6">
        <v>0.2</v>
      </c>
      <c r="H35" s="6">
        <v>4.9630000000000001</v>
      </c>
      <c r="I35" s="2">
        <f t="shared" si="3"/>
        <v>2.0143884892086277</v>
      </c>
      <c r="J35" s="6">
        <v>19.97</v>
      </c>
      <c r="K35" s="2">
        <f t="shared" si="1"/>
        <v>5.5354015887557784E-2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L35"/>
  <sheetViews>
    <sheetView workbookViewId="0">
      <selection activeCell="D4" sqref="D4:D9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ht="15.75" customHeight="1" x14ac:dyDescent="0.2">
      <c r="G2" s="1" t="s">
        <v>0</v>
      </c>
    </row>
    <row r="3" spans="2:7" ht="15.75" customHeight="1" x14ac:dyDescent="0.2">
      <c r="B3" s="30" t="s">
        <v>1</v>
      </c>
      <c r="C3" s="31"/>
      <c r="D3" s="1">
        <v>5</v>
      </c>
      <c r="G3" s="1">
        <v>0.6</v>
      </c>
    </row>
    <row r="4" spans="2:7" ht="15.75" customHeight="1" x14ac:dyDescent="0.2">
      <c r="B4" s="30" t="s">
        <v>2</v>
      </c>
      <c r="C4" s="31"/>
      <c r="D4" s="1">
        <v>3</v>
      </c>
    </row>
    <row r="5" spans="2:7" ht="15.75" customHeight="1" x14ac:dyDescent="0.2">
      <c r="B5" s="30" t="s">
        <v>3</v>
      </c>
      <c r="C5" s="31"/>
      <c r="D5" s="12" t="s">
        <v>46</v>
      </c>
    </row>
    <row r="6" spans="2:7" ht="15.75" customHeight="1" x14ac:dyDescent="0.2">
      <c r="B6" s="32" t="s">
        <v>4</v>
      </c>
      <c r="C6" s="1" t="s">
        <v>5</v>
      </c>
      <c r="D6" s="1">
        <v>14.093</v>
      </c>
    </row>
    <row r="7" spans="2:7" ht="15.75" customHeight="1" x14ac:dyDescent="0.2">
      <c r="B7" s="33"/>
      <c r="C7" s="1" t="s">
        <v>6</v>
      </c>
      <c r="D7" s="1" t="s">
        <v>31</v>
      </c>
    </row>
    <row r="8" spans="2:7" ht="15.75" customHeight="1" x14ac:dyDescent="0.2">
      <c r="B8" s="32" t="s">
        <v>8</v>
      </c>
      <c r="C8" s="1" t="s">
        <v>5</v>
      </c>
      <c r="D8" s="2">
        <v>8.8420000000000005</v>
      </c>
    </row>
    <row r="9" spans="2:7" ht="15.75" customHeight="1" x14ac:dyDescent="0.2">
      <c r="B9" s="33"/>
      <c r="C9" s="1" t="s">
        <v>9</v>
      </c>
      <c r="D9" s="1">
        <v>3.1259999999999999</v>
      </c>
    </row>
    <row r="18" spans="1:12" ht="15.75" customHeight="1" x14ac:dyDescent="0.2">
      <c r="A18" s="13" t="s">
        <v>47</v>
      </c>
    </row>
    <row r="21" spans="1:12" ht="15.75" customHeight="1" x14ac:dyDescent="0.2">
      <c r="B21" s="26" t="s">
        <v>10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1:12" ht="15.75" customHeight="1" x14ac:dyDescent="0.25">
      <c r="B22" s="28"/>
      <c r="C22" s="29"/>
      <c r="D22" s="1">
        <v>3</v>
      </c>
      <c r="E22" s="1" t="str">
        <f>D5</f>
        <v>2+1</v>
      </c>
      <c r="F22" s="1" t="s">
        <v>17</v>
      </c>
      <c r="G22" s="8">
        <v>14.093</v>
      </c>
      <c r="H22">
        <v>8.8420000000000005</v>
      </c>
      <c r="I22" s="1">
        <v>1</v>
      </c>
    </row>
    <row r="23" spans="1:12" ht="15.75" customHeight="1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1:12" ht="15.75" customHeight="1" x14ac:dyDescent="0.2">
      <c r="B24" s="1">
        <v>10</v>
      </c>
      <c r="C24" s="7">
        <v>4</v>
      </c>
      <c r="D24" s="2">
        <f t="shared" ref="D24:D35" si="0">C24/B24</f>
        <v>0.4</v>
      </c>
      <c r="E24" s="2" t="s">
        <v>29</v>
      </c>
      <c r="F24" s="6">
        <v>1.5389999999999999</v>
      </c>
      <c r="G24" s="6">
        <v>0.372</v>
      </c>
      <c r="H24" s="6">
        <v>13.334</v>
      </c>
      <c r="I24" s="2" t="s">
        <v>29</v>
      </c>
      <c r="J24" s="6">
        <v>16.001000000000001</v>
      </c>
      <c r="K24" s="2">
        <f t="shared" ref="K24:K35" si="1">SQRT(J24^2/B24)*1.96</f>
        <v>9.9175225487094316</v>
      </c>
      <c r="L24" s="2">
        <f t="shared" ref="L24:L35" si="2">K24/J24*100</f>
        <v>61.980642139300237</v>
      </c>
    </row>
    <row r="25" spans="1:12" ht="15.75" customHeight="1" x14ac:dyDescent="0.2">
      <c r="B25" s="1">
        <v>20</v>
      </c>
      <c r="C25" s="7">
        <v>4</v>
      </c>
      <c r="D25" s="2">
        <f t="shared" si="0"/>
        <v>0.2</v>
      </c>
      <c r="E25" s="2">
        <f t="shared" ref="E25:E35" si="3">ABS(100*D25/D24-100)</f>
        <v>50</v>
      </c>
      <c r="F25" s="6">
        <v>1.286</v>
      </c>
      <c r="G25" s="6">
        <v>0.40699999999999997</v>
      </c>
      <c r="H25" s="6">
        <v>10.225</v>
      </c>
      <c r="I25" s="2">
        <f t="shared" ref="I25:I35" si="4">ABS(100*H25/H24-100)</f>
        <v>23.316334183290834</v>
      </c>
      <c r="J25" s="6">
        <v>11.281000000000001</v>
      </c>
      <c r="K25" s="2">
        <f t="shared" si="1"/>
        <v>4.9441162394183253</v>
      </c>
      <c r="L25" s="2">
        <f t="shared" si="2"/>
        <v>43.826932358995876</v>
      </c>
    </row>
    <row r="26" spans="1:12" ht="15.75" customHeight="1" x14ac:dyDescent="0.2">
      <c r="B26" s="1">
        <v>50</v>
      </c>
      <c r="C26" s="7">
        <v>8</v>
      </c>
      <c r="D26" s="2">
        <f t="shared" si="0"/>
        <v>0.16</v>
      </c>
      <c r="E26" s="2">
        <f t="shared" si="3"/>
        <v>20</v>
      </c>
      <c r="F26" s="6">
        <v>1.2330000000000001</v>
      </c>
      <c r="G26" s="6">
        <v>0.47899999999999998</v>
      </c>
      <c r="H26" s="6">
        <v>10.166</v>
      </c>
      <c r="I26" s="2">
        <f t="shared" si="4"/>
        <v>0.57701711491442609</v>
      </c>
      <c r="J26" s="6">
        <v>15.157999999999999</v>
      </c>
      <c r="K26" s="2">
        <f t="shared" si="1"/>
        <v>4.2015832389764691</v>
      </c>
      <c r="L26" s="2">
        <f t="shared" si="2"/>
        <v>27.718585822512658</v>
      </c>
    </row>
    <row r="27" spans="1:12" ht="15.75" customHeight="1" x14ac:dyDescent="0.2">
      <c r="B27" s="1">
        <v>100</v>
      </c>
      <c r="C27" s="7">
        <v>21</v>
      </c>
      <c r="D27" s="2">
        <f t="shared" si="0"/>
        <v>0.21</v>
      </c>
      <c r="E27" s="2">
        <f t="shared" si="3"/>
        <v>31.25</v>
      </c>
      <c r="F27" s="6">
        <v>1.3240000000000001</v>
      </c>
      <c r="G27" s="6">
        <v>0.52400000000000002</v>
      </c>
      <c r="H27" s="6">
        <v>13.699</v>
      </c>
      <c r="I27" s="2">
        <f t="shared" si="4"/>
        <v>34.753098563840268</v>
      </c>
      <c r="J27" s="6">
        <v>21.279</v>
      </c>
      <c r="K27" s="2">
        <f t="shared" si="1"/>
        <v>4.1706839999999996</v>
      </c>
      <c r="L27" s="2">
        <f t="shared" si="2"/>
        <v>19.599999999999998</v>
      </c>
    </row>
    <row r="28" spans="1:12" ht="15.75" customHeight="1" x14ac:dyDescent="0.2">
      <c r="B28" s="1">
        <v>200</v>
      </c>
      <c r="C28" s="7">
        <v>43</v>
      </c>
      <c r="D28" s="2">
        <f t="shared" si="0"/>
        <v>0.215</v>
      </c>
      <c r="E28" s="2">
        <f t="shared" si="3"/>
        <v>2.3809523809523796</v>
      </c>
      <c r="F28" s="6">
        <v>1.202</v>
      </c>
      <c r="G28" s="6">
        <v>0.54400000000000004</v>
      </c>
      <c r="H28" s="6">
        <v>12.462</v>
      </c>
      <c r="I28" s="2">
        <f t="shared" si="4"/>
        <v>9.0298561938827646</v>
      </c>
      <c r="J28" s="6">
        <v>21.6</v>
      </c>
      <c r="K28" s="2">
        <f t="shared" si="1"/>
        <v>2.9936072688313677</v>
      </c>
      <c r="L28" s="2">
        <f t="shared" si="2"/>
        <v>13.859292911256333</v>
      </c>
    </row>
    <row r="29" spans="1:12" ht="15.75" customHeight="1" x14ac:dyDescent="0.2">
      <c r="B29" s="1">
        <v>500</v>
      </c>
      <c r="C29" s="7">
        <v>104</v>
      </c>
      <c r="D29" s="2">
        <f t="shared" si="0"/>
        <v>0.20799999999999999</v>
      </c>
      <c r="E29" s="2">
        <f t="shared" si="3"/>
        <v>3.2558139534883708</v>
      </c>
      <c r="F29" s="6">
        <v>1.085</v>
      </c>
      <c r="G29" s="6">
        <v>0.53600000000000003</v>
      </c>
      <c r="H29" s="6">
        <v>11.818</v>
      </c>
      <c r="I29" s="2">
        <f t="shared" si="4"/>
        <v>5.167709837907239</v>
      </c>
      <c r="J29" s="6">
        <v>21.134</v>
      </c>
      <c r="K29" s="2">
        <f t="shared" si="1"/>
        <v>1.8524767769500379</v>
      </c>
      <c r="L29" s="2">
        <f t="shared" si="2"/>
        <v>8.765386471799177</v>
      </c>
    </row>
    <row r="30" spans="1:12" ht="15.75" customHeight="1" x14ac:dyDescent="0.2">
      <c r="B30" s="1">
        <v>1000</v>
      </c>
      <c r="C30" s="7">
        <v>220</v>
      </c>
      <c r="D30" s="2">
        <f t="shared" si="0"/>
        <v>0.22</v>
      </c>
      <c r="E30" s="2">
        <f t="shared" si="3"/>
        <v>5.7692307692307736</v>
      </c>
      <c r="F30" s="6">
        <v>1.135</v>
      </c>
      <c r="G30" s="6">
        <v>0.53800000000000003</v>
      </c>
      <c r="H30" s="6">
        <v>12.371</v>
      </c>
      <c r="I30" s="2">
        <f t="shared" si="4"/>
        <v>4.6793027585039937</v>
      </c>
      <c r="J30" s="6">
        <v>21.632000000000001</v>
      </c>
      <c r="K30" s="2">
        <f t="shared" si="1"/>
        <v>1.3407652507573427</v>
      </c>
      <c r="L30" s="2">
        <f t="shared" si="2"/>
        <v>6.1980642139300226</v>
      </c>
    </row>
    <row r="31" spans="1:12" ht="15.75" customHeight="1" x14ac:dyDescent="0.2">
      <c r="B31" s="1">
        <v>5000</v>
      </c>
      <c r="C31" s="7">
        <v>1163</v>
      </c>
      <c r="D31" s="2">
        <f t="shared" si="0"/>
        <v>0.2326</v>
      </c>
      <c r="E31" s="2">
        <f t="shared" si="3"/>
        <v>5.7272727272727337</v>
      </c>
      <c r="F31" s="6">
        <v>1.1870000000000001</v>
      </c>
      <c r="G31" s="6">
        <v>0.55200000000000005</v>
      </c>
      <c r="H31" s="6">
        <v>12.897</v>
      </c>
      <c r="I31" s="2">
        <f t="shared" si="4"/>
        <v>4.2518793953601204</v>
      </c>
      <c r="J31" s="6">
        <v>21.963999999999999</v>
      </c>
      <c r="K31" s="2">
        <f t="shared" si="1"/>
        <v>0.60881101900566814</v>
      </c>
      <c r="L31" s="2">
        <f t="shared" si="2"/>
        <v>2.7718585822512667</v>
      </c>
    </row>
    <row r="32" spans="1:12" ht="15.75" customHeight="1" x14ac:dyDescent="0.2">
      <c r="B32" s="1">
        <v>10000</v>
      </c>
      <c r="C32" s="7">
        <v>2389</v>
      </c>
      <c r="D32" s="2">
        <f t="shared" si="0"/>
        <v>0.2389</v>
      </c>
      <c r="E32" s="2">
        <f t="shared" si="3"/>
        <v>2.7085124677558099</v>
      </c>
      <c r="F32" s="6">
        <v>1.2030000000000001</v>
      </c>
      <c r="G32" s="6">
        <v>0.55100000000000005</v>
      </c>
      <c r="H32" s="6">
        <v>13.192</v>
      </c>
      <c r="I32" s="2">
        <f t="shared" si="4"/>
        <v>2.2873536481352232</v>
      </c>
      <c r="J32" s="6">
        <v>22.266999999999999</v>
      </c>
      <c r="K32" s="2">
        <f t="shared" si="1"/>
        <v>0.43643319999999997</v>
      </c>
      <c r="L32" s="2">
        <f t="shared" si="2"/>
        <v>1.96</v>
      </c>
    </row>
    <row r="33" spans="2:12" ht="15.75" customHeight="1" x14ac:dyDescent="0.2">
      <c r="B33" s="1">
        <v>50000</v>
      </c>
      <c r="C33" s="7">
        <v>11958</v>
      </c>
      <c r="D33" s="2">
        <f t="shared" si="0"/>
        <v>0.23916000000000001</v>
      </c>
      <c r="E33" s="2">
        <f t="shared" si="3"/>
        <v>0.10883214734198532</v>
      </c>
      <c r="F33" s="6">
        <v>1.2210000000000001</v>
      </c>
      <c r="G33" s="6">
        <v>0.54800000000000004</v>
      </c>
      <c r="H33" s="6">
        <v>13.484</v>
      </c>
      <c r="I33" s="2">
        <f t="shared" si="4"/>
        <v>2.2134627046694959</v>
      </c>
      <c r="J33" s="6">
        <v>22.393000000000001</v>
      </c>
      <c r="K33" s="2">
        <f t="shared" si="1"/>
        <v>0.19628329926299895</v>
      </c>
      <c r="L33" s="2">
        <f t="shared" si="2"/>
        <v>0.87653864717991758</v>
      </c>
    </row>
    <row r="34" spans="2:12" ht="15.75" customHeight="1" x14ac:dyDescent="0.2">
      <c r="B34" s="1">
        <v>100000</v>
      </c>
      <c r="C34" s="7">
        <v>23917</v>
      </c>
      <c r="D34" s="2">
        <f t="shared" si="0"/>
        <v>0.23916999999999999</v>
      </c>
      <c r="E34" s="2">
        <f t="shared" si="3"/>
        <v>4.1813012209246381E-3</v>
      </c>
      <c r="F34" s="6">
        <v>1.2290000000000001</v>
      </c>
      <c r="G34" s="6">
        <v>0.55800000000000005</v>
      </c>
      <c r="H34" s="6">
        <v>13.59</v>
      </c>
      <c r="I34" s="2">
        <f t="shared" si="4"/>
        <v>0.78611687926431273</v>
      </c>
      <c r="J34" s="6">
        <v>22.423999999999999</v>
      </c>
      <c r="K34" s="2">
        <f t="shared" si="1"/>
        <v>0.13898539193316684</v>
      </c>
      <c r="L34" s="2">
        <f t="shared" si="2"/>
        <v>0.61980642139300235</v>
      </c>
    </row>
    <row r="35" spans="2:12" ht="15.75" customHeight="1" x14ac:dyDescent="0.2">
      <c r="B35" s="1">
        <v>500000</v>
      </c>
      <c r="C35" s="7">
        <v>119984</v>
      </c>
      <c r="D35" s="2">
        <f t="shared" si="0"/>
        <v>0.23996799999999999</v>
      </c>
      <c r="E35" s="2">
        <f t="shared" si="3"/>
        <v>0.33365388635698423</v>
      </c>
      <c r="F35" s="6">
        <v>1.236</v>
      </c>
      <c r="G35" s="6">
        <v>0.56000000000000005</v>
      </c>
      <c r="H35" s="6">
        <v>13.691000000000001</v>
      </c>
      <c r="I35" s="2">
        <f t="shared" si="4"/>
        <v>0.74319352465049349</v>
      </c>
      <c r="J35" s="6">
        <v>22.608000000000001</v>
      </c>
      <c r="K35" s="2">
        <f t="shared" si="1"/>
        <v>6.2666178827536625E-2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L35"/>
  <sheetViews>
    <sheetView workbookViewId="0">
      <selection activeCell="D4" sqref="D4:D9"/>
    </sheetView>
  </sheetViews>
  <sheetFormatPr defaultColWidth="12.5703125" defaultRowHeight="15.75" customHeight="1" x14ac:dyDescent="0.2"/>
  <cols>
    <col min="2" max="2" width="23.5703125" customWidth="1"/>
    <col min="4" max="4" width="18.85546875" bestFit="1" customWidth="1"/>
  </cols>
  <sheetData>
    <row r="2" spans="2:7" ht="15.75" customHeight="1" x14ac:dyDescent="0.2">
      <c r="G2" s="1" t="s">
        <v>0</v>
      </c>
    </row>
    <row r="3" spans="2:7" ht="15.75" customHeight="1" x14ac:dyDescent="0.2">
      <c r="B3" s="30" t="s">
        <v>1</v>
      </c>
      <c r="C3" s="31"/>
      <c r="D3" s="1">
        <v>6</v>
      </c>
      <c r="G3" s="1">
        <v>0.6</v>
      </c>
    </row>
    <row r="4" spans="2:7" ht="15.75" customHeight="1" x14ac:dyDescent="0.2">
      <c r="B4" s="30" t="s">
        <v>2</v>
      </c>
      <c r="C4" s="31"/>
      <c r="D4" s="1">
        <v>3</v>
      </c>
    </row>
    <row r="5" spans="2:7" ht="15.75" customHeight="1" x14ac:dyDescent="0.2">
      <c r="B5" s="30" t="s">
        <v>3</v>
      </c>
      <c r="C5" s="31"/>
      <c r="D5" s="12" t="s">
        <v>46</v>
      </c>
    </row>
    <row r="6" spans="2:7" ht="15.75" customHeight="1" x14ac:dyDescent="0.2">
      <c r="B6" s="32" t="s">
        <v>4</v>
      </c>
      <c r="C6" s="1" t="s">
        <v>5</v>
      </c>
      <c r="D6" s="1">
        <v>14.093</v>
      </c>
    </row>
    <row r="7" spans="2:7" ht="15.75" customHeight="1" x14ac:dyDescent="0.2">
      <c r="B7" s="33"/>
      <c r="C7" s="1" t="s">
        <v>6</v>
      </c>
      <c r="D7" s="1" t="s">
        <v>30</v>
      </c>
    </row>
    <row r="8" spans="2:7" ht="15.75" customHeight="1" x14ac:dyDescent="0.2">
      <c r="B8" s="32" t="s">
        <v>8</v>
      </c>
      <c r="C8" s="1" t="s">
        <v>5</v>
      </c>
      <c r="D8" s="2">
        <v>8.8420000000000005</v>
      </c>
    </row>
    <row r="9" spans="2:7" ht="15.75" customHeight="1" x14ac:dyDescent="0.2">
      <c r="B9" s="33"/>
      <c r="C9" s="1" t="s">
        <v>9</v>
      </c>
      <c r="D9" s="1">
        <v>3.109</v>
      </c>
    </row>
    <row r="21" spans="2:12" ht="15.75" customHeight="1" x14ac:dyDescent="0.2">
      <c r="B21" s="26" t="s">
        <v>10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28"/>
      <c r="C22" s="29"/>
      <c r="D22" s="1">
        <f>D4</f>
        <v>3</v>
      </c>
      <c r="E22" s="1" t="str">
        <f>D5</f>
        <v>2+1</v>
      </c>
      <c r="F22" s="1" t="s">
        <v>40</v>
      </c>
      <c r="G22" s="8">
        <v>14.093</v>
      </c>
      <c r="H22">
        <v>8.8420000000000005</v>
      </c>
      <c r="I22" s="1">
        <v>1</v>
      </c>
    </row>
    <row r="23" spans="2:12" ht="15.75" customHeight="1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">
      <c r="B24" s="1">
        <v>10</v>
      </c>
      <c r="C24" s="7">
        <v>7</v>
      </c>
      <c r="D24" s="2">
        <f t="shared" ref="D24:D35" si="0">C24/B24</f>
        <v>0.7</v>
      </c>
      <c r="E24" s="2" t="s">
        <v>29</v>
      </c>
      <c r="F24" s="6">
        <v>1.635</v>
      </c>
      <c r="G24" s="6">
        <v>0.61499999999999999</v>
      </c>
      <c r="H24" s="6">
        <v>5.7210000000000001</v>
      </c>
      <c r="I24" s="2" t="s">
        <v>29</v>
      </c>
      <c r="J24" s="6">
        <v>7.6280000000000001</v>
      </c>
      <c r="K24" s="2">
        <f t="shared" ref="K24:K35" si="1">SQRT(J24^2/B24)*1.96</f>
        <v>4.727883382385822</v>
      </c>
      <c r="L24" s="2">
        <f t="shared" ref="L24:L35" si="2">K24/J24*100</f>
        <v>61.980642139300237</v>
      </c>
    </row>
    <row r="25" spans="2:12" ht="15.75" customHeight="1" x14ac:dyDescent="0.2">
      <c r="B25" s="1">
        <v>20</v>
      </c>
      <c r="C25" s="7">
        <v>13</v>
      </c>
      <c r="D25" s="2">
        <f t="shared" si="0"/>
        <v>0.65</v>
      </c>
      <c r="E25" s="2">
        <f t="shared" ref="E25:E35" si="3">ABS(100*D25/D24-100)</f>
        <v>7.1428571428571388</v>
      </c>
      <c r="F25" s="6">
        <v>1.9670000000000001</v>
      </c>
      <c r="G25" s="6">
        <v>0.71599999999999997</v>
      </c>
      <c r="H25" s="6">
        <v>9.8360000000000003</v>
      </c>
      <c r="I25" s="2">
        <f t="shared" ref="I25:I35" si="4">ABS(100*H25/H24-100)</f>
        <v>71.927984618073765</v>
      </c>
      <c r="J25" s="6">
        <v>13.609</v>
      </c>
      <c r="K25" s="2">
        <f t="shared" si="1"/>
        <v>5.9644072247357496</v>
      </c>
      <c r="L25" s="2">
        <f t="shared" si="2"/>
        <v>43.826932358995883</v>
      </c>
    </row>
    <row r="26" spans="2:12" ht="15.75" customHeight="1" x14ac:dyDescent="0.2">
      <c r="B26" s="1">
        <v>50</v>
      </c>
      <c r="C26" s="7">
        <v>32</v>
      </c>
      <c r="D26" s="2">
        <f t="shared" si="0"/>
        <v>0.64</v>
      </c>
      <c r="E26" s="2">
        <f t="shared" si="3"/>
        <v>1.5384615384615472</v>
      </c>
      <c r="F26" s="6">
        <v>2.38</v>
      </c>
      <c r="G26" s="6">
        <v>0.71299999999999997</v>
      </c>
      <c r="H26" s="6">
        <v>13.032999999999999</v>
      </c>
      <c r="I26" s="2">
        <f t="shared" si="4"/>
        <v>32.503050020333461</v>
      </c>
      <c r="J26" s="6">
        <v>15.509</v>
      </c>
      <c r="K26" s="2">
        <f t="shared" si="1"/>
        <v>4.2988754752134897</v>
      </c>
      <c r="L26" s="2">
        <f t="shared" si="2"/>
        <v>27.718585822512665</v>
      </c>
    </row>
    <row r="27" spans="2:12" ht="15.75" customHeight="1" x14ac:dyDescent="0.2">
      <c r="B27" s="1">
        <v>100</v>
      </c>
      <c r="C27" s="7">
        <v>68</v>
      </c>
      <c r="D27" s="2">
        <f t="shared" si="0"/>
        <v>0.68</v>
      </c>
      <c r="E27" s="2">
        <f t="shared" si="3"/>
        <v>6.25</v>
      </c>
      <c r="F27" s="6">
        <v>2.5089999999999999</v>
      </c>
      <c r="G27" s="6">
        <v>0.77700000000000002</v>
      </c>
      <c r="H27" s="6">
        <v>17.562000000000001</v>
      </c>
      <c r="I27" s="2">
        <f t="shared" si="4"/>
        <v>34.750249366991483</v>
      </c>
      <c r="J27" s="6">
        <v>20.18</v>
      </c>
      <c r="K27" s="2">
        <f t="shared" si="1"/>
        <v>3.9552799999999997</v>
      </c>
      <c r="L27" s="2">
        <f t="shared" si="2"/>
        <v>19.599999999999998</v>
      </c>
    </row>
    <row r="28" spans="2:12" ht="15.75" customHeight="1" x14ac:dyDescent="0.2">
      <c r="B28" s="1">
        <v>200</v>
      </c>
      <c r="C28" s="7">
        <v>132</v>
      </c>
      <c r="D28" s="2">
        <f t="shared" si="0"/>
        <v>0.66</v>
      </c>
      <c r="E28" s="2">
        <f t="shared" si="3"/>
        <v>2.9411764705882462</v>
      </c>
      <c r="F28" s="6">
        <v>2.3340000000000001</v>
      </c>
      <c r="G28" s="6">
        <v>0.85399999999999998</v>
      </c>
      <c r="H28" s="6">
        <v>14.417999999999999</v>
      </c>
      <c r="I28" s="2">
        <f t="shared" si="4"/>
        <v>17.902289033139738</v>
      </c>
      <c r="J28" s="6">
        <v>16.904</v>
      </c>
      <c r="K28" s="2">
        <f t="shared" si="1"/>
        <v>2.3427748737187701</v>
      </c>
      <c r="L28" s="2">
        <f t="shared" si="2"/>
        <v>13.859292911256329</v>
      </c>
    </row>
    <row r="29" spans="2:12" ht="15.75" customHeight="1" x14ac:dyDescent="0.2">
      <c r="B29" s="1">
        <v>500</v>
      </c>
      <c r="C29" s="7">
        <v>345</v>
      </c>
      <c r="D29" s="2">
        <f t="shared" si="0"/>
        <v>0.69</v>
      </c>
      <c r="E29" s="2">
        <f t="shared" si="3"/>
        <v>4.5454545454545467</v>
      </c>
      <c r="F29" s="6">
        <v>2.4889999999999999</v>
      </c>
      <c r="G29" s="6">
        <v>0.86199999999999999</v>
      </c>
      <c r="H29" s="6">
        <v>18.966999999999999</v>
      </c>
      <c r="I29" s="2">
        <f t="shared" si="4"/>
        <v>31.550839228741836</v>
      </c>
      <c r="J29" s="6">
        <v>20.92</v>
      </c>
      <c r="K29" s="2">
        <f t="shared" si="1"/>
        <v>1.8337188499003876</v>
      </c>
      <c r="L29" s="2">
        <f t="shared" si="2"/>
        <v>8.7653864717991752</v>
      </c>
    </row>
    <row r="30" spans="2:12" ht="15.75" customHeight="1" x14ac:dyDescent="0.2">
      <c r="B30" s="1">
        <v>1000</v>
      </c>
      <c r="C30" s="7">
        <v>681</v>
      </c>
      <c r="D30" s="2">
        <f t="shared" si="0"/>
        <v>0.68100000000000005</v>
      </c>
      <c r="E30" s="2">
        <f t="shared" si="3"/>
        <v>1.3043478260869392</v>
      </c>
      <c r="F30" s="6">
        <v>2.44</v>
      </c>
      <c r="G30" s="6">
        <v>0.84699999999999998</v>
      </c>
      <c r="H30" s="6">
        <v>18.420999999999999</v>
      </c>
      <c r="I30" s="2">
        <f t="shared" si="4"/>
        <v>2.8786840301576433</v>
      </c>
      <c r="J30" s="6">
        <v>20.786999999999999</v>
      </c>
      <c r="K30" s="2">
        <f t="shared" si="1"/>
        <v>1.2883916081496338</v>
      </c>
      <c r="L30" s="2">
        <f t="shared" si="2"/>
        <v>6.1980642139300235</v>
      </c>
    </row>
    <row r="31" spans="2:12" ht="15.75" customHeight="1" x14ac:dyDescent="0.2">
      <c r="B31" s="1">
        <v>5000</v>
      </c>
      <c r="C31" s="7">
        <v>3540</v>
      </c>
      <c r="D31" s="2">
        <f t="shared" si="0"/>
        <v>0.70799999999999996</v>
      </c>
      <c r="E31" s="2">
        <f t="shared" si="3"/>
        <v>3.9647577092510886</v>
      </c>
      <c r="F31" s="6">
        <v>2.476</v>
      </c>
      <c r="G31" s="6">
        <v>0.82299999999999995</v>
      </c>
      <c r="H31" s="6">
        <v>21.536000000000001</v>
      </c>
      <c r="I31" s="2">
        <f t="shared" si="4"/>
        <v>16.910048314423776</v>
      </c>
      <c r="J31" s="6">
        <v>24.088000000000001</v>
      </c>
      <c r="K31" s="2">
        <f t="shared" si="1"/>
        <v>0.66768529529268494</v>
      </c>
      <c r="L31" s="2">
        <f t="shared" si="2"/>
        <v>2.7718585822512658</v>
      </c>
    </row>
    <row r="32" spans="2:12" ht="15.75" customHeight="1" x14ac:dyDescent="0.2">
      <c r="B32" s="1">
        <v>10000</v>
      </c>
      <c r="C32" s="7">
        <v>7103</v>
      </c>
      <c r="D32" s="2">
        <f t="shared" si="0"/>
        <v>0.71030000000000004</v>
      </c>
      <c r="E32" s="2">
        <f t="shared" si="3"/>
        <v>0.3248587570621595</v>
      </c>
      <c r="F32" s="6">
        <v>2.4900000000000002</v>
      </c>
      <c r="G32" s="6">
        <v>0.82899999999999996</v>
      </c>
      <c r="H32" s="6">
        <v>21.824000000000002</v>
      </c>
      <c r="I32" s="2">
        <f t="shared" si="4"/>
        <v>1.3372956909361022</v>
      </c>
      <c r="J32" s="6">
        <v>24.32</v>
      </c>
      <c r="K32" s="2">
        <f t="shared" si="1"/>
        <v>0.47667199999999998</v>
      </c>
      <c r="L32" s="2">
        <f t="shared" si="2"/>
        <v>1.96</v>
      </c>
    </row>
    <row r="33" spans="2:12" ht="15.75" customHeight="1" x14ac:dyDescent="0.2">
      <c r="B33" s="1">
        <v>50000</v>
      </c>
      <c r="C33" s="7">
        <v>35669</v>
      </c>
      <c r="D33" s="2">
        <f t="shared" si="0"/>
        <v>0.71338000000000001</v>
      </c>
      <c r="E33" s="2">
        <f t="shared" si="3"/>
        <v>0.43361959735324263</v>
      </c>
      <c r="F33" s="6">
        <v>2.4990000000000001</v>
      </c>
      <c r="G33" s="6">
        <v>0.83099999999999996</v>
      </c>
      <c r="H33" s="6">
        <v>22.085999999999999</v>
      </c>
      <c r="I33" s="2">
        <f t="shared" si="4"/>
        <v>1.2005131964809266</v>
      </c>
      <c r="J33" s="6">
        <v>24.67</v>
      </c>
      <c r="K33" s="2">
        <f t="shared" si="1"/>
        <v>0.21624208425928568</v>
      </c>
      <c r="L33" s="2">
        <f t="shared" si="2"/>
        <v>0.87653864717991758</v>
      </c>
    </row>
    <row r="34" spans="2:12" ht="15.75" customHeight="1" x14ac:dyDescent="0.2">
      <c r="B34" s="1">
        <v>100000</v>
      </c>
      <c r="C34" s="7">
        <v>71541</v>
      </c>
      <c r="D34" s="2">
        <f t="shared" si="0"/>
        <v>0.71540999999999999</v>
      </c>
      <c r="E34" s="2">
        <f t="shared" si="3"/>
        <v>0.28456082312371223</v>
      </c>
      <c r="F34" s="6">
        <v>2.5099999999999998</v>
      </c>
      <c r="G34" s="6">
        <v>0.83199999999999996</v>
      </c>
      <c r="H34" s="6">
        <v>22.437999999999999</v>
      </c>
      <c r="I34" s="2">
        <f t="shared" si="4"/>
        <v>1.5937698089287267</v>
      </c>
      <c r="J34" s="6">
        <v>24.933</v>
      </c>
      <c r="K34" s="2">
        <f t="shared" si="1"/>
        <v>0.15453633504591727</v>
      </c>
      <c r="L34" s="2">
        <f t="shared" si="2"/>
        <v>0.61980642139300235</v>
      </c>
    </row>
    <row r="35" spans="2:12" ht="15.75" customHeight="1" x14ac:dyDescent="0.2">
      <c r="B35" s="1">
        <v>500000</v>
      </c>
      <c r="C35" s="7">
        <v>358461</v>
      </c>
      <c r="D35" s="2">
        <f t="shared" si="0"/>
        <v>0.71692199999999995</v>
      </c>
      <c r="E35" s="2">
        <f t="shared" si="3"/>
        <v>0.21134733928796834</v>
      </c>
      <c r="F35" s="6">
        <v>2.5139999999999998</v>
      </c>
      <c r="G35" s="6">
        <v>0.83199999999999996</v>
      </c>
      <c r="H35" s="6">
        <v>22.715</v>
      </c>
      <c r="I35" s="2">
        <f t="shared" si="4"/>
        <v>1.2345128799358349</v>
      </c>
      <c r="J35" s="6">
        <v>25.288</v>
      </c>
      <c r="K35" s="2">
        <f t="shared" si="1"/>
        <v>7.0094759827970018E-2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N3:Q6"/>
  <sheetViews>
    <sheetView topLeftCell="A4" workbookViewId="0">
      <selection activeCell="Q7" sqref="Q7"/>
    </sheetView>
  </sheetViews>
  <sheetFormatPr defaultColWidth="12.5703125" defaultRowHeight="15.75" customHeight="1" x14ac:dyDescent="0.2"/>
  <sheetData>
    <row r="3" spans="14:17" ht="15.75" customHeight="1" x14ac:dyDescent="0.2">
      <c r="N3" s="1"/>
      <c r="O3" s="1" t="s">
        <v>32</v>
      </c>
      <c r="P3" s="1" t="s">
        <v>33</v>
      </c>
      <c r="Q3" s="1" t="s">
        <v>31</v>
      </c>
    </row>
    <row r="4" spans="14:17" ht="15.75" customHeight="1" x14ac:dyDescent="0.2">
      <c r="N4" s="1" t="s">
        <v>20</v>
      </c>
      <c r="O4" s="2">
        <f>'Вариант 4'!D35</f>
        <v>3.5346000000000002E-2</v>
      </c>
      <c r="P4" s="2">
        <f>'Вариант 5'!D35</f>
        <v>0.23996799999999999</v>
      </c>
      <c r="Q4" s="2">
        <f>'Вариант 6'!D35</f>
        <v>0.71692199999999995</v>
      </c>
    </row>
    <row r="5" spans="14:17" ht="15.75" customHeight="1" x14ac:dyDescent="0.2">
      <c r="N5" s="1" t="s">
        <v>22</v>
      </c>
      <c r="O5" s="2">
        <f>'Вариант 4'!F35</f>
        <v>0.16600000000000001</v>
      </c>
      <c r="P5" s="2">
        <f>'Вариант 5'!F35</f>
        <v>1.236</v>
      </c>
      <c r="Q5" s="2">
        <f>'Вариант 6'!F35</f>
        <v>2.5139999999999998</v>
      </c>
    </row>
    <row r="6" spans="14:17" ht="15.75" customHeight="1" x14ac:dyDescent="0.2">
      <c r="N6" s="1" t="s">
        <v>24</v>
      </c>
      <c r="O6" s="2">
        <f>'Вариант 4'!H35</f>
        <v>4.9630000000000001</v>
      </c>
      <c r="P6" s="2">
        <f>'Вариант 5'!H35</f>
        <v>13.691000000000001</v>
      </c>
      <c r="Q6" s="2">
        <f>'Вариант 6'!H35</f>
        <v>22.715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L35"/>
  <sheetViews>
    <sheetView workbookViewId="0">
      <selection activeCell="H21" sqref="H21"/>
    </sheetView>
  </sheetViews>
  <sheetFormatPr defaultColWidth="12.5703125" defaultRowHeight="15.75" customHeight="1" x14ac:dyDescent="0.2"/>
  <cols>
    <col min="2" max="2" width="23.5703125" customWidth="1"/>
    <col min="4" max="4" width="17.7109375" bestFit="1" customWidth="1"/>
  </cols>
  <sheetData>
    <row r="2" spans="2:7" ht="15.75" customHeight="1" x14ac:dyDescent="0.2">
      <c r="G2" s="1" t="s">
        <v>0</v>
      </c>
    </row>
    <row r="3" spans="2:7" ht="15.75" customHeight="1" x14ac:dyDescent="0.2">
      <c r="B3" s="30" t="s">
        <v>1</v>
      </c>
      <c r="C3" s="31"/>
      <c r="D3" s="1">
        <v>7</v>
      </c>
      <c r="G3" s="1">
        <v>0.3</v>
      </c>
    </row>
    <row r="4" spans="2:7" ht="15.75" customHeight="1" x14ac:dyDescent="0.2">
      <c r="B4" s="30" t="s">
        <v>2</v>
      </c>
      <c r="C4" s="31"/>
      <c r="D4" s="1">
        <v>3</v>
      </c>
    </row>
    <row r="5" spans="2:7" ht="15.75" customHeight="1" x14ac:dyDescent="0.2">
      <c r="B5" s="30" t="s">
        <v>3</v>
      </c>
      <c r="C5" s="31"/>
      <c r="D5" s="12" t="s">
        <v>46</v>
      </c>
    </row>
    <row r="6" spans="2:7" ht="15.75" customHeight="1" x14ac:dyDescent="0.2">
      <c r="B6" s="32" t="s">
        <v>4</v>
      </c>
      <c r="C6" s="1" t="s">
        <v>5</v>
      </c>
      <c r="D6" s="1">
        <v>14.093</v>
      </c>
    </row>
    <row r="7" spans="2:7" ht="15.75" customHeight="1" x14ac:dyDescent="0.2">
      <c r="B7" s="33"/>
      <c r="C7" s="1" t="s">
        <v>6</v>
      </c>
      <c r="D7" s="1" t="s">
        <v>7</v>
      </c>
    </row>
    <row r="8" spans="2:7" ht="15.75" customHeight="1" x14ac:dyDescent="0.2">
      <c r="B8" s="32" t="s">
        <v>8</v>
      </c>
      <c r="C8" s="1" t="s">
        <v>5</v>
      </c>
      <c r="D8" s="2">
        <v>4.484</v>
      </c>
    </row>
    <row r="9" spans="2:7" ht="15.75" customHeight="1" x14ac:dyDescent="0.2">
      <c r="B9" s="33"/>
      <c r="C9" s="1" t="s">
        <v>9</v>
      </c>
      <c r="D9" s="1">
        <v>1</v>
      </c>
    </row>
    <row r="21" spans="2:12" ht="15.75" customHeight="1" x14ac:dyDescent="0.2">
      <c r="B21" s="26" t="s">
        <v>43</v>
      </c>
      <c r="C21" s="27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28"/>
      <c r="C22" s="29"/>
      <c r="D22" s="1">
        <v>3</v>
      </c>
      <c r="E22" s="1" t="s">
        <v>46</v>
      </c>
      <c r="F22" s="1" t="s">
        <v>39</v>
      </c>
      <c r="G22" s="8">
        <v>14.093</v>
      </c>
      <c r="H22" s="2">
        <v>4.484</v>
      </c>
      <c r="I22" s="1">
        <v>1</v>
      </c>
    </row>
    <row r="23" spans="2:12" ht="15.75" customHeight="1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">
      <c r="B24" s="1">
        <v>10</v>
      </c>
      <c r="C24" s="7">
        <v>0</v>
      </c>
      <c r="D24" s="2">
        <f t="shared" ref="D24:D35" si="0">C24/B24</f>
        <v>0</v>
      </c>
      <c r="E24" s="2" t="s">
        <v>29</v>
      </c>
      <c r="F24" s="6">
        <v>0.20499999999999999</v>
      </c>
      <c r="G24" s="6">
        <f>AVERAGE(0.266,0.015,0.019)</f>
        <v>0.10000000000000002</v>
      </c>
      <c r="H24" s="6">
        <v>3.28</v>
      </c>
      <c r="I24" s="2" t="s">
        <v>29</v>
      </c>
      <c r="J24" s="6">
        <v>8.7469999999999999</v>
      </c>
      <c r="K24" s="2">
        <f t="shared" ref="K24:K35" si="1">SQRT(J24^2/B24)*1.96</f>
        <v>5.4214467679245919</v>
      </c>
      <c r="L24" s="2">
        <f t="shared" ref="L24:L35" si="2">K24/J24*100</f>
        <v>61.980642139300237</v>
      </c>
    </row>
    <row r="25" spans="2:12" ht="15.75" customHeight="1" x14ac:dyDescent="0.2">
      <c r="B25" s="1">
        <v>20</v>
      </c>
      <c r="C25" s="7">
        <v>0</v>
      </c>
      <c r="D25" s="2">
        <f t="shared" si="0"/>
        <v>0</v>
      </c>
      <c r="E25" s="2">
        <v>0</v>
      </c>
      <c r="F25" s="6">
        <v>9.7000000000000003E-2</v>
      </c>
      <c r="G25" s="6">
        <f>AVERAGE(0.214,0.006,0.016)</f>
        <v>7.8666666666666663E-2</v>
      </c>
      <c r="H25" s="6">
        <v>1.8149999999999999</v>
      </c>
      <c r="I25" s="2">
        <f>ABS(100*H25/H24-100)</f>
        <v>44.664634146341463</v>
      </c>
      <c r="J25" s="6">
        <v>5.8070000000000004</v>
      </c>
      <c r="K25" s="2">
        <f t="shared" si="1"/>
        <v>2.545029962086891</v>
      </c>
      <c r="L25" s="2">
        <f t="shared" si="2"/>
        <v>43.826932358995876</v>
      </c>
    </row>
    <row r="26" spans="2:12" ht="15.75" customHeight="1" x14ac:dyDescent="0.2">
      <c r="B26" s="1">
        <v>50</v>
      </c>
      <c r="C26" s="7">
        <v>0</v>
      </c>
      <c r="D26" s="2">
        <f t="shared" si="0"/>
        <v>0</v>
      </c>
      <c r="E26" s="2">
        <v>0</v>
      </c>
      <c r="F26" s="6">
        <f>0.043+0.006</f>
        <v>4.8999999999999995E-2</v>
      </c>
      <c r="G26" s="6">
        <f>AVERAGE(0.205,0.11,0.095)</f>
        <v>0.13666666666666669</v>
      </c>
      <c r="H26" s="6">
        <f>0.946+0.216</f>
        <v>1.1619999999999999</v>
      </c>
      <c r="I26" s="2">
        <f t="shared" ref="I26:I35" si="3">ABS(100*H26/H25-100)</f>
        <v>35.977961432506888</v>
      </c>
      <c r="J26" s="6">
        <f>4.965+2.592</f>
        <v>7.5570000000000004</v>
      </c>
      <c r="K26" s="2">
        <f t="shared" si="1"/>
        <v>2.094693530607282</v>
      </c>
      <c r="L26" s="2">
        <f t="shared" si="2"/>
        <v>27.718585822512665</v>
      </c>
    </row>
    <row r="27" spans="2:12" ht="15.75" customHeight="1" x14ac:dyDescent="0.2">
      <c r="B27" s="1">
        <v>100</v>
      </c>
      <c r="C27" s="7">
        <v>0</v>
      </c>
      <c r="D27" s="2">
        <f t="shared" si="0"/>
        <v>0</v>
      </c>
      <c r="E27" s="2">
        <v>0</v>
      </c>
      <c r="F27" s="6">
        <f>0.038+0.006</f>
        <v>4.3999999999999997E-2</v>
      </c>
      <c r="G27" s="6">
        <f>AVERAGE(0.183,0.012,0.112)</f>
        <v>0.10233333333333333</v>
      </c>
      <c r="H27" s="6">
        <f>0.894+0.257</f>
        <v>1.151</v>
      </c>
      <c r="I27" s="2">
        <f t="shared" si="3"/>
        <v>0.9466437177280369</v>
      </c>
      <c r="J27" s="6">
        <f>4.393+2.828</f>
        <v>7.2210000000000001</v>
      </c>
      <c r="K27" s="2">
        <f t="shared" si="1"/>
        <v>1.415316</v>
      </c>
      <c r="L27" s="2">
        <f t="shared" si="2"/>
        <v>19.600000000000001</v>
      </c>
    </row>
    <row r="28" spans="2:12" ht="12.75" x14ac:dyDescent="0.2">
      <c r="B28" s="1">
        <v>200</v>
      </c>
      <c r="C28" s="7">
        <v>1</v>
      </c>
      <c r="D28" s="2">
        <f t="shared" si="0"/>
        <v>5.0000000000000001E-3</v>
      </c>
      <c r="E28" s="2">
        <v>0</v>
      </c>
      <c r="F28" s="6">
        <f>0.029+0.009</f>
        <v>3.7999999999999999E-2</v>
      </c>
      <c r="G28" s="6">
        <f>AVERAGE(0.16,0.028,0.1)</f>
        <v>9.6000000000000016E-2</v>
      </c>
      <c r="H28" s="6">
        <f>0.719+0.438</f>
        <v>1.157</v>
      </c>
      <c r="I28" s="2">
        <f t="shared" si="3"/>
        <v>0.52128583840139697</v>
      </c>
      <c r="J28" s="6">
        <f>5.212+5.168</f>
        <v>10.379999999999999</v>
      </c>
      <c r="K28" s="2">
        <f t="shared" si="1"/>
        <v>1.438594604188407</v>
      </c>
      <c r="L28" s="2">
        <f t="shared" si="2"/>
        <v>13.859292911256329</v>
      </c>
    </row>
    <row r="29" spans="2:12" ht="12.75" x14ac:dyDescent="0.2">
      <c r="B29" s="1">
        <v>500</v>
      </c>
      <c r="C29" s="7">
        <v>3</v>
      </c>
      <c r="D29" s="2">
        <f t="shared" si="0"/>
        <v>6.0000000000000001E-3</v>
      </c>
      <c r="E29" s="2">
        <f t="shared" ref="E29:E35" si="4">ABS(100*D29/D28-100)</f>
        <v>20</v>
      </c>
      <c r="F29" s="6">
        <f>0.028+0.012</f>
        <v>0.04</v>
      </c>
      <c r="G29" s="6">
        <f>AVERAGE(0.163,0.037,0.102)</f>
        <v>0.10066666666666667</v>
      </c>
      <c r="H29" s="6">
        <f>0.734+0.561</f>
        <v>1.2949999999999999</v>
      </c>
      <c r="I29" s="2">
        <f t="shared" si="3"/>
        <v>11.927398444252375</v>
      </c>
      <c r="J29" s="6">
        <f>5.122+6.2473</f>
        <v>11.369299999999999</v>
      </c>
      <c r="K29" s="2">
        <f>SQRT(J29^2/B29)*1.96</f>
        <v>0.99656308413826356</v>
      </c>
      <c r="L29" s="2">
        <f>K29/J29*100</f>
        <v>8.7653864717991752</v>
      </c>
    </row>
    <row r="30" spans="2:12" ht="12.75" x14ac:dyDescent="0.2">
      <c r="B30" s="1">
        <v>1000</v>
      </c>
      <c r="C30" s="7">
        <v>8</v>
      </c>
      <c r="D30" s="2">
        <f t="shared" si="0"/>
        <v>8.0000000000000002E-3</v>
      </c>
      <c r="E30" s="2">
        <f t="shared" si="4"/>
        <v>33.333333333333343</v>
      </c>
      <c r="F30" s="6">
        <f>0.03+0.011</f>
        <v>4.0999999999999995E-2</v>
      </c>
      <c r="G30" s="6">
        <f>AVERAGE(0.17,0.034,0.095)</f>
        <v>9.9666666666666681E-2</v>
      </c>
      <c r="H30" s="6">
        <f>0.779+0.481</f>
        <v>1.26</v>
      </c>
      <c r="I30" s="2">
        <f t="shared" si="3"/>
        <v>2.7027027027026946</v>
      </c>
      <c r="J30" s="6">
        <f>4.97+5.124</f>
        <v>10.093999999999999</v>
      </c>
      <c r="K30" s="2">
        <f>SQRT(J30^2/B30)*1.96</f>
        <v>0.62563260175409641</v>
      </c>
      <c r="L30" s="2">
        <f>K30/J30*100</f>
        <v>6.1980642139300217</v>
      </c>
    </row>
    <row r="31" spans="2:12" ht="12.75" x14ac:dyDescent="0.2">
      <c r="B31" s="1">
        <v>5000</v>
      </c>
      <c r="C31" s="7">
        <v>51</v>
      </c>
      <c r="D31" s="2">
        <f t="shared" si="0"/>
        <v>1.0200000000000001E-2</v>
      </c>
      <c r="E31" s="2">
        <f t="shared" si="4"/>
        <v>27.5</v>
      </c>
      <c r="F31" s="6">
        <f>0.038+0.009</f>
        <v>4.7E-2</v>
      </c>
      <c r="G31" s="6">
        <f>AVERAGE(0.182,0.037,0.092)</f>
        <v>0.10366666666666667</v>
      </c>
      <c r="H31" s="6">
        <f>0.967+0.413</f>
        <v>1.38</v>
      </c>
      <c r="I31" s="2">
        <f t="shared" si="3"/>
        <v>9.5238095238095184</v>
      </c>
      <c r="J31" s="6">
        <f>5.417+4.672</f>
        <v>10.088999999999999</v>
      </c>
      <c r="K31" s="2">
        <f t="shared" si="1"/>
        <v>0.27965281236333023</v>
      </c>
      <c r="L31" s="2">
        <f t="shared" si="2"/>
        <v>2.7718585822512662</v>
      </c>
    </row>
    <row r="32" spans="2:12" ht="12.75" x14ac:dyDescent="0.2">
      <c r="B32" s="1">
        <v>10000</v>
      </c>
      <c r="C32" s="7">
        <v>106</v>
      </c>
      <c r="D32" s="2">
        <f t="shared" si="0"/>
        <v>1.06E-2</v>
      </c>
      <c r="E32" s="2">
        <f t="shared" si="4"/>
        <v>3.9215686274509807</v>
      </c>
      <c r="F32" s="6">
        <f>0.037+0.009</f>
        <v>4.5999999999999999E-2</v>
      </c>
      <c r="G32" s="6">
        <f>AVERAGE(0.18,0.038,0.091)</f>
        <v>0.10299999999999999</v>
      </c>
      <c r="H32" s="6">
        <f>0.922+0.416</f>
        <v>1.3380000000000001</v>
      </c>
      <c r="I32" s="2">
        <f t="shared" si="3"/>
        <v>3.0434782608695485</v>
      </c>
      <c r="J32" s="6">
        <f>5.434+4.699</f>
        <v>10.132999999999999</v>
      </c>
      <c r="K32" s="2">
        <f t="shared" si="1"/>
        <v>0.19860679999999997</v>
      </c>
      <c r="L32" s="2">
        <f t="shared" si="2"/>
        <v>1.96</v>
      </c>
    </row>
    <row r="33" spans="2:12" ht="12.75" x14ac:dyDescent="0.2">
      <c r="B33" s="1">
        <v>50000</v>
      </c>
      <c r="C33" s="7">
        <v>565</v>
      </c>
      <c r="D33" s="2">
        <f t="shared" si="0"/>
        <v>1.1299999999999999E-2</v>
      </c>
      <c r="E33" s="2">
        <f t="shared" si="4"/>
        <v>6.6037735849056531</v>
      </c>
      <c r="F33" s="6">
        <f>0.036+0.008</f>
        <v>4.3999999999999997E-2</v>
      </c>
      <c r="G33" s="6">
        <f>AVERAGE(0.179,0.041,0.093)</f>
        <v>0.10433333333333333</v>
      </c>
      <c r="H33" s="6">
        <f>0.911+0.4</f>
        <v>1.3109999999999999</v>
      </c>
      <c r="I33" s="2">
        <f t="shared" si="3"/>
        <v>2.0179372197309533</v>
      </c>
      <c r="J33" s="6">
        <f>5.28+4.614</f>
        <v>9.8940000000000001</v>
      </c>
      <c r="K33" s="2">
        <f t="shared" si="1"/>
        <v>8.6724733751981045E-2</v>
      </c>
      <c r="L33" s="2">
        <f t="shared" si="2"/>
        <v>0.87653864717991758</v>
      </c>
    </row>
    <row r="34" spans="2:12" ht="12.75" x14ac:dyDescent="0.2">
      <c r="B34" s="1">
        <v>100000</v>
      </c>
      <c r="C34" s="7">
        <v>1077</v>
      </c>
      <c r="D34" s="2">
        <f t="shared" si="0"/>
        <v>1.077E-2</v>
      </c>
      <c r="E34" s="2">
        <f t="shared" si="4"/>
        <v>4.6902654867256643</v>
      </c>
      <c r="F34" s="6">
        <f>0.035+0.008</f>
        <v>4.3000000000000003E-2</v>
      </c>
      <c r="G34" s="6">
        <f t="shared" ref="G34" si="5">AVERAGE(0.266,0.015,0.019)</f>
        <v>0.10000000000000002</v>
      </c>
      <c r="H34" s="6">
        <f>0.891+0.393</f>
        <v>1.284</v>
      </c>
      <c r="I34" s="2">
        <f t="shared" si="3"/>
        <v>2.0594965675057182</v>
      </c>
      <c r="J34" s="6">
        <f>5.168+4.542</f>
        <v>9.7100000000000009</v>
      </c>
      <c r="K34" s="2">
        <f t="shared" si="1"/>
        <v>6.0183203517260538E-2</v>
      </c>
      <c r="L34" s="2">
        <f t="shared" si="2"/>
        <v>0.61980642139300235</v>
      </c>
    </row>
    <row r="35" spans="2:12" ht="12.75" x14ac:dyDescent="0.2">
      <c r="B35" s="1">
        <v>500000</v>
      </c>
      <c r="C35" s="7">
        <v>5511</v>
      </c>
      <c r="D35" s="2">
        <f t="shared" si="0"/>
        <v>1.1022000000000001E-2</v>
      </c>
      <c r="E35" s="2">
        <f t="shared" si="4"/>
        <v>2.3398328690807801</v>
      </c>
      <c r="F35" s="6">
        <f>0.035+0.008</f>
        <v>4.3000000000000003E-2</v>
      </c>
      <c r="G35" s="6">
        <f>AVERAGE(0.177,0.042,0.095)</f>
        <v>0.10466666666666667</v>
      </c>
      <c r="H35" s="6">
        <f>0.886+0.392</f>
        <v>1.278</v>
      </c>
      <c r="I35" s="2">
        <f t="shared" si="3"/>
        <v>0.46728971962616583</v>
      </c>
      <c r="J35" s="6">
        <f>5.145+4.519</f>
        <v>9.6639999999999997</v>
      </c>
      <c r="K35" s="2">
        <f t="shared" si="1"/>
        <v>2.6787241338876236E-2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Вариант 1</vt:lpstr>
      <vt:lpstr>Вариант 2</vt:lpstr>
      <vt:lpstr>Вариант 3</vt:lpstr>
      <vt:lpstr>ρ0,9</vt:lpstr>
      <vt:lpstr>Вариант 4</vt:lpstr>
      <vt:lpstr>Вариант 5</vt:lpstr>
      <vt:lpstr>Вариант 6</vt:lpstr>
      <vt:lpstr>ρ0,6</vt:lpstr>
      <vt:lpstr>Вариант 7</vt:lpstr>
      <vt:lpstr>Вариант 8</vt:lpstr>
      <vt:lpstr>Вариант 9</vt:lpstr>
      <vt:lpstr>ρ0,3</vt:lpstr>
      <vt:lpstr>Вариант 10</vt:lpstr>
      <vt:lpstr>Вариант 11</vt:lpstr>
      <vt:lpstr>Вариант 12</vt:lpstr>
      <vt:lpstr>Очереди</vt:lpstr>
      <vt:lpstr>Адекватность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SeeMemes</cp:lastModifiedBy>
  <dcterms:modified xsi:type="dcterms:W3CDTF">2022-12-12T01:11:10Z</dcterms:modified>
</cp:coreProperties>
</file>