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1"/>
  </bookViews>
  <sheets>
    <sheet r:id="rId1" sheetId="1" name="Planning"/>
    <sheet r:id="rId2" sheetId="2" name="Progress"/>
    <sheet r:id="rId3" sheetId="3" name="Verses per Chapter"/>
    <sheet r:id="rId4" sheetId="4" name="Harvest"/>
    <sheet r:id="rId5" sheetId="5" name="Copy Progress to Planning"/>
    <sheet r:id="rId6" sheetId="6" name="Calculations"/>
  </sheets>
  <definedNames>
    <definedName name="AATmp">Planning!$AH$93:$AH$97</definedName>
    <definedName name="Annual_Inputs">Calculations!$AQ$31:$AS$52</definedName>
    <definedName name="annualinputs">Planning!$AE$24</definedName>
    <definedName name="BookList">Calculations!$AH$91:$AM$91</definedName>
    <definedName name="BookList_Genesis">Calculations!$AH$92:$AH$96</definedName>
    <definedName name="BookList_Luke">Calculations!$AI$92:$AI$115</definedName>
    <definedName name="BookList_NewTribesChron">Calculations!$AM$92:$AM$126</definedName>
    <definedName name="BookList_NT">Calculations!$AJ$92:$AJ$118</definedName>
    <definedName name="BookList_OT">Calculations!$AK$92:$AK$130</definedName>
    <definedName name="BookList_PioneerSeries">Calculations!$AL$92:$AL$98</definedName>
    <definedName name="BottomOfAddNewRows">Planning!$Q$98</definedName>
    <definedName name="BottomOtherGoals">Progress!$P$95</definedName>
    <definedName name="ConditinalFormattingData">Progress!$AZ$23:$BK$88</definedName>
    <definedName name="Data_All">Calculations!$AA$89:$AC$226</definedName>
    <definedName name="Data_NT">Calculations!$AA$129:$AC$155</definedName>
    <definedName name="Data_OT">Calculations!$AA$90:$AC$128</definedName>
    <definedName name="Data_Target">Calculations!$AA$23:$AB$88</definedName>
    <definedName name="Days">Calculations!$P$23:$P$418</definedName>
    <definedName name="Days_Draft">Calculations!$P$23:$P$88</definedName>
    <definedName name="Diff_Mult">Calculations!$AE$23:$AE$88</definedName>
    <definedName name="GraphActual">OFFSET(INDEX(Progress!$BR$23:$BR$102,MATCH((Progress!$AT$17&amp;"1")*1,Progress!$BL$23:$BL$102)),0,0,(Progress!$AT$18-Progress!$AT$17)*4+4)</definedName>
    <definedName name="GraphFirstYear">Progress!$BM$28</definedName>
    <definedName name="GraphPlanned">OFFSET(INDEX(Progress!$BP$23:$BP$102,MATCH((Progress!$AT$17&amp;"1")*1,Progress!$BL$23:$BL$102)),0,0,(Progress!$AT$18-Progress!$AT$17)*4+4)</definedName>
    <definedName name="GraphScrollValue">Planning!$AL$24</definedName>
    <definedName name="GraphStage1">OFFSET(Planning!$AM$23,GraphScrollValue,0,GraphZoomValue,1)</definedName>
    <definedName name="GraphStage2">OFFSET(Planning!$AM$23,GraphScrollValue,1,GraphZoomValue,1)</definedName>
    <definedName name="GraphStage3">OFFSET(Planning!$AM$23,GraphScrollValue,2,GraphZoomValue,1)</definedName>
    <definedName name="GraphStage4">OFFSET(Planning!$AM$23,GraphScrollValue,3,GraphZoomValue,1)</definedName>
    <definedName name="GraphStage5">OFFSET(Planning!$AM$23,GraphScrollValue,4,GraphZoomValue,1)</definedName>
    <definedName name="GraphStage6">OFFSET(Planning!$AM$23,GraphScrollValue,5,GraphZoomValue,1)</definedName>
    <definedName name="GraphXValues">OFFSET(Planning!$I$19,GraphScrollValue,0,GraphZoomValue,1)</definedName>
    <definedName name="GraphYears">OFFSET(INDEX(Progress!$BP$23:$BP$102,MATCH((Progress!$AT$17&amp;"1")*1,Progress!$BL$23:$BL$102)),0,-3,(Progress!$AT$18-Progress!$AT$17)*4+4)</definedName>
    <definedName name="GraphYValues">OFFSET(Planning!$I$19,GraphScrollValue,0,GraphZoomValue,1)</definedName>
    <definedName name="GraphZoomValue">Planning!$AL$27</definedName>
    <definedName name="List_Year_Plan">OFFSET(Calculations!$AQ16,0,0,(Calculations!$AQ15-Calculations!$AQ17)+2,1)</definedName>
    <definedName name="List_Year_Progress">OFFSET(Calculations!$AQ15,0,0,(Calculations!$AQ13-Calculations!$AQ15)+1,1)</definedName>
    <definedName name="Luke">Calculations!$AA$156:$AA$179</definedName>
    <definedName name="Multiplier">Calculations!$AP$23:$AR$27</definedName>
    <definedName name="NTDATA">Calculations!$AA$40</definedName>
    <definedName name="NumberVersesDraft">Calculations!$AB$23:$AB$88</definedName>
    <definedName name="PlannedOtherDays">Planning!$Y$93:$Y$97</definedName>
    <definedName name="PlannedOtherYear">Planning!$Z$93:$Z$97</definedName>
    <definedName name="PlanningPageYears">Planning!$I$19:$I$38</definedName>
    <definedName name="PlanPercent">Calculations!$O$23:$O$418</definedName>
    <definedName name="PlanVE_PerBook">Calculations!$N$23:$N$418</definedName>
    <definedName name="PlanYear">Calculations!$L$23:$L$418</definedName>
    <definedName name="PlanYearDraft">Calculations!$L$23:$L$88</definedName>
    <definedName name="PrcntBreakdown">Calculations!$AH$23:$AM$88</definedName>
    <definedName name="PrcntFinishedSmall">Progress!$AG$20:$AM$39</definedName>
    <definedName name="PrcntFinishedTable">Progress!$AG$18:$AO$39</definedName>
    <definedName name="PrcntFinishedYears">Progress!$AG$20:$AG$39</definedName>
    <definedName name="PrcntPlannedPrcnt">Planning!$O$19:$O$38</definedName>
    <definedName name="PrcntPlannedYear">Planning!$J$15:$J$38</definedName>
    <definedName name="PrgPrcnDn1Drft">Calculations!$U$23:$U$88</definedName>
    <definedName name="PrgPrcnDn2TmCk">Calculations!$U$89:$U$154</definedName>
    <definedName name="PrgPrcnDn3ComTst">Calculations!$U$155:$U$220</definedName>
    <definedName name="PrgPrcnDn4BkTrns">Calculations!$U$221:$U$286</definedName>
    <definedName name="PrgPrcnDn5ConsCk">Calculations!$U$287:$U$352</definedName>
    <definedName name="PrgPrcnDn6Pblshd">Calculations!$U$353:$U$418</definedName>
    <definedName name="_xlnm.Print_Area" localSheetId="1">Progress!$P$17:$AP$131</definedName>
    <definedName name="ProgDraft">Progress!$S$23:$S$88</definedName>
    <definedName name="ProgPrcntDoneProject">Calculations!$U$23:$U$418</definedName>
    <definedName name="ProgPublished">Progress!$AC$23:$AC$88</definedName>
    <definedName name="ProgQuarter">Calculations!$R$23:$R$418</definedName>
    <definedName name="ProgTesting">Progress!$AA$23:$AA$88</definedName>
    <definedName name="ProgVssDoneAllYears">Calculations!$W$23:$W$418</definedName>
    <definedName name="ProgVssDoneProject">Calculations!$V$23:$V$418</definedName>
    <definedName name="ProgYearDone">Calculations!$S$23:$S$418</definedName>
    <definedName name="Q1Column">Progress!$AH$18:$AH$39</definedName>
    <definedName name="Q2Column">Progress!$AI$18:$AI$39</definedName>
    <definedName name="Q3Column">Progress!$AJ$18:$AJ$39</definedName>
    <definedName name="Q4Column">Progress!$AK$18:$AK$39</definedName>
    <definedName name="QtrCummulative">Progress!$BR$27:$BR$102</definedName>
    <definedName name="QuarterLabels">Progress!$AG$18:$AK$18</definedName>
    <definedName name="Quarters4">Calculations!$AP$30:$AP$33</definedName>
    <definedName name="Quarters5">Calculations!$AP$30:$AP$36</definedName>
    <definedName name="RptQtr">Progress!$AA$18</definedName>
    <definedName name="RptYr">Progress!$AB$18</definedName>
    <definedName name="SortTop">Planning!$Q$93</definedName>
    <definedName name="VE">Calculations!$N$419</definedName>
    <definedName name="Year">Calculations!$S$23:$S$418</definedName>
    <definedName name="Year1">Planning!$I$19</definedName>
    <definedName name="Year10">Planning!$I$28</definedName>
    <definedName name="Year11">Planning!$I$29</definedName>
    <definedName name="Year12">Planning!$I$30</definedName>
    <definedName name="Year13">Planning!$I$31</definedName>
    <definedName name="Year14">Planning!$I$32</definedName>
    <definedName name="Year15">Planning!$I$33</definedName>
    <definedName name="Year16">Planning!$I$34</definedName>
    <definedName name="Year17">Planning!$I$35</definedName>
    <definedName name="Year18">Planning!$I$36</definedName>
    <definedName name="Year19">Planning!$I$37</definedName>
    <definedName name="Year2">Planning!$I$20</definedName>
    <definedName name="Year20">Planning!$I$38</definedName>
    <definedName name="Year3">Planning!$I$21</definedName>
    <definedName name="Year4">Planning!$I$22</definedName>
    <definedName name="Year5">Planning!$I$23</definedName>
    <definedName name="Year6">Planning!$I$24</definedName>
    <definedName name="Year7">Planning!$I$25</definedName>
    <definedName name="Year8">Planning!$I$26</definedName>
    <definedName name="Year9">Planning!$I$27</definedName>
    <definedName name="YearAndPrcntPlanned">Planning!$I$19:$AJ$38</definedName>
    <definedName name="YearsAll">Progress!$AG$18:$AG$39</definedName>
  </definedNames>
  <calcPr fullCalcOnLoad="1"/>
</workbook>
</file>

<file path=xl/sharedStrings.xml><?xml version="1.0" encoding="utf-8"?>
<sst xmlns="http://schemas.openxmlformats.org/spreadsheetml/2006/main" count="658" uniqueCount="366">
  <si>
    <t>To bottom:</t>
  </si>
  <si>
    <t>Calculations!A440</t>
  </si>
  <si>
    <t>Book</t>
  </si>
  <si>
    <t>Difficulty Multiplier</t>
  </si>
  <si>
    <t>PLAN Year</t>
  </si>
  <si>
    <t>PLAN Verses (non-VE) in Project</t>
  </si>
  <si>
    <t>PLAN VE Verses in Project</t>
  </si>
  <si>
    <t>PLAN VE Percent in Project</t>
  </si>
  <si>
    <t>PLAN Days of Work</t>
  </si>
  <si>
    <t>PROGRESS</t>
  </si>
  <si>
    <t>PROGRESS VE Percent Done in Project</t>
  </si>
  <si>
    <t>PROGRESS 
VE Verses
Done
in Project</t>
  </si>
  <si>
    <t>PROGRESS 
VE 
Done
All Years</t>
  </si>
  <si>
    <t>Number of Verses in Books</t>
  </si>
  <si>
    <t>Degree of Difficulty</t>
  </si>
  <si>
    <t>Number of Verses to Translate</t>
  </si>
  <si>
    <t>"Difficulty" Multiplier</t>
  </si>
  <si>
    <t>Verses times Multi-plier</t>
  </si>
  <si>
    <t>Verse Equivalent 
Percentage breakdown in Project</t>
  </si>
  <si>
    <t>Book Percent of Project</t>
  </si>
  <si>
    <t>Book Difficulty Factors</t>
  </si>
  <si>
    <t>Multiplier</t>
  </si>
  <si>
    <t>QTR</t>
  </si>
  <si>
    <t>Year</t>
  </si>
  <si>
    <t>Lists</t>
  </si>
  <si>
    <t>Q1</t>
  </si>
  <si>
    <t>Q2</t>
  </si>
  <si>
    <t>Q3</t>
  </si>
  <si>
    <t>Q4</t>
  </si>
  <si>
    <t xml:space="preserve">Note: For the two Named Ranges that determine the dropdown list from the above column for </t>
  </si>
  <si>
    <t>the Plan or Progress Page, if I need to change the formula in Named Ranges, I must</t>
  </si>
  <si>
    <t>be on the correct page when entering the formula. I cannot enter the formula when I'm in</t>
  </si>
  <si>
    <t>the Calculations page, or it will be incorrect when I go to either the Plan or Progress page.</t>
  </si>
  <si>
    <t xml:space="preserve">To hide this window, </t>
  </si>
  <si>
    <t xml:space="preserve">Press Alt-F11 to display the Visual Basic Editor </t>
  </si>
  <si>
    <t>in the Project window, double-click Microsoft Excel Objects and select the sheet to hide.</t>
  </si>
  <si>
    <t xml:space="preserve">Press F4 to display the Property box </t>
  </si>
  <si>
    <t xml:space="preserve">Set the sheet's Visible property to xlSheetVeryHidden. </t>
  </si>
  <si>
    <t xml:space="preserve">To unhide the sheet, repeat these step, but set the Visible property to xlSheetVisible.
</t>
  </si>
  <si>
    <t>OT Selections</t>
  </si>
  <si>
    <t xml:space="preserve">Project Total Percent:  </t>
  </si>
  <si>
    <t>Genesis</t>
  </si>
  <si>
    <t>Old Testament</t>
  </si>
  <si>
    <t>Book List Selector</t>
  </si>
  <si>
    <t>Exodus</t>
  </si>
  <si>
    <t>Luke</t>
  </si>
  <si>
    <t>NT</t>
  </si>
  <si>
    <t>OT</t>
  </si>
  <si>
    <t>Pioneer Series</t>
  </si>
  <si>
    <t>New Tribes Chron</t>
  </si>
  <si>
    <t>Leviticus</t>
  </si>
  <si>
    <t>Genesis 1-10</t>
  </si>
  <si>
    <t>Luke 1</t>
  </si>
  <si>
    <t>Matthew</t>
  </si>
  <si>
    <t>Beginning of everything</t>
  </si>
  <si>
    <t>NTC Genesis</t>
  </si>
  <si>
    <t>Numbers</t>
  </si>
  <si>
    <t>Genesis 11-20</t>
  </si>
  <si>
    <t>Luke 2</t>
  </si>
  <si>
    <t>Mark</t>
  </si>
  <si>
    <t>God's people</t>
  </si>
  <si>
    <t>NTC Exodus</t>
  </si>
  <si>
    <t>Deuteronomy</t>
  </si>
  <si>
    <t>Genesis 21-30</t>
  </si>
  <si>
    <t>Luke 3</t>
  </si>
  <si>
    <t>God prepares the way</t>
  </si>
  <si>
    <t>NTC Leviticus</t>
  </si>
  <si>
    <t>Joshua</t>
  </si>
  <si>
    <t>Genesis 31-40</t>
  </si>
  <si>
    <t>Luke 4</t>
  </si>
  <si>
    <t>John</t>
  </si>
  <si>
    <t>Saviour of the World - Part 1</t>
  </si>
  <si>
    <t>NTC Numbers</t>
  </si>
  <si>
    <t>Judges</t>
  </si>
  <si>
    <t>Genesis 41-50</t>
  </si>
  <si>
    <t>Luke 5</t>
  </si>
  <si>
    <t>Acts</t>
  </si>
  <si>
    <t>Saviour of the World - Part 2</t>
  </si>
  <si>
    <t>NTC Deuteronomy</t>
  </si>
  <si>
    <t>Ruth</t>
  </si>
  <si>
    <t>Luke 6</t>
  </si>
  <si>
    <t>Romans</t>
  </si>
  <si>
    <t>God's Church</t>
  </si>
  <si>
    <t>NTC Joshua</t>
  </si>
  <si>
    <t>1 Samuel</t>
  </si>
  <si>
    <t>Luke 7</t>
  </si>
  <si>
    <t>I Corinthians</t>
  </si>
  <si>
    <t>Words for the followers of Jesus</t>
  </si>
  <si>
    <t>NTC Judges</t>
  </si>
  <si>
    <t>2 Samuel</t>
  </si>
  <si>
    <t>Luke 8</t>
  </si>
  <si>
    <t>2 Corinthians</t>
  </si>
  <si>
    <t>NTC 1 Samuel</t>
  </si>
  <si>
    <t>1 Kings</t>
  </si>
  <si>
    <t>Luke 9</t>
  </si>
  <si>
    <t>Galatians</t>
  </si>
  <si>
    <t>NTC 2 Samuel</t>
  </si>
  <si>
    <t>2 Kings</t>
  </si>
  <si>
    <t>Luke 10</t>
  </si>
  <si>
    <t>Ephesians</t>
  </si>
  <si>
    <t>NTC 2 Kings</t>
  </si>
  <si>
    <t>1 Chronicles</t>
  </si>
  <si>
    <t>Luke 11</t>
  </si>
  <si>
    <t>Philippians</t>
  </si>
  <si>
    <t>NTC 1 Chronicles</t>
  </si>
  <si>
    <t>2 Chronicles</t>
  </si>
  <si>
    <t>Luke 12</t>
  </si>
  <si>
    <t>Colossians</t>
  </si>
  <si>
    <t>NTC 2 Chronicles</t>
  </si>
  <si>
    <t>Ezra</t>
  </si>
  <si>
    <t>Luke 13</t>
  </si>
  <si>
    <t>1 Thessalonians</t>
  </si>
  <si>
    <t>NTC Psalms</t>
  </si>
  <si>
    <t>Nehemiah</t>
  </si>
  <si>
    <t>Luke 14</t>
  </si>
  <si>
    <t>2 Thessalonians</t>
  </si>
  <si>
    <t>NTC Isaiah</t>
  </si>
  <si>
    <t>Esther</t>
  </si>
  <si>
    <t>Luke 15</t>
  </si>
  <si>
    <t>1 Timothy</t>
  </si>
  <si>
    <t>NTC Jeremiah</t>
  </si>
  <si>
    <t>Job</t>
  </si>
  <si>
    <t>Luke 16</t>
  </si>
  <si>
    <t>2 Timothy</t>
  </si>
  <si>
    <t>NTC Hosea</t>
  </si>
  <si>
    <t>Psalms</t>
  </si>
  <si>
    <t>Luke 17</t>
  </si>
  <si>
    <t>Titus</t>
  </si>
  <si>
    <t>NTC Jonah</t>
  </si>
  <si>
    <t>Proverbs</t>
  </si>
  <si>
    <t>Luke 18</t>
  </si>
  <si>
    <t>Philemon</t>
  </si>
  <si>
    <t>NTC Micah</t>
  </si>
  <si>
    <t>Ecclesiastes</t>
  </si>
  <si>
    <t>Luke 19</t>
  </si>
  <si>
    <t>Hebrews</t>
  </si>
  <si>
    <t>NTC Zechariah</t>
  </si>
  <si>
    <t>Song of Solomon</t>
  </si>
  <si>
    <t>Luke 20</t>
  </si>
  <si>
    <t>James</t>
  </si>
  <si>
    <t>NTC Matthew</t>
  </si>
  <si>
    <t>Isaiah</t>
  </si>
  <si>
    <t>Luke 21</t>
  </si>
  <si>
    <t>1 Peter</t>
  </si>
  <si>
    <t>NTC Mark</t>
  </si>
  <si>
    <t>Jeremiah</t>
  </si>
  <si>
    <t>Luke 22</t>
  </si>
  <si>
    <t>2 Peter</t>
  </si>
  <si>
    <t>NTC Luke</t>
  </si>
  <si>
    <t>Lamentations</t>
  </si>
  <si>
    <t>Luke 23</t>
  </si>
  <si>
    <t>1 John</t>
  </si>
  <si>
    <t>NTC John</t>
  </si>
  <si>
    <t>Ezekiel</t>
  </si>
  <si>
    <t>Luke 24</t>
  </si>
  <si>
    <t>2 John</t>
  </si>
  <si>
    <t>NTC Acts</t>
  </si>
  <si>
    <t>Daniel</t>
  </si>
  <si>
    <t>3 John</t>
  </si>
  <si>
    <t>NTC Romans</t>
  </si>
  <si>
    <t>Hosea</t>
  </si>
  <si>
    <t>Jude</t>
  </si>
  <si>
    <t>NTC I Corinthians</t>
  </si>
  <si>
    <t>Joel</t>
  </si>
  <si>
    <t>Revelation</t>
  </si>
  <si>
    <t>NTC 2 Corinthians</t>
  </si>
  <si>
    <t>Amos</t>
  </si>
  <si>
    <t>NTC Galatians</t>
  </si>
  <si>
    <t>Obadiah</t>
  </si>
  <si>
    <t>NTC Ephesians</t>
  </si>
  <si>
    <t>Jonah</t>
  </si>
  <si>
    <t>NTC Colossians</t>
  </si>
  <si>
    <t>Micah</t>
  </si>
  <si>
    <t>NTC 1 Thessalonians</t>
  </si>
  <si>
    <t>Nahum</t>
  </si>
  <si>
    <t>NTC 2 Thessalonians</t>
  </si>
  <si>
    <t>Habakkuk</t>
  </si>
  <si>
    <t>NTC 1 Timothy</t>
  </si>
  <si>
    <t>Zephaniah</t>
  </si>
  <si>
    <t>NTC Titus</t>
  </si>
  <si>
    <t>Haggai</t>
  </si>
  <si>
    <t>NTC Revelation</t>
  </si>
  <si>
    <t>Zechariah</t>
  </si>
  <si>
    <t>Malachi</t>
  </si>
  <si>
    <t>New Testament</t>
  </si>
  <si>
    <t>New Tribes Chrono-logical</t>
  </si>
  <si>
    <t>To top:</t>
  </si>
  <si>
    <t>Calculations!A1</t>
  </si>
  <si>
    <t>Books</t>
  </si>
  <si>
    <r>
      <t xml:space="preserve">Instructions for copying data from the Progress page on this P&amp;P to a new P&amp;P </t>
    </r>
    <r>
      <rPr>
        <b/>
        <u/>
        <sz val="11"/>
        <color rgb="FF000000"/>
        <rFont val="Times New Roman"/>
        <family val="2"/>
      </rPr>
      <t>Planning</t>
    </r>
    <r>
      <rPr>
        <b/>
        <sz val="11"/>
        <color rgb="FF000000"/>
        <rFont val="Times New Roman"/>
        <family val="2"/>
      </rPr>
      <t xml:space="preserve"> page</t>
    </r>
  </si>
  <si>
    <r>
      <t xml:space="preserve">Use of this is optional. It's purpose is to assist in copying from an old P&amp;P to a new one, especially when transitioning from a completing project to a new project's P&amp;P. If you desire to capture the Progress made in a completing project, and paste it into the Planning page of a new project's P&amp;P, this tool will assist you.
The yellow cells to the left are linked to the Progress page and show the </t>
    </r>
    <r>
      <rPr>
        <u/>
        <sz val="12"/>
        <color rgb="FF000000"/>
        <rFont val="Times New Roman"/>
        <family val="2"/>
      </rPr>
      <t>Years</t>
    </r>
    <r>
      <rPr>
        <sz val="12"/>
        <color rgb="FF000000"/>
        <rFont val="Times New Roman"/>
        <family val="2"/>
      </rPr>
      <t xml:space="preserve"> that the books were completed in this P&amp;P (it leaves out the Quarters columns).  
</t>
    </r>
    <r>
      <rPr>
        <b/>
        <sz val="12"/>
        <color rgb="FF000000"/>
        <rFont val="Times New Roman"/>
        <family val="2"/>
      </rPr>
      <t>It is important to follow these steps carefully.</t>
    </r>
    <r>
      <rPr>
        <sz val="12"/>
        <color rgb="FF000000"/>
        <rFont val="Times New Roman"/>
        <family val="2"/>
      </rPr>
      <t xml:space="preserve"> 
1. Ensure the Progress page on this spreadsheet shows the most recent progress of the project. 
2. Since the data in the 6 Stages to the left is from your project that is coming to completion, you will want to have a second, new, blank P&amp;P open and ready to copy this data into.
3. Select all the yellow cells in the 6 Stages to the left of these instructions and paste them into the cells on the </t>
    </r>
    <r>
      <rPr>
        <b/>
        <u/>
        <sz val="12"/>
        <color rgb="FF000000"/>
        <rFont val="Times New Roman"/>
        <family val="2"/>
      </rPr>
      <t>Planning</t>
    </r>
    <r>
      <rPr>
        <sz val="12"/>
        <color rgb="FF000000"/>
        <rFont val="Times New Roman"/>
        <family val="2"/>
      </rPr>
      <t xml:space="preserve"> page of your second P&amp;P. However:
</t>
    </r>
    <r>
      <rPr>
        <b/>
        <sz val="12"/>
        <color rgb="FF000000"/>
        <rFont val="Times New Roman"/>
        <family val="2"/>
      </rPr>
      <t>IMPORTANT:</t>
    </r>
    <r>
      <rPr>
        <sz val="12"/>
        <color rgb="FF000000"/>
        <rFont val="Times New Roman"/>
        <family val="2"/>
      </rPr>
      <t xml:space="preserve"> When pasting the cells, paste ONLY the Values into the Planning page. To do this, select Home, Paste, Values. Or a shortcut is Alt, E,S,V.  This avoids pasting formats or formulas, we only want the data!
4. Any cells on the old Progress page that showed a percent complete (instead of being fully complete) you will need to delete them because the unfinished portion needs to be included in your new Project.
After you paste this data the receiving cells on the </t>
    </r>
    <r>
      <rPr>
        <b/>
        <sz val="12"/>
        <color rgb="FF000000"/>
        <rFont val="Times New Roman"/>
        <family val="2"/>
      </rPr>
      <t>Planning</t>
    </r>
    <r>
      <rPr>
        <sz val="12"/>
        <color rgb="FF000000"/>
        <rFont val="Times New Roman"/>
        <family val="2"/>
      </rPr>
      <t xml:space="preserve"> page should be green, and there should be no errors to their right in the yellow cells in Columns AB to AG.  If there are problems, do CTRL-Z to undo the paste and try again. 
Congratulations, you're finished!</t>
    </r>
  </si>
  <si>
    <t>Name of Language</t>
  </si>
  <si>
    <t>Name of Project</t>
  </si>
  <si>
    <t>Progress Planned</t>
  </si>
  <si>
    <t>Progress Actual</t>
  </si>
  <si>
    <t>Variance</t>
  </si>
  <si>
    <t>Revision Date</t>
  </si>
  <si>
    <t>Date Begun with SC</t>
  </si>
  <si>
    <t>Begin Date of Current Phase</t>
  </si>
  <si>
    <t>End Date of Current Phase</t>
  </si>
  <si>
    <t>Total Verses Per Chapter</t>
  </si>
  <si>
    <t>Click to Summary</t>
  </si>
  <si>
    <t>Click to Matthew</t>
  </si>
  <si>
    <t xml:space="preserve">Source: </t>
  </si>
  <si>
    <t>http://www.deafmissions.com</t>
  </si>
  <si>
    <t>Click to Genesis</t>
  </si>
  <si>
    <t>Dueteronomy</t>
  </si>
  <si>
    <t>Song of Songs</t>
  </si>
  <si>
    <t>1 Corinthians</t>
  </si>
  <si>
    <t>1 Thess</t>
  </si>
  <si>
    <t>2 Thess</t>
  </si>
  <si>
    <t>Note: the Psalms below are those</t>
  </si>
  <si>
    <t>Summary</t>
  </si>
  <si>
    <t xml:space="preserve">that are referred to in the NT. Thus </t>
  </si>
  <si>
    <t>Verses in OT</t>
  </si>
  <si>
    <t>it is a good place to begin if translating</t>
  </si>
  <si>
    <t>Verses in NT</t>
  </si>
  <si>
    <t>just some of the Psalms.</t>
  </si>
  <si>
    <t>Verses in Bible</t>
  </si>
  <si>
    <t>Psalm</t>
  </si>
  <si>
    <t>Verse</t>
  </si>
  <si>
    <t>Quoted in</t>
  </si>
  <si>
    <t>Chapters in OT</t>
  </si>
  <si>
    <t>1, 2</t>
  </si>
  <si>
    <t>Acts 4:25, 26</t>
  </si>
  <si>
    <t>Chapters in NT</t>
  </si>
  <si>
    <t>Acts 13:33</t>
  </si>
  <si>
    <t>Chapters in Bible</t>
  </si>
  <si>
    <t>Revelations 2:27</t>
  </si>
  <si>
    <t>Romans 3:13</t>
  </si>
  <si>
    <t>Click to Top</t>
  </si>
  <si>
    <t>Matthew 21:16</t>
  </si>
  <si>
    <t>Hebrews 2:6</t>
  </si>
  <si>
    <t>1 Corinthians 15:9</t>
  </si>
  <si>
    <t>Romans 3:14</t>
  </si>
  <si>
    <t>Romans 3:10</t>
  </si>
  <si>
    <t>Acts 2:25</t>
  </si>
  <si>
    <t>Romans 15:9</t>
  </si>
  <si>
    <t>Romans 10:18</t>
  </si>
  <si>
    <t>Matthew 27:46</t>
  </si>
  <si>
    <t>Matthew 27:35</t>
  </si>
  <si>
    <t>John 19:24</t>
  </si>
  <si>
    <t>Hebrews 2:12</t>
  </si>
  <si>
    <t>1 Corinthians 10:26</t>
  </si>
  <si>
    <t>Romans 4:7, 8</t>
  </si>
  <si>
    <t>1 Peter 3:10</t>
  </si>
  <si>
    <t>John 15:25</t>
  </si>
  <si>
    <t>Romans 3:18</t>
  </si>
  <si>
    <t>Hebrews 10:5</t>
  </si>
  <si>
    <t>John 13:18</t>
  </si>
  <si>
    <t>Romans 8:36</t>
  </si>
  <si>
    <t>7, 8</t>
  </si>
  <si>
    <t>Hebrews 1:8, 9</t>
  </si>
  <si>
    <t>Romans 3:4</t>
  </si>
  <si>
    <t>Ephesians 4:8</t>
  </si>
  <si>
    <t>Romans 15:3</t>
  </si>
  <si>
    <t>John 2:17</t>
  </si>
  <si>
    <t>Romans 11:9,10</t>
  </si>
  <si>
    <t>Acts 1:20</t>
  </si>
  <si>
    <t>Matthew 13:35</t>
  </si>
  <si>
    <t>John 6:31</t>
  </si>
  <si>
    <t>John 10:34</t>
  </si>
  <si>
    <t>Acts 13:22</t>
  </si>
  <si>
    <t>Matthew 22:44</t>
  </si>
  <si>
    <t>11, 12</t>
  </si>
  <si>
    <t>Matthew 4:6</t>
  </si>
  <si>
    <t>1 Corinthians 3:20</t>
  </si>
  <si>
    <t>Hebrews 3:7</t>
  </si>
  <si>
    <t>Hebrews 1:6</t>
  </si>
  <si>
    <t>Matthew 21:42</t>
  </si>
  <si>
    <t>Hebrews 1:10</t>
  </si>
  <si>
    <t>Hebrews 1:7</t>
  </si>
  <si>
    <t>Matthew 22:24</t>
  </si>
  <si>
    <t>Mark 12:20</t>
  </si>
  <si>
    <t>Luke 10:27</t>
  </si>
  <si>
    <t>Hebrews 5:6</t>
  </si>
  <si>
    <t>2 Corinthians 9:9</t>
  </si>
  <si>
    <t>2 Corinthians 4:13</t>
  </si>
  <si>
    <t>Romans 15:11</t>
  </si>
  <si>
    <t>Hebrews 13:6</t>
  </si>
  <si>
    <t>22, 23</t>
  </si>
  <si>
    <t>Compilation thanks to Eric and Suzanne Johnson</t>
  </si>
  <si>
    <t>Percent Finished</t>
  </si>
  <si>
    <t>Cumulative</t>
  </si>
  <si>
    <t xml:space="preserve">Reporting Quarter:  </t>
  </si>
  <si>
    <t>Verse Equivalents in Project     =======&gt;</t>
  </si>
  <si>
    <t>Yearly Planned</t>
  </si>
  <si>
    <t>Yearly Actual</t>
  </si>
  <si>
    <t>Completed</t>
  </si>
  <si>
    <t xml:space="preserve">          Work done prior to SC sponsorship: =========&gt;</t>
  </si>
  <si>
    <t>Percent completed</t>
  </si>
  <si>
    <t>Verses completed</t>
  </si>
  <si>
    <t>DO NOT DELETE    This info is for the graph</t>
  </si>
  <si>
    <t xml:space="preserve">Fiscal Year: </t>
  </si>
  <si>
    <t>Qtr</t>
  </si>
  <si>
    <t>Planned</t>
  </si>
  <si>
    <t>Actual</t>
  </si>
  <si>
    <t>This data must be on this page for Progress - Conditional Formatting to work properly</t>
  </si>
  <si>
    <t>Qtr prorated</t>
  </si>
  <si>
    <t>Planned Cumm.</t>
  </si>
  <si>
    <t>Qtr Actual</t>
  </si>
  <si>
    <t>Qtr Cumm-lative</t>
  </si>
  <si>
    <t>Calculated Year of Completion</t>
  </si>
  <si>
    <t>Summary Info ====&gt;</t>
  </si>
  <si>
    <t>Projected Year of Completion</t>
  </si>
  <si>
    <t>First year of Plan</t>
  </si>
  <si>
    <t>Last year of Plan</t>
  </si>
  <si>
    <t>Other Goals and Milestones</t>
  </si>
  <si>
    <r>
      <t xml:space="preserve">Notes   </t>
    </r>
    <r>
      <rPr>
        <i/>
        <sz val="10"/>
        <color rgb="FF000000"/>
        <rFont val="Arial"/>
        <family val="2"/>
      </rPr>
      <t>(Alt+Enter begins new row)</t>
    </r>
  </si>
  <si>
    <t>Planning Inputs Section</t>
  </si>
  <si>
    <t>Rev:</t>
  </si>
  <si>
    <t>Inputs</t>
  </si>
  <si>
    <t>Example</t>
  </si>
  <si>
    <t>Date Translation Began with SC:</t>
  </si>
  <si>
    <t>PnP Spreadsheet</t>
  </si>
  <si>
    <t>Begin Date of Current Project:</t>
  </si>
  <si>
    <t>Project Fiscal Years</t>
  </si>
  <si>
    <t>Num-ber of MTTs</t>
  </si>
  <si>
    <r>
      <t>Team</t>
    </r>
    <r>
      <rPr>
        <b/>
        <sz val="10"/>
        <color rgb="FF000000"/>
        <rFont val="Times New Roman"/>
        <family val="2"/>
      </rPr>
      <t xml:space="preserve"> Verses Drafted per Day</t>
    </r>
  </si>
  <si>
    <t>Work Days per Year</t>
  </si>
  <si>
    <t>Days Req'd to Finish Goals</t>
  </si>
  <si>
    <t>End Date of Current Project:</t>
  </si>
  <si>
    <t>Days Required Table</t>
  </si>
  <si>
    <t>My Notes</t>
  </si>
  <si>
    <t>Z14 =</t>
  </si>
  <si>
    <t>View Plan for Year . . .</t>
  </si>
  <si>
    <t>Team days to complete each Stage</t>
  </si>
  <si>
    <t>Level of 
Diffi-culty</t>
  </si>
  <si>
    <t>Verses in Book</t>
  </si>
  <si>
    <t>Lifetime Verses to Translate</t>
  </si>
  <si>
    <t>Stage Percentage</t>
  </si>
  <si>
    <t>First Draft</t>
  </si>
  <si>
    <t>Team Check</t>
  </si>
  <si>
    <t>Community Testing</t>
  </si>
  <si>
    <t>Back Translation</t>
  </si>
  <si>
    <t>Consultant Check</t>
  </si>
  <si>
    <t>Total Team Days</t>
  </si>
  <si>
    <t>actual - this is the actual number of days to complete the selected work in a given year, it is taken from the Days Req'd table</t>
  </si>
  <si>
    <t>this column is the cumulative excess days from previous years of overscheduling, but if a date is entered in N14, this column begins calculating at that year and leaves earlier years as a zero.</t>
  </si>
  <si>
    <t>this column converts numbers from the 'Project Fiscal Years' column into fiscal years, so this number is Oct 1 of the Fiscal Year</t>
  </si>
  <si>
    <t>Exegesis &amp; First Draft</t>
  </si>
  <si>
    <t>Published</t>
  </si>
  <si>
    <t>Scroll &amp; Zoom</t>
  </si>
  <si>
    <t>Below are values used in the Bar Chart</t>
  </si>
  <si>
    <t>Calculated Years to Finish:</t>
  </si>
  <si>
    <t>Calculated Year of Completion:</t>
  </si>
  <si>
    <t>Team days to complete other goals</t>
  </si>
  <si>
    <t>Goal Description</t>
  </si>
  <si>
    <t>Team Days of Work</t>
  </si>
  <si>
    <t>Planned for Year</t>
  </si>
  <si>
    <t>Notes       (Alt+Enter begins new row)</t>
  </si>
  <si>
    <t>Days to Finish:</t>
  </si>
  <si>
    <t>Years to Finish:</t>
  </si>
  <si>
    <t>Color Legend</t>
  </si>
  <si>
    <t>Brown shaded cells are Section titles and Column headings. They are locked.</t>
  </si>
  <si>
    <t>Yellow shaded cells display calculations based on what you have entered in the green cells. They are locked.</t>
  </si>
  <si>
    <t>Green shaded cells are whrere you enter your data. They are not locked. You can ONLY enter data in green cells.</t>
  </si>
  <si>
    <r>
      <t xml:space="preserve">In Col N, indicates the cell value is more than 5% </t>
    </r>
    <r>
      <rPr>
        <u/>
        <sz val="10"/>
        <color rgb="FF000000"/>
        <rFont val="Times New Roman"/>
        <family val="2"/>
      </rPr>
      <t>higher</t>
    </r>
    <r>
      <rPr>
        <sz val="10"/>
        <color rgb="FF000000"/>
        <rFont val="Times New Roman"/>
        <family val="2"/>
      </rPr>
      <t xml:space="preserve"> than the estimates you provided in Col L &amp; M. </t>
    </r>
    <r>
      <rPr>
        <u/>
        <sz val="10"/>
        <color rgb="FF000000"/>
        <rFont val="Times New Roman"/>
        <family val="2"/>
      </rPr>
      <t>Suggested Action</t>
    </r>
    <r>
      <rPr>
        <sz val="10"/>
        <color rgb="FF000000"/>
        <rFont val="Times New Roman"/>
        <family val="2"/>
      </rPr>
      <t>: If possible reduce workload in the 6 Stages that you have scheduled for that year until the red cell turns yellow. Elsewhere it is a warning that an incorrect entry has been made.</t>
    </r>
  </si>
  <si>
    <r>
      <t xml:space="preserve">Pink in Col N, indicates the cell value is more than 5% </t>
    </r>
    <r>
      <rPr>
        <u/>
        <sz val="10"/>
        <color rgb="FF000000"/>
        <rFont val="Times New Roman"/>
        <family val="2"/>
      </rPr>
      <t>lower</t>
    </r>
    <r>
      <rPr>
        <sz val="10"/>
        <color rgb="FF000000"/>
        <rFont val="Times New Roman"/>
        <family val="2"/>
      </rPr>
      <t xml:space="preserve"> than the estimates you provided in Col L &amp; M. </t>
    </r>
    <r>
      <rPr>
        <u/>
        <sz val="10"/>
        <color rgb="FF000000"/>
        <rFont val="Times New Roman"/>
        <family val="2"/>
      </rPr>
      <t>Suggested Action</t>
    </r>
    <r>
      <rPr>
        <sz val="10"/>
        <color rgb="FF000000"/>
        <rFont val="Times New Roman"/>
        <family val="2"/>
      </rPr>
      <t>: Increase workload in the 6 Stages that you have scheduled for that year until  the pink cell turns yellow.</t>
    </r>
  </si>
  <si>
    <t>Highlights the green cells related to the Year selected in cell Z16.</t>
  </si>
  <si>
    <t>Medium green indicates Stage cells that are within the dates of this project.</t>
  </si>
  <si>
    <t>Light green general background color of cells where you can enter data.</t>
  </si>
  <si>
    <t>Gold highlights the yellow cells related to the Year selected in cell Z16.</t>
  </si>
  <si>
    <t>Bright yellow usually highlights summary cells and rows.</t>
  </si>
  <si>
    <t>Dark gray cells are created on the Planning tab when you enter a single quote (') in front of the year. This removes it from the current Project plan calculations. It indicates that even tho the year is in the same year as the first year of the Fiscal Year of this project, it was completed in the previous Project. This color also appears on the matching cells on the Progress tab.</t>
  </si>
  <si>
    <t xml:space="preserve">Light gray cells highlight the progress completed in years prior to the current  Project. This color also appears on the matching cells on the Progress tab. That progress is retained for archival purposes. </t>
  </si>
</sst>
</file>

<file path=xl/styles.xml><?xml version="1.0" encoding="utf-8"?>
<styleSheet xmlns="http://schemas.openxmlformats.org/spreadsheetml/2006/main" xmlns:x14ac="http://schemas.microsoft.com/office/spreadsheetml/2009/9/ac" xmlns:mc="http://schemas.openxmlformats.org/markup-compatibility/2006" mc:Ignorable="x14ac">
  <numFmts count="14">
    <numFmt numFmtId="164" formatCode="#,##0.00000"/>
    <numFmt numFmtId="165" formatCode="#,##0.0"/>
    <numFmt numFmtId="166" formatCode="#,##0.0%"/>
    <numFmt numFmtId="167" formatCode="#,##0%"/>
    <numFmt numFmtId="168" formatCode="#,##0.0000"/>
    <numFmt numFmtId="169" formatCode="dd-mmm-yy"/>
    <numFmt numFmtId="170" formatCode="#,##0.000"/>
    <numFmt numFmtId="171" formatCode="mmm-yyyy"/>
    <numFmt numFmtId="172" formatCode="#,##0.00%"/>
    <numFmt numFmtId="173" formatCode="#,##0.000000000000000%"/>
    <numFmt numFmtId="174" formatCode="#,##0.00000%"/>
    <numFmt numFmtId="175" formatCode="d/mmm/yy"/>
    <numFmt numFmtId="176" formatCode="yyyy"/>
    <numFmt numFmtId="177" formatCode="d-mmm-yyyy"/>
  </numFmts>
  <fonts count="31" x14ac:knownFonts="1">
    <font>
      <sz val="11"/>
      <color theme="1"/>
      <name val="Calibri"/>
      <family val="2"/>
      <scheme val="minor"/>
    </font>
    <font>
      <sz val="11"/>
      <color theme="1"/>
      <name val="Calibri"/>
      <family val="2"/>
    </font>
    <font>
      <sz val="10"/>
      <color rgb="FF000000"/>
      <name val="Arial"/>
      <family val="2"/>
    </font>
    <font>
      <sz val="10"/>
      <color rgb="FF000000"/>
      <name val="Times New Roman"/>
      <family val="2"/>
    </font>
    <font>
      <b/>
      <sz val="11"/>
      <color rgb="FF000000"/>
      <name val="Times New Roman"/>
      <family val="2"/>
    </font>
    <font>
      <u/>
      <sz val="12"/>
      <color rgb="FF0000ff"/>
      <name val="Arial"/>
      <family val="2"/>
    </font>
    <font>
      <b/>
      <sz val="10"/>
      <color rgb="FF000000"/>
      <name val="Arial"/>
      <family val="2"/>
    </font>
    <font>
      <b/>
      <sz val="10"/>
      <color rgb="FF000000"/>
      <name val="Times New Roman"/>
      <family val="2"/>
    </font>
    <font>
      <sz val="12"/>
      <color rgb="FF000000"/>
      <name val="Times New Roman"/>
      <family val="2"/>
    </font>
    <font>
      <sz val="11"/>
      <color rgb="FF000000"/>
      <name val="Calibri"/>
      <family val="2"/>
    </font>
    <font>
      <sz val="24"/>
      <color rgb="FF000000"/>
      <name val="Times New Roman"/>
      <family val="2"/>
    </font>
    <font>
      <b/>
      <u/>
      <sz val="14"/>
      <color rgb="FF0000ff"/>
      <name val="Arial"/>
      <family val="2"/>
    </font>
    <font>
      <b/>
      <sz val="12"/>
      <color rgb="FF000000"/>
      <name val="Times New Roman"/>
      <family val="2"/>
    </font>
    <font>
      <u/>
      <sz val="14"/>
      <color rgb="FF0000ff"/>
      <name val="Arial"/>
      <family val="2"/>
    </font>
    <font>
      <sz val="10"/>
      <color rgb="FFffffff"/>
      <name val="Arial"/>
      <family val="2"/>
    </font>
    <font>
      <b/>
      <sz val="20"/>
      <color rgb="FF000000"/>
      <name val="Times New Roman"/>
      <family val="2"/>
    </font>
    <font>
      <b/>
      <sz val="16"/>
      <color rgb="FF000000"/>
      <name val="Times New Roman"/>
      <family val="2"/>
    </font>
    <font>
      <b/>
      <sz val="20"/>
      <color rgb="FFff0000"/>
      <name val="Times New Roman"/>
      <family val="2"/>
    </font>
    <font>
      <b/>
      <sz val="14"/>
      <color rgb="FF000080"/>
      <name val="Arial"/>
      <family val="2"/>
    </font>
    <font>
      <b/>
      <sz val="10"/>
      <color rgb="FF000080"/>
      <name val="Times New Roman"/>
      <family val="2"/>
    </font>
    <font>
      <sz val="10"/>
      <color rgb="FF000080"/>
      <name val="Times New Roman"/>
      <family val="2"/>
    </font>
    <font>
      <b/>
      <sz val="10"/>
      <color rgb="FF0000ff"/>
      <name val="Times New Roman"/>
      <family val="2"/>
    </font>
    <font>
      <sz val="10"/>
      <color rgb="FFffff99"/>
      <name val="Arial"/>
      <family val="2"/>
    </font>
    <font>
      <i/>
      <sz val="8"/>
      <color rgb="FF000000"/>
      <name val="Times New Roman"/>
      <family val="2"/>
    </font>
    <font>
      <i/>
      <sz val="9"/>
      <color rgb="FF000000"/>
      <name val="Times New Roman"/>
      <family val="2"/>
    </font>
    <font>
      <b/>
      <i/>
      <sz val="10"/>
      <color rgb="FF000000"/>
      <name val="Arial"/>
      <family val="2"/>
    </font>
    <font>
      <b/>
      <u/>
      <sz val="10"/>
      <color rgb="FF000000"/>
      <name val="Times New Roman"/>
      <family val="2"/>
    </font>
    <font>
      <b/>
      <sz val="16"/>
      <color rgb="FF000080"/>
      <name val="Times New Roman"/>
      <family val="2"/>
    </font>
    <font>
      <i/>
      <sz val="10"/>
      <color rgb="FF000000"/>
      <name val="Times New Roman"/>
      <family val="2"/>
    </font>
    <font>
      <sz val="10"/>
      <color rgb="FFffff99"/>
      <name val="Times New Roman"/>
      <family val="2"/>
    </font>
    <font>
      <b/>
      <i/>
      <sz val="10"/>
      <color rgb="FF000000"/>
      <name val="Times New Roman"/>
      <family val="2"/>
    </font>
  </fonts>
  <fills count="34">
    <fill>
      <patternFill patternType="none"/>
    </fill>
    <fill>
      <patternFill patternType="gray125"/>
    </fill>
    <fill>
      <patternFill patternType="solid">
        <fgColor rgb="FFffffcc"/>
      </patternFill>
    </fill>
    <fill>
      <patternFill patternType="solid">
        <fgColor rgb="FFccffcc"/>
      </patternFill>
    </fill>
    <fill>
      <patternFill patternType="solid">
        <fgColor rgb="FF99cc00"/>
      </patternFill>
    </fill>
    <fill>
      <patternFill patternType="solid">
        <fgColor rgb="FF333300"/>
      </patternFill>
    </fill>
    <fill>
      <patternFill patternType="solid">
        <fgColor rgb="FFffff00"/>
      </patternFill>
    </fill>
    <fill>
      <patternFill patternType="solid">
        <fgColor rgb="FFffcc00"/>
      </patternFill>
    </fill>
    <fill>
      <patternFill patternType="solid">
        <fgColor rgb="FFffaa75"/>
      </patternFill>
    </fill>
    <fill>
      <patternFill patternType="solid">
        <fgColor rgb="FFfcdcbc"/>
      </patternFill>
    </fill>
    <fill>
      <patternFill patternType="solid">
        <fgColor rgb="FFfac090"/>
      </patternFill>
    </fill>
    <fill>
      <patternFill patternType="solid">
        <fgColor rgb="FFffff99"/>
      </patternFill>
    </fill>
    <fill>
      <patternFill patternType="solid">
        <fgColor rgb="FFfcd5b5"/>
      </patternFill>
    </fill>
    <fill>
      <patternFill patternType="solid">
        <fgColor rgb="FFfdeada"/>
      </patternFill>
    </fill>
    <fill>
      <patternFill patternType="solid">
        <fgColor rgb="FFff9900"/>
      </patternFill>
    </fill>
    <fill>
      <patternFill patternType="solid">
        <fgColor rgb="FFffc49f"/>
      </patternFill>
    </fill>
    <fill>
      <patternFill patternType="solid">
        <fgColor rgb="FF969696"/>
      </patternFill>
    </fill>
    <fill>
      <patternFill patternType="solid">
        <fgColor rgb="FFffcc99"/>
      </patternFill>
    </fill>
    <fill>
      <patternFill patternType="solid">
        <fgColor rgb="FF808000"/>
      </patternFill>
    </fill>
    <fill>
      <patternFill patternType="solid">
        <fgColor rgb="FFc9ffe1"/>
      </patternFill>
    </fill>
    <fill>
      <patternFill patternType="solid">
        <fgColor rgb="FFffc9c9"/>
      </patternFill>
    </fill>
    <fill>
      <patternFill patternType="solid">
        <fgColor rgb="FFbdffc5"/>
      </patternFill>
    </fill>
    <fill>
      <patternFill patternType="solid">
        <fgColor rgb="FFffffff"/>
      </patternFill>
    </fill>
    <fill>
      <patternFill patternType="solid">
        <fgColor rgb="FFffff66"/>
      </patternFill>
    </fill>
    <fill>
      <patternFill patternType="solid">
        <fgColor rgb="FFc0c0c0"/>
      </patternFill>
    </fill>
    <fill>
      <patternFill patternType="solid">
        <fgColor rgb="FF90f488"/>
      </patternFill>
    </fill>
    <fill>
      <patternFill patternType="solid">
        <fgColor rgb="FF00ff00"/>
      </patternFill>
    </fill>
    <fill>
      <patternFill patternType="solid">
        <fgColor rgb="FFfff4d1"/>
      </patternFill>
    </fill>
    <fill>
      <patternFill patternType="solid">
        <fgColor rgb="FFff0000"/>
      </patternFill>
    </fill>
    <fill>
      <patternFill patternType="solid">
        <fgColor rgb="FFffadb5"/>
      </patternFill>
    </fill>
    <fill>
      <patternFill patternType="solid">
        <fgColor rgb="FF52c65d"/>
      </patternFill>
    </fill>
    <fill>
      <patternFill patternType="solid">
        <fgColor rgb="FFfdcd77"/>
      </patternFill>
    </fill>
    <fill>
      <patternFill patternType="solid">
        <fgColor rgb="FFbfbfbf"/>
      </patternFill>
    </fill>
    <fill>
      <patternFill patternType="solid">
        <fgColor rgb="FFeaeaea"/>
      </patternFill>
    </fill>
  </fills>
  <borders count="176">
    <border>
      <left/>
      <right/>
      <top/>
      <bottom/>
      <diagonal/>
    </border>
    <border>
      <left/>
      <right/>
      <top/>
      <bottom/>
      <diagonal/>
    </border>
    <border>
      <left/>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c6c6c6"/>
      </bottom>
      <diagonal/>
    </border>
    <border>
      <left style="thin">
        <color rgb="FF000000"/>
      </left>
      <right style="thin">
        <color rgb="FF000000"/>
      </right>
      <top style="medium">
        <color rgb="FF000000"/>
      </top>
      <bottom style="thin">
        <color rgb="FFc6c6c6"/>
      </bottom>
      <diagonal/>
    </border>
    <border>
      <left style="thin">
        <color rgb="FF000000"/>
      </left>
      <right style="thin">
        <color rgb="FFc6c6c6"/>
      </right>
      <top style="medium">
        <color rgb="FF000000"/>
      </top>
      <bottom style="thin">
        <color rgb="FFc6c6c6"/>
      </bottom>
      <diagonal/>
    </border>
    <border>
      <left style="thin">
        <color rgb="FFc6c6c6"/>
      </left>
      <right style="thin">
        <color rgb="FFc6c6c6"/>
      </right>
      <top style="medium">
        <color rgb="FF000000"/>
      </top>
      <bottom style="thin">
        <color rgb="FFc6c6c6"/>
      </bottom>
      <diagonal/>
    </border>
    <border>
      <left style="thin">
        <color rgb="FFc6c6c6"/>
      </left>
      <right style="thin">
        <color rgb="FF000000"/>
      </right>
      <top style="medium">
        <color rgb="FF000000"/>
      </top>
      <bottom style="thin">
        <color rgb="FFc6c6c6"/>
      </bottom>
      <diagonal/>
    </border>
    <border>
      <left style="thin">
        <color rgb="FF000000"/>
      </left>
      <right style="medium">
        <color rgb="FF000000"/>
      </right>
      <top style="medium">
        <color rgb="FF000000"/>
      </top>
      <bottom style="thin">
        <color rgb="FFc6c6c6"/>
      </bottom>
      <diagonal/>
    </border>
    <border>
      <left style="medium">
        <color rgb="FF000000"/>
      </left>
      <right style="thin">
        <color rgb="FFc6c6c6"/>
      </right>
      <top style="medium">
        <color rgb="FF000000"/>
      </top>
      <bottom style="thin">
        <color rgb="FFc6c6c6"/>
      </bottom>
      <diagonal/>
    </border>
    <border>
      <left style="thin">
        <color rgb="FFc6c6c6"/>
      </left>
      <right style="medium">
        <color rgb="FF000000"/>
      </right>
      <top style="medium">
        <color rgb="FF000000"/>
      </top>
      <bottom style="thin">
        <color rgb="FFc6c6c6"/>
      </bottom>
      <diagonal/>
    </border>
    <border>
      <left style="medium">
        <color rgb="FF000000"/>
      </left>
      <right style="medium">
        <color rgb="FF000000"/>
      </right>
      <top style="medium">
        <color rgb="FF000000"/>
      </top>
      <bottom style="thin">
        <color rgb="FFc6c6c6"/>
      </bottom>
      <diagonal/>
    </border>
    <border>
      <left style="medium">
        <color rgb="FF000000"/>
      </left>
      <right style="thin">
        <color rgb="FFc6c6c6"/>
      </right>
      <top style="medium">
        <color rgb="FF000000"/>
      </top>
      <bottom style="medium">
        <color rgb="FF000000"/>
      </bottom>
      <diagonal/>
    </border>
    <border>
      <left style="thin">
        <color rgb="FFc6c6c6"/>
      </left>
      <right style="thin">
        <color rgb="FFc6c6c6"/>
      </right>
      <top style="medium">
        <color rgb="FF000000"/>
      </top>
      <bottom style="medium">
        <color rgb="FF000000"/>
      </bottom>
      <diagonal/>
    </border>
    <border>
      <left style="thin">
        <color rgb="FFc6c6c6"/>
      </left>
      <right style="medium">
        <color rgb="FF000000"/>
      </right>
      <top style="medium">
        <color rgb="FF000000"/>
      </top>
      <bottom style="medium">
        <color rgb="FF000000"/>
      </bottom>
      <diagonal/>
    </border>
    <border>
      <left style="medium">
        <color rgb="FF000000"/>
      </left>
      <right style="thin">
        <color rgb="FF000000"/>
      </right>
      <top style="thin">
        <color rgb="FFc6c6c6"/>
      </top>
      <bottom style="thin">
        <color rgb="FFc6c6c6"/>
      </bottom>
      <diagonal/>
    </border>
    <border>
      <left style="thin">
        <color rgb="FF000000"/>
      </left>
      <right style="thin">
        <color rgb="FF000000"/>
      </right>
      <top style="thin">
        <color rgb="FFc6c6c6"/>
      </top>
      <bottom style="thin">
        <color rgb="FFc6c6c6"/>
      </bottom>
      <diagonal/>
    </border>
    <border>
      <left style="thin">
        <color rgb="FF000000"/>
      </left>
      <right style="thin">
        <color rgb="FFc6c6c6"/>
      </right>
      <top style="thin">
        <color rgb="FFc6c6c6"/>
      </top>
      <bottom style="thin">
        <color rgb="FFc6c6c6"/>
      </bottom>
      <diagonal/>
    </border>
    <border>
      <left style="thin">
        <color rgb="FFc6c6c6"/>
      </left>
      <right style="thin">
        <color rgb="FFc6c6c6"/>
      </right>
      <top style="thin">
        <color rgb="FFc6c6c6"/>
      </top>
      <bottom style="thin">
        <color rgb="FFc6c6c6"/>
      </bottom>
      <diagonal/>
    </border>
    <border>
      <left style="thin">
        <color rgb="FFc6c6c6"/>
      </left>
      <right style="thin">
        <color rgb="FF000000"/>
      </right>
      <top style="thin">
        <color rgb="FFc6c6c6"/>
      </top>
      <bottom style="thin">
        <color rgb="FFc6c6c6"/>
      </bottom>
      <diagonal/>
    </border>
    <border>
      <left style="thin">
        <color rgb="FF000000"/>
      </left>
      <right style="medium">
        <color rgb="FF000000"/>
      </right>
      <top style="thin">
        <color rgb="FFc6c6c6"/>
      </top>
      <bottom style="thin">
        <color rgb="FFc6c6c6"/>
      </bottom>
      <diagonal/>
    </border>
    <border>
      <left style="medium">
        <color rgb="FF000000"/>
      </left>
      <right style="thin">
        <color rgb="FFc6c6c6"/>
      </right>
      <top style="thin">
        <color rgb="FFc6c6c6"/>
      </top>
      <bottom style="thin">
        <color rgb="FFc6c6c6"/>
      </bottom>
      <diagonal/>
    </border>
    <border>
      <left style="thin">
        <color rgb="FFc6c6c6"/>
      </left>
      <right style="medium">
        <color rgb="FF000000"/>
      </right>
      <top style="thin">
        <color rgb="FFc6c6c6"/>
      </top>
      <bottom style="thin">
        <color rgb="FFc6c6c6"/>
      </bottom>
      <diagonal/>
    </border>
    <border>
      <left style="medium">
        <color rgb="FF000000"/>
      </left>
      <right style="medium">
        <color rgb="FF000000"/>
      </right>
      <top style="thin">
        <color rgb="FFc6c6c6"/>
      </top>
      <bottom style="thin">
        <color rgb="FFc6c6c6"/>
      </bottom>
      <diagonal/>
    </border>
    <border>
      <left style="thin">
        <color rgb="FF000000"/>
      </left>
      <right style="thin">
        <color rgb="FFc6c6c6"/>
      </right>
      <top style="thin">
        <color rgb="FFc6c6c6"/>
      </top>
      <bottom style="thin">
        <color rgb="FF000000"/>
      </bottom>
      <diagonal/>
    </border>
    <border>
      <left style="thin">
        <color rgb="FFc6c6c6"/>
      </left>
      <right style="thin">
        <color rgb="FFc6c6c6"/>
      </right>
      <top style="thin">
        <color rgb="FFc6c6c6"/>
      </top>
      <bottom style="thin">
        <color rgb="FF000000"/>
      </bottom>
      <diagonal/>
    </border>
    <border>
      <left style="thin">
        <color rgb="FFc6c6c6"/>
      </left>
      <right style="thin">
        <color rgb="FF000000"/>
      </right>
      <top style="thin">
        <color rgb="FFc6c6c6"/>
      </top>
      <bottom style="thin">
        <color rgb="FF000000"/>
      </bottom>
      <diagonal/>
    </border>
    <border>
      <left style="medium">
        <color rgb="FF000000"/>
      </left>
      <right style="thin">
        <color rgb="FFc6c6c6"/>
      </right>
      <top style="thin">
        <color rgb="FFc6c6c6"/>
      </top>
      <bottom style="medium">
        <color rgb="FF000000"/>
      </bottom>
      <diagonal/>
    </border>
    <border>
      <left style="thin">
        <color rgb="FFc6c6c6"/>
      </left>
      <right style="thin">
        <color rgb="FFc6c6c6"/>
      </right>
      <top style="thin">
        <color rgb="FFc6c6c6"/>
      </top>
      <bottom style="medium">
        <color rgb="FF000000"/>
      </bottom>
      <diagonal/>
    </border>
    <border>
      <left style="thin">
        <color rgb="FFc6c6c6"/>
      </left>
      <right style="medium">
        <color rgb="FF000000"/>
      </right>
      <top style="thin">
        <color rgb="FFc6c6c6"/>
      </top>
      <bottom style="medium">
        <color rgb="FF000000"/>
      </bottom>
      <diagonal/>
    </border>
    <border>
      <left style="medium">
        <color rgb="FF000000"/>
      </left>
      <right style="medium">
        <color rgb="FF000000"/>
      </right>
      <top style="thin">
        <color rgb="FFc6c6c6"/>
      </top>
      <bottom style="medium">
        <color rgb="FF000000"/>
      </bottom>
      <diagonal/>
    </border>
    <border>
      <left style="medium">
        <color rgb="FF000000"/>
      </left>
      <right style="thin">
        <color rgb="FF000000"/>
      </right>
      <top style="thin">
        <color rgb="FFc6c6c6"/>
      </top>
      <bottom style="thin">
        <color rgb="FF000000"/>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c6c6c6"/>
      </top>
      <bottom style="medium">
        <color rgb="FF000000"/>
      </bottom>
      <diagonal/>
    </border>
    <border>
      <left style="thin">
        <color rgb="FF000000"/>
      </left>
      <right style="thin">
        <color rgb="FF000000"/>
      </right>
      <top style="thin">
        <color rgb="FFc6c6c6"/>
      </top>
      <bottom style="medium">
        <color rgb="FF000000"/>
      </bottom>
      <diagonal/>
    </border>
    <border>
      <left style="thin">
        <color rgb="FF000000"/>
      </left>
      <right style="medium">
        <color rgb="FF000000"/>
      </right>
      <top style="thin">
        <color rgb="FFc6c6c6"/>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thin">
        <color rgb="FFc6c6c6"/>
      </right>
      <top style="medium">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c6c6c6"/>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c6c6c6"/>
      </left>
      <right style="thin">
        <color rgb="FF000000"/>
      </right>
      <top style="thin">
        <color rgb="FF000000"/>
      </top>
      <bottom style="thin">
        <color rgb="FF000000"/>
      </bottom>
      <diagonal/>
    </border>
    <border>
      <left style="thin">
        <color rgb="FFc6c6c6"/>
      </left>
      <right style="thin">
        <color rgb="FFc6c6c6"/>
      </right>
      <top style="thin">
        <color rgb="FF000000"/>
      </top>
      <bottom style="thin">
        <color rgb="FF000000"/>
      </bottom>
      <diagonal/>
    </border>
    <border>
      <left style="medium">
        <color rgb="FF000000"/>
      </left>
      <right style="medium">
        <color rgb="FF000000"/>
      </right>
      <top style="thin">
        <color rgb="FFc6c6c6"/>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c6c6c6"/>
      </bottom>
      <diagonal/>
    </border>
    <border>
      <left style="thin">
        <color rgb="FFc6c6c6"/>
      </left>
      <right style="thin">
        <color rgb="FF000000"/>
      </right>
      <top style="thin">
        <color rgb="FF000000"/>
      </top>
      <bottom style="thin">
        <color rgb="FFc6c6c6"/>
      </bottom>
      <diagonal/>
    </border>
    <border>
      <left style="thin">
        <color rgb="FFc6c6c6"/>
      </left>
      <right style="thin">
        <color rgb="FFc6c6c6"/>
      </right>
      <top style="thin">
        <color rgb="FF000000"/>
      </top>
      <bottom style="thin">
        <color rgb="FFc6c6c6"/>
      </bottom>
      <diagonal/>
    </border>
    <border>
      <left style="thin">
        <color rgb="FF000000"/>
      </left>
      <right style="thin">
        <color rgb="FFc6c6c6"/>
      </right>
      <top style="thin">
        <color rgb="FF000000"/>
      </top>
      <bottom style="thin">
        <color rgb="FF000000"/>
      </bottom>
      <diagonal/>
    </border>
    <border>
      <left style="thin">
        <color rgb="FFc6c6c6"/>
      </left>
      <right style="thin">
        <color rgb="FF000000"/>
      </right>
      <top style="thin">
        <color rgb="FF000000"/>
      </top>
      <bottom style="medium">
        <color rgb="FF000000"/>
      </bottom>
      <diagonal/>
    </border>
    <border>
      <left style="thin">
        <color rgb="FFc6c6c6"/>
      </left>
      <right style="thin">
        <color rgb="FFc6c6c6"/>
      </right>
      <top style="thin">
        <color rgb="FF000000"/>
      </top>
      <bottom style="medium">
        <color rgb="FF000000"/>
      </bottom>
      <diagonal/>
    </border>
    <border>
      <left style="thin">
        <color rgb="FF000000"/>
      </left>
      <right style="thin">
        <color rgb="FF000000"/>
      </right>
      <top style="thin">
        <color rgb="FF000000"/>
      </top>
      <bottom style="thin">
        <color rgb="FFc6c6c6"/>
      </bottom>
      <diagonal/>
    </border>
    <border>
      <left style="thin">
        <color rgb="FF000000"/>
      </left>
      <right style="thin">
        <color rgb="FFc6c6c6"/>
      </right>
      <top style="medium">
        <color rgb="FF000000"/>
      </top>
      <bottom style="thin">
        <color rgb="FF000000"/>
      </bottom>
      <diagonal/>
    </border>
    <border>
      <left style="thin">
        <color rgb="FFc6c6c6"/>
      </left>
      <right style="medium">
        <color rgb="FF000000"/>
      </right>
      <top style="thin">
        <color rgb="FF000000"/>
      </top>
      <bottom style="thin">
        <color rgb="FF000000"/>
      </bottom>
      <diagonal/>
    </border>
    <border>
      <left style="thin">
        <color rgb="FFc6c6c6"/>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thin">
        <color rgb="FFc6c6c6"/>
      </bottom>
      <diagonal/>
    </border>
    <border>
      <left style="thin">
        <color rgb="FFc6c6c6"/>
      </left>
      <right style="thin">
        <color rgb="FF000000"/>
      </right>
      <top style="thin">
        <color rgb="FFc6c6c6"/>
      </top>
      <bottom style="medium">
        <color rgb="FF000000"/>
      </bottom>
      <diagonal/>
    </border>
    <border>
      <left style="thin">
        <color rgb="FFc6c6c6"/>
      </left>
      <right style="thick">
        <color rgb="FFff0000"/>
      </right>
      <top style="medium">
        <color rgb="FF000000"/>
      </top>
      <bottom style="medium">
        <color rgb="FF000000"/>
      </bottom>
      <diagonal/>
    </border>
    <border>
      <left style="thick">
        <color rgb="FFff0000"/>
      </left>
      <right style="thin">
        <color rgb="FFc6c6c6"/>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c6c6c6"/>
      </left>
      <right style="medium">
        <color rgb="FF000000"/>
      </right>
      <top style="medium">
        <color rgb="FF000000"/>
      </top>
      <bottom style="thin">
        <color rgb="FF000000"/>
      </bottom>
      <diagonal/>
    </border>
    <border>
      <left style="medium">
        <color rgb="FF000000"/>
      </left>
      <right style="thin">
        <color rgb="FFc6c6c6"/>
      </right>
      <top style="medium">
        <color rgb="FF000000"/>
      </top>
      <bottom style="thin">
        <color rgb="FF000000"/>
      </bottom>
      <diagonal/>
    </border>
    <border>
      <left style="thin">
        <color rgb="FFc6c6c6"/>
      </left>
      <right style="thin">
        <color rgb="FFc6c6c6"/>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style="thin">
        <color rgb="FFc6c6c6"/>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c6c6c6"/>
      </right>
      <top style="thin">
        <color rgb="FF000000"/>
      </top>
      <bottom style="medium">
        <color rgb="FF000000"/>
      </bottom>
      <diagonal/>
    </border>
    <border>
      <left style="thin">
        <color rgb="FF000000"/>
      </left>
      <right style="thin">
        <color rgb="FFc6c6c6"/>
      </right>
      <top style="thin">
        <color rgb="FF000000"/>
      </top>
      <bottom style="medium">
        <color rgb="FF000000"/>
      </bottom>
      <diagonal/>
    </border>
    <border>
      <left/>
      <right/>
      <top style="medium">
        <color rgb="FF000000"/>
      </top>
      <bottom style="medium">
        <color rgb="FF000000"/>
      </bottom>
      <diagonal/>
    </border>
    <border>
      <left style="medium">
        <color rgb="FF000000"/>
      </left>
      <right/>
      <top/>
      <bottom/>
      <diagonal/>
    </border>
    <border>
      <left style="medium">
        <color rgb="FF008000"/>
      </left>
      <right style="thin">
        <color rgb="FFc6c6c6"/>
      </right>
      <top style="medium">
        <color rgb="FF000000"/>
      </top>
      <bottom style="medium">
        <color rgb="FF000000"/>
      </bottom>
      <diagonal/>
    </border>
    <border>
      <left style="thin">
        <color rgb="FFc6c6c6"/>
      </left>
      <right style="thin">
        <color rgb="FF000000"/>
      </right>
      <top style="medium">
        <color rgb="FF000000"/>
      </top>
      <bottom style="medium">
        <color rgb="FF000000"/>
      </bottom>
      <diagonal/>
    </border>
    <border>
      <left style="thin">
        <color rgb="FF000000"/>
      </left>
      <right style="thin">
        <color rgb="FFc6c6c6"/>
      </right>
      <top style="thin">
        <color rgb="FF000000"/>
      </top>
      <bottom style="thin">
        <color rgb="FFc6c6c6"/>
      </bottom>
      <diagonal/>
    </border>
    <border>
      <left style="medium">
        <color rgb="FF0000ff"/>
      </left>
      <right style="medium">
        <color rgb="FF0000ff"/>
      </right>
      <top style="medium">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ff"/>
      </left>
      <right style="thin">
        <color rgb="FF0000ff"/>
      </right>
      <top style="medium">
        <color rgb="FF000000"/>
      </top>
      <bottom style="thin">
        <color rgb="FF000000"/>
      </bottom>
      <diagonal/>
    </border>
    <border>
      <left style="thin">
        <color rgb="FF0000ff"/>
      </left>
      <right style="medium">
        <color rgb="FF0000ff"/>
      </right>
      <top style="medium">
        <color rgb="FF000000"/>
      </top>
      <bottom style="thin">
        <color rgb="FF000000"/>
      </bottom>
      <diagonal/>
    </border>
    <border>
      <left style="thin">
        <color rgb="FFc6c6c6"/>
      </left>
      <right style="thin">
        <color rgb="FF6d6dff"/>
      </right>
      <top style="medium">
        <color rgb="FF000000"/>
      </top>
      <bottom style="thin">
        <color rgb="FF000000"/>
      </bottom>
      <diagonal/>
    </border>
    <border>
      <left style="thin">
        <color rgb="FF6d6dff"/>
      </left>
      <right style="thin">
        <color rgb="FF6d6dff"/>
      </right>
      <top style="medium">
        <color rgb="FF000000"/>
      </top>
      <bottom style="thin">
        <color rgb="FF000000"/>
      </bottom>
      <diagonal/>
    </border>
    <border>
      <left style="thin">
        <color rgb="FF6d6dff"/>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thin">
        <color rgb="FF000000"/>
      </top>
      <bottom style="thin">
        <color rgb="FF000000"/>
      </bottom>
      <diagonal/>
    </border>
    <border>
      <left style="medium">
        <color rgb="FF0000ff"/>
      </left>
      <right style="thin">
        <color rgb="FF0000ff"/>
      </right>
      <top style="thin">
        <color rgb="FF000000"/>
      </top>
      <bottom style="thin">
        <color rgb="FF000000"/>
      </bottom>
      <diagonal/>
    </border>
    <border>
      <left style="thin">
        <color rgb="FF0000ff"/>
      </left>
      <right style="medium">
        <color rgb="FF0000ff"/>
      </right>
      <top style="thin">
        <color rgb="FF000000"/>
      </top>
      <bottom style="thin">
        <color rgb="FF000000"/>
      </bottom>
      <diagonal/>
    </border>
    <border>
      <left style="thin">
        <color rgb="FFc6c6c6"/>
      </left>
      <right style="thin">
        <color rgb="FF6d6dff"/>
      </right>
      <top style="thin">
        <color rgb="FF000000"/>
      </top>
      <bottom style="thin">
        <color rgb="FF000000"/>
      </bottom>
      <diagonal/>
    </border>
    <border>
      <left style="thin">
        <color rgb="FF6d6dff"/>
      </left>
      <right style="thin">
        <color rgb="FF6d6dff"/>
      </right>
      <top style="thin">
        <color rgb="FF000000"/>
      </top>
      <bottom style="thin">
        <color rgb="FF000000"/>
      </bottom>
      <diagonal/>
    </border>
    <border>
      <left style="thin">
        <color rgb="FF6d6dff"/>
      </left>
      <right style="medium">
        <color rgb="FF000000"/>
      </right>
      <top style="thin">
        <color rgb="FF000000"/>
      </top>
      <bottom style="thin">
        <color rgb="FF000000"/>
      </bottom>
      <diagonal/>
    </border>
    <border>
      <left style="medium">
        <color rgb="FF000000"/>
      </left>
      <right style="medium">
        <color rgb="FF000000"/>
      </right>
      <top/>
      <bottom/>
      <diagonal/>
    </border>
    <border>
      <left style="medium">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thin">
        <color rgb="FF000000"/>
      </left>
      <right style="thin">
        <color rgb="FFc6c6c6"/>
      </right>
      <top style="thin">
        <color rgb="FFc6c6c6"/>
      </top>
      <bottom style="medium">
        <color rgb="FF000000"/>
      </bottom>
      <diagonal/>
    </border>
    <border>
      <left style="thin">
        <color rgb="FF000000"/>
      </left>
      <right/>
      <top style="thin">
        <color rgb="FF000000"/>
      </top>
      <bottom/>
      <diagonal/>
    </border>
    <border>
      <left style="medium">
        <color rgb="FF000000"/>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thin">
        <color rgb="FF000000"/>
      </left>
      <right style="medium">
        <color rgb="FF008000"/>
      </right>
      <top style="thin">
        <color rgb="FFc6c6c6"/>
      </top>
      <bottom style="thin">
        <color rgb="FF000000"/>
      </bottom>
      <diagonal/>
    </border>
    <border>
      <left style="thin">
        <color rgb="FF000000"/>
      </left>
      <right style="medium">
        <color rgb="FF000000"/>
      </right>
      <top/>
      <bottom style="thin">
        <color rgb="FF000000"/>
      </bottom>
      <diagonal/>
    </border>
    <border>
      <left/>
      <right/>
      <top/>
      <bottom style="thin">
        <color rgb="FF000000"/>
      </bottom>
      <diagonal/>
    </border>
    <border>
      <left style="medium">
        <color rgb="FF000000"/>
      </left>
      <right style="thin">
        <color rgb="FF000000"/>
      </right>
      <top/>
      <bottom style="thin">
        <color rgb="FF000000"/>
      </bottom>
      <diagonal/>
    </border>
    <border>
      <left/>
      <right style="medium">
        <color rgb="FF000000"/>
      </right>
      <top style="medium">
        <color rgb="FF000000"/>
      </top>
      <bottom/>
      <diagonal/>
    </border>
    <border>
      <left/>
      <right/>
      <top style="thin">
        <color rgb="FF000000"/>
      </top>
      <bottom style="thin">
        <color rgb="FF000000"/>
      </bottom>
      <diagonal/>
    </border>
    <border>
      <left/>
      <right style="medium">
        <color rgb="FF000000"/>
      </right>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000000"/>
      </left>
      <right/>
      <top/>
      <bottom style="thin">
        <color rgb="FF000000"/>
      </bottom>
      <diagonal/>
    </border>
    <border>
      <left style="medium">
        <color rgb="FF0000ff"/>
      </left>
      <right style="thin">
        <color rgb="FF0000ff"/>
      </right>
      <top style="thin">
        <color rgb="FF000000"/>
      </top>
      <bottom style="medium">
        <color rgb="FF000000"/>
      </bottom>
      <diagonal/>
    </border>
    <border>
      <left style="thin">
        <color rgb="FF0000ff"/>
      </left>
      <right style="medium">
        <color rgb="FF0000ff"/>
      </right>
      <top style="thin">
        <color rgb="FF000000"/>
      </top>
      <bottom style="medium">
        <color rgb="FF000000"/>
      </bottom>
      <diagonal/>
    </border>
    <border>
      <left style="thin">
        <color rgb="FFc6c6c6"/>
      </left>
      <right style="thin">
        <color rgb="FF6d6dff"/>
      </right>
      <top style="thin">
        <color rgb="FF000000"/>
      </top>
      <bottom style="thin">
        <color rgb="FFc6c6c6"/>
      </bottom>
      <diagonal/>
    </border>
    <border>
      <left style="thin">
        <color rgb="FF6d6dff"/>
      </left>
      <right style="thin">
        <color rgb="FF6d6dff"/>
      </right>
      <top style="thin">
        <color rgb="FF000000"/>
      </top>
      <bottom style="thin">
        <color rgb="FFc6c6c6"/>
      </bottom>
      <diagonal/>
    </border>
    <border>
      <left style="thin">
        <color rgb="FF6d6dff"/>
      </left>
      <right style="medium">
        <color rgb="FF000000"/>
      </right>
      <top style="thin">
        <color rgb="FF000000"/>
      </top>
      <bottom style="thin">
        <color rgb="FFc6c6c6"/>
      </bottom>
      <diagonal/>
    </border>
    <border>
      <left style="medium">
        <color rgb="FF000000"/>
      </left>
      <right style="thin">
        <color rgb="FF6d6dff"/>
      </right>
      <top style="medium">
        <color rgb="FF000000"/>
      </top>
      <bottom style="medium">
        <color rgb="FF000000"/>
      </bottom>
      <diagonal/>
    </border>
    <border>
      <left style="thin">
        <color rgb="FF6d6dff"/>
      </left>
      <right style="thin">
        <color rgb="FF6d6dff"/>
      </right>
      <top style="medium">
        <color rgb="FF000000"/>
      </top>
      <bottom style="medium">
        <color rgb="FF000000"/>
      </bottom>
      <diagonal/>
    </border>
    <border>
      <left style="thin">
        <color rgb="FF6d6dff"/>
      </left>
      <right style="medium">
        <color rgb="FF000000"/>
      </right>
      <top style="medium">
        <color rgb="FF000000"/>
      </top>
      <bottom style="medium">
        <color rgb="FF000000"/>
      </bottom>
      <diagonal/>
    </border>
    <border>
      <left style="thin">
        <color rgb="FFc6c6c6"/>
      </left>
      <right style="medium">
        <color rgb="FF008000"/>
      </right>
      <top style="medium">
        <color rgb="FF000000"/>
      </top>
      <bottom style="thin">
        <color rgb="FF000000"/>
      </bottom>
      <diagonal/>
    </border>
    <border>
      <left style="thin">
        <color rgb="FFc6c6c6"/>
      </left>
      <right style="medium">
        <color rgb="FF008000"/>
      </right>
      <top style="thin">
        <color rgb="FFc6c6c6"/>
      </top>
      <bottom style="thin">
        <color rgb="FF000000"/>
      </bottom>
      <diagonal/>
    </border>
    <border>
      <left style="thin">
        <color rgb="FFc6c6c6"/>
      </left>
      <right style="double">
        <color rgb="FFff0000"/>
      </right>
      <top style="medium">
        <color rgb="FF000000"/>
      </top>
      <bottom style="thin">
        <color rgb="FFc6c6c6"/>
      </bottom>
      <diagonal/>
    </border>
    <border>
      <left style="double">
        <color rgb="FFff0000"/>
      </left>
      <right style="thin">
        <color rgb="FFc6c6c6"/>
      </right>
      <top style="medium">
        <color rgb="FF000000"/>
      </top>
      <bottom style="thin">
        <color rgb="FFc6c6c6"/>
      </bottom>
      <diagonal/>
    </border>
    <border>
      <left style="thin">
        <color rgb="FFc6c6c6"/>
      </left>
      <right style="medium">
        <color rgb="FF000000"/>
      </right>
      <top style="thin">
        <color rgb="FFc6c6c6"/>
      </top>
      <bottom style="thin">
        <color rgb="FF000000"/>
      </bottom>
      <diagonal/>
    </border>
    <border>
      <left style="thin">
        <color rgb="FFc6c6c6"/>
      </left>
      <right style="double">
        <color rgb="FFff0000"/>
      </right>
      <top style="thin">
        <color rgb="FFc6c6c6"/>
      </top>
      <bottom style="medium">
        <color rgb="FF000000"/>
      </bottom>
      <diagonal/>
    </border>
    <border>
      <left style="double">
        <color rgb="FFff0000"/>
      </left>
      <right style="thin">
        <color rgb="FFc6c6c6"/>
      </right>
      <top style="thin">
        <color rgb="FFc6c6c6"/>
      </top>
      <bottom style="medium">
        <color rgb="FF000000"/>
      </bottom>
      <diagonal/>
    </border>
    <border>
      <left style="medium">
        <color rgb="FF000000"/>
      </left>
      <right style="thin">
        <color rgb="FFc6c6c6"/>
      </right>
      <top style="thin">
        <color rgb="FFc6c6c6"/>
      </top>
      <bottom style="thin">
        <color rgb="FF000000"/>
      </bottom>
      <diagonal/>
    </border>
    <border>
      <left style="thin">
        <color rgb="FF000000"/>
      </left>
      <right style="double">
        <color rgb="FFff0000"/>
      </right>
      <top style="medium">
        <color rgb="FF000000"/>
      </top>
      <bottom style="thin">
        <color rgb="FFc6c6c6"/>
      </bottom>
      <diagonal/>
    </border>
    <border>
      <left style="double">
        <color rgb="FFff0000"/>
      </left>
      <right style="thin">
        <color rgb="FF000000"/>
      </right>
      <top style="medium">
        <color rgb="FF000000"/>
      </top>
      <bottom style="thin">
        <color rgb="FFc6c6c6"/>
      </bottom>
      <diagonal/>
    </border>
    <border>
      <left style="thin">
        <color rgb="FF000000"/>
      </left>
      <right style="double">
        <color rgb="FFff0000"/>
      </right>
      <top style="thin">
        <color rgb="FFc6c6c6"/>
      </top>
      <bottom style="thin">
        <color rgb="FFc6c6c6"/>
      </bottom>
      <diagonal/>
    </border>
    <border>
      <left style="double">
        <color rgb="FFff0000"/>
      </left>
      <right style="thin">
        <color rgb="FF000000"/>
      </right>
      <top style="thin">
        <color rgb="FFc6c6c6"/>
      </top>
      <bottom style="thin">
        <color rgb="FFc6c6c6"/>
      </bottom>
      <diagonal/>
    </border>
    <border>
      <left style="medium">
        <color rgb="FF000000"/>
      </left>
      <right style="medium">
        <color rgb="FF000080"/>
      </right>
      <top style="medium">
        <color rgb="FF000000"/>
      </top>
      <bottom style="thin">
        <color rgb="FFc6c6c6"/>
      </bottom>
      <diagonal/>
    </border>
    <border>
      <left style="thin">
        <color rgb="FF000000"/>
      </left>
      <right style="double">
        <color rgb="FFff0000"/>
      </right>
      <top style="thin">
        <color rgb="FFc6c6c6"/>
      </top>
      <bottom style="medium">
        <color rgb="FF000000"/>
      </bottom>
      <diagonal/>
    </border>
    <border>
      <left style="double">
        <color rgb="FFff0000"/>
      </left>
      <right style="thin">
        <color rgb="FF000000"/>
      </right>
      <top style="thin">
        <color rgb="FFc6c6c6"/>
      </top>
      <bottom style="medium">
        <color rgb="FF000000"/>
      </bottom>
      <diagonal/>
    </border>
    <border>
      <left style="medium">
        <color rgb="FF000000"/>
      </left>
      <right style="medium">
        <color rgb="FF000080"/>
      </right>
      <top style="thin">
        <color rgb="FFc6c6c6"/>
      </top>
      <bottom style="medium">
        <color rgb="FF000080"/>
      </bottom>
      <diagonal/>
    </border>
    <border>
      <left/>
      <right style="thin">
        <color rgb="FF000000"/>
      </right>
      <top style="thin">
        <color rgb="FF000000"/>
      </top>
      <bottom style="thin">
        <color rgb="FF000000"/>
      </bottom>
      <diagonal/>
    </border>
    <border>
      <left style="thin">
        <color rgb="FF000000"/>
      </left>
      <right style="double">
        <color rgb="FFff0000"/>
      </right>
      <top style="thin">
        <color rgb="FFc6c6c6"/>
      </top>
      <bottom style="thin">
        <color rgb="FF000000"/>
      </bottom>
      <diagonal/>
    </border>
    <border>
      <left style="double">
        <color rgb="FFff0000"/>
      </left>
      <right style="thin">
        <color rgb="FF000000"/>
      </right>
      <top style="thin">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80"/>
      </right>
      <top style="medium">
        <color rgb="FF000080"/>
      </top>
      <bottom style="thin">
        <color rgb="FFc6c6c6"/>
      </bottom>
      <diagonal/>
    </border>
    <border>
      <left/>
      <right style="thin">
        <color rgb="FF000000"/>
      </right>
      <top/>
      <bottom/>
      <diagonal/>
    </border>
    <border>
      <left style="medium">
        <color rgb="FF000000"/>
      </left>
      <right style="medium">
        <color rgb="FF000080"/>
      </right>
      <top style="thin">
        <color rgb="FFc6c6c6"/>
      </top>
      <bottom style="thin">
        <color rgb="FFc6c6c6"/>
      </bottom>
      <diagonal/>
    </border>
    <border>
      <left style="medium">
        <color rgb="FF000000"/>
      </left>
      <right style="thin">
        <color rgb="FF000000"/>
      </right>
      <top style="thin">
        <color rgb="FFc6c6c6"/>
      </top>
      <bottom style="thick">
        <color rgb="FF008000"/>
      </bottom>
      <diagonal/>
    </border>
    <border>
      <left style="thin">
        <color rgb="FF000000"/>
      </left>
      <right style="thin">
        <color rgb="FF000000"/>
      </right>
      <top style="thin">
        <color rgb="FFc6c6c6"/>
      </top>
      <bottom style="thick">
        <color rgb="FF008000"/>
      </bottom>
      <diagonal/>
    </border>
    <border>
      <left style="thin">
        <color rgb="FF000000"/>
      </left>
      <right style="medium">
        <color rgb="FF000000"/>
      </right>
      <top style="thin">
        <color rgb="FFc6c6c6"/>
      </top>
      <bottom style="thick">
        <color rgb="FF008000"/>
      </bottom>
      <diagonal/>
    </border>
    <border>
      <left style="medium">
        <color rgb="FF000000"/>
      </left>
      <right style="medium">
        <color rgb="FF000000"/>
      </right>
      <top style="thin">
        <color rgb="FFc6c6c6"/>
      </top>
      <bottom style="thick">
        <color rgb="FF008000"/>
      </bottom>
      <diagonal/>
    </border>
    <border>
      <left style="medium">
        <color rgb="FF000000"/>
      </left>
      <right style="thin">
        <color rgb="FF000000"/>
      </right>
      <top style="medium">
        <color rgb="FF000080"/>
      </top>
      <bottom style="medium">
        <color rgb="FF000000"/>
      </bottom>
      <diagonal/>
    </border>
    <border>
      <left style="thin">
        <color rgb="FFc6c6c6"/>
      </left>
      <right style="medium">
        <color rgb="FF000000"/>
      </right>
      <top style="thin">
        <color rgb="FFc6c6c6"/>
      </top>
      <bottom style="thick">
        <color rgb="FF008000"/>
      </bottom>
      <diagonal/>
    </border>
    <border>
      <left style="medium">
        <color rgb="FF000000"/>
      </left>
      <right/>
      <top style="medium">
        <color rgb="FF000000"/>
      </top>
      <bottom style="medium">
        <color rgb="FF000000"/>
      </bottom>
      <diagonal/>
    </border>
    <border>
      <left style="thin">
        <color rgb="FF000000"/>
      </left>
      <right style="double">
        <color rgb="FF000000"/>
      </right>
      <top style="thin">
        <color rgb="FFc6c6c6"/>
      </top>
      <bottom style="thin">
        <color rgb="FF000000"/>
      </bottom>
      <diagonal/>
    </border>
    <border>
      <left style="medium">
        <color rgb="FF000000"/>
      </left>
      <right/>
      <top style="medium">
        <color rgb="FF000000"/>
      </top>
      <bottom/>
      <diagonal/>
    </border>
    <border>
      <left style="medium">
        <color rgb="FF000000"/>
      </left>
      <right/>
      <top/>
      <bottom style="medium">
        <color rgb="FF000000"/>
      </bottom>
      <diagonal/>
    </border>
    <border>
      <left style="thin">
        <color rgb="FFc6c6c6"/>
      </left>
      <right style="medium">
        <color rgb="FF000000"/>
      </right>
      <top style="thin">
        <color rgb="FF000000"/>
      </top>
      <bottom style="thin">
        <color rgb="FFc6c6c6"/>
      </bottom>
      <diagonal/>
    </border>
    <border>
      <left style="thick">
        <color rgb="FF000000"/>
      </left>
      <right style="thin">
        <color rgb="FFc6c6c6"/>
      </right>
      <top style="thick">
        <color rgb="FF000000"/>
      </top>
      <bottom style="thin">
        <color rgb="FFc6c6c6"/>
      </bottom>
      <diagonal/>
    </border>
    <border>
      <left style="thin">
        <color rgb="FFc6c6c6"/>
      </left>
      <right style="thin">
        <color rgb="FFc6c6c6"/>
      </right>
      <top style="thick">
        <color rgb="FF000000"/>
      </top>
      <bottom style="thin">
        <color rgb="FFc6c6c6"/>
      </bottom>
      <diagonal/>
    </border>
    <border>
      <left style="thin">
        <color rgb="FFc6c6c6"/>
      </left>
      <right style="thick">
        <color rgb="FF000000"/>
      </right>
      <top style="thick">
        <color rgb="FF000000"/>
      </top>
      <bottom style="thin">
        <color rgb="FFc6c6c6"/>
      </bottom>
      <diagonal/>
    </border>
    <border>
      <left style="thick">
        <color rgb="FF000000"/>
      </left>
      <right style="thin">
        <color rgb="FFc6c6c6"/>
      </right>
      <top style="thin">
        <color rgb="FFc6c6c6"/>
      </top>
      <bottom style="medium">
        <color rgb="FF000000"/>
      </bottom>
      <diagonal/>
    </border>
    <border>
      <left style="thin">
        <color rgb="FFc6c6c6"/>
      </left>
      <right style="thick">
        <color rgb="FF000000"/>
      </right>
      <top style="thin">
        <color rgb="FFc6c6c6"/>
      </top>
      <bottom style="medium">
        <color rgb="FF000000"/>
      </bottom>
      <diagonal/>
    </border>
    <border>
      <left style="thick">
        <color rgb="FF000000"/>
      </left>
      <right style="thin">
        <color rgb="FF000000"/>
      </right>
      <top style="medium">
        <color rgb="FF000000"/>
      </top>
      <bottom style="thin">
        <color rgb="FFc6c6c6"/>
      </bottom>
      <diagonal/>
    </border>
    <border>
      <left style="thin">
        <color rgb="FFc6c6c6"/>
      </left>
      <right style="thick">
        <color rgb="FF000000"/>
      </right>
      <top style="medium">
        <color rgb="FF000000"/>
      </top>
      <bottom style="thin">
        <color rgb="FFc6c6c6"/>
      </bottom>
      <diagonal/>
    </border>
    <border>
      <left style="thick">
        <color rgb="FF000000"/>
      </left>
      <right style="thin">
        <color rgb="FF000000"/>
      </right>
      <top style="thin">
        <color rgb="FFc6c6c6"/>
      </top>
      <bottom style="thin">
        <color rgb="FF000000"/>
      </bottom>
      <diagonal/>
    </border>
    <border>
      <left style="thin">
        <color rgb="FFc6c6c6"/>
      </left>
      <right style="thick">
        <color rgb="FF000000"/>
      </right>
      <top style="thin">
        <color rgb="FFc6c6c6"/>
      </top>
      <bottom style="thin">
        <color rgb="FF000000"/>
      </bottom>
      <diagonal/>
    </border>
    <border>
      <left style="thick">
        <color rgb="FF000000"/>
      </left>
      <right style="thin">
        <color rgb="FF000000"/>
      </right>
      <top style="thin">
        <color rgb="FF000000"/>
      </top>
      <bottom style="thin">
        <color rgb="FFc6c6c6"/>
      </bottom>
      <diagonal/>
    </border>
    <border>
      <left style="thin">
        <color rgb="FFc6c6c6"/>
      </left>
      <right style="thick">
        <color rgb="FF000000"/>
      </right>
      <top style="thin">
        <color rgb="FF000000"/>
      </top>
      <bottom style="thin">
        <color rgb="FFc6c6c6"/>
      </bottom>
      <diagonal/>
    </border>
    <border>
      <left style="thick">
        <color rgb="FF000000"/>
      </left>
      <right style="thin">
        <color rgb="FF000000"/>
      </right>
      <top style="thin">
        <color rgb="FFc6c6c6"/>
      </top>
      <bottom style="thick">
        <color rgb="FF000000"/>
      </bottom>
      <diagonal/>
    </border>
    <border>
      <left style="thin">
        <color rgb="FF000000"/>
      </left>
      <right style="thin">
        <color rgb="FFc6c6c6"/>
      </right>
      <top style="thin">
        <color rgb="FFc6c6c6"/>
      </top>
      <bottom style="thick">
        <color rgb="FF000000"/>
      </bottom>
      <diagonal/>
    </border>
    <border>
      <left style="thin">
        <color rgb="FFc6c6c6"/>
      </left>
      <right style="thin">
        <color rgb="FFc6c6c6"/>
      </right>
      <top style="thin">
        <color rgb="FFc6c6c6"/>
      </top>
      <bottom style="thick">
        <color rgb="FF000000"/>
      </bottom>
      <diagonal/>
    </border>
    <border>
      <left style="thin">
        <color rgb="FFc6c6c6"/>
      </left>
      <right style="thick">
        <color rgb="FF000000"/>
      </right>
      <top style="thin">
        <color rgb="FFc6c6c6"/>
      </top>
      <bottom style="thick">
        <color rgb="FF000000"/>
      </bottom>
      <diagonal/>
    </border>
    <border>
      <left style="thick">
        <color rgb="FF000000"/>
      </left>
      <right style="thin">
        <color rgb="FF000000"/>
      </right>
      <top style="thin">
        <color rgb="FFc6c6c6"/>
      </top>
      <bottom style="thin">
        <color rgb="FFc6c6c6"/>
      </bottom>
      <diagonal/>
    </border>
    <border>
      <left style="thin">
        <color rgb="FF000000"/>
      </left>
      <right style="thin">
        <color rgb="FFc6c6c6"/>
      </right>
      <top style="thick">
        <color rgb="FF000000"/>
      </top>
      <bottom style="thin">
        <color rgb="FFc6c6c6"/>
      </bottom>
      <diagonal/>
    </border>
    <border>
      <left style="thin">
        <color rgb="FFc6c6c6"/>
      </left>
      <right style="thick">
        <color rgb="FF000000"/>
      </right>
      <top style="thin">
        <color rgb="FFc6c6c6"/>
      </top>
      <bottom style="thin">
        <color rgb="FFc6c6c6"/>
      </bottom>
      <diagonal/>
    </border>
    <border>
      <left style="thick">
        <color rgb="FF000000"/>
      </left>
      <right style="thin">
        <color rgb="FF000000"/>
      </right>
      <top style="thin">
        <color rgb="FF000000"/>
      </top>
      <bottom style="thin">
        <color rgb="FF000000"/>
      </bottom>
      <diagonal/>
    </border>
    <border>
      <left style="thin">
        <color rgb="FFc6c6c6"/>
      </left>
      <right style="thick">
        <color rgb="FF000000"/>
      </right>
      <top style="thin">
        <color rgb="FF000000"/>
      </top>
      <bottom style="thin">
        <color rgb="FF000000"/>
      </bottom>
      <diagonal/>
    </border>
  </borders>
  <cellStyleXfs count="1">
    <xf numFmtId="0" fontId="0" fillId="0" borderId="0"/>
  </cellStyleXfs>
  <cellXfs count="1002">
    <xf xfId="0" numFmtId="0" borderId="0" fontId="0" fillId="0"/>
    <xf xfId="0" numFmtId="0" borderId="0" fontId="0" fillId="0" applyAlignment="1">
      <alignment horizontal="general"/>
    </xf>
    <xf xfId="0" numFmtId="1" applyNumberFormat="1" borderId="1" applyBorder="1" fontId="1" applyFont="1" fillId="0" applyAlignment="1">
      <alignment horizontal="left"/>
    </xf>
    <xf xfId="0" numFmtId="3" applyNumberFormat="1" borderId="1" applyBorder="1" fontId="1" applyFont="1" fillId="0" applyAlignment="1">
      <alignment horizontal="right"/>
    </xf>
    <xf xfId="0" numFmtId="164" applyNumberFormat="1" borderId="1" applyBorder="1" fontId="1" applyFont="1" fillId="0" applyAlignment="1">
      <alignment horizontal="right"/>
    </xf>
    <xf xfId="0" numFmtId="165" applyNumberFormat="1" borderId="1" applyBorder="1" fontId="1" applyFont="1" fillId="0" applyAlignment="1">
      <alignment horizontal="right"/>
    </xf>
    <xf xfId="0" numFmtId="166" applyNumberFormat="1" borderId="1" applyBorder="1" fontId="1" applyFont="1" fillId="0" applyAlignment="1">
      <alignment horizontal="right"/>
    </xf>
    <xf xfId="0" numFmtId="4" applyNumberFormat="1" borderId="1" applyBorder="1" fontId="1" applyFont="1" fillId="0" applyAlignment="1">
      <alignment horizontal="right"/>
    </xf>
    <xf xfId="0" numFmtId="1" applyNumberFormat="1" borderId="1" applyBorder="1" fontId="1" applyFont="1" fillId="0" applyAlignment="1">
      <alignment horizontal="left" wrapText="1"/>
    </xf>
    <xf xfId="0" numFmtId="167" applyNumberFormat="1" borderId="1" applyBorder="1" fontId="1" applyFont="1" fillId="0" applyAlignment="1">
      <alignment horizontal="right"/>
    </xf>
    <xf xfId="0" numFmtId="168" applyNumberFormat="1" borderId="1" applyBorder="1" fontId="1" applyFont="1" fillId="0" applyAlignment="1">
      <alignment horizontal="right"/>
    </xf>
    <xf xfId="0" numFmtId="0" borderId="1" applyBorder="1" fontId="2" applyFont="1" fillId="0" applyAlignment="1">
      <alignment horizontal="left"/>
    </xf>
    <xf xfId="0" numFmtId="3" applyNumberFormat="1" borderId="1" applyBorder="1" fontId="3" applyFont="1" fillId="0" applyAlignment="1">
      <alignment horizontal="center"/>
    </xf>
    <xf xfId="0" numFmtId="1" applyNumberFormat="1" borderId="1" applyBorder="1" fontId="4" applyFont="1" fillId="0" applyAlignment="1">
      <alignment horizontal="right"/>
    </xf>
    <xf xfId="0" numFmtId="164" applyNumberFormat="1" borderId="2" applyBorder="1" fontId="5" applyFont="1" fillId="0" applyAlignment="1">
      <alignment horizontal="left"/>
    </xf>
    <xf xfId="0" numFmtId="1" applyNumberFormat="1" borderId="2" applyBorder="1" fontId="5" applyFont="1" fillId="0" applyAlignment="1">
      <alignment horizontal="left"/>
    </xf>
    <xf xfId="0" numFmtId="165" applyNumberFormat="1" borderId="2" applyBorder="1" fontId="5" applyFont="1" fillId="0" applyAlignment="1">
      <alignment horizontal="left"/>
    </xf>
    <xf xfId="0" numFmtId="4" applyNumberFormat="1" borderId="1" applyBorder="1" fontId="2" applyFont="1" fillId="0" applyAlignment="1">
      <alignment horizontal="right"/>
    </xf>
    <xf xfId="0" numFmtId="1" applyNumberFormat="1" borderId="3" applyBorder="1" fontId="2" applyFont="1" fillId="2" applyFill="1" applyAlignment="1">
      <alignment horizontal="center"/>
    </xf>
    <xf xfId="0" numFmtId="1" applyNumberFormat="1" borderId="4" applyBorder="1" fontId="3" applyFont="1" fillId="3" applyFill="1" applyAlignment="1">
      <alignment horizontal="center" vertical="top" wrapText="1"/>
    </xf>
    <xf xfId="0" numFmtId="164" applyNumberFormat="1" borderId="5" applyBorder="1" fontId="3" applyFont="1" fillId="3" applyFill="1" applyAlignment="1">
      <alignment horizontal="center" vertical="top" wrapText="1"/>
    </xf>
    <xf xfId="0" numFmtId="1" applyNumberFormat="1" borderId="5" applyBorder="1" fontId="3" applyFont="1" fillId="3" applyFill="1" applyAlignment="1">
      <alignment horizontal="center" vertical="top" wrapText="1"/>
    </xf>
    <xf xfId="0" numFmtId="165" applyNumberFormat="1" borderId="5" applyBorder="1" fontId="3" applyFont="1" fillId="3" applyFill="1" applyAlignment="1">
      <alignment horizontal="center" vertical="top" wrapText="1"/>
    </xf>
    <xf xfId="0" numFmtId="166" applyNumberFormat="1" borderId="5" applyBorder="1" fontId="3" applyFont="1" fillId="3" applyFill="1" applyAlignment="1">
      <alignment horizontal="center" vertical="top" wrapText="1"/>
    </xf>
    <xf xfId="0" numFmtId="3" applyNumberFormat="1" borderId="5" applyBorder="1" fontId="3" applyFont="1" fillId="3" applyFill="1" applyAlignment="1">
      <alignment horizontal="center" vertical="top" wrapText="1"/>
    </xf>
    <xf xfId="0" numFmtId="4" applyNumberFormat="1" borderId="6" applyBorder="1" fontId="3" applyFont="1" fillId="3" applyFill="1" applyAlignment="1">
      <alignment horizontal="center" vertical="top" wrapText="1"/>
    </xf>
    <xf xfId="0" numFmtId="4" applyNumberFormat="1" borderId="7" applyBorder="1" fontId="3" applyFont="1" fillId="3" applyFill="1" applyAlignment="1">
      <alignment horizontal="center" wrapText="1"/>
    </xf>
    <xf xfId="0" numFmtId="1" applyNumberFormat="1" borderId="8" applyBorder="1" fontId="3" applyFont="1" fillId="3" applyFill="1" applyAlignment="1">
      <alignment horizontal="center" wrapText="1"/>
    </xf>
    <xf xfId="0" numFmtId="0" borderId="5" applyBorder="1" fontId="3" applyFont="1" fillId="3" applyFill="1" applyAlignment="1">
      <alignment horizontal="center" vertical="top" wrapText="1"/>
    </xf>
    <xf xfId="0" numFmtId="3" applyNumberFormat="1" borderId="4" applyBorder="1" fontId="3" applyFont="1" fillId="3" applyFill="1" applyAlignment="1">
      <alignment horizontal="center" vertical="top" wrapText="1"/>
    </xf>
    <xf xfId="0" numFmtId="1" applyNumberFormat="1" borderId="9" applyBorder="1" fontId="3" applyFont="1" fillId="3" applyFill="1" applyAlignment="1">
      <alignment horizontal="center" vertical="top" wrapText="1"/>
    </xf>
    <xf xfId="0" numFmtId="166" applyNumberFormat="1" borderId="10" applyBorder="1" fontId="2" applyFont="1" fillId="3" applyFill="1" applyAlignment="1">
      <alignment horizontal="center" vertical="top" wrapText="1"/>
    </xf>
    <xf xfId="0" numFmtId="166" applyNumberFormat="1" borderId="7" applyBorder="1" fontId="2" applyFont="1" fillId="3" applyFill="1" applyAlignment="1">
      <alignment horizontal="center" wrapText="1"/>
    </xf>
    <xf xfId="0" numFmtId="166" applyNumberFormat="1" borderId="11" applyBorder="1" fontId="2" applyFont="1" fillId="3" applyFill="1" applyAlignment="1">
      <alignment horizontal="center" wrapText="1"/>
    </xf>
    <xf xfId="0" numFmtId="166" applyNumberFormat="1" borderId="12" applyBorder="1" fontId="3" applyFont="1" fillId="3" applyFill="1" applyAlignment="1">
      <alignment horizontal="center" vertical="top" wrapText="1"/>
    </xf>
    <xf xfId="0" numFmtId="167" applyNumberFormat="1" borderId="13" applyBorder="1" fontId="6" applyFont="1" fillId="3" applyFill="1" applyAlignment="1">
      <alignment horizontal="center"/>
    </xf>
    <xf xfId="0" numFmtId="1" applyNumberFormat="1" borderId="14" applyBorder="1" fontId="6" applyFont="1" fillId="3" applyFill="1" applyAlignment="1">
      <alignment horizontal="center"/>
    </xf>
    <xf xfId="0" numFmtId="3" applyNumberFormat="1" borderId="15" applyBorder="1" fontId="6" applyFont="1" fillId="3" applyFill="1" applyAlignment="1">
      <alignment horizontal="center"/>
    </xf>
    <xf xfId="0" numFmtId="3" applyNumberFormat="1" borderId="1" applyBorder="1" fontId="2" applyFont="1" fillId="0" applyAlignment="1">
      <alignment horizontal="right"/>
    </xf>
    <xf xfId="0" numFmtId="166" applyNumberFormat="1" borderId="1" applyBorder="1" fontId="2" applyFont="1" fillId="0" applyAlignment="1">
      <alignment horizontal="right"/>
    </xf>
    <xf xfId="0" numFmtId="1" applyNumberFormat="1" borderId="16" applyBorder="1" fontId="3" applyFont="1" fillId="3" applyFill="1" applyAlignment="1">
      <alignment horizontal="center" wrapText="1"/>
    </xf>
    <xf xfId="0" numFmtId="164" applyNumberFormat="1" borderId="17" applyBorder="1" fontId="3" applyFont="1" fillId="3" applyFill="1" applyAlignment="1">
      <alignment horizontal="center" wrapText="1"/>
    </xf>
    <xf xfId="0" numFmtId="4" applyNumberFormat="1" borderId="17" applyBorder="1" fontId="3" applyFont="1" fillId="3" applyFill="1" applyAlignment="1">
      <alignment horizontal="center" wrapText="1"/>
    </xf>
    <xf xfId="0" numFmtId="165" applyNumberFormat="1" borderId="17" applyBorder="1" fontId="3" applyFont="1" fillId="3" applyFill="1" applyAlignment="1">
      <alignment horizontal="center" wrapText="1"/>
    </xf>
    <xf xfId="0" numFmtId="166" applyNumberFormat="1" borderId="17" applyBorder="1" fontId="3" applyFont="1" fillId="3" applyFill="1" applyAlignment="1">
      <alignment horizontal="center" wrapText="1"/>
    </xf>
    <xf xfId="0" numFmtId="3" applyNumberFormat="1" borderId="17" applyBorder="1" fontId="3" applyFont="1" fillId="3" applyFill="1" applyAlignment="1">
      <alignment horizontal="center" wrapText="1"/>
    </xf>
    <xf xfId="0" numFmtId="4" applyNumberFormat="1" borderId="18" applyBorder="1" fontId="3" applyFont="1" fillId="3" applyFill="1" applyAlignment="1">
      <alignment horizontal="center" wrapText="1"/>
    </xf>
    <xf xfId="0" numFmtId="4" applyNumberFormat="1" borderId="19" applyBorder="1" fontId="3" applyFont="1" fillId="3" applyFill="1" applyAlignment="1">
      <alignment horizontal="center" wrapText="1"/>
    </xf>
    <xf xfId="0" numFmtId="1" applyNumberFormat="1" borderId="20" applyBorder="1" fontId="3" applyFont="1" fillId="3" applyFill="1" applyAlignment="1">
      <alignment horizontal="center" wrapText="1"/>
    </xf>
    <xf xfId="0" numFmtId="0" borderId="17" applyBorder="1" fontId="3" applyFont="1" fillId="3" applyFill="1" applyAlignment="1">
      <alignment horizontal="center" wrapText="1"/>
    </xf>
    <xf xfId="0" numFmtId="3" applyNumberFormat="1" borderId="16" applyBorder="1" fontId="3" applyFont="1" fillId="3" applyFill="1" applyAlignment="1">
      <alignment horizontal="center" wrapText="1"/>
    </xf>
    <xf xfId="0" numFmtId="1" applyNumberFormat="1" borderId="21" applyBorder="1" fontId="3" applyFont="1" fillId="3" applyFill="1" applyAlignment="1">
      <alignment horizontal="center" wrapText="1"/>
    </xf>
    <xf xfId="0" numFmtId="166" applyNumberFormat="1" borderId="22" applyBorder="1" fontId="2" applyFont="1" fillId="3" applyFill="1" applyAlignment="1">
      <alignment horizontal="center" wrapText="1"/>
    </xf>
    <xf xfId="0" numFmtId="166" applyNumberFormat="1" borderId="19" applyBorder="1" fontId="2" applyFont="1" fillId="3" applyFill="1" applyAlignment="1">
      <alignment horizontal="center" wrapText="1"/>
    </xf>
    <xf xfId="0" numFmtId="166" applyNumberFormat="1" borderId="23" applyBorder="1" fontId="2" applyFont="1" fillId="3" applyFill="1" applyAlignment="1">
      <alignment horizontal="center" wrapText="1"/>
    </xf>
    <xf xfId="0" numFmtId="166" applyNumberFormat="1" borderId="24" applyBorder="1" fontId="3" applyFont="1" fillId="3" applyFill="1" applyAlignment="1">
      <alignment horizontal="center" wrapText="1"/>
    </xf>
    <xf xfId="0" numFmtId="167" applyNumberFormat="1" borderId="4" applyBorder="1" fontId="3" applyFont="1" fillId="3" applyFill="1" applyAlignment="1">
      <alignment horizontal="center" vertical="top" wrapText="1"/>
    </xf>
    <xf xfId="0" numFmtId="3" applyNumberFormat="1" borderId="9" applyBorder="1" fontId="3" applyFont="1" fillId="3" applyFill="1" applyAlignment="1">
      <alignment horizontal="center" vertical="top" wrapText="1"/>
    </xf>
    <xf xfId="0" numFmtId="169" applyNumberFormat="1" borderId="3" applyBorder="1" fontId="2" applyFont="1" fillId="2" applyFill="1" applyAlignment="1">
      <alignment horizontal="left"/>
    </xf>
    <xf xfId="0" numFmtId="167" applyNumberFormat="1" borderId="16" applyBorder="1" fontId="3" applyFont="1" fillId="3" applyFill="1" applyAlignment="1">
      <alignment horizontal="center" wrapText="1"/>
    </xf>
    <xf xfId="0" numFmtId="1" applyNumberFormat="1" borderId="17" applyBorder="1" fontId="3" applyFont="1" fillId="3" applyFill="1" applyAlignment="1">
      <alignment horizontal="center" wrapText="1"/>
    </xf>
    <xf xfId="0" numFmtId="3" applyNumberFormat="1" borderId="21" applyBorder="1" fontId="3" applyFont="1" fillId="3" applyFill="1" applyAlignment="1">
      <alignment horizontal="center" wrapText="1"/>
    </xf>
    <xf xfId="0" numFmtId="4" applyNumberFormat="1" borderId="25" applyBorder="1" fontId="3" applyFont="1" fillId="3" applyFill="1" applyAlignment="1">
      <alignment horizontal="center" wrapText="1"/>
    </xf>
    <xf xfId="0" numFmtId="4" applyNumberFormat="1" borderId="26" applyBorder="1" fontId="3" applyFont="1" fillId="3" applyFill="1" applyAlignment="1">
      <alignment horizontal="center" wrapText="1"/>
    </xf>
    <xf xfId="0" numFmtId="1" applyNumberFormat="1" borderId="27" applyBorder="1" fontId="3" applyFont="1" fillId="3" applyFill="1" applyAlignment="1">
      <alignment horizontal="center" wrapText="1"/>
    </xf>
    <xf xfId="0" numFmtId="166" applyNumberFormat="1" borderId="28" applyBorder="1" fontId="2" applyFont="1" fillId="3" applyFill="1" applyAlignment="1">
      <alignment horizontal="center" wrapText="1"/>
    </xf>
    <xf xfId="0" numFmtId="166" applyNumberFormat="1" borderId="29" applyBorder="1" fontId="2" applyFont="1" fillId="3" applyFill="1" applyAlignment="1">
      <alignment horizontal="center" wrapText="1"/>
    </xf>
    <xf xfId="0" numFmtId="166" applyNumberFormat="1" borderId="30" applyBorder="1" fontId="2" applyFont="1" fillId="3" applyFill="1" applyAlignment="1">
      <alignment horizontal="center" wrapText="1"/>
    </xf>
    <xf xfId="0" numFmtId="166" applyNumberFormat="1" borderId="31" applyBorder="1" fontId="3" applyFont="1" fillId="3" applyFill="1" applyAlignment="1">
      <alignment horizontal="center" wrapText="1"/>
    </xf>
    <xf xfId="0" numFmtId="1" applyNumberFormat="1" borderId="1" applyBorder="1" fontId="2" applyFont="1" fillId="0" applyAlignment="1">
      <alignment horizontal="left"/>
    </xf>
    <xf xfId="0" numFmtId="1" applyNumberFormat="1" borderId="32" applyBorder="1" fontId="3" applyFont="1" fillId="3" applyFill="1" applyAlignment="1">
      <alignment horizontal="center" wrapText="1"/>
    </xf>
    <xf xfId="0" numFmtId="164" applyNumberFormat="1" borderId="33" applyBorder="1" fontId="3" applyFont="1" fillId="3" applyFill="1" applyAlignment="1">
      <alignment horizontal="center" wrapText="1"/>
    </xf>
    <xf xfId="0" numFmtId="4" applyNumberFormat="1" borderId="33" applyBorder="1" fontId="3" applyFont="1" fillId="3" applyFill="1" applyAlignment="1">
      <alignment horizontal="center" wrapText="1"/>
    </xf>
    <xf xfId="0" numFmtId="165" applyNumberFormat="1" borderId="33" applyBorder="1" fontId="3" applyFont="1" fillId="3" applyFill="1" applyAlignment="1">
      <alignment horizontal="center" wrapText="1"/>
    </xf>
    <xf xfId="0" numFmtId="166" applyNumberFormat="1" borderId="33" applyBorder="1" fontId="3" applyFont="1" fillId="3" applyFill="1" applyAlignment="1">
      <alignment horizontal="center" wrapText="1"/>
    </xf>
    <xf xfId="0" numFmtId="3" applyNumberFormat="1" borderId="33" applyBorder="1" fontId="3" applyFont="1" fillId="3" applyFill="1" applyAlignment="1">
      <alignment horizontal="center" wrapText="1"/>
    </xf>
    <xf xfId="0" numFmtId="4" applyNumberFormat="1" borderId="34" applyBorder="1" fontId="2" applyFont="1" fillId="3" applyFill="1" applyAlignment="1">
      <alignment horizontal="center" wrapText="1"/>
    </xf>
    <xf xfId="0" numFmtId="1" applyNumberFormat="1" borderId="34" applyBorder="1" fontId="2" applyFont="1" fillId="3" applyFill="1" applyAlignment="1">
      <alignment horizontal="center" wrapText="1"/>
    </xf>
    <xf xfId="0" numFmtId="0" borderId="33" applyBorder="1" fontId="3" applyFont="1" fillId="3" applyFill="1" applyAlignment="1">
      <alignment horizontal="center" wrapText="1"/>
    </xf>
    <xf xfId="0" numFmtId="3" applyNumberFormat="1" borderId="35" applyBorder="1" fontId="3" applyFont="1" fillId="3" applyFill="1" applyAlignment="1">
      <alignment horizontal="center" wrapText="1"/>
    </xf>
    <xf xfId="0" numFmtId="3" applyNumberFormat="1" borderId="36" applyBorder="1" fontId="3" applyFont="1" fillId="3" applyFill="1" applyAlignment="1">
      <alignment horizontal="center" wrapText="1"/>
    </xf>
    <xf xfId="0" numFmtId="164" applyNumberFormat="1" borderId="36" applyBorder="1" fontId="3" applyFont="1" fillId="3" applyFill="1" applyAlignment="1">
      <alignment horizontal="center" wrapText="1"/>
    </xf>
    <xf xfId="0" numFmtId="1" applyNumberFormat="1" borderId="37" applyBorder="1" fontId="3" applyFont="1" fillId="3" applyFill="1" applyAlignment="1">
      <alignment horizontal="center" wrapText="1"/>
    </xf>
    <xf xfId="0" numFmtId="167" applyNumberFormat="1" borderId="38" applyBorder="1" fontId="3" applyFont="1" fillId="4" applyFill="1" applyAlignment="1">
      <alignment horizontal="center"/>
    </xf>
    <xf xfId="0" numFmtId="167" applyNumberFormat="1" borderId="39" applyBorder="1" fontId="3" applyFont="1" fillId="4" applyFill="1" applyAlignment="1">
      <alignment horizontal="center"/>
    </xf>
    <xf xfId="0" numFmtId="167" applyNumberFormat="1" borderId="40" applyBorder="1" fontId="3" applyFont="1" fillId="4" applyFill="1" applyAlignment="1">
      <alignment horizontal="center"/>
    </xf>
    <xf xfId="0" numFmtId="167" applyNumberFormat="1" borderId="3" applyBorder="1" fontId="3" applyFont="1" fillId="5" applyFill="1" applyAlignment="1">
      <alignment horizontal="center" wrapText="1"/>
    </xf>
    <xf xfId="0" numFmtId="167" applyNumberFormat="1" borderId="35" applyBorder="1" fontId="3" applyFont="1" fillId="3" applyFill="1" applyAlignment="1">
      <alignment horizontal="center" wrapText="1"/>
    </xf>
    <xf xfId="0" numFmtId="1" applyNumberFormat="1" borderId="36" applyBorder="1" fontId="3" applyFont="1" fillId="3" applyFill="1" applyAlignment="1">
      <alignment horizontal="center" wrapText="1"/>
    </xf>
    <xf xfId="0" numFmtId="3" applyNumberFormat="1" borderId="37" applyBorder="1" fontId="3" applyFont="1" fillId="3" applyFill="1" applyAlignment="1">
      <alignment horizontal="center" wrapText="1"/>
    </xf>
    <xf xfId="0" numFmtId="1" applyNumberFormat="1" borderId="1" applyBorder="1" fontId="2" applyFont="1" fillId="0" applyAlignment="1">
      <alignment horizontal="right"/>
    </xf>
    <xf xfId="0" numFmtId="3" applyNumberFormat="1" borderId="12" applyBorder="1" fontId="7" applyFont="1" fillId="3" applyFill="1" applyAlignment="1">
      <alignment horizontal="center" vertical="top"/>
    </xf>
    <xf xfId="0" numFmtId="1" applyNumberFormat="1" borderId="41" applyBorder="1" fontId="3" applyFont="1" fillId="6" applyFill="1" applyAlignment="1">
      <alignment horizontal="left"/>
    </xf>
    <xf xfId="0" numFmtId="164" applyNumberFormat="1" borderId="34" applyBorder="1" fontId="3" applyFont="1" fillId="6" applyFill="1" applyAlignment="1">
      <alignment horizontal="center"/>
    </xf>
    <xf xfId="0" numFmtId="1" applyNumberFormat="1" borderId="34" applyBorder="1" fontId="3" applyFont="1" fillId="6" applyFill="1" applyAlignment="1">
      <alignment horizontal="center"/>
    </xf>
    <xf xfId="0" numFmtId="4" applyNumberFormat="1" borderId="34" applyBorder="1" fontId="3" applyFont="1" fillId="6" applyFill="1" applyAlignment="1">
      <alignment horizontal="center"/>
    </xf>
    <xf xfId="0" numFmtId="166" applyNumberFormat="1" borderId="34" applyBorder="1" fontId="3" applyFont="1" fillId="6" applyFill="1" applyAlignment="1">
      <alignment horizontal="center"/>
    </xf>
    <xf xfId="0" numFmtId="169" applyNumberFormat="1" borderId="34" applyBorder="1" fontId="3" applyFont="1" fillId="6" applyFill="1" applyAlignment="1">
      <alignment horizontal="center"/>
    </xf>
    <xf xfId="0" numFmtId="3" applyNumberFormat="1" borderId="41" applyBorder="1" fontId="3" applyFont="1" fillId="6" applyFill="1" applyAlignment="1">
      <alignment horizontal="left"/>
    </xf>
    <xf xfId="0" numFmtId="3" applyNumberFormat="1" borderId="34" applyBorder="1" fontId="3" applyFont="1" fillId="6" applyFill="1" applyAlignment="1">
      <alignment horizontal="center"/>
    </xf>
    <xf xfId="0" numFmtId="3" applyNumberFormat="1" borderId="27" applyBorder="1" fontId="3" applyFont="1" fillId="6" applyFill="1" applyAlignment="1">
      <alignment horizontal="center"/>
    </xf>
    <xf xfId="0" numFmtId="164" applyNumberFormat="1" borderId="33" applyBorder="1" fontId="3" applyFont="1" fillId="6" applyFill="1" applyAlignment="1">
      <alignment horizontal="center" wrapText="1"/>
    </xf>
    <xf xfId="0" numFmtId="1" applyNumberFormat="1" borderId="42" applyBorder="1" fontId="3" applyFont="1" fillId="6" applyFill="1" applyAlignment="1">
      <alignment horizontal="center" wrapText="1"/>
    </xf>
    <xf xfId="0" numFmtId="166" applyNumberFormat="1" borderId="32" applyBorder="1" fontId="3" applyFont="1" fillId="6" applyFill="1" applyAlignment="1">
      <alignment horizontal="center"/>
    </xf>
    <xf xfId="0" numFmtId="166" applyNumberFormat="1" borderId="27" applyBorder="1" fontId="3" applyFont="1" fillId="6" applyFill="1" applyAlignment="1">
      <alignment horizontal="center"/>
    </xf>
    <xf xfId="0" numFmtId="166" applyNumberFormat="1" borderId="26" applyBorder="1" fontId="3" applyFont="1" fillId="6" applyFill="1" applyAlignment="1">
      <alignment horizontal="center"/>
    </xf>
    <xf xfId="0" numFmtId="166" applyNumberFormat="1" borderId="43" applyBorder="1" fontId="3" applyFont="1" fillId="6" applyFill="1" applyAlignment="1">
      <alignment horizontal="right"/>
    </xf>
    <xf xfId="0" numFmtId="165" applyNumberFormat="1" borderId="1" applyBorder="1" fontId="2" applyFont="1" fillId="0" applyAlignment="1">
      <alignment horizontal="right"/>
    </xf>
    <xf xfId="0" numFmtId="3" applyNumberFormat="1" borderId="32" applyBorder="1" fontId="3" applyFont="1" fillId="6" applyFill="1" applyAlignment="1">
      <alignment horizontal="center"/>
    </xf>
    <xf xfId="0" numFmtId="165" applyNumberFormat="1" borderId="42" applyBorder="1" fontId="3" applyFont="1" fillId="6" applyFill="1" applyAlignment="1">
      <alignment horizontal="center"/>
    </xf>
    <xf xfId="0" numFmtId="170" applyNumberFormat="1" borderId="1" applyBorder="1" fontId="2" applyFont="1" fillId="0" applyAlignment="1">
      <alignment horizontal="right"/>
    </xf>
    <xf xfId="0" numFmtId="3" applyNumberFormat="1" borderId="24" applyBorder="1" fontId="7" applyFont="1" fillId="3" applyFill="1" applyAlignment="1">
      <alignment horizontal="center"/>
    </xf>
    <xf xfId="0" numFmtId="3" applyNumberFormat="1" borderId="34" applyBorder="1" fontId="3" applyFont="1" fillId="6" applyFill="1" applyAlignment="1">
      <alignment horizontal="center" wrapText="1"/>
    </xf>
    <xf xfId="0" numFmtId="164" applyNumberFormat="1" borderId="34" applyBorder="1" fontId="3" applyFont="1" fillId="6" applyFill="1" applyAlignment="1">
      <alignment horizontal="center" wrapText="1"/>
    </xf>
    <xf xfId="0" numFmtId="1" applyNumberFormat="1" borderId="44" applyBorder="1" fontId="3" applyFont="1" fillId="6" applyFill="1" applyAlignment="1">
      <alignment horizontal="center" wrapText="1"/>
    </xf>
    <xf xfId="0" numFmtId="166" applyNumberFormat="1" borderId="45" applyBorder="1" fontId="3" applyFont="1" fillId="6" applyFill="1" applyAlignment="1">
      <alignment horizontal="center"/>
    </xf>
    <xf xfId="0" numFmtId="166" applyNumberFormat="1" borderId="46" applyBorder="1" fontId="3" applyFont="1" fillId="6" applyFill="1" applyAlignment="1">
      <alignment horizontal="center"/>
    </xf>
    <xf xfId="0" numFmtId="166" applyNumberFormat="1" borderId="47" applyBorder="1" fontId="3" applyFont="1" fillId="6" applyFill="1" applyAlignment="1">
      <alignment horizontal="right"/>
    </xf>
    <xf xfId="0" numFmtId="3" applyNumberFormat="1" borderId="41" applyBorder="1" fontId="3" applyFont="1" fillId="6" applyFill="1" applyAlignment="1">
      <alignment horizontal="center"/>
    </xf>
    <xf xfId="0" numFmtId="165" applyNumberFormat="1" borderId="44" applyBorder="1" fontId="3" applyFont="1" fillId="6" applyFill="1" applyAlignment="1">
      <alignment horizontal="center"/>
    </xf>
    <xf xfId="0" numFmtId="1" applyNumberFormat="1" borderId="27" applyBorder="1" fontId="3" applyFont="1" fillId="6" applyFill="1" applyAlignment="1">
      <alignment horizontal="left"/>
    </xf>
    <xf xfId="0" numFmtId="4" applyNumberFormat="1" borderId="33" applyBorder="1" fontId="3" applyFont="1" fillId="6" applyFill="1" applyAlignment="1">
      <alignment horizontal="center"/>
    </xf>
    <xf xfId="0" numFmtId="1" applyNumberFormat="1" borderId="33" applyBorder="1" fontId="3" applyFont="1" fillId="6" applyFill="1" applyAlignment="1">
      <alignment horizontal="center"/>
    </xf>
    <xf xfId="0" numFmtId="3" applyNumberFormat="1" borderId="48" applyBorder="1" fontId="3" applyFont="1" fillId="6" applyFill="1" applyAlignment="1">
      <alignment horizontal="center"/>
    </xf>
    <xf xfId="0" numFmtId="164" applyNumberFormat="1" borderId="49" applyBorder="1" fontId="3" applyFont="1" fillId="6" applyFill="1" applyAlignment="1">
      <alignment horizontal="center"/>
    </xf>
    <xf xfId="0" numFmtId="165" applyNumberFormat="1" borderId="50" applyBorder="1" fontId="3" applyFont="1" fillId="6" applyFill="1" applyAlignment="1">
      <alignment horizontal="center"/>
    </xf>
    <xf xfId="0" numFmtId="1" applyNumberFormat="1" borderId="27" applyBorder="1" fontId="3" applyFont="1" fillId="6" applyFill="1" applyAlignment="1">
      <alignment horizontal="right"/>
    </xf>
    <xf xfId="0" numFmtId="167" applyNumberFormat="1" borderId="13" applyBorder="1" fontId="6" applyFont="1" fillId="3" applyFill="1" applyAlignment="1">
      <alignment horizontal="center" wrapText="1"/>
    </xf>
    <xf xfId="0" numFmtId="1" applyNumberFormat="1" borderId="14" applyBorder="1" fontId="6" applyFont="1" fillId="3" applyFill="1" applyAlignment="1">
      <alignment horizontal="center" wrapText="1"/>
    </xf>
    <xf xfId="0" numFmtId="3" applyNumberFormat="1" borderId="14" applyBorder="1" fontId="6" applyFont="1" fillId="3" applyFill="1" applyAlignment="1">
      <alignment horizontal="center" wrapText="1"/>
    </xf>
    <xf xfId="0" numFmtId="168" applyNumberFormat="1" borderId="15" applyBorder="1" fontId="6" applyFont="1" fillId="3" applyFill="1" applyAlignment="1">
      <alignment horizontal="center" wrapText="1"/>
    </xf>
    <xf xfId="0" numFmtId="167" applyNumberFormat="1" borderId="10" applyBorder="1" fontId="2" applyFont="1" fillId="6" applyFill="1" applyAlignment="1">
      <alignment horizontal="center"/>
    </xf>
    <xf xfId="0" numFmtId="1" applyNumberFormat="1" borderId="12" applyBorder="1" fontId="3" applyFont="1" fillId="6" applyFill="1" applyAlignment="1">
      <alignment horizontal="center"/>
    </xf>
    <xf xfId="0" numFmtId="3" applyNumberFormat="1" borderId="10" applyBorder="1" fontId="2" applyFont="1" fillId="6" applyFill="1" applyAlignment="1">
      <alignment horizontal="center"/>
    </xf>
    <xf xfId="0" numFmtId="168" applyNumberFormat="1" borderId="11" applyBorder="1" fontId="2" applyFont="1" fillId="6" applyFill="1" applyAlignment="1">
      <alignment horizontal="center"/>
    </xf>
    <xf xfId="0" numFmtId="1" applyNumberFormat="1" borderId="1" applyBorder="1" fontId="6" applyFont="1" fillId="0" applyAlignment="1">
      <alignment horizontal="left"/>
    </xf>
    <xf xfId="0" numFmtId="167" applyNumberFormat="1" borderId="22" applyBorder="1" fontId="2" applyFont="1" fillId="6" applyFill="1" applyAlignment="1">
      <alignment horizontal="center"/>
    </xf>
    <xf xfId="0" numFmtId="1" applyNumberFormat="1" borderId="24" applyBorder="1" fontId="3" applyFont="1" fillId="6" applyFill="1" applyAlignment="1">
      <alignment horizontal="center"/>
    </xf>
    <xf xfId="0" numFmtId="3" applyNumberFormat="1" borderId="22" applyBorder="1" fontId="2" applyFont="1" fillId="6" applyFill="1" applyAlignment="1">
      <alignment horizontal="center"/>
    </xf>
    <xf xfId="0" numFmtId="168" applyNumberFormat="1" borderId="23" applyBorder="1" fontId="2" applyFont="1" fillId="6" applyFill="1" applyAlignment="1">
      <alignment horizontal="center"/>
    </xf>
    <xf xfId="0" numFmtId="1" applyNumberFormat="1" borderId="24" applyBorder="1" fontId="2" applyFont="1" fillId="6" applyFill="1" applyAlignment="1">
      <alignment horizontal="center"/>
    </xf>
    <xf xfId="0" numFmtId="167" applyNumberFormat="1" borderId="28" applyBorder="1" fontId="2" applyFont="1" fillId="6" applyFill="1" applyAlignment="1">
      <alignment horizontal="center"/>
    </xf>
    <xf xfId="0" numFmtId="1" applyNumberFormat="1" borderId="31" applyBorder="1" fontId="2" applyFont="1" fillId="6" applyFill="1" applyAlignment="1">
      <alignment horizontal="center"/>
    </xf>
    <xf xfId="0" numFmtId="3" applyNumberFormat="1" borderId="28" applyBorder="1" fontId="2" applyFont="1" fillId="6" applyFill="1" applyAlignment="1">
      <alignment horizontal="center"/>
    </xf>
    <xf xfId="0" numFmtId="168" applyNumberFormat="1" borderId="30" applyBorder="1" fontId="2" applyFont="1" fillId="6" applyFill="1" applyAlignment="1">
      <alignment horizontal="center"/>
    </xf>
    <xf xfId="0" numFmtId="3" applyNumberFormat="1" borderId="1" applyBorder="1" fontId="2" applyFont="1" fillId="0" applyAlignment="1">
      <alignment horizontal="left"/>
    </xf>
    <xf xfId="0" numFmtId="166" applyNumberFormat="1" borderId="51" applyBorder="1" fontId="3" applyFont="1" fillId="6" applyFill="1" applyAlignment="1">
      <alignment horizontal="center"/>
    </xf>
    <xf xfId="0" numFmtId="166" applyNumberFormat="1" borderId="52" applyBorder="1" fontId="3" applyFont="1" fillId="6" applyFill="1" applyAlignment="1">
      <alignment horizontal="center"/>
    </xf>
    <xf xfId="0" numFmtId="166" applyNumberFormat="1" borderId="53" applyBorder="1" fontId="3" applyFont="1" fillId="6" applyFill="1" applyAlignment="1">
      <alignment horizontal="center"/>
    </xf>
    <xf xfId="0" numFmtId="4" applyNumberFormat="1" borderId="54" applyBorder="1" fontId="3" applyFont="1" fillId="6" applyFill="1" applyAlignment="1">
      <alignment horizontal="center"/>
    </xf>
    <xf xfId="0" numFmtId="164" applyNumberFormat="1" borderId="33" applyBorder="1" fontId="3" applyFont="1" fillId="6" applyFill="1" applyAlignment="1">
      <alignment horizontal="center"/>
    </xf>
    <xf xfId="0" numFmtId="4" applyNumberFormat="1" borderId="27" applyBorder="1" fontId="3" applyFont="1" fillId="6" applyFill="1" applyAlignment="1">
      <alignment horizontal="center"/>
    </xf>
    <xf xfId="0" numFmtId="4" applyNumberFormat="1" borderId="26" applyBorder="1" fontId="3" applyFont="1" fillId="6" applyFill="1" applyAlignment="1">
      <alignment horizontal="center"/>
    </xf>
    <xf xfId="0" numFmtId="3" applyNumberFormat="1" borderId="31" applyBorder="1" fontId="7" applyFont="1" fillId="3" applyFill="1" applyAlignment="1">
      <alignment horizontal="center"/>
    </xf>
    <xf xfId="0" numFmtId="1" applyNumberFormat="1" borderId="48" applyBorder="1" fontId="3" applyFont="1" fillId="6" applyFill="1" applyAlignment="1">
      <alignment horizontal="right"/>
    </xf>
    <xf xfId="0" numFmtId="1" applyNumberFormat="1" borderId="49" applyBorder="1" fontId="3" applyFont="1" fillId="6" applyFill="1" applyAlignment="1">
      <alignment horizontal="center"/>
    </xf>
    <xf xfId="0" numFmtId="4" applyNumberFormat="1" borderId="49" applyBorder="1" fontId="3" applyFont="1" fillId="6" applyFill="1" applyAlignment="1">
      <alignment horizontal="center"/>
    </xf>
    <xf xfId="0" numFmtId="4" applyNumberFormat="1" borderId="55" applyBorder="1" fontId="3" applyFont="1" fillId="6" applyFill="1" applyAlignment="1">
      <alignment horizontal="center"/>
    </xf>
    <xf xfId="0" numFmtId="166" applyNumberFormat="1" borderId="49" applyBorder="1" fontId="3" applyFont="1" fillId="6" applyFill="1" applyAlignment="1">
      <alignment horizontal="center"/>
    </xf>
    <xf xfId="0" numFmtId="3" applyNumberFormat="1" borderId="49" applyBorder="1" fontId="2" applyFont="1" fillId="6" applyFill="1" applyAlignment="1">
      <alignment horizontal="center"/>
    </xf>
    <xf xfId="0" numFmtId="169" applyNumberFormat="1" borderId="49" applyBorder="1" fontId="3" applyFont="1" fillId="6" applyFill="1" applyAlignment="1">
      <alignment horizontal="center"/>
    </xf>
    <xf xfId="0" numFmtId="4" applyNumberFormat="1" borderId="56" applyBorder="1" fontId="3" applyFont="1" fillId="6" applyFill="1" applyAlignment="1">
      <alignment horizontal="center"/>
    </xf>
    <xf xfId="0" numFmtId="164" applyNumberFormat="1" borderId="57" applyBorder="1" fontId="3" applyFont="1" fillId="6" applyFill="1" applyAlignment="1">
      <alignment horizontal="center" wrapText="1"/>
    </xf>
    <xf xfId="0" numFmtId="166" applyNumberFormat="1" borderId="33" applyBorder="1" fontId="3" applyFont="1" fillId="6" applyFill="1" applyAlignment="1">
      <alignment horizontal="center"/>
    </xf>
    <xf xfId="0" numFmtId="169" applyNumberFormat="1" borderId="33" applyBorder="1" fontId="3" applyFont="1" fillId="6" applyFill="1" applyAlignment="1">
      <alignment horizontal="center"/>
    </xf>
    <xf xfId="0" numFmtId="4" applyNumberFormat="1" borderId="58" applyBorder="1" fontId="3" applyFont="1" fillId="6" applyFill="1" applyAlignment="1">
      <alignment horizontal="center"/>
    </xf>
    <xf xfId="0" numFmtId="164" applyNumberFormat="1" borderId="12" applyBorder="1" fontId="2" applyFont="1" fillId="3" applyFill="1" applyAlignment="1">
      <alignment horizontal="right"/>
    </xf>
    <xf xfId="0" numFmtId="166" applyNumberFormat="1" borderId="13" applyBorder="1" fontId="7" applyFont="1" fillId="3" applyFill="1" applyAlignment="1">
      <alignment horizontal="right"/>
    </xf>
    <xf xfId="0" numFmtId="166" applyNumberFormat="1" borderId="14" applyBorder="1" fontId="7" applyFont="1" fillId="3" applyFill="1" applyAlignment="1">
      <alignment horizontal="right"/>
    </xf>
    <xf xfId="0" numFmtId="166" applyNumberFormat="1" borderId="15" applyBorder="1" fontId="7" applyFont="1" fillId="3" applyFill="1" applyAlignment="1">
      <alignment horizontal="right"/>
    </xf>
    <xf xfId="0" numFmtId="166" applyNumberFormat="1" borderId="3" applyBorder="1" fontId="3" applyFont="1" fillId="5" applyFill="1" applyAlignment="1">
      <alignment horizontal="right"/>
    </xf>
    <xf xfId="0" numFmtId="4" applyNumberFormat="1" borderId="45" applyBorder="1" fontId="3" applyFont="1" fillId="6" applyFill="1" applyAlignment="1">
      <alignment horizontal="center"/>
    </xf>
    <xf xfId="0" numFmtId="164" applyNumberFormat="1" borderId="12" applyBorder="1" fontId="2" applyFont="1" fillId="3" applyFill="1" applyAlignment="1">
      <alignment horizontal="left" vertical="top"/>
    </xf>
    <xf xfId="0" numFmtId="166" applyNumberFormat="1" borderId="13" applyBorder="1" fontId="6" applyFont="1" fillId="7" applyFill="1" applyAlignment="1">
      <alignment horizontal="center"/>
    </xf>
    <xf xfId="0" numFmtId="166" applyNumberFormat="1" borderId="14" applyBorder="1" fontId="6" applyFont="1" fillId="7" applyFill="1" applyAlignment="1">
      <alignment horizontal="center"/>
    </xf>
    <xf xfId="0" numFmtId="166" applyNumberFormat="1" borderId="15" applyBorder="1" fontId="6" applyFont="1" fillId="7" applyFill="1" applyAlignment="1">
      <alignment horizontal="center"/>
    </xf>
    <xf xfId="0" numFmtId="4" applyNumberFormat="1" borderId="46" applyBorder="1" fontId="3" applyFont="1" fillId="6" applyFill="1" applyAlignment="1">
      <alignment horizontal="center"/>
    </xf>
    <xf xfId="0" numFmtId="164" applyNumberFormat="1" borderId="24" applyBorder="1" fontId="2" applyFont="1" fillId="3" applyFill="1" applyAlignment="1">
      <alignment horizontal="right"/>
    </xf>
    <xf xfId="0" numFmtId="166" applyNumberFormat="1" borderId="22" applyBorder="1" fontId="2" applyFont="1" fillId="6" applyFill="1" applyAlignment="1">
      <alignment horizontal="left"/>
    </xf>
    <xf xfId="0" numFmtId="166" applyNumberFormat="1" borderId="19" applyBorder="1" fontId="2" applyFont="1" fillId="6" applyFill="1" applyAlignment="1">
      <alignment horizontal="left"/>
    </xf>
    <xf xfId="0" numFmtId="166" applyNumberFormat="1" borderId="23" applyBorder="1" fontId="2" applyFont="1" fillId="6" applyFill="1" applyAlignment="1">
      <alignment horizontal="left"/>
    </xf>
    <xf xfId="0" numFmtId="167" applyNumberFormat="1" borderId="1" applyBorder="1" fontId="2" applyFont="1" fillId="0" applyAlignment="1">
      <alignment horizontal="left"/>
    </xf>
    <xf xfId="0" numFmtId="164" applyNumberFormat="1" borderId="31" applyBorder="1" fontId="2" applyFont="1" fillId="3" applyFill="1" applyAlignment="1">
      <alignment horizontal="right"/>
    </xf>
    <xf xfId="0" numFmtId="166" applyNumberFormat="1" borderId="28" applyBorder="1" fontId="2" applyFont="1" fillId="6" applyFill="1" applyAlignment="1">
      <alignment horizontal="left"/>
    </xf>
    <xf xfId="0" numFmtId="166" applyNumberFormat="1" borderId="29" applyBorder="1" fontId="2" applyFont="1" fillId="6" applyFill="1" applyAlignment="1">
      <alignment horizontal="left"/>
    </xf>
    <xf xfId="0" numFmtId="166" applyNumberFormat="1" borderId="30" applyBorder="1" fontId="2" applyFont="1" fillId="6" applyFill="1" applyAlignment="1">
      <alignment horizontal="left"/>
    </xf>
    <xf xfId="0" numFmtId="3" applyNumberFormat="1" borderId="59" applyBorder="1" fontId="3" applyFont="1" fillId="6" applyFill="1" applyAlignment="1">
      <alignment horizontal="center"/>
    </xf>
    <xf xfId="0" numFmtId="3" applyNumberFormat="1" borderId="32" applyBorder="1" fontId="3" applyFont="1" fillId="6" applyFill="1" applyAlignment="1">
      <alignment horizontal="left"/>
    </xf>
    <xf xfId="0" numFmtId="3" applyNumberFormat="1" borderId="33" applyBorder="1" fontId="3" applyFont="1" fillId="6" applyFill="1" applyAlignment="1">
      <alignment horizontal="center"/>
    </xf>
    <xf xfId="0" numFmtId="3" applyNumberFormat="1" borderId="26" applyBorder="1" fontId="3" applyFont="1" fillId="6" applyFill="1" applyAlignment="1">
      <alignment horizontal="center"/>
    </xf>
    <xf xfId="0" numFmtId="164" applyNumberFormat="1" borderId="12" applyBorder="1" fontId="2" applyFont="1" fillId="3" applyFill="1" applyAlignment="1">
      <alignment horizontal="center" vertical="top"/>
    </xf>
    <xf xfId="0" numFmtId="164" applyNumberFormat="1" borderId="24" applyBorder="1" fontId="2" applyFont="1" fillId="3" applyFill="1" applyAlignment="1">
      <alignment horizontal="center"/>
    </xf>
    <xf xfId="0" numFmtId="164" applyNumberFormat="1" borderId="31" applyBorder="1" fontId="2" applyFont="1" fillId="3" applyFill="1" applyAlignment="1">
      <alignment horizontal="center"/>
    </xf>
    <xf xfId="0" numFmtId="3" applyNumberFormat="1" borderId="44" applyBorder="1" fontId="3" applyFont="1" fillId="6" applyFill="1" applyAlignment="1">
      <alignment horizontal="center"/>
    </xf>
    <xf xfId="0" numFmtId="164" applyNumberFormat="1" borderId="12" applyBorder="1" fontId="2" applyFont="1" fillId="3" applyFill="1" applyAlignment="1">
      <alignment horizontal="center" vertical="top" wrapText="1"/>
    </xf>
    <xf xfId="0" numFmtId="3" applyNumberFormat="1" borderId="42" applyBorder="1" fontId="3" applyFont="1" fillId="6" applyFill="1" applyAlignment="1">
      <alignment horizontal="center"/>
    </xf>
    <xf xfId="0" numFmtId="164" applyNumberFormat="1" borderId="24" applyBorder="1" fontId="2" applyFont="1" fillId="3" applyFill="1" applyAlignment="1">
      <alignment horizontal="center" wrapText="1"/>
    </xf>
    <xf xfId="0" numFmtId="3" applyNumberFormat="1" borderId="48" applyBorder="1" fontId="3" applyFont="1" fillId="6" applyFill="1" applyAlignment="1">
      <alignment horizontal="left"/>
    </xf>
    <xf xfId="0" numFmtId="3" applyNumberFormat="1" borderId="49" applyBorder="1" fontId="3" applyFont="1" fillId="6" applyFill="1" applyAlignment="1">
      <alignment horizontal="center"/>
    </xf>
    <xf xfId="0" numFmtId="3" applyNumberFormat="1" borderId="60" applyBorder="1" fontId="3" applyFont="1" fillId="6" applyFill="1" applyAlignment="1">
      <alignment horizontal="center"/>
    </xf>
    <xf xfId="0" numFmtId="164" applyNumberFormat="1" borderId="31" applyBorder="1" fontId="2" applyFont="1" fillId="3" applyFill="1" applyAlignment="1">
      <alignment horizontal="center" wrapText="1"/>
    </xf>
    <xf xfId="0" numFmtId="3" applyNumberFormat="1" borderId="35" applyBorder="1" fontId="3" applyFont="1" fillId="6" applyFill="1" applyAlignment="1">
      <alignment horizontal="left"/>
    </xf>
    <xf xfId="0" numFmtId="3" applyNumberFormat="1" borderId="36" applyBorder="1" fontId="3" applyFont="1" fillId="6" applyFill="1" applyAlignment="1">
      <alignment horizontal="center"/>
    </xf>
    <xf xfId="0" numFmtId="3" applyNumberFormat="1" borderId="37" applyBorder="1" fontId="3" applyFont="1" fillId="6" applyFill="1" applyAlignment="1">
      <alignment horizontal="center"/>
    </xf>
    <xf xfId="0" numFmtId="3" applyNumberFormat="1" borderId="47" applyBorder="1" fontId="7" applyFont="1" fillId="3" applyFill="1" applyAlignment="1">
      <alignment horizontal="center"/>
    </xf>
    <xf xfId="0" numFmtId="3" applyNumberFormat="1" borderId="61" applyBorder="1" fontId="7" applyFont="1" fillId="3" applyFill="1" applyAlignment="1">
      <alignment horizontal="center" vertical="top"/>
    </xf>
    <xf xfId="0" numFmtId="164" applyNumberFormat="1" borderId="1" applyBorder="1" fontId="3" applyFont="1" fillId="0" applyAlignment="1">
      <alignment horizontal="center"/>
    </xf>
    <xf xfId="0" numFmtId="165" applyNumberFormat="1" borderId="36" applyBorder="1" fontId="3" applyFont="1" fillId="6" applyFill="1" applyAlignment="1">
      <alignment horizontal="center"/>
    </xf>
    <xf xfId="0" numFmtId="165" applyNumberFormat="1" borderId="62" applyBorder="1" fontId="3" applyFont="1" fillId="6" applyFill="1" applyAlignment="1">
      <alignment horizontal="center"/>
    </xf>
    <xf xfId="0" numFmtId="4" applyNumberFormat="1" borderId="1" applyBorder="1" fontId="3" applyFont="1" fillId="0" applyAlignment="1">
      <alignment horizontal="center"/>
    </xf>
    <xf xfId="0" numFmtId="0" borderId="1" applyBorder="1" fontId="3" applyFont="1" fillId="0" applyAlignment="1">
      <alignment horizontal="center"/>
    </xf>
    <xf xfId="0" numFmtId="166" applyNumberFormat="1" borderId="36" applyBorder="1" fontId="3" applyFont="1" fillId="6" applyFill="1" applyAlignment="1">
      <alignment horizontal="center"/>
    </xf>
    <xf xfId="0" numFmtId="164" applyNumberFormat="1" borderId="1" applyBorder="1" fontId="5" applyFont="1" fillId="0" applyAlignment="1">
      <alignment horizontal="left"/>
    </xf>
    <xf xfId="0" numFmtId="1" applyNumberFormat="1" borderId="1" applyBorder="1" fontId="5" applyFont="1" fillId="0" applyAlignment="1">
      <alignment horizontal="left"/>
    </xf>
    <xf xfId="0" numFmtId="4" applyNumberFormat="1" borderId="1" applyBorder="1" fontId="5" applyFont="1" fillId="0" applyAlignment="1">
      <alignment horizontal="left"/>
    </xf>
    <xf xfId="0" numFmtId="1" applyNumberFormat="1" borderId="1" applyBorder="1" fontId="3" applyFont="1" fillId="0" applyAlignment="1">
      <alignment horizontal="left"/>
    </xf>
    <xf xfId="0" numFmtId="0" borderId="0" fontId="0" fillId="0" applyAlignment="1">
      <alignment horizontal="general"/>
    </xf>
    <xf xfId="0" numFmtId="1" applyNumberFormat="1" borderId="0" fontId="0" fillId="0" applyAlignment="1">
      <alignment horizontal="general"/>
    </xf>
    <xf xfId="0" numFmtId="3" applyNumberFormat="1" borderId="0" fontId="0" fillId="0" applyAlignment="1">
      <alignment horizontal="general"/>
    </xf>
    <xf xfId="0" numFmtId="164" applyNumberFormat="1" borderId="0" fontId="0" fillId="0" applyAlignment="1">
      <alignment horizontal="general"/>
    </xf>
    <xf xfId="0" numFmtId="165" applyNumberFormat="1" borderId="0" fontId="0" fillId="0" applyAlignment="1">
      <alignment horizontal="general"/>
    </xf>
    <xf xfId="0" numFmtId="166" applyNumberFormat="1" borderId="0" fontId="0" fillId="0" applyAlignment="1">
      <alignment horizontal="general"/>
    </xf>
    <xf xfId="0" numFmtId="4" applyNumberFormat="1" borderId="0" fontId="0" fillId="0" applyAlignment="1">
      <alignment horizontal="general"/>
    </xf>
    <xf xfId="0" numFmtId="4" applyNumberFormat="1" borderId="0" fontId="0" fillId="0" applyAlignment="1">
      <alignment horizontal="right"/>
    </xf>
    <xf xfId="0" numFmtId="1" applyNumberFormat="1" borderId="0" fontId="0" fillId="0" applyAlignment="1">
      <alignment horizontal="general" wrapText="1"/>
    </xf>
    <xf xfId="0" numFmtId="167" applyNumberFormat="1" borderId="0" fontId="0" fillId="0" applyAlignment="1">
      <alignment horizontal="general"/>
    </xf>
    <xf xfId="0" numFmtId="168" applyNumberFormat="1" borderId="0" fontId="0" fillId="0" applyAlignment="1">
      <alignment horizontal="general"/>
    </xf>
    <xf xfId="0" numFmtId="0" borderId="0" fontId="0" fillId="0" applyAlignment="1">
      <alignment horizontal="general" wrapText="1"/>
    </xf>
    <xf xfId="0" numFmtId="0" borderId="0" fontId="0" fillId="0" applyAlignment="1">
      <alignment horizontal="left"/>
    </xf>
    <xf xfId="0" numFmtId="0" borderId="1" applyBorder="1" fontId="1" applyFont="1" fillId="0" applyAlignment="1">
      <alignment horizontal="left" wrapText="1"/>
    </xf>
    <xf xfId="0" numFmtId="0" borderId="0" fontId="0" fillId="0" applyAlignment="1">
      <alignment wrapText="1"/>
    </xf>
    <xf xfId="0" numFmtId="0" borderId="57" applyBorder="1" fontId="7" applyFont="1" fillId="8" applyFill="1" applyAlignment="1">
      <alignment horizontal="center" vertical="top" wrapText="1"/>
    </xf>
    <xf xfId="0" numFmtId="3" applyNumberFormat="1" borderId="57" applyBorder="1" fontId="7" applyFont="1" fillId="8" applyFill="1" applyAlignment="1">
      <alignment horizontal="center" vertical="top" wrapText="1"/>
    </xf>
    <xf xfId="0" numFmtId="0" borderId="57" applyBorder="1" fontId="4" applyFont="1" fillId="8" applyFill="1" applyAlignment="1">
      <alignment horizontal="center" vertical="top" wrapText="1"/>
    </xf>
    <xf xfId="0" numFmtId="0" borderId="17" applyBorder="1" fontId="7" applyFont="1" fillId="8" applyFill="1" applyAlignment="1">
      <alignment horizontal="center" wrapText="1"/>
    </xf>
    <xf xfId="0" numFmtId="3" applyNumberFormat="1" borderId="17" applyBorder="1" fontId="7" applyFont="1" fillId="8" applyFill="1" applyAlignment="1">
      <alignment horizontal="center" wrapText="1"/>
    </xf>
    <xf xfId="0" numFmtId="0" borderId="17" applyBorder="1" fontId="4" applyFont="1" fillId="8" applyFill="1" applyAlignment="1">
      <alignment horizontal="center" wrapText="1"/>
    </xf>
    <xf xfId="0" numFmtId="0" borderId="33" applyBorder="1" fontId="7" applyFont="1" fillId="8" applyFill="1" applyAlignment="1">
      <alignment horizontal="center" wrapText="1"/>
    </xf>
    <xf xfId="0" numFmtId="3" applyNumberFormat="1" borderId="33" applyBorder="1" fontId="7" applyFont="1" fillId="8" applyFill="1" applyAlignment="1">
      <alignment horizontal="center" wrapText="1"/>
    </xf>
    <xf xfId="0" numFmtId="0" borderId="33" applyBorder="1" fontId="4" applyFont="1" fillId="8" applyFill="1" applyAlignment="1">
      <alignment horizontal="center" wrapText="1"/>
    </xf>
    <xf xfId="0" numFmtId="0" borderId="34" applyBorder="1" fontId="3" applyFont="1" fillId="9" applyFill="1" applyAlignment="1">
      <alignment horizontal="left"/>
    </xf>
    <xf xfId="0" numFmtId="3" applyNumberFormat="1" borderId="34" applyBorder="1" fontId="3" applyFont="1" fillId="2" applyFill="1" applyAlignment="1">
      <alignment horizontal="right"/>
    </xf>
    <xf xfId="0" numFmtId="0" borderId="57" applyBorder="1" fontId="8" applyFont="1" fillId="9" applyFill="1" applyAlignment="1">
      <alignment horizontal="left" vertical="top" wrapText="1"/>
    </xf>
    <xf xfId="0" numFmtId="0" borderId="17" applyBorder="1" fontId="8" applyFont="1" fillId="9" applyFill="1" applyAlignment="1">
      <alignment horizontal="left" wrapText="1"/>
    </xf>
    <xf xfId="0" numFmtId="0" borderId="33" applyBorder="1" fontId="8" applyFont="1" fillId="9" applyFill="1" applyAlignment="1">
      <alignment horizontal="left" wrapText="1"/>
    </xf>
    <xf xfId="0" numFmtId="0" borderId="0" fontId="0" fillId="0" applyAlignment="1">
      <alignment horizontal="general" wrapText="1"/>
    </xf>
    <xf xfId="0" numFmtId="0" borderId="0" fontId="0" fillId="0" applyAlignment="1">
      <alignment horizontal="left"/>
    </xf>
    <xf xfId="0" numFmtId="3" applyNumberFormat="1" borderId="0" fontId="0" fillId="0" applyAlignment="1">
      <alignment horizontal="right"/>
    </xf>
    <xf xfId="0" numFmtId="3" applyNumberFormat="1" borderId="1" applyBorder="1" fontId="9" applyFont="1" fillId="0" applyAlignment="1">
      <alignment horizontal="right"/>
    </xf>
    <xf xfId="0" numFmtId="0" borderId="1" applyBorder="1" fontId="1" applyFont="1" fillId="0" applyAlignment="1">
      <alignment horizontal="center"/>
    </xf>
    <xf xfId="0" numFmtId="166" applyNumberFormat="1" borderId="1" applyBorder="1" fontId="1" applyFont="1" fillId="0" applyAlignment="1">
      <alignment horizontal="center"/>
    </xf>
    <xf xfId="0" numFmtId="1" applyNumberFormat="1" borderId="1" applyBorder="1" fontId="1" applyFont="1" fillId="0" applyAlignment="1">
      <alignment horizontal="center"/>
    </xf>
    <xf xfId="0" numFmtId="17" applyNumberFormat="1" borderId="1" applyBorder="1" fontId="1" applyFont="1" fillId="0" applyAlignment="1">
      <alignment horizontal="center"/>
    </xf>
    <xf xfId="0" numFmtId="3" applyNumberFormat="1" borderId="1" applyBorder="1" fontId="1" applyFont="1" fillId="0" applyAlignment="1">
      <alignment horizontal="center"/>
    </xf>
    <xf xfId="0" numFmtId="3" applyNumberFormat="1" borderId="34" applyBorder="1" fontId="2" applyFont="1" fillId="7" applyFill="1" applyAlignment="1">
      <alignment horizontal="center" wrapText="1"/>
    </xf>
    <xf xfId="0" numFmtId="0" borderId="34" applyBorder="1" fontId="2" applyFont="1" fillId="7" applyFill="1" applyAlignment="1">
      <alignment horizontal="center" wrapText="1"/>
    </xf>
    <xf xfId="0" numFmtId="166" applyNumberFormat="1" borderId="34" applyBorder="1" fontId="2" applyFont="1" fillId="7" applyFill="1" applyAlignment="1">
      <alignment horizontal="center" wrapText="1"/>
    </xf>
    <xf xfId="0" numFmtId="1" applyNumberFormat="1" borderId="34" applyBorder="1" fontId="2" applyFont="1" fillId="7" applyFill="1" applyAlignment="1">
      <alignment horizontal="center" wrapText="1"/>
    </xf>
    <xf xfId="0" numFmtId="17" applyNumberFormat="1" borderId="34" applyBorder="1" fontId="2" applyFont="1" fillId="7" applyFill="1" applyAlignment="1">
      <alignment horizontal="center" wrapText="1"/>
    </xf>
    <xf xfId="0" numFmtId="3" applyNumberFormat="1" borderId="34" applyBorder="1" fontId="9" applyFont="1" fillId="2" applyFill="1" applyAlignment="1">
      <alignment horizontal="center"/>
    </xf>
    <xf xfId="0" numFmtId="0" borderId="34" applyBorder="1" fontId="9" applyFont="1" fillId="2" applyFill="1" applyAlignment="1">
      <alignment horizontal="center"/>
    </xf>
    <xf xfId="0" numFmtId="166" applyNumberFormat="1" borderId="34" applyBorder="1" fontId="3" applyFont="1" fillId="2" applyFill="1" applyAlignment="1">
      <alignment horizontal="center"/>
    </xf>
    <xf xfId="0" numFmtId="169" applyNumberFormat="1" borderId="34" applyBorder="1" fontId="9" applyFont="1" fillId="2" applyFill="1" applyAlignment="1">
      <alignment horizontal="center"/>
    </xf>
    <xf xfId="0" numFmtId="17" applyNumberFormat="1" borderId="34" applyBorder="1" fontId="9" applyFont="1" fillId="2" applyFill="1" applyAlignment="1">
      <alignment horizontal="center"/>
    </xf>
    <xf xfId="0" numFmtId="3" applyNumberFormat="1" borderId="0" fontId="0" fillId="0" applyAlignment="1">
      <alignment horizontal="center"/>
    </xf>
    <xf xfId="0" numFmtId="0" borderId="0" fontId="0" fillId="0" applyAlignment="1">
      <alignment horizontal="center"/>
    </xf>
    <xf xfId="0" numFmtId="166" applyNumberFormat="1" borderId="0" fontId="0" fillId="0" applyAlignment="1">
      <alignment horizontal="center"/>
    </xf>
    <xf xfId="0" numFmtId="1" applyNumberFormat="1" borderId="0" fontId="0" fillId="0" applyAlignment="1">
      <alignment horizontal="center"/>
    </xf>
    <xf xfId="0" numFmtId="17" applyNumberFormat="1" borderId="0" fontId="0" fillId="0" applyAlignment="1">
      <alignment horizontal="center"/>
    </xf>
    <xf xfId="0" numFmtId="3" applyNumberFormat="1" borderId="13" applyBorder="1" fontId="10" applyFont="1" fillId="10" applyFill="1" applyAlignment="1">
      <alignment horizontal="center"/>
    </xf>
    <xf xfId="0" numFmtId="3" applyNumberFormat="1" borderId="14" applyBorder="1" fontId="10" applyFont="1" fillId="10" applyFill="1" applyAlignment="1">
      <alignment horizontal="center"/>
    </xf>
    <xf xfId="0" numFmtId="3" applyNumberFormat="1" borderId="15" applyBorder="1" fontId="10" applyFont="1" fillId="10" applyFill="1" applyAlignment="1">
      <alignment horizontal="center"/>
    </xf>
    <xf xfId="0" numFmtId="3" applyNumberFormat="1" borderId="13" applyBorder="1" fontId="11" applyFont="1" fillId="11" applyFill="1" applyAlignment="1">
      <alignment horizontal="center"/>
    </xf>
    <xf xfId="0" numFmtId="3" applyNumberFormat="1" borderId="14" applyBorder="1" fontId="11" applyFont="1" fillId="11" applyFill="1" applyAlignment="1">
      <alignment horizontal="center"/>
    </xf>
    <xf xfId="0" numFmtId="3" applyNumberFormat="1" borderId="15" applyBorder="1" fontId="11" applyFont="1" fillId="11" applyFill="1" applyAlignment="1">
      <alignment horizontal="center"/>
    </xf>
    <xf xfId="0" numFmtId="3" applyNumberFormat="1" borderId="1" applyBorder="1" fontId="8" applyFont="1" fillId="0" applyAlignment="1">
      <alignment horizontal="left"/>
    </xf>
    <xf xfId="0" numFmtId="3" applyNumberFormat="1" borderId="13" applyBorder="1" fontId="12" applyFont="1" fillId="12" applyFill="1" applyAlignment="1">
      <alignment horizontal="right"/>
    </xf>
    <xf xfId="0" numFmtId="3" applyNumberFormat="1" borderId="15" applyBorder="1" fontId="12" applyFont="1" fillId="12" applyFill="1" applyAlignment="1">
      <alignment horizontal="right"/>
    </xf>
    <xf xfId="0" numFmtId="3" applyNumberFormat="1" borderId="13" applyBorder="1" fontId="13" applyFont="1" fillId="13" applyFill="1" applyAlignment="1">
      <alignment horizontal="left"/>
    </xf>
    <xf xfId="0" numFmtId="3" applyNumberFormat="1" borderId="14" applyBorder="1" fontId="13" applyFont="1" fillId="13" applyFill="1" applyAlignment="1">
      <alignment horizontal="left"/>
    </xf>
    <xf xfId="0" numFmtId="3" applyNumberFormat="1" borderId="15" applyBorder="1" fontId="13" applyFont="1" fillId="13" applyFill="1" applyAlignment="1">
      <alignment horizontal="left"/>
    </xf>
    <xf xfId="0" numFmtId="3" applyNumberFormat="1" borderId="1" applyBorder="1" fontId="13" applyFont="1" fillId="0" applyAlignment="1">
      <alignment horizontal="left"/>
    </xf>
    <xf xfId="0" numFmtId="3" applyNumberFormat="1" borderId="13" applyBorder="1" fontId="7" applyFont="1" fillId="10" applyFill="1" applyAlignment="1">
      <alignment horizontal="center"/>
    </xf>
    <xf xfId="0" numFmtId="3" applyNumberFormat="1" borderId="15" applyBorder="1" fontId="7" applyFont="1" fillId="10" applyFill="1" applyAlignment="1">
      <alignment horizontal="center"/>
    </xf>
    <xf xfId="0" numFmtId="3" applyNumberFormat="1" borderId="63" applyBorder="1" fontId="7" applyFont="1" fillId="10" applyFill="1" applyAlignment="1">
      <alignment horizontal="center"/>
    </xf>
    <xf xfId="0" numFmtId="3" applyNumberFormat="1" borderId="64" applyBorder="1" fontId="7" applyFont="1" fillId="10" applyFill="1" applyAlignment="1">
      <alignment horizontal="center"/>
    </xf>
    <xf xfId="0" numFmtId="3" applyNumberFormat="1" borderId="65" applyBorder="1" fontId="3" applyFont="1" fillId="11" applyFill="1" applyAlignment="1">
      <alignment horizontal="center"/>
    </xf>
    <xf xfId="0" numFmtId="3" applyNumberFormat="1" borderId="66" applyBorder="1" fontId="3" applyFont="1" fillId="11" applyFill="1" applyAlignment="1">
      <alignment horizontal="center"/>
    </xf>
    <xf xfId="0" numFmtId="3" applyNumberFormat="1" borderId="32" applyBorder="1" fontId="3" applyFont="1" fillId="12" applyFill="1" applyAlignment="1">
      <alignment horizontal="center"/>
    </xf>
    <xf xfId="0" numFmtId="3" applyNumberFormat="1" borderId="42" applyBorder="1" fontId="3" applyFont="1" fillId="12" applyFill="1" applyAlignment="1">
      <alignment horizontal="center"/>
    </xf>
    <xf xfId="0" numFmtId="3" applyNumberFormat="1" borderId="32" applyBorder="1" fontId="3" applyFont="1" fillId="13" applyFill="1" applyAlignment="1">
      <alignment horizontal="center"/>
    </xf>
    <xf xfId="0" numFmtId="3" applyNumberFormat="1" borderId="42" applyBorder="1" fontId="3" applyFont="1" fillId="13" applyFill="1" applyAlignment="1">
      <alignment horizontal="center"/>
    </xf>
    <xf xfId="0" numFmtId="3" applyNumberFormat="1" borderId="3" applyBorder="1" fontId="3" applyFont="1" fillId="11" applyFill="1" applyAlignment="1">
      <alignment horizontal="center"/>
    </xf>
    <xf xfId="0" numFmtId="3" applyNumberFormat="1" borderId="1" applyBorder="1" fontId="3" applyFont="1" fillId="0" applyAlignment="1">
      <alignment horizontal="left"/>
    </xf>
    <xf xfId="0" numFmtId="3" applyNumberFormat="1" borderId="13" applyBorder="1" fontId="4" applyFont="1" fillId="10" applyFill="1" applyAlignment="1">
      <alignment horizontal="center"/>
    </xf>
    <xf xfId="0" numFmtId="3" applyNumberFormat="1" borderId="14" applyBorder="1" fontId="4" applyFont="1" fillId="10" applyFill="1" applyAlignment="1">
      <alignment horizontal="center"/>
    </xf>
    <xf xfId="0" numFmtId="3" applyNumberFormat="1" borderId="15" applyBorder="1" fontId="4" applyFont="1" fillId="10" applyFill="1" applyAlignment="1">
      <alignment horizontal="center"/>
    </xf>
    <xf xfId="0" numFmtId="3" applyNumberFormat="1" borderId="67" applyBorder="1" fontId="7" applyFont="1" fillId="12" applyFill="1" applyAlignment="1">
      <alignment horizontal="center"/>
    </xf>
    <xf xfId="0" numFmtId="3" applyNumberFormat="1" borderId="68" applyBorder="1" fontId="7" applyFont="1" fillId="12" applyFill="1" applyAlignment="1">
      <alignment horizontal="center"/>
    </xf>
    <xf xfId="0" numFmtId="3" applyNumberFormat="1" borderId="69" applyBorder="1" fontId="7" applyFont="1" fillId="12" applyFill="1" applyAlignment="1">
      <alignment horizontal="center"/>
    </xf>
    <xf xfId="0" numFmtId="3" applyNumberFormat="1" borderId="58" applyBorder="1" fontId="7" applyFont="1" fillId="11" applyFill="1" applyAlignment="1">
      <alignment horizontal="center"/>
    </xf>
    <xf xfId="0" numFmtId="3" applyNumberFormat="1" borderId="66" applyBorder="1" fontId="7" applyFont="1" fillId="11" applyFill="1" applyAlignment="1">
      <alignment horizontal="center"/>
    </xf>
    <xf xfId="0" numFmtId="3" applyNumberFormat="1" borderId="70" applyBorder="1" fontId="7" applyFont="1" fillId="12" applyFill="1" applyAlignment="1">
      <alignment horizontal="center"/>
    </xf>
    <xf xfId="0" numFmtId="3" applyNumberFormat="1" borderId="46" applyBorder="1" fontId="7" applyFont="1" fillId="12" applyFill="1" applyAlignment="1">
      <alignment horizontal="center"/>
    </xf>
    <xf xfId="0" numFmtId="3" applyNumberFormat="1" borderId="45" applyBorder="1" fontId="7" applyFont="1" fillId="12" applyFill="1" applyAlignment="1">
      <alignment horizontal="center"/>
    </xf>
    <xf xfId="0" numFmtId="3" applyNumberFormat="1" borderId="54" applyBorder="1" fontId="7" applyFont="1" fillId="11" applyFill="1" applyAlignment="1">
      <alignment horizontal="center"/>
    </xf>
    <xf xfId="0" numFmtId="3" applyNumberFormat="1" borderId="59" applyBorder="1" fontId="7" applyFont="1" fillId="11" applyFill="1" applyAlignment="1">
      <alignment horizontal="center"/>
    </xf>
    <xf xfId="0" numFmtId="3" applyNumberFormat="1" borderId="3" applyBorder="1" fontId="3" applyFont="1" fillId="12" applyFill="1" applyAlignment="1">
      <alignment horizontal="center"/>
    </xf>
    <xf xfId="0" numFmtId="3" applyNumberFormat="1" borderId="71" applyBorder="1" fontId="3" applyFont="1" fillId="12" applyFill="1" applyAlignment="1">
      <alignment horizontal="center"/>
    </xf>
    <xf xfId="0" numFmtId="3" applyNumberFormat="1" borderId="13" applyBorder="1" fontId="3" applyFont="1" fillId="12" applyFill="1" applyAlignment="1">
      <alignment horizontal="center"/>
    </xf>
    <xf xfId="0" numFmtId="3" applyNumberFormat="1" borderId="14" applyBorder="1" fontId="3" applyFont="1" fillId="12" applyFill="1" applyAlignment="1">
      <alignment horizontal="center"/>
    </xf>
    <xf xfId="0" numFmtId="3" applyNumberFormat="1" borderId="15" applyBorder="1" fontId="3" applyFont="1" fillId="12" applyFill="1" applyAlignment="1">
      <alignment horizontal="center"/>
    </xf>
    <xf xfId="0" numFmtId="3" applyNumberFormat="1" borderId="65" applyBorder="1" fontId="3" applyFont="1" fillId="13" applyFill="1" applyAlignment="1">
      <alignment horizontal="center"/>
    </xf>
    <xf xfId="0" numFmtId="3" applyNumberFormat="1" borderId="72" applyBorder="1" fontId="3" applyFont="1" fillId="13" applyFill="1" applyAlignment="1">
      <alignment horizontal="center"/>
    </xf>
    <xf xfId="0" numFmtId="3" applyNumberFormat="1" borderId="58" applyBorder="1" fontId="3" applyFont="1" fillId="13" applyFill="1" applyAlignment="1">
      <alignment horizontal="left"/>
    </xf>
    <xf xfId="0" numFmtId="3" applyNumberFormat="1" borderId="68" applyBorder="1" fontId="9" applyFont="1" fillId="13" applyFill="1" applyAlignment="1">
      <alignment horizontal="center"/>
    </xf>
    <xf xfId="0" numFmtId="3" applyNumberFormat="1" borderId="66" applyBorder="1" fontId="9" applyFont="1" fillId="13" applyFill="1" applyAlignment="1">
      <alignment horizontal="center"/>
    </xf>
    <xf xfId="0" numFmtId="3" applyNumberFormat="1" borderId="41" applyBorder="1" fontId="3" applyFont="1" fillId="13" applyFill="1" applyAlignment="1">
      <alignment horizontal="center"/>
    </xf>
    <xf xfId="0" numFmtId="3" applyNumberFormat="1" borderId="34" applyBorder="1" fontId="3" applyFont="1" fillId="13" applyFill="1" applyAlignment="1">
      <alignment horizontal="center"/>
    </xf>
    <xf xfId="0" numFmtId="3" applyNumberFormat="1" borderId="54" applyBorder="1" fontId="3" applyFont="1" fillId="13" applyFill="1" applyAlignment="1">
      <alignment horizontal="left"/>
    </xf>
    <xf xfId="0" numFmtId="3" applyNumberFormat="1" borderId="46" applyBorder="1" fontId="9" applyFont="1" fillId="13" applyFill="1" applyAlignment="1">
      <alignment horizontal="center"/>
    </xf>
    <xf xfId="0" numFmtId="3" applyNumberFormat="1" borderId="59" applyBorder="1" fontId="9" applyFont="1" fillId="13" applyFill="1" applyAlignment="1">
      <alignment horizontal="center"/>
    </xf>
    <xf xfId="0" numFmtId="3" applyNumberFormat="1" borderId="73" applyBorder="1" fontId="7" applyFont="1" fillId="12" applyFill="1" applyAlignment="1">
      <alignment horizontal="center"/>
    </xf>
    <xf xfId="0" numFmtId="3" applyNumberFormat="1" borderId="56" applyBorder="1" fontId="7" applyFont="1" fillId="12" applyFill="1" applyAlignment="1">
      <alignment horizontal="center"/>
    </xf>
    <xf xfId="0" numFmtId="3" applyNumberFormat="1" borderId="55" applyBorder="1" fontId="7" applyFont="1" fillId="12" applyFill="1" applyAlignment="1">
      <alignment horizontal="center"/>
    </xf>
    <xf xfId="0" numFmtId="3" applyNumberFormat="1" borderId="74" applyBorder="1" fontId="7" applyFont="1" fillId="11" applyFill="1" applyAlignment="1">
      <alignment horizontal="center"/>
    </xf>
    <xf xfId="0" numFmtId="3" applyNumberFormat="1" borderId="60" applyBorder="1" fontId="7" applyFont="1" fillId="11" applyFill="1" applyAlignment="1">
      <alignment horizontal="center"/>
    </xf>
    <xf xfId="0" numFmtId="3" applyNumberFormat="1" borderId="75" applyBorder="1" fontId="3" applyFont="1" fillId="0" applyAlignment="1">
      <alignment horizontal="left"/>
    </xf>
    <xf xfId="0" numFmtId="3" applyNumberFormat="1" borderId="48" applyBorder="1" fontId="3" applyFont="1" fillId="13" applyFill="1" applyAlignment="1">
      <alignment horizontal="center"/>
    </xf>
    <xf xfId="0" numFmtId="3" applyNumberFormat="1" borderId="49" applyBorder="1" fontId="3" applyFont="1" fillId="13" applyFill="1" applyAlignment="1">
      <alignment horizontal="center"/>
    </xf>
    <xf xfId="0" numFmtId="3" applyNumberFormat="1" borderId="74" applyBorder="1" fontId="3" applyFont="1" fillId="13" applyFill="1" applyAlignment="1">
      <alignment horizontal="left"/>
    </xf>
    <xf xfId="0" numFmtId="3" applyNumberFormat="1" borderId="56" applyBorder="1" fontId="9" applyFont="1" fillId="13" applyFill="1" applyAlignment="1">
      <alignment horizontal="center"/>
    </xf>
    <xf xfId="0" numFmtId="3" applyNumberFormat="1" borderId="60" applyBorder="1" fontId="9" applyFont="1" fillId="13" applyFill="1" applyAlignment="1">
      <alignment horizontal="center"/>
    </xf>
    <xf xfId="0" numFmtId="171" applyNumberFormat="1" borderId="1" applyBorder="1" fontId="1" applyFont="1" fillId="0" applyAlignment="1">
      <alignment horizontal="left"/>
    </xf>
    <xf xfId="0" numFmtId="170" applyNumberFormat="1" borderId="1" applyBorder="1" fontId="1" applyFont="1" fillId="0" applyAlignment="1">
      <alignment horizontal="right"/>
    </xf>
    <xf xfId="0" numFmtId="0" borderId="2" applyBorder="1" fontId="2" applyFont="1" fillId="0" applyAlignment="1">
      <alignment horizontal="left"/>
    </xf>
    <xf xfId="0" numFmtId="3" applyNumberFormat="1" borderId="1" applyBorder="1" fontId="14" applyFont="1" fillId="0" applyAlignment="1">
      <alignment horizontal="right"/>
    </xf>
    <xf xfId="0" numFmtId="16" applyNumberFormat="1" borderId="1" applyBorder="1" fontId="2" applyFont="1" fillId="0" applyAlignment="1">
      <alignment horizontal="left"/>
    </xf>
    <xf xfId="0" numFmtId="17" applyNumberFormat="1" borderId="1" applyBorder="1" fontId="2" applyFont="1" fillId="0" applyAlignment="1">
      <alignment horizontal="center"/>
    </xf>
    <xf xfId="0" numFmtId="170" applyNumberFormat="1" borderId="1" applyBorder="1" fontId="2" applyFont="1" fillId="0" applyAlignment="1">
      <alignment horizontal="left"/>
    </xf>
    <xf xfId="0" numFmtId="1" applyNumberFormat="1" borderId="13" applyBorder="1" fontId="15" applyFont="1" fillId="14" applyFill="1" applyAlignment="1">
      <alignment horizontal="center"/>
    </xf>
    <xf xfId="0" numFmtId="1" applyNumberFormat="1" borderId="14" applyBorder="1" fontId="15" applyFont="1" fillId="14" applyFill="1" applyAlignment="1">
      <alignment horizontal="center"/>
    </xf>
    <xf xfId="0" numFmtId="167" applyNumberFormat="1" borderId="14" applyBorder="1" fontId="15" applyFont="1" fillId="14" applyFill="1" applyAlignment="1">
      <alignment horizontal="center"/>
    </xf>
    <xf xfId="0" numFmtId="3" applyNumberFormat="1" borderId="14" applyBorder="1" fontId="15" applyFont="1" fillId="14" applyFill="1" applyAlignment="1">
      <alignment horizontal="center"/>
    </xf>
    <xf xfId="0" numFmtId="0" borderId="15" applyBorder="1" fontId="15" applyFont="1" fillId="14" applyFill="1" applyAlignment="1">
      <alignment horizontal="center"/>
    </xf>
    <xf xfId="0" numFmtId="0" borderId="76" applyBorder="1" fontId="2" applyFont="1" fillId="0" applyAlignment="1">
      <alignment horizontal="left"/>
    </xf>
    <xf xfId="0" numFmtId="3" applyNumberFormat="1" borderId="13" applyBorder="1" fontId="16" applyFont="1" fillId="14" applyFill="1" applyAlignment="1">
      <alignment horizontal="center"/>
    </xf>
    <xf xfId="0" numFmtId="171" applyNumberFormat="1" borderId="14" applyBorder="1" fontId="16" applyFont="1" fillId="14" applyFill="1" applyAlignment="1">
      <alignment horizontal="center"/>
    </xf>
    <xf xfId="0" numFmtId="1" applyNumberFormat="1" borderId="14" applyBorder="1" fontId="16" applyFont="1" fillId="14" applyFill="1" applyAlignment="1">
      <alignment horizontal="center"/>
    </xf>
    <xf xfId="0" numFmtId="166" applyNumberFormat="1" borderId="14" applyBorder="1" fontId="16" applyFont="1" fillId="14" applyFill="1" applyAlignment="1">
      <alignment horizontal="center"/>
    </xf>
    <xf xfId="0" numFmtId="166" applyNumberFormat="1" borderId="15" applyBorder="1" fontId="16" applyFont="1" fillId="14" applyFill="1" applyAlignment="1">
      <alignment horizontal="center"/>
    </xf>
    <xf xfId="0" numFmtId="166" applyNumberFormat="1" borderId="13" applyBorder="1" fontId="16" applyFont="1" fillId="14" applyFill="1" applyAlignment="1">
      <alignment horizontal="center"/>
    </xf>
    <xf xfId="0" numFmtId="3" applyNumberFormat="1" borderId="1" applyBorder="1" fontId="14" applyFont="1" fillId="0" applyAlignment="1">
      <alignment horizontal="right" wrapText="1"/>
    </xf>
    <xf xfId="0" numFmtId="3" applyNumberFormat="1" borderId="1" applyBorder="1" fontId="2" applyFont="1" fillId="0" applyAlignment="1">
      <alignment horizontal="center"/>
    </xf>
    <xf xfId="0" numFmtId="1" applyNumberFormat="1" borderId="13" applyBorder="1" fontId="15" applyFont="1" fillId="15" applyFill="1" applyAlignment="1">
      <alignment horizontal="right"/>
    </xf>
    <xf xfId="0" numFmtId="1" applyNumberFormat="1" borderId="14" applyBorder="1" fontId="15" applyFont="1" fillId="15" applyFill="1" applyAlignment="1">
      <alignment horizontal="right"/>
    </xf>
    <xf xfId="0" numFmtId="167" applyNumberFormat="1" borderId="14" applyBorder="1" fontId="15" applyFont="1" fillId="15" applyFill="1" applyAlignment="1">
      <alignment horizontal="right"/>
    </xf>
    <xf xfId="0" numFmtId="3" applyNumberFormat="1" borderId="14" applyBorder="1" fontId="15" applyFont="1" fillId="15" applyFill="1" applyAlignment="1">
      <alignment horizontal="right"/>
    </xf>
    <xf xfId="0" numFmtId="167" applyNumberFormat="1" borderId="15" applyBorder="1" fontId="15" applyFont="1" fillId="15" applyFill="1" applyAlignment="1">
      <alignment horizontal="right"/>
    </xf>
    <xf xfId="0" numFmtId="3" applyNumberFormat="1" borderId="10" applyBorder="1" fontId="17" applyFont="1" fillId="16" applyFill="1" applyAlignment="1">
      <alignment horizontal="center"/>
    </xf>
    <xf xfId="0" numFmtId="1" applyNumberFormat="1" borderId="77" applyBorder="1" fontId="17" applyFont="1" fillId="16" applyFill="1" applyAlignment="1">
      <alignment horizontal="center"/>
    </xf>
    <xf xfId="0" numFmtId="1" applyNumberFormat="1" borderId="15" applyBorder="1" fontId="17" applyFont="1" fillId="16" applyFill="1" applyAlignment="1">
      <alignment horizontal="center"/>
    </xf>
    <xf xfId="0" numFmtId="3" applyNumberFormat="1" borderId="13" applyBorder="1" fontId="6" applyFont="1" fillId="7" applyFill="1" applyAlignment="1">
      <alignment horizontal="center" wrapText="1"/>
    </xf>
    <xf xfId="0" numFmtId="171" applyNumberFormat="1" borderId="15" applyBorder="1" fontId="6" applyFont="1" fillId="7" applyFill="1" applyAlignment="1">
      <alignment horizontal="center" wrapText="1"/>
    </xf>
    <xf xfId="0" numFmtId="3" applyNumberFormat="1" borderId="3" applyBorder="1" fontId="18" applyFont="1" fillId="6" applyFill="1" applyAlignment="1">
      <alignment horizontal="center"/>
    </xf>
    <xf xfId="0" numFmtId="3" applyNumberFormat="1" borderId="38" applyBorder="1" fontId="6" applyFont="1" fillId="7" applyFill="1" applyAlignment="1">
      <alignment horizontal="center"/>
    </xf>
    <xf xfId="0" numFmtId="3" applyNumberFormat="1" borderId="39" applyBorder="1" fontId="6" applyFont="1" fillId="7" applyFill="1" applyAlignment="1">
      <alignment horizontal="center"/>
    </xf>
    <xf xfId="0" numFmtId="3" applyNumberFormat="1" borderId="78" applyBorder="1" fontId="6" applyFont="1" fillId="7" applyFill="1" applyAlignment="1">
      <alignment horizontal="center"/>
    </xf>
    <xf xfId="0" numFmtId="3" applyNumberFormat="1" borderId="15" applyBorder="1" fontId="6" applyFont="1" fillId="7" applyFill="1" applyAlignment="1">
      <alignment horizontal="center"/>
    </xf>
    <xf xfId="0" numFmtId="166" applyNumberFormat="1" borderId="3" applyBorder="1" fontId="6" applyFont="1" fillId="7" applyFill="1" applyAlignment="1">
      <alignment horizontal="center" wrapText="1"/>
    </xf>
    <xf xfId="0" numFmtId="166" applyNumberFormat="1" borderId="11" applyBorder="1" fontId="6" applyFont="1" fillId="7" applyFill="1" applyAlignment="1">
      <alignment horizontal="center" vertical="top" wrapText="1"/>
    </xf>
    <xf xfId="0" numFmtId="166" applyNumberFormat="1" borderId="12" applyBorder="1" fontId="6" applyFont="1" fillId="7" applyFill="1" applyAlignment="1">
      <alignment horizontal="center" vertical="top" wrapText="1"/>
    </xf>
    <xf xfId="0" numFmtId="4" applyNumberFormat="1" borderId="1" applyBorder="1" fontId="2" applyFont="1" fillId="0" applyAlignment="1">
      <alignment horizontal="center"/>
    </xf>
    <xf xfId="0" numFmtId="3" applyNumberFormat="1" borderId="79" applyBorder="1" fontId="2" applyFont="1" fillId="2" applyFill="1" applyAlignment="1">
      <alignment horizontal="left"/>
    </xf>
    <xf xfId="0" numFmtId="3" applyNumberFormat="1" borderId="53" applyBorder="1" fontId="2" applyFont="1" fillId="2" applyFill="1" applyAlignment="1">
      <alignment horizontal="left"/>
    </xf>
    <xf xfId="0" numFmtId="3" applyNumberFormat="1" borderId="53" applyBorder="1" fontId="2" applyFont="1" fillId="2" applyFill="1" applyAlignment="1">
      <alignment horizontal="right"/>
    </xf>
    <xf xfId="0" numFmtId="3" applyNumberFormat="1" borderId="52" applyBorder="1" fontId="9" applyFont="1" fillId="2" applyFill="1" applyAlignment="1">
      <alignment horizontal="right"/>
    </xf>
    <xf xfId="0" numFmtId="1" applyNumberFormat="1" borderId="4" applyBorder="1" fontId="7" applyFont="1" fillId="8" applyFill="1" applyAlignment="1">
      <alignment horizontal="center" vertical="top" wrapText="1"/>
    </xf>
    <xf xfId="0" numFmtId="1" applyNumberFormat="1" borderId="9" applyBorder="1" fontId="7" applyFont="1" fillId="8" applyFill="1" applyAlignment="1">
      <alignment horizontal="center" vertical="top" wrapText="1"/>
    </xf>
    <xf xfId="0" numFmtId="167" applyNumberFormat="1" borderId="10" applyBorder="1" fontId="7" applyFont="1" fillId="8" applyFill="1" applyAlignment="1">
      <alignment horizontal="center" vertical="top" wrapText="1"/>
    </xf>
    <xf xfId="0" numFmtId="3" applyNumberFormat="1" borderId="11" applyBorder="1" fontId="7" applyFont="1" fillId="8" applyFill="1" applyAlignment="1">
      <alignment horizontal="center" wrapText="1"/>
    </xf>
    <xf xfId="0" numFmtId="3" applyNumberFormat="1" borderId="7" applyBorder="1" fontId="7" applyFont="1" fillId="8" applyFill="1" applyAlignment="1">
      <alignment horizontal="center" wrapText="1"/>
    </xf>
    <xf xfId="0" numFmtId="1" applyNumberFormat="1" borderId="13" applyBorder="1" fontId="7" applyFont="1" fillId="17" applyFill="1" applyAlignment="1">
      <alignment horizontal="center" wrapText="1"/>
    </xf>
    <xf xfId="0" numFmtId="0" borderId="15" applyBorder="1" fontId="7" applyFont="1" fillId="17" applyFill="1" applyAlignment="1">
      <alignment horizontal="center" wrapText="1"/>
    </xf>
    <xf xfId="0" numFmtId="3" applyNumberFormat="1" borderId="13" applyBorder="1" fontId="7" applyFont="1" fillId="14" applyFill="1" applyAlignment="1">
      <alignment horizontal="right"/>
    </xf>
    <xf xfId="0" numFmtId="171" applyNumberFormat="1" borderId="14" applyBorder="1" fontId="6" applyFont="1" fillId="14" applyFill="1" applyAlignment="1">
      <alignment horizontal="left"/>
    </xf>
    <xf xfId="0" numFmtId="1" applyNumberFormat="1" borderId="14" applyBorder="1" fontId="6" applyFont="1" fillId="14" applyFill="1" applyAlignment="1">
      <alignment horizontal="left"/>
    </xf>
    <xf xfId="0" numFmtId="166" applyNumberFormat="1" borderId="14" applyBorder="1" fontId="6" applyFont="1" fillId="14" applyFill="1" applyAlignment="1">
      <alignment horizontal="left"/>
    </xf>
    <xf xfId="0" numFmtId="166" applyNumberFormat="1" borderId="14" applyBorder="1" fontId="6" applyFont="1" fillId="14" applyFill="1" applyAlignment="1">
      <alignment horizontal="center"/>
    </xf>
    <xf xfId="0" numFmtId="166" applyNumberFormat="1" borderId="80" applyBorder="1" fontId="19" applyFont="1" fillId="6" applyFill="1" applyAlignment="1">
      <alignment horizontal="center"/>
    </xf>
    <xf xfId="0" numFmtId="166" applyNumberFormat="1" borderId="30" applyBorder="1" fontId="6" applyFont="1" fillId="7" applyFill="1" applyAlignment="1">
      <alignment horizontal="center" wrapText="1"/>
    </xf>
    <xf xfId="0" numFmtId="166" applyNumberFormat="1" borderId="31" applyBorder="1" fontId="6" applyFont="1" fillId="7" applyFill="1" applyAlignment="1">
      <alignment horizontal="center" wrapText="1"/>
    </xf>
    <xf xfId="0" numFmtId="165" applyNumberFormat="1" borderId="54" applyBorder="1" fontId="2" applyFont="1" fillId="7" applyFill="1" applyAlignment="1">
      <alignment horizontal="center" wrapText="1"/>
    </xf>
    <xf xfId="0" numFmtId="3" applyNumberFormat="1" borderId="46" applyBorder="1" fontId="2" applyFont="1" fillId="7" applyFill="1" applyAlignment="1">
      <alignment horizontal="center" wrapText="1"/>
    </xf>
    <xf xfId="0" numFmtId="1" applyNumberFormat="1" borderId="59" applyBorder="1" fontId="2" applyFont="1" fillId="7" applyFill="1" applyAlignment="1">
      <alignment horizontal="center" wrapText="1"/>
    </xf>
    <xf xfId="0" numFmtId="3" applyNumberFormat="1" borderId="70" applyBorder="1" fontId="2" applyFont="1" fillId="7" applyFill="1" applyAlignment="1">
      <alignment horizontal="center" wrapText="1"/>
    </xf>
    <xf xfId="0" numFmtId="3" applyNumberFormat="1" borderId="45" applyBorder="1" fontId="2" applyFont="1" fillId="7" applyFill="1" applyAlignment="1">
      <alignment horizontal="center" wrapText="1"/>
    </xf>
    <xf xfId="0" numFmtId="14" applyNumberFormat="1" borderId="18" applyBorder="1" fontId="2" applyFont="1" fillId="2" applyFill="1" applyAlignment="1">
      <alignment horizontal="left"/>
    </xf>
    <xf xfId="0" numFmtId="3" applyNumberFormat="1" borderId="19" applyBorder="1" fontId="2" applyFont="1" fillId="2" applyFill="1" applyAlignment="1">
      <alignment horizontal="left"/>
    </xf>
    <xf xfId="0" numFmtId="3" applyNumberFormat="1" borderId="19" applyBorder="1" fontId="2" applyFont="1" fillId="2" applyFill="1" applyAlignment="1">
      <alignment horizontal="right"/>
    </xf>
    <xf xfId="0" numFmtId="3" applyNumberFormat="1" borderId="20" applyBorder="1" fontId="2" applyFont="1" fillId="2" applyFill="1" applyAlignment="1">
      <alignment horizontal="right"/>
    </xf>
    <xf xfId="0" numFmtId="3" applyNumberFormat="1" borderId="34" applyBorder="1" fontId="2" applyFont="1" fillId="0" applyAlignment="1">
      <alignment horizontal="center"/>
    </xf>
    <xf xfId="0" numFmtId="1" applyNumberFormat="1" borderId="81" applyBorder="1" fontId="2" applyFont="1" fillId="0" applyAlignment="1">
      <alignment horizontal="center"/>
    </xf>
    <xf xfId="0" numFmtId="0" borderId="82" applyBorder="1" fontId="2" applyFont="1" fillId="0" applyAlignment="1">
      <alignment horizontal="center"/>
    </xf>
    <xf xfId="0" numFmtId="170" applyNumberFormat="1" borderId="82" applyBorder="1" fontId="2" applyFont="1" fillId="0" applyAlignment="1">
      <alignment horizontal="center"/>
    </xf>
    <xf xfId="0" numFmtId="170" applyNumberFormat="1" borderId="83" applyBorder="1" fontId="2" applyFont="1" fillId="0" applyAlignment="1">
      <alignment horizontal="center"/>
    </xf>
    <xf xfId="0" numFmtId="1" applyNumberFormat="1" borderId="16" applyBorder="1" fontId="7" applyFont="1" fillId="8" applyFill="1" applyAlignment="1">
      <alignment horizontal="center" wrapText="1"/>
    </xf>
    <xf xfId="0" numFmtId="1" applyNumberFormat="1" borderId="21" applyBorder="1" fontId="7" applyFont="1" fillId="8" applyFill="1" applyAlignment="1">
      <alignment horizontal="center" wrapText="1"/>
    </xf>
    <xf xfId="0" numFmtId="167" applyNumberFormat="1" borderId="22" applyBorder="1" fontId="7" applyFont="1" fillId="8" applyFill="1" applyAlignment="1">
      <alignment horizontal="center" wrapText="1"/>
    </xf>
    <xf xfId="0" numFmtId="3" applyNumberFormat="1" borderId="23" applyBorder="1" fontId="7" applyFont="1" fillId="8" applyFill="1" applyAlignment="1">
      <alignment horizontal="center" wrapText="1"/>
    </xf>
    <xf xfId="0" numFmtId="3" applyNumberFormat="1" borderId="19" applyBorder="1" fontId="7" applyFont="1" fillId="8" applyFill="1" applyAlignment="1">
      <alignment horizontal="center" wrapText="1"/>
    </xf>
    <xf xfId="0" numFmtId="1" applyNumberFormat="1" borderId="6" applyBorder="1" fontId="6" applyFont="1" fillId="8" applyFill="1" applyAlignment="1">
      <alignment horizontal="center" vertical="top" wrapText="1"/>
    </xf>
    <xf xfId="0" numFmtId="0" borderId="11" applyBorder="1" fontId="6" applyFont="1" fillId="8" applyFill="1" applyAlignment="1">
      <alignment horizontal="center" wrapText="1"/>
    </xf>
    <xf xfId="0" numFmtId="3" applyNumberFormat="1" borderId="47" applyBorder="1" fontId="7" applyFont="1" fillId="14" applyFill="1" applyAlignment="1">
      <alignment horizontal="center"/>
    </xf>
    <xf xfId="0" numFmtId="171" applyNumberFormat="1" borderId="47" applyBorder="1" fontId="7" applyFont="1" fillId="14" applyFill="1" applyAlignment="1">
      <alignment horizontal="right"/>
    </xf>
    <xf xfId="0" numFmtId="1" applyNumberFormat="1" borderId="47" applyBorder="1" fontId="2" applyFont="1" fillId="18" applyFill="1" applyAlignment="1">
      <alignment horizontal="center"/>
    </xf>
    <xf xfId="0" numFmtId="166" applyNumberFormat="1" borderId="34" applyBorder="1" fontId="20" applyFont="1" fillId="4" applyFill="1" applyAlignment="1">
      <alignment horizontal="center"/>
    </xf>
    <xf xfId="0" numFmtId="166" applyNumberFormat="1" borderId="84" applyBorder="1" fontId="19" applyFont="1" fillId="4" applyFill="1" applyAlignment="1">
      <alignment horizontal="center"/>
    </xf>
    <xf xfId="0" numFmtId="166" applyNumberFormat="1" borderId="85" applyBorder="1" fontId="19" applyFont="1" fillId="6" applyFill="1" applyAlignment="1">
      <alignment horizontal="center"/>
    </xf>
    <xf xfId="0" numFmtId="166" applyNumberFormat="1" borderId="86" applyBorder="1" fontId="19" applyFont="1" fillId="4" applyFill="1" applyAlignment="1">
      <alignment horizontal="center"/>
    </xf>
    <xf xfId="0" numFmtId="166" applyNumberFormat="1" borderId="87" applyBorder="1" fontId="19" applyFont="1" fillId="6" applyFill="1" applyAlignment="1">
      <alignment horizontal="center"/>
    </xf>
    <xf xfId="0" numFmtId="166" applyNumberFormat="1" borderId="88" applyBorder="1" fontId="21" applyFont="1" fillId="4" applyFill="1" applyAlignment="1">
      <alignment horizontal="center"/>
    </xf>
    <xf xfId="0" numFmtId="166" applyNumberFormat="1" borderId="33" applyBorder="1" fontId="20" applyFont="1" fillId="4" applyFill="1" applyAlignment="1">
      <alignment horizontal="center"/>
    </xf>
    <xf xfId="0" numFmtId="166" applyNumberFormat="1" borderId="25" applyBorder="1" fontId="20" applyFont="1" fillId="4" applyFill="1" applyAlignment="1">
      <alignment horizontal="center"/>
    </xf>
    <xf xfId="0" numFmtId="3" applyNumberFormat="1" borderId="41" applyBorder="1" fontId="20" applyFont="1" fillId="4" applyFill="1" applyAlignment="1">
      <alignment horizontal="center"/>
    </xf>
    <xf xfId="0" numFmtId="3" applyNumberFormat="1" borderId="34" applyBorder="1" fontId="20" applyFont="1" fillId="4" applyFill="1" applyAlignment="1">
      <alignment horizontal="center"/>
    </xf>
    <xf xfId="0" numFmtId="14" applyNumberFormat="1" borderId="25" applyBorder="1" fontId="2" applyFont="1" fillId="2" applyFill="1" applyAlignment="1">
      <alignment horizontal="left"/>
    </xf>
    <xf xfId="0" numFmtId="3" applyNumberFormat="1" borderId="26" applyBorder="1" fontId="2" applyFont="1" fillId="2" applyFill="1" applyAlignment="1">
      <alignment horizontal="left"/>
    </xf>
    <xf xfId="0" numFmtId="3" applyNumberFormat="1" borderId="26" applyBorder="1" fontId="2" applyFont="1" fillId="2" applyFill="1" applyAlignment="1">
      <alignment horizontal="right"/>
    </xf>
    <xf xfId="0" numFmtId="3" applyNumberFormat="1" borderId="27" applyBorder="1" fontId="2" applyFont="1" fillId="2" applyFill="1" applyAlignment="1">
      <alignment horizontal="right"/>
    </xf>
    <xf xfId="0" numFmtId="3" applyNumberFormat="1" borderId="89" applyBorder="1" fontId="2" applyFont="1" fillId="0" applyAlignment="1">
      <alignment horizontal="center" wrapText="1"/>
    </xf>
    <xf xfId="0" numFmtId="1" applyNumberFormat="1" borderId="90" applyBorder="1" fontId="2" applyFont="1" fillId="0" applyAlignment="1">
      <alignment horizontal="right" vertical="top" wrapText="1"/>
    </xf>
    <xf xfId="0" numFmtId="0" borderId="90" applyBorder="1" fontId="2" applyFont="1" fillId="0" applyAlignment="1">
      <alignment horizontal="center" vertical="top" wrapText="1"/>
    </xf>
    <xf xfId="0" numFmtId="170" applyNumberFormat="1" borderId="13" applyBorder="1" fontId="2" applyFont="1" fillId="19" applyFill="1" applyAlignment="1">
      <alignment horizontal="center" wrapText="1"/>
    </xf>
    <xf xfId="0" numFmtId="170" applyNumberFormat="1" borderId="15" applyBorder="1" fontId="2" applyFont="1" fillId="19" applyFill="1" applyAlignment="1">
      <alignment horizontal="center" wrapText="1"/>
    </xf>
    <xf xfId="0" numFmtId="170" applyNumberFormat="1" borderId="13" applyBorder="1" fontId="2" applyFont="1" fillId="20" applyFill="1" applyAlignment="1">
      <alignment horizontal="center" wrapText="1"/>
    </xf>
    <xf xfId="0" numFmtId="170" applyNumberFormat="1" borderId="15" applyBorder="1" fontId="2" applyFont="1" fillId="20" applyFill="1" applyAlignment="1">
      <alignment horizontal="center" wrapText="1"/>
    </xf>
    <xf xfId="0" numFmtId="1" applyNumberFormat="1" borderId="18" applyBorder="1" fontId="6" applyFont="1" fillId="8" applyFill="1" applyAlignment="1">
      <alignment horizontal="center" wrapText="1"/>
    </xf>
    <xf xfId="0" numFmtId="0" borderId="23" applyBorder="1" fontId="6" applyFont="1" fillId="8" applyFill="1" applyAlignment="1">
      <alignment horizontal="center" wrapText="1"/>
    </xf>
    <xf xfId="0" numFmtId="3" applyNumberFormat="1" borderId="91" applyBorder="1" fontId="7" applyFont="1" fillId="14" applyFill="1" applyAlignment="1">
      <alignment horizontal="center"/>
    </xf>
    <xf xfId="0" numFmtId="166" applyNumberFormat="1" borderId="92" applyBorder="1" fontId="19" applyFont="1" fillId="4" applyFill="1" applyAlignment="1">
      <alignment horizontal="center"/>
    </xf>
    <xf xfId="0" numFmtId="166" applyNumberFormat="1" borderId="93" applyBorder="1" fontId="19" applyFont="1" fillId="6" applyFill="1" applyAlignment="1">
      <alignment horizontal="center"/>
    </xf>
    <xf xfId="0" numFmtId="166" applyNumberFormat="1" borderId="94" applyBorder="1" fontId="19" applyFont="1" fillId="4" applyFill="1" applyAlignment="1">
      <alignment horizontal="center"/>
    </xf>
    <xf xfId="0" numFmtId="166" applyNumberFormat="1" borderId="95" applyBorder="1" fontId="19" applyFont="1" fillId="6" applyFill="1" applyAlignment="1">
      <alignment horizontal="center"/>
    </xf>
    <xf xfId="0" numFmtId="166" applyNumberFormat="1" borderId="96" applyBorder="1" fontId="21" applyFont="1" fillId="4" applyFill="1" applyAlignment="1">
      <alignment horizontal="center"/>
    </xf>
    <xf xfId="0" numFmtId="166" applyNumberFormat="1" borderId="54" applyBorder="1" fontId="20" applyFont="1" fillId="4" applyFill="1" applyAlignment="1">
      <alignment horizontal="center"/>
    </xf>
    <xf xfId="0" numFmtId="3" applyNumberFormat="1" borderId="54" applyBorder="1" fontId="2" applyFont="1" fillId="7" applyFill="1" applyAlignment="1">
      <alignment horizontal="center" wrapText="1"/>
    </xf>
    <xf xfId="0" numFmtId="4" applyNumberFormat="1" borderId="89" applyBorder="1" fontId="2" applyFont="1" fillId="0" applyAlignment="1">
      <alignment horizontal="center" wrapText="1"/>
    </xf>
    <xf xfId="0" numFmtId="1" applyNumberFormat="1" borderId="97" applyBorder="1" fontId="2" applyFont="1" fillId="0" applyAlignment="1">
      <alignment horizontal="right" wrapText="1"/>
    </xf>
    <xf xfId="0" numFmtId="0" borderId="97" applyBorder="1" fontId="2" applyFont="1" fillId="0" applyAlignment="1">
      <alignment horizontal="center" wrapText="1"/>
    </xf>
    <xf xfId="0" numFmtId="170" applyNumberFormat="1" borderId="98" applyBorder="1" fontId="2" applyFont="1" fillId="0" applyAlignment="1">
      <alignment horizontal="center" vertical="top" wrapText="1"/>
    </xf>
    <xf xfId="0" numFmtId="170" applyNumberFormat="1" borderId="99" applyBorder="1" fontId="2" applyFont="1" fillId="0" applyAlignment="1">
      <alignment horizontal="center" vertical="top" wrapText="1"/>
    </xf>
    <xf xfId="0" numFmtId="1" applyNumberFormat="1" borderId="35" applyBorder="1" fontId="7" applyFont="1" fillId="8" applyFill="1" applyAlignment="1">
      <alignment horizontal="center" wrapText="1"/>
    </xf>
    <xf xfId="0" numFmtId="1" applyNumberFormat="1" borderId="37" applyBorder="1" fontId="7" applyFont="1" fillId="8" applyFill="1" applyAlignment="1">
      <alignment horizontal="center" wrapText="1"/>
    </xf>
    <xf xfId="0" numFmtId="167" applyNumberFormat="1" borderId="28" applyBorder="1" fontId="7" applyFont="1" fillId="8" applyFill="1" applyAlignment="1">
      <alignment horizontal="center" wrapText="1"/>
    </xf>
    <xf xfId="0" numFmtId="3" applyNumberFormat="1" borderId="30" applyBorder="1" fontId="7" applyFont="1" fillId="8" applyFill="1" applyAlignment="1">
      <alignment horizontal="center" wrapText="1"/>
    </xf>
    <xf xfId="0" numFmtId="3" applyNumberFormat="1" borderId="29" applyBorder="1" fontId="7" applyFont="1" fillId="8" applyFill="1" applyAlignment="1">
      <alignment horizontal="center" wrapText="1"/>
    </xf>
    <xf xfId="0" numFmtId="1" applyNumberFormat="1" borderId="100" applyBorder="1" fontId="6" applyFont="1" fillId="8" applyFill="1" applyAlignment="1">
      <alignment horizontal="center" wrapText="1"/>
    </xf>
    <xf xfId="0" numFmtId="0" borderId="30" applyBorder="1" fontId="6" applyFont="1" fillId="8" applyFill="1" applyAlignment="1">
      <alignment horizontal="center" wrapText="1"/>
    </xf>
    <xf xfId="0" numFmtId="3" applyNumberFormat="1" borderId="55" applyBorder="1" fontId="2" applyFont="1" fillId="11" applyFill="1" applyAlignment="1">
      <alignment horizontal="center"/>
    </xf>
    <xf xfId="0" numFmtId="14" applyNumberFormat="1" borderId="49" applyBorder="1" fontId="2" applyFont="1" fillId="6" applyFill="1" applyAlignment="1">
      <alignment horizontal="center"/>
    </xf>
    <xf xfId="0" numFmtId="3" applyNumberFormat="1" borderId="49" applyBorder="1" fontId="2" applyFont="1" fillId="11" applyFill="1" applyAlignment="1">
      <alignment horizontal="center"/>
    </xf>
    <xf xfId="0" numFmtId="3" applyNumberFormat="1" borderId="74" applyBorder="1" fontId="2" applyFont="1" fillId="6" applyFill="1" applyAlignment="1">
      <alignment horizontal="center"/>
    </xf>
    <xf xfId="0" numFmtId="3" applyNumberFormat="1" borderId="101" applyBorder="1" fontId="2" applyFont="1" fillId="0" applyAlignment="1">
      <alignment horizontal="center" wrapText="1"/>
    </xf>
    <xf xfId="0" numFmtId="1" applyNumberFormat="1" borderId="102" applyBorder="1" fontId="2" applyFont="1" fillId="0" applyAlignment="1">
      <alignment horizontal="right" wrapText="1"/>
    </xf>
    <xf xfId="0" numFmtId="0" borderId="102" applyBorder="1" fontId="2" applyFont="1" fillId="0" applyAlignment="1">
      <alignment horizontal="center" wrapText="1"/>
    </xf>
    <xf xfId="0" numFmtId="170" applyNumberFormat="1" borderId="103" applyBorder="1" fontId="2" applyFont="1" fillId="0" applyAlignment="1">
      <alignment horizontal="center" wrapText="1"/>
    </xf>
    <xf xfId="0" numFmtId="170" applyNumberFormat="1" borderId="104" applyBorder="1" fontId="2" applyFont="1" fillId="0" applyAlignment="1">
      <alignment horizontal="center" wrapText="1"/>
    </xf>
    <xf xfId="0" numFmtId="1" applyNumberFormat="1" borderId="32" applyBorder="1" fontId="7" applyFont="1" fillId="17" applyFill="1" applyAlignment="1">
      <alignment horizontal="left" wrapText="1"/>
    </xf>
    <xf xfId="0" numFmtId="1" applyNumberFormat="1" borderId="26" applyBorder="1" fontId="3" applyFont="1" fillId="6" applyFill="1" applyAlignment="1">
      <alignment horizontal="center" wrapText="1"/>
    </xf>
    <xf xfId="0" numFmtId="167" applyNumberFormat="1" borderId="25" applyBorder="1" fontId="3" applyFont="1" fillId="21" applyFill="1" applyAlignment="1">
      <alignment horizontal="center"/>
    </xf>
    <xf xfId="0" numFmtId="3" applyNumberFormat="1" borderId="105" applyBorder="1" fontId="3" applyFont="1" fillId="21" applyFill="1" applyAlignment="1">
      <alignment horizontal="center"/>
    </xf>
    <xf xfId="0" numFmtId="0" borderId="105" applyBorder="1" fontId="3" applyFont="1" fillId="21" applyFill="1" applyAlignment="1">
      <alignment horizontal="center"/>
    </xf>
    <xf xfId="0" numFmtId="3" applyNumberFormat="1" borderId="27" applyBorder="1" fontId="2" applyFont="1" fillId="11" applyFill="1" applyAlignment="1">
      <alignment horizontal="center"/>
    </xf>
    <xf xfId="0" numFmtId="3" applyNumberFormat="1" borderId="33" applyBorder="1" fontId="2" applyFont="1" fillId="6" applyFill="1" applyAlignment="1">
      <alignment horizontal="center"/>
    </xf>
    <xf xfId="0" numFmtId="3" applyNumberFormat="1" borderId="33" applyBorder="1" fontId="2" applyFont="1" fillId="11" applyFill="1" applyAlignment="1">
      <alignment horizontal="center"/>
    </xf>
    <xf xfId="0" numFmtId="3" applyNumberFormat="1" borderId="25" applyBorder="1" fontId="2" applyFont="1" fillId="6" applyFill="1" applyAlignment="1">
      <alignment horizontal="center"/>
    </xf>
    <xf xfId="0" numFmtId="3" applyNumberFormat="1" borderId="65" applyBorder="1" fontId="2" applyFont="1" fillId="0" applyAlignment="1">
      <alignment horizontal="center"/>
    </xf>
    <xf xfId="0" numFmtId="1" applyNumberFormat="1" borderId="106" applyBorder="1" fontId="2" applyFont="1" fillId="0" applyAlignment="1">
      <alignment horizontal="right" wrapText="1"/>
    </xf>
    <xf xfId="0" numFmtId="1" applyNumberFormat="1" borderId="107" applyBorder="1" fontId="2" applyFont="1" fillId="0" applyAlignment="1">
      <alignment horizontal="center" wrapText="1"/>
    </xf>
    <xf xfId="0" numFmtId="170" applyNumberFormat="1" borderId="41" applyBorder="1" fontId="2" applyFont="1" fillId="0" applyAlignment="1">
      <alignment horizontal="right"/>
    </xf>
    <xf xfId="0" numFmtId="170" applyNumberFormat="1" borderId="108" applyBorder="1" fontId="2" applyFont="1" fillId="0" applyAlignment="1">
      <alignment horizontal="right"/>
    </xf>
    <xf xfId="0" numFmtId="170" applyNumberFormat="1" borderId="43" applyBorder="1" fontId="2" applyFont="1" fillId="0" applyAlignment="1">
      <alignment horizontal="right"/>
    </xf>
    <xf xfId="0" numFmtId="3" applyNumberFormat="1" borderId="41" applyBorder="1" fontId="2" applyFont="1" fillId="0" applyAlignment="1">
      <alignment horizontal="center"/>
    </xf>
    <xf xfId="0" numFmtId="170" applyNumberFormat="1" borderId="91" applyBorder="1" fontId="2" applyFont="1" fillId="0" applyAlignment="1">
      <alignment horizontal="right"/>
    </xf>
    <xf xfId="0" numFmtId="1" applyNumberFormat="1" borderId="41" applyBorder="1" fontId="7" applyFont="1" fillId="17" applyFill="1" applyAlignment="1">
      <alignment horizontal="left" wrapText="1"/>
    </xf>
    <xf xfId="0" numFmtId="3" applyNumberFormat="1" borderId="48" applyBorder="1" fontId="2" applyFont="1" fillId="0" applyAlignment="1">
      <alignment horizontal="center"/>
    </xf>
    <xf xfId="0" numFmtId="1" applyNumberFormat="1" borderId="104" applyBorder="1" fontId="2" applyFont="1" fillId="0" applyAlignment="1">
      <alignment horizontal="right" wrapText="1"/>
    </xf>
    <xf xfId="0" numFmtId="1" applyNumberFormat="1" borderId="1" applyBorder="1" fontId="2" applyFont="1" fillId="0" applyAlignment="1">
      <alignment horizontal="center" wrapText="1"/>
    </xf>
    <xf xfId="0" numFmtId="1" applyNumberFormat="1" borderId="109" applyBorder="1" fontId="2" applyFont="1" fillId="0" applyAlignment="1">
      <alignment horizontal="right"/>
    </xf>
    <xf xfId="0" numFmtId="1" applyNumberFormat="1" borderId="43" applyBorder="1" fontId="2" applyFont="1" fillId="0" applyAlignment="1">
      <alignment horizontal="center"/>
    </xf>
    <xf xfId="0" numFmtId="1" applyNumberFormat="1" borderId="41" applyBorder="1" fontId="7" applyFont="1" fillId="17" applyFill="1" applyAlignment="1">
      <alignment horizontal="right" wrapText="1"/>
    </xf>
    <xf xfId="0" numFmtId="1" applyNumberFormat="1" borderId="44" applyBorder="1" fontId="2" applyFont="1" fillId="0" applyAlignment="1">
      <alignment horizontal="right"/>
    </xf>
    <xf xfId="0" numFmtId="1" applyNumberFormat="1" borderId="110" applyBorder="1" fontId="2" applyFont="1" fillId="0" applyAlignment="1">
      <alignment horizontal="center"/>
    </xf>
    <xf xfId="0" numFmtId="1" applyNumberFormat="1" borderId="111" applyBorder="1" fontId="2" applyFont="1" fillId="0" applyAlignment="1">
      <alignment horizontal="right"/>
    </xf>
    <xf xfId="0" numFmtId="1" applyNumberFormat="1" borderId="112" applyBorder="1" fontId="2" applyFont="1" fillId="0" applyAlignment="1">
      <alignment horizontal="center"/>
    </xf>
    <xf xfId="0" numFmtId="1" applyNumberFormat="1" borderId="113" applyBorder="1" fontId="2" applyFont="1" fillId="0" applyAlignment="1">
      <alignment horizontal="center"/>
    </xf>
    <xf xfId="0" numFmtId="1" applyNumberFormat="1" borderId="89" applyBorder="1" fontId="2" applyFont="1" fillId="0" applyAlignment="1">
      <alignment horizontal="center"/>
    </xf>
    <xf xfId="0" numFmtId="170" applyNumberFormat="1" borderId="91" applyBorder="1" fontId="2" applyFont="1" fillId="0" applyAlignment="1">
      <alignment horizontal="left"/>
    </xf>
    <xf xfId="0" numFmtId="3" applyNumberFormat="1" borderId="112" applyBorder="1" fontId="7" applyFont="1" fillId="14" applyFill="1" applyAlignment="1">
      <alignment horizontal="center"/>
    </xf>
    <xf xfId="0" numFmtId="171" applyNumberFormat="1" borderId="112" applyBorder="1" fontId="7" applyFont="1" fillId="14" applyFill="1" applyAlignment="1">
      <alignment horizontal="right"/>
    </xf>
    <xf xfId="0" numFmtId="1" applyNumberFormat="1" borderId="112" applyBorder="1" fontId="2" applyFont="1" fillId="18" applyFill="1" applyAlignment="1">
      <alignment horizontal="center"/>
    </xf>
    <xf xfId="0" numFmtId="166" applyNumberFormat="1" borderId="114" applyBorder="1" fontId="19" applyFont="1" fillId="4" applyFill="1" applyAlignment="1">
      <alignment horizontal="center"/>
    </xf>
    <xf xfId="0" numFmtId="166" applyNumberFormat="1" borderId="115" applyBorder="1" fontId="19" applyFont="1" fillId="6" applyFill="1" applyAlignment="1">
      <alignment horizontal="center"/>
    </xf>
    <xf xfId="0" numFmtId="166" applyNumberFormat="1" borderId="116" applyBorder="1" fontId="19" applyFont="1" fillId="4" applyFill="1" applyAlignment="1">
      <alignment horizontal="center"/>
    </xf>
    <xf xfId="0" numFmtId="166" applyNumberFormat="1" borderId="117" applyBorder="1" fontId="19" applyFont="1" fillId="6" applyFill="1" applyAlignment="1">
      <alignment horizontal="center"/>
    </xf>
    <xf xfId="0" numFmtId="166" applyNumberFormat="1" borderId="118" applyBorder="1" fontId="21" applyFont="1" fillId="4" applyFill="1" applyAlignment="1">
      <alignment horizontal="center"/>
    </xf>
    <xf xfId="0" numFmtId="170" applyNumberFormat="1" borderId="41" applyBorder="1" fontId="2" applyFont="1" fillId="22" applyFill="1" applyAlignment="1">
      <alignment horizontal="left"/>
    </xf>
    <xf xfId="0" numFmtId="171" applyNumberFormat="1" borderId="3" applyBorder="1" fontId="6" applyFont="1" fillId="23" applyFill="1" applyAlignment="1">
      <alignment horizontal="center"/>
    </xf>
    <xf xfId="0" numFmtId="1" applyNumberFormat="1" borderId="13" applyBorder="1" fontId="6" applyFont="1" fillId="14" applyFill="1" applyAlignment="1">
      <alignment horizontal="left"/>
    </xf>
    <xf xfId="0" numFmtId="166" applyNumberFormat="1" borderId="15" applyBorder="1" fontId="6" applyFont="1" fillId="14" applyFill="1" applyAlignment="1">
      <alignment horizontal="left"/>
    </xf>
    <xf xfId="0" numFmtId="166" applyNumberFormat="1" borderId="13" applyBorder="1" fontId="6" applyFont="1" fillId="14" applyFill="1" applyAlignment="1">
      <alignment horizontal="right"/>
    </xf>
    <xf xfId="0" numFmtId="166" applyNumberFormat="1" borderId="15" applyBorder="1" fontId="6" applyFont="1" fillId="14" applyFill="1" applyAlignment="1">
      <alignment horizontal="right"/>
    </xf>
    <xf xfId="0" numFmtId="166" applyNumberFormat="1" borderId="119" applyBorder="1" fontId="19" applyFont="1" fillId="4" applyFill="1" applyAlignment="1">
      <alignment horizontal="center"/>
    </xf>
    <xf xfId="0" numFmtId="166" applyNumberFormat="1" borderId="120" applyBorder="1" fontId="19" applyFont="1" fillId="6" applyFill="1" applyAlignment="1">
      <alignment horizontal="center"/>
    </xf>
    <xf xfId="0" numFmtId="166" applyNumberFormat="1" borderId="121" applyBorder="1" fontId="21" applyFont="1" fillId="4" applyFill="1" applyAlignment="1">
      <alignment horizontal="center"/>
    </xf>
    <xf xfId="0" numFmtId="166" applyNumberFormat="1" borderId="14" applyBorder="1" fontId="6" applyFont="1" fillId="14" applyFill="1" applyAlignment="1">
      <alignment horizontal="right"/>
    </xf>
    <xf xfId="0" numFmtId="165" applyNumberFormat="1" borderId="54" applyBorder="1" fontId="2" applyFont="1" fillId="10" applyFill="1" applyAlignment="1">
      <alignment horizontal="center"/>
    </xf>
    <xf xfId="0" numFmtId="3" applyNumberFormat="1" borderId="45" applyBorder="1" fontId="2" applyFont="1" fillId="10" applyFill="1" applyAlignment="1">
      <alignment horizontal="center"/>
    </xf>
    <xf xfId="0" numFmtId="1" applyNumberFormat="1" borderId="34" applyBorder="1" fontId="2" applyFont="1" fillId="6" applyFill="1" applyAlignment="1">
      <alignment horizontal="center"/>
    </xf>
    <xf xfId="0" numFmtId="172" applyNumberFormat="1" borderId="1" applyBorder="1" fontId="2" applyFont="1" fillId="0" applyAlignment="1">
      <alignment horizontal="right"/>
    </xf>
    <xf xfId="0" numFmtId="1" applyNumberFormat="1" borderId="34" applyBorder="1" fontId="2" applyFont="1" fillId="2" applyFill="1" applyAlignment="1">
      <alignment horizontal="center"/>
    </xf>
    <xf xfId="0" numFmtId="1" applyNumberFormat="1" borderId="34" applyBorder="1" fontId="2" applyFont="1" fillId="23" applyFill="1" applyAlignment="1">
      <alignment horizontal="center"/>
    </xf>
    <xf xfId="0" numFmtId="165" applyNumberFormat="1" borderId="34" applyBorder="1" fontId="2" applyFont="1" fillId="2" applyFill="1" applyAlignment="1">
      <alignment horizontal="center"/>
    </xf>
    <xf xfId="0" numFmtId="1" applyNumberFormat="1" borderId="1" applyBorder="1" fontId="2" applyFont="1" fillId="0" applyAlignment="1">
      <alignment horizontal="center"/>
    </xf>
    <xf xfId="0" numFmtId="165" applyNumberFormat="1" borderId="1" applyBorder="1" fontId="2" applyFont="1" fillId="0" applyAlignment="1">
      <alignment horizontal="center"/>
    </xf>
    <xf xfId="0" numFmtId="173" applyNumberFormat="1" borderId="1" applyBorder="1" fontId="2" applyFont="1" fillId="0" applyAlignment="1">
      <alignment horizontal="right"/>
    </xf>
    <xf xfId="0" numFmtId="174" applyNumberFormat="1" borderId="1" applyBorder="1" fontId="2" applyFont="1" fillId="0" applyAlignment="1">
      <alignment horizontal="right"/>
    </xf>
    <xf xfId="0" numFmtId="166" applyNumberFormat="1" borderId="1" applyBorder="1" fontId="2" applyFont="1" fillId="0" applyAlignment="1">
      <alignment horizontal="left"/>
    </xf>
    <xf xfId="0" numFmtId="166" applyNumberFormat="1" borderId="1" applyBorder="1" fontId="2" applyFont="1" fillId="0" applyAlignment="1">
      <alignment horizontal="center"/>
    </xf>
    <xf xfId="0" numFmtId="171" applyNumberFormat="1" borderId="1" applyBorder="1" fontId="2" applyFont="1" fillId="0" applyAlignment="1">
      <alignment horizontal="left"/>
    </xf>
    <xf xfId="0" numFmtId="1" applyNumberFormat="1" borderId="13" applyBorder="1" fontId="6" applyFont="1" fillId="14" applyFill="1" applyAlignment="1">
      <alignment horizontal="center"/>
    </xf>
    <xf xfId="0" numFmtId="1" applyNumberFormat="1" borderId="14" applyBorder="1" fontId="6" applyFont="1" fillId="14" applyFill="1" applyAlignment="1">
      <alignment horizontal="center"/>
    </xf>
    <xf xfId="0" numFmtId="167" applyNumberFormat="1" borderId="14" applyBorder="1" fontId="6" applyFont="1" fillId="14" applyFill="1" applyAlignment="1">
      <alignment horizontal="center"/>
    </xf>
    <xf xfId="0" numFmtId="3" applyNumberFormat="1" borderId="14" applyBorder="1" fontId="6" applyFont="1" fillId="14" applyFill="1" applyAlignment="1">
      <alignment horizontal="center"/>
    </xf>
    <xf xfId="0" numFmtId="0" borderId="15" applyBorder="1" fontId="6" applyFont="1" fillId="14" applyFill="1" applyAlignment="1">
      <alignment horizontal="center"/>
    </xf>
    <xf xfId="0" numFmtId="1" applyNumberFormat="1" borderId="67" applyBorder="1" fontId="3" applyFont="1" fillId="17" applyFill="1" applyAlignment="1">
      <alignment horizontal="left"/>
    </xf>
    <xf xfId="0" numFmtId="1" applyNumberFormat="1" borderId="68" applyBorder="1" fontId="3" applyFont="1" fillId="17" applyFill="1" applyAlignment="1">
      <alignment horizontal="left"/>
    </xf>
    <xf xfId="0" numFmtId="167" applyNumberFormat="1" borderId="68" applyBorder="1" fontId="2" applyFont="1" fillId="17" applyFill="1" applyAlignment="1">
      <alignment horizontal="left"/>
    </xf>
    <xf xfId="0" numFmtId="3" applyNumberFormat="1" borderId="68" applyBorder="1" fontId="2" applyFont="1" fillId="17" applyFill="1" applyAlignment="1">
      <alignment horizontal="left"/>
    </xf>
    <xf xfId="0" numFmtId="3" applyNumberFormat="1" borderId="68" applyBorder="1" fontId="3" applyFont="1" fillId="17" applyFill="1" applyAlignment="1">
      <alignment horizontal="left"/>
    </xf>
    <xf xfId="0" numFmtId="3" applyNumberFormat="1" borderId="122" applyBorder="1" fontId="3" applyFont="1" fillId="17" applyFill="1" applyAlignment="1">
      <alignment horizontal="center"/>
    </xf>
    <xf xfId="0" numFmtId="167" applyNumberFormat="1" borderId="25" applyBorder="1" fontId="3" applyFont="1" fillId="21" applyFill="1" applyAlignment="1">
      <alignment horizontal="left"/>
    </xf>
    <xf xfId="0" numFmtId="1" applyNumberFormat="1" borderId="70" applyBorder="1" fontId="3" applyFont="1" fillId="17" applyFill="1" applyAlignment="1">
      <alignment horizontal="left"/>
    </xf>
    <xf xfId="0" numFmtId="1" applyNumberFormat="1" borderId="46" applyBorder="1" fontId="3" applyFont="1" fillId="17" applyFill="1" applyAlignment="1">
      <alignment horizontal="left"/>
    </xf>
    <xf xfId="0" numFmtId="167" applyNumberFormat="1" borderId="46" applyBorder="1" fontId="2" applyFont="1" fillId="17" applyFill="1" applyAlignment="1">
      <alignment horizontal="left"/>
    </xf>
    <xf xfId="0" numFmtId="3" applyNumberFormat="1" borderId="46" applyBorder="1" fontId="2" applyFont="1" fillId="17" applyFill="1" applyAlignment="1">
      <alignment horizontal="left"/>
    </xf>
    <xf xfId="0" numFmtId="3" applyNumberFormat="1" borderId="46" applyBorder="1" fontId="3" applyFont="1" fillId="17" applyFill="1" applyAlignment="1">
      <alignment horizontal="left"/>
    </xf>
    <xf xfId="0" numFmtId="3" applyNumberFormat="1" borderId="123" applyBorder="1" fontId="3" applyFont="1" fillId="17" applyFill="1" applyAlignment="1">
      <alignment horizontal="center"/>
    </xf>
    <xf xfId="0" numFmtId="170" applyNumberFormat="1" borderId="41" applyBorder="1" fontId="2" applyFont="1" fillId="0" applyAlignment="1">
      <alignment horizontal="left"/>
    </xf>
    <xf xfId="0" numFmtId="1" applyNumberFormat="1" borderId="75" applyBorder="1" fontId="22" applyFont="1" fillId="0" applyAlignment="1">
      <alignment horizontal="left"/>
    </xf>
    <xf xfId="0" numFmtId="167" applyNumberFormat="1" borderId="75" applyBorder="1" fontId="2" applyFont="1" fillId="0" applyAlignment="1">
      <alignment horizontal="left"/>
    </xf>
    <xf xfId="0" numFmtId="3" applyNumberFormat="1" borderId="75" applyBorder="1" fontId="2" applyFont="1" fillId="0" applyAlignment="1">
      <alignment horizontal="left"/>
    </xf>
    <xf xfId="0" numFmtId="1" applyNumberFormat="1" borderId="75" applyBorder="1" fontId="2" applyFont="1" fillId="0" applyAlignment="1">
      <alignment horizontal="left"/>
    </xf>
    <xf xfId="0" numFmtId="0" borderId="75" applyBorder="1" fontId="2" applyFont="1" fillId="0" applyAlignment="1">
      <alignment horizontal="left"/>
    </xf>
    <xf xfId="0" numFmtId="1" applyNumberFormat="1" borderId="10" applyBorder="1" fontId="6" applyFont="1" fillId="7" applyFill="1" applyAlignment="1">
      <alignment horizontal="center" vertical="top"/>
    </xf>
    <xf xfId="0" numFmtId="1" applyNumberFormat="1" borderId="7" applyBorder="1" fontId="6" applyFont="1" fillId="7" applyFill="1" applyAlignment="1">
      <alignment horizontal="center"/>
    </xf>
    <xf xfId="0" numFmtId="167" applyNumberFormat="1" borderId="7" applyBorder="1" fontId="6" applyFont="1" fillId="7" applyFill="1" applyAlignment="1">
      <alignment horizontal="center"/>
    </xf>
    <xf xfId="0" numFmtId="3" applyNumberFormat="1" borderId="7" applyBorder="1" fontId="6" applyFont="1" fillId="7" applyFill="1" applyAlignment="1">
      <alignment horizontal="center"/>
    </xf>
    <xf xfId="0" numFmtId="0" borderId="11" applyBorder="1" fontId="6" applyFont="1" fillId="7" applyFill="1" applyAlignment="1">
      <alignment horizontal="center"/>
    </xf>
    <xf xfId="0" numFmtId="1" applyNumberFormat="1" borderId="28" applyBorder="1" fontId="6" applyFont="1" fillId="7" applyFill="1" applyAlignment="1">
      <alignment horizontal="center"/>
    </xf>
    <xf xfId="0" numFmtId="1" applyNumberFormat="1" borderId="29" applyBorder="1" fontId="6" applyFont="1" fillId="7" applyFill="1" applyAlignment="1">
      <alignment horizontal="center"/>
    </xf>
    <xf xfId="0" numFmtId="167" applyNumberFormat="1" borderId="29" applyBorder="1" fontId="6" applyFont="1" fillId="7" applyFill="1" applyAlignment="1">
      <alignment horizontal="center"/>
    </xf>
    <xf xfId="0" numFmtId="3" applyNumberFormat="1" borderId="29" applyBorder="1" fontId="6" applyFont="1" fillId="7" applyFill="1" applyAlignment="1">
      <alignment horizontal="center"/>
    </xf>
    <xf xfId="0" numFmtId="0" borderId="30" applyBorder="1" fontId="6" applyFont="1" fillId="7" applyFill="1" applyAlignment="1">
      <alignment horizontal="center"/>
    </xf>
    <xf xfId="0" numFmtId="1" applyNumberFormat="1" borderId="10" applyBorder="1" fontId="2" applyFont="1" fillId="24" applyFill="1" applyAlignment="1">
      <alignment horizontal="left" vertical="top" wrapText="1"/>
    </xf>
    <xf xfId="0" numFmtId="1" applyNumberFormat="1" borderId="7" applyBorder="1" fontId="2" applyFont="1" fillId="24" applyFill="1" applyAlignment="1">
      <alignment horizontal="left" wrapText="1"/>
    </xf>
    <xf xfId="0" numFmtId="167" applyNumberFormat="1" borderId="7" applyBorder="1" fontId="2" applyFont="1" fillId="24" applyFill="1" applyAlignment="1">
      <alignment horizontal="left" wrapText="1"/>
    </xf>
    <xf xfId="0" numFmtId="3" applyNumberFormat="1" borderId="7" applyBorder="1" fontId="2" applyFont="1" fillId="24" applyFill="1" applyAlignment="1">
      <alignment horizontal="left" wrapText="1"/>
    </xf>
    <xf xfId="0" numFmtId="0" borderId="11" applyBorder="1" fontId="2" applyFont="1" fillId="24" applyFill="1" applyAlignment="1">
      <alignment horizontal="left" wrapText="1"/>
    </xf>
    <xf xfId="0" numFmtId="1" applyNumberFormat="1" borderId="22" applyBorder="1" fontId="2" applyFont="1" fillId="24" applyFill="1" applyAlignment="1">
      <alignment horizontal="left" wrapText="1"/>
    </xf>
    <xf xfId="0" numFmtId="1" applyNumberFormat="1" borderId="19" applyBorder="1" fontId="2" applyFont="1" fillId="24" applyFill="1" applyAlignment="1">
      <alignment horizontal="left" wrapText="1"/>
    </xf>
    <xf xfId="0" numFmtId="167" applyNumberFormat="1" borderId="19" applyBorder="1" fontId="2" applyFont="1" fillId="24" applyFill="1" applyAlignment="1">
      <alignment horizontal="left" wrapText="1"/>
    </xf>
    <xf xfId="0" numFmtId="3" applyNumberFormat="1" borderId="19" applyBorder="1" fontId="2" applyFont="1" fillId="24" applyFill="1" applyAlignment="1">
      <alignment horizontal="left" wrapText="1"/>
    </xf>
    <xf xfId="0" numFmtId="0" borderId="23" applyBorder="1" fontId="2" applyFont="1" fillId="24" applyFill="1" applyAlignment="1">
      <alignment horizontal="left" wrapText="1"/>
    </xf>
    <xf xfId="0" numFmtId="170" applyNumberFormat="1" borderId="48" applyBorder="1" fontId="2" applyFont="1" fillId="0" applyAlignment="1">
      <alignment horizontal="right"/>
    </xf>
    <xf xfId="0" numFmtId="170" applyNumberFormat="1" borderId="112" applyBorder="1" fontId="2" applyFont="1" fillId="0" applyAlignment="1">
      <alignment horizontal="left"/>
    </xf>
    <xf xfId="0" numFmtId="3" applyNumberFormat="1" borderId="1" applyBorder="1" fontId="1" applyFont="1" fillId="0" applyAlignment="1">
      <alignment horizontal="right" wrapText="1"/>
    </xf>
    <xf xfId="0" numFmtId="171" applyNumberFormat="1" borderId="1" applyBorder="1" fontId="1" applyFont="1" fillId="0" applyAlignment="1">
      <alignment horizontal="left" wrapText="1"/>
    </xf>
    <xf xfId="0" numFmtId="166" applyNumberFormat="1" borderId="1" applyBorder="1" fontId="1" applyFont="1" fillId="0" applyAlignment="1">
      <alignment horizontal="right" wrapText="1"/>
    </xf>
    <xf xfId="0" numFmtId="165" applyNumberFormat="1" borderId="1" applyBorder="1" fontId="1" applyFont="1" fillId="0" applyAlignment="1">
      <alignment horizontal="right" wrapText="1"/>
    </xf>
    <xf xfId="0" numFmtId="170" applyNumberFormat="1" borderId="1" applyBorder="1" fontId="1" applyFont="1" fillId="0" applyAlignment="1">
      <alignment horizontal="right" wrapText="1"/>
    </xf>
    <xf xfId="0" numFmtId="1" applyNumberFormat="1" borderId="28" applyBorder="1" fontId="2" applyFont="1" fillId="24" applyFill="1" applyAlignment="1">
      <alignment horizontal="left" wrapText="1"/>
    </xf>
    <xf xfId="0" numFmtId="1" applyNumberFormat="1" borderId="29" applyBorder="1" fontId="2" applyFont="1" fillId="24" applyFill="1" applyAlignment="1">
      <alignment horizontal="left" wrapText="1"/>
    </xf>
    <xf xfId="0" numFmtId="167" applyNumberFormat="1" borderId="29" applyBorder="1" fontId="2" applyFont="1" fillId="24" applyFill="1" applyAlignment="1">
      <alignment horizontal="left" wrapText="1"/>
    </xf>
    <xf xfId="0" numFmtId="3" applyNumberFormat="1" borderId="29" applyBorder="1" fontId="2" applyFont="1" fillId="24" applyFill="1" applyAlignment="1">
      <alignment horizontal="left" wrapText="1"/>
    </xf>
    <xf xfId="0" numFmtId="0" borderId="30" applyBorder="1" fontId="2" applyFont="1" fillId="24" applyFill="1" applyAlignment="1">
      <alignment horizontal="left" wrapText="1"/>
    </xf>
    <xf xfId="0" numFmtId="3" applyNumberFormat="1" borderId="0" fontId="0" fillId="0" applyAlignment="1">
      <alignment horizontal="left"/>
    </xf>
    <xf xfId="0" numFmtId="171" applyNumberFormat="1" borderId="0" fontId="0" fillId="0" applyAlignment="1">
      <alignment horizontal="left"/>
    </xf>
    <xf xfId="0" numFmtId="1" applyNumberFormat="1" borderId="0" fontId="0" fillId="0" applyAlignment="1">
      <alignment horizontal="left"/>
    </xf>
    <xf xfId="0" numFmtId="166" applyNumberFormat="1" borderId="0" fontId="0" fillId="0" applyAlignment="1">
      <alignment horizontal="left"/>
    </xf>
    <xf xfId="0" numFmtId="14" applyNumberFormat="1" borderId="0" fontId="0" fillId="0" applyAlignment="1">
      <alignment horizontal="general"/>
    </xf>
    <xf xfId="0" numFmtId="170" applyNumberFormat="1" borderId="0" fontId="0" fillId="0" applyAlignment="1">
      <alignment horizontal="general"/>
    </xf>
    <xf xfId="0" numFmtId="165" applyNumberFormat="1" borderId="1" applyBorder="1" fontId="2" applyFont="1" fillId="0" applyAlignment="1">
      <alignment horizontal="left"/>
    </xf>
    <xf xfId="0" numFmtId="4" applyNumberFormat="1" borderId="1" applyBorder="1" fontId="3" applyFont="1" fillId="0" applyAlignment="1">
      <alignment horizontal="right"/>
    </xf>
    <xf xfId="0" numFmtId="165" applyNumberFormat="1" borderId="1" applyBorder="1" fontId="3" applyFont="1" fillId="0" applyAlignment="1">
      <alignment horizontal="right"/>
    </xf>
    <xf xfId="0" numFmtId="1" applyNumberFormat="1" borderId="1" applyBorder="1" fontId="3" applyFont="1" fillId="0" applyAlignment="1">
      <alignment horizontal="right"/>
    </xf>
    <xf xfId="0" numFmtId="0" borderId="1" applyBorder="1" fontId="3" applyFont="1" fillId="0" applyAlignment="1">
      <alignment horizontal="left"/>
    </xf>
    <xf xfId="0" numFmtId="171" applyNumberFormat="1" borderId="1" applyBorder="1" fontId="3" applyFont="1" fillId="0" applyAlignment="1">
      <alignment horizontal="left"/>
    </xf>
    <xf xfId="0" numFmtId="166" applyNumberFormat="1" borderId="1" applyBorder="1" fontId="3" applyFont="1" fillId="0" applyAlignment="1">
      <alignment horizontal="left"/>
    </xf>
    <xf xfId="0" numFmtId="4" applyNumberFormat="1" borderId="1" applyBorder="1" fontId="3" applyFont="1" fillId="0" applyAlignment="1">
      <alignment horizontal="left"/>
    </xf>
    <xf xfId="0" numFmtId="165" applyNumberFormat="1" borderId="1" applyBorder="1" fontId="3" applyFont="1" fillId="0" applyAlignment="1">
      <alignment horizontal="left"/>
    </xf>
    <xf xfId="0" numFmtId="1" applyNumberFormat="1" borderId="1" applyBorder="1" fontId="3" applyFont="1" fillId="0" applyAlignment="1">
      <alignment horizontal="center"/>
    </xf>
    <xf xfId="0" numFmtId="171" applyNumberFormat="1" borderId="1" applyBorder="1" fontId="3" applyFont="1" fillId="0" applyAlignment="1">
      <alignment horizontal="center"/>
    </xf>
    <xf xfId="0" numFmtId="166" applyNumberFormat="1" borderId="1" applyBorder="1" fontId="3" applyFont="1" fillId="0" applyAlignment="1">
      <alignment horizontal="center"/>
    </xf>
    <xf xfId="0" numFmtId="175" applyNumberFormat="1" borderId="1" applyBorder="1" fontId="3" applyFont="1" fillId="0" applyAlignment="1">
      <alignment horizontal="left"/>
    </xf>
    <xf xfId="0" numFmtId="3" applyNumberFormat="1" borderId="10" applyBorder="1" fontId="23" applyFont="1" fillId="14" applyFill="1" applyAlignment="1">
      <alignment horizontal="center"/>
    </xf>
    <xf xfId="0" numFmtId="3" applyNumberFormat="1" borderId="7" applyBorder="1" fontId="15" applyFont="1" fillId="14" applyFill="1" applyAlignment="1">
      <alignment horizontal="center" vertical="top"/>
    </xf>
    <xf xfId="0" numFmtId="0" borderId="7" applyBorder="1" fontId="15" applyFont="1" fillId="14" applyFill="1" applyAlignment="1">
      <alignment horizontal="center"/>
    </xf>
    <xf xfId="0" numFmtId="1" applyNumberFormat="1" borderId="7" applyBorder="1" fontId="15" applyFont="1" fillId="14" applyFill="1" applyAlignment="1">
      <alignment horizontal="center"/>
    </xf>
    <xf xfId="0" numFmtId="3" applyNumberFormat="1" borderId="7" applyBorder="1" fontId="15" applyFont="1" fillId="14" applyFill="1" applyAlignment="1">
      <alignment horizontal="center"/>
    </xf>
    <xf xfId="0" numFmtId="171" applyNumberFormat="1" borderId="7" applyBorder="1" fontId="15" applyFont="1" fillId="14" applyFill="1" applyAlignment="1">
      <alignment horizontal="center"/>
    </xf>
    <xf xfId="0" numFmtId="166" applyNumberFormat="1" borderId="11" applyBorder="1" fontId="15" applyFont="1" fillId="14" applyFill="1" applyAlignment="1">
      <alignment horizontal="center"/>
    </xf>
    <xf xfId="0" numFmtId="3" applyNumberFormat="1" borderId="10" applyBorder="1" fontId="15" applyFont="1" fillId="14" applyFill="1" applyAlignment="1">
      <alignment horizontal="center" vertical="top" wrapText="1"/>
    </xf>
    <xf xfId="0" numFmtId="3" applyNumberFormat="1" borderId="7" applyBorder="1" fontId="15" applyFont="1" fillId="8" applyFill="1" applyAlignment="1">
      <alignment horizontal="center" vertical="top"/>
    </xf>
    <xf xfId="0" numFmtId="3" applyNumberFormat="1" borderId="7" applyBorder="1" fontId="15" applyFont="1" fillId="8" applyFill="1" applyAlignment="1">
      <alignment horizontal="center"/>
    </xf>
    <xf xfId="0" numFmtId="1" applyNumberFormat="1" borderId="7" applyBorder="1" fontId="15" applyFont="1" fillId="8" applyFill="1" applyAlignment="1">
      <alignment horizontal="center"/>
    </xf>
    <xf xfId="0" numFmtId="3" applyNumberFormat="1" borderId="7" applyBorder="1" fontId="24" applyFont="1" fillId="14" applyFill="1" applyAlignment="1">
      <alignment horizontal="right" wrapText="1"/>
    </xf>
    <xf xfId="0" numFmtId="15" applyNumberFormat="1" borderId="11" applyBorder="1" fontId="24" applyFont="1" fillId="14" applyFill="1" applyAlignment="1">
      <alignment horizontal="left" wrapText="1"/>
    </xf>
    <xf xfId="0" numFmtId="165" applyNumberFormat="1" borderId="10" applyBorder="1" fontId="7" applyFont="1" fillId="7" applyFill="1" applyAlignment="1">
      <alignment horizontal="center" vertical="top"/>
    </xf>
    <xf xfId="0" numFmtId="165" applyNumberFormat="1" borderId="7" applyBorder="1" fontId="7" applyFont="1" fillId="7" applyFill="1" applyAlignment="1">
      <alignment horizontal="center"/>
    </xf>
    <xf xfId="0" numFmtId="165" applyNumberFormat="1" borderId="11" applyBorder="1" fontId="7" applyFont="1" fillId="7" applyFill="1" applyAlignment="1">
      <alignment horizontal="center"/>
    </xf>
    <xf xfId="0" numFmtId="0" borderId="12" applyBorder="1" fontId="3" applyFont="1" fillId="7" applyFill="1" applyAlignment="1">
      <alignment horizontal="left"/>
    </xf>
    <xf xfId="0" numFmtId="1" applyNumberFormat="1" borderId="1" applyBorder="1" fontId="3" applyFont="1" fillId="0" applyAlignment="1">
      <alignment horizontal="left" wrapText="1"/>
    </xf>
    <xf xfId="0" numFmtId="15" applyNumberFormat="1" borderId="22" applyBorder="1" fontId="23" applyFont="1" fillId="14" applyFill="1" applyAlignment="1">
      <alignment horizontal="center"/>
    </xf>
    <xf xfId="0" numFmtId="3" applyNumberFormat="1" borderId="29" applyBorder="1" fontId="15" applyFont="1" fillId="14" applyFill="1" applyAlignment="1">
      <alignment horizontal="center"/>
    </xf>
    <xf xfId="0" numFmtId="0" borderId="29" applyBorder="1" fontId="15" applyFont="1" fillId="14" applyFill="1" applyAlignment="1">
      <alignment horizontal="center"/>
    </xf>
    <xf xfId="0" numFmtId="1" applyNumberFormat="1" borderId="29" applyBorder="1" fontId="15" applyFont="1" fillId="14" applyFill="1" applyAlignment="1">
      <alignment horizontal="center"/>
    </xf>
    <xf xfId="0" numFmtId="171" applyNumberFormat="1" borderId="29" applyBorder="1" fontId="15" applyFont="1" fillId="14" applyFill="1" applyAlignment="1">
      <alignment horizontal="center"/>
    </xf>
    <xf xfId="0" numFmtId="166" applyNumberFormat="1" borderId="30" applyBorder="1" fontId="15" applyFont="1" fillId="14" applyFill="1" applyAlignment="1">
      <alignment horizontal="center"/>
    </xf>
    <xf xfId="0" numFmtId="3" applyNumberFormat="1" borderId="28" applyBorder="1" fontId="15" applyFont="1" fillId="14" applyFill="1" applyAlignment="1">
      <alignment horizontal="center" wrapText="1"/>
    </xf>
    <xf xfId="0" numFmtId="3" applyNumberFormat="1" borderId="29" applyBorder="1" fontId="15" applyFont="1" fillId="8" applyFill="1" applyAlignment="1">
      <alignment horizontal="center"/>
    </xf>
    <xf xfId="0" numFmtId="1" applyNumberFormat="1" borderId="29" applyBorder="1" fontId="15" applyFont="1" fillId="8" applyFill="1" applyAlignment="1">
      <alignment horizontal="center"/>
    </xf>
    <xf xfId="0" numFmtId="3" applyNumberFormat="1" borderId="29" applyBorder="1" fontId="24" applyFont="1" fillId="14" applyFill="1" applyAlignment="1">
      <alignment horizontal="right" wrapText="1"/>
    </xf>
    <xf xfId="0" numFmtId="3" applyNumberFormat="1" borderId="30" applyBorder="1" fontId="24" applyFont="1" fillId="14" applyFill="1" applyAlignment="1">
      <alignment horizontal="right" wrapText="1"/>
    </xf>
    <xf xfId="0" numFmtId="165" applyNumberFormat="1" borderId="22" applyBorder="1" fontId="7" applyFont="1" fillId="7" applyFill="1" applyAlignment="1">
      <alignment horizontal="center"/>
    </xf>
    <xf xfId="0" numFmtId="165" applyNumberFormat="1" borderId="19" applyBorder="1" fontId="7" applyFont="1" fillId="7" applyFill="1" applyAlignment="1">
      <alignment horizontal="center"/>
    </xf>
    <xf xfId="0" numFmtId="165" applyNumberFormat="1" borderId="23" applyBorder="1" fontId="7" applyFont="1" fillId="7" applyFill="1" applyAlignment="1">
      <alignment horizontal="center"/>
    </xf>
    <xf xfId="0" numFmtId="0" borderId="24" applyBorder="1" fontId="2" applyFont="1" fillId="7" applyFill="1" applyAlignment="1">
      <alignment horizontal="left"/>
    </xf>
    <xf xfId="0" numFmtId="15" applyNumberFormat="1" borderId="1" applyBorder="1" fontId="3" applyFont="1" fillId="0" applyAlignment="1">
      <alignment horizontal="left"/>
    </xf>
    <xf xfId="0" numFmtId="3" applyNumberFormat="1" borderId="10" applyBorder="1" fontId="15" applyFont="1" fillId="7" applyFill="1" applyAlignment="1">
      <alignment horizontal="center" vertical="top"/>
    </xf>
    <xf xfId="0" numFmtId="3" applyNumberFormat="1" borderId="7" applyBorder="1" fontId="15" applyFont="1" fillId="7" applyFill="1" applyAlignment="1">
      <alignment horizontal="center"/>
    </xf>
    <xf xfId="0" numFmtId="0" borderId="7" applyBorder="1" fontId="15" applyFont="1" fillId="7" applyFill="1" applyAlignment="1">
      <alignment horizontal="center"/>
    </xf>
    <xf xfId="0" numFmtId="1" applyNumberFormat="1" borderId="7" applyBorder="1" fontId="15" applyFont="1" fillId="7" applyFill="1" applyAlignment="1">
      <alignment horizontal="center"/>
    </xf>
    <xf xfId="0" numFmtId="3" applyNumberFormat="1" borderId="124" applyBorder="1" fontId="15" applyFont="1" fillId="7" applyFill="1" applyAlignment="1">
      <alignment horizontal="center"/>
    </xf>
    <xf xfId="0" numFmtId="171" applyNumberFormat="1" borderId="125" applyBorder="1" fontId="15" applyFont="1" fillId="7" applyFill="1" applyAlignment="1">
      <alignment horizontal="center" vertical="top"/>
    </xf>
    <xf xfId="0" numFmtId="166" applyNumberFormat="1" borderId="11" applyBorder="1" fontId="15" applyFont="1" fillId="7" applyFill="1" applyAlignment="1">
      <alignment horizontal="center"/>
    </xf>
    <xf xfId="0" numFmtId="3" applyNumberFormat="1" borderId="65" applyBorder="1" fontId="6" applyFont="1" fillId="16" applyFill="1" applyAlignment="1">
      <alignment horizontal="center"/>
    </xf>
    <xf xfId="0" numFmtId="3" applyNumberFormat="1" borderId="58" applyBorder="1" fontId="7" applyFont="1" fillId="17" applyFill="1" applyAlignment="1">
      <alignment horizontal="left"/>
    </xf>
    <xf xfId="0" numFmtId="3" applyNumberFormat="1" borderId="68" applyBorder="1" fontId="7" applyFont="1" fillId="17" applyFill="1" applyAlignment="1">
      <alignment horizontal="left"/>
    </xf>
    <xf xfId="0" numFmtId="1" applyNumberFormat="1" borderId="66" applyBorder="1" fontId="7" applyFont="1" fillId="17" applyFill="1" applyAlignment="1">
      <alignment horizontal="left"/>
    </xf>
    <xf xfId="0" numFmtId="3" applyNumberFormat="1" borderId="13" applyBorder="1" fontId="7" applyFont="1" fillId="14" applyFill="1" applyAlignment="1">
      <alignment horizontal="center"/>
    </xf>
    <xf xfId="0" numFmtId="3" applyNumberFormat="1" borderId="15" applyBorder="1" fontId="7" applyFont="1" fillId="14" applyFill="1" applyAlignment="1">
      <alignment horizontal="center"/>
    </xf>
    <xf xfId="0" numFmtId="3" applyNumberFormat="1" borderId="67" applyBorder="1" fontId="7" applyFont="1" fillId="17" applyFill="1" applyAlignment="1">
      <alignment horizontal="right"/>
    </xf>
    <xf xfId="0" numFmtId="3" applyNumberFormat="1" borderId="68" applyBorder="1" fontId="7" applyFont="1" fillId="17" applyFill="1" applyAlignment="1">
      <alignment horizontal="right"/>
    </xf>
    <xf xfId="0" numFmtId="3" applyNumberFormat="1" borderId="66" applyBorder="1" fontId="7" applyFont="1" fillId="17" applyFill="1" applyAlignment="1">
      <alignment horizontal="right"/>
    </xf>
    <xf xfId="0" numFmtId="171" applyNumberFormat="1" borderId="126" applyBorder="1" fontId="6" applyFont="1" fillId="21" applyFill="1" applyAlignment="1">
      <alignment horizontal="center"/>
    </xf>
    <xf xfId="0" numFmtId="3" applyNumberFormat="1" borderId="28" applyBorder="1" fontId="15" applyFont="1" fillId="7" applyFill="1" applyAlignment="1">
      <alignment horizontal="center"/>
    </xf>
    <xf xfId="0" numFmtId="3" applyNumberFormat="1" borderId="29" applyBorder="1" fontId="15" applyFont="1" fillId="7" applyFill="1" applyAlignment="1">
      <alignment horizontal="center"/>
    </xf>
    <xf xfId="0" numFmtId="0" borderId="29" applyBorder="1" fontId="15" applyFont="1" fillId="7" applyFill="1" applyAlignment="1">
      <alignment horizontal="center"/>
    </xf>
    <xf xfId="0" numFmtId="1" applyNumberFormat="1" borderId="29" applyBorder="1" fontId="15" applyFont="1" fillId="7" applyFill="1" applyAlignment="1">
      <alignment horizontal="center"/>
    </xf>
    <xf xfId="0" numFmtId="3" applyNumberFormat="1" borderId="127" applyBorder="1" fontId="15" applyFont="1" fillId="7" applyFill="1" applyAlignment="1">
      <alignment horizontal="center"/>
    </xf>
    <xf xfId="0" numFmtId="171" applyNumberFormat="1" borderId="128" applyBorder="1" fontId="15" applyFont="1" fillId="7" applyFill="1" applyAlignment="1">
      <alignment horizontal="center"/>
    </xf>
    <xf xfId="0" numFmtId="166" applyNumberFormat="1" borderId="30" applyBorder="1" fontId="15" applyFont="1" fillId="7" applyFill="1" applyAlignment="1">
      <alignment horizontal="center"/>
    </xf>
    <xf xfId="0" numFmtId="3" applyNumberFormat="1" borderId="129" applyBorder="1" fontId="6" applyFont="1" fillId="16" applyFill="1" applyAlignment="1">
      <alignment horizontal="center"/>
    </xf>
    <xf xfId="0" numFmtId="3" applyNumberFormat="1" borderId="74" applyBorder="1" fontId="7" applyFont="1" fillId="17" applyFill="1" applyAlignment="1">
      <alignment horizontal="left"/>
    </xf>
    <xf xfId="0" numFmtId="3" applyNumberFormat="1" borderId="56" applyBorder="1" fontId="7" applyFont="1" fillId="17" applyFill="1" applyAlignment="1">
      <alignment horizontal="left"/>
    </xf>
    <xf xfId="0" numFmtId="1" applyNumberFormat="1" borderId="60" applyBorder="1" fontId="7" applyFont="1" fillId="17" applyFill="1" applyAlignment="1">
      <alignment horizontal="left"/>
    </xf>
    <xf xfId="0" numFmtId="3" applyNumberFormat="1" borderId="13" applyBorder="1" fontId="25" applyFont="1" fillId="16" applyFill="1" applyAlignment="1">
      <alignment horizontal="center"/>
    </xf>
    <xf xfId="0" numFmtId="3" applyNumberFormat="1" borderId="15" applyBorder="1" fontId="25" applyFont="1" fillId="16" applyFill="1" applyAlignment="1">
      <alignment horizontal="center"/>
    </xf>
    <xf xfId="0" numFmtId="3" applyNumberFormat="1" borderId="70" applyBorder="1" fontId="7" applyFont="1" fillId="17" applyFill="1" applyAlignment="1">
      <alignment horizontal="right"/>
    </xf>
    <xf xfId="0" numFmtId="3" applyNumberFormat="1" borderId="46" applyBorder="1" fontId="7" applyFont="1" fillId="17" applyFill="1" applyAlignment="1">
      <alignment horizontal="right"/>
    </xf>
    <xf xfId="0" numFmtId="3" applyNumberFormat="1" borderId="59" applyBorder="1" fontId="7" applyFont="1" fillId="17" applyFill="1" applyAlignment="1">
      <alignment horizontal="right"/>
    </xf>
    <xf xfId="0" numFmtId="1" applyNumberFormat="1" borderId="76" applyBorder="1" fontId="2" applyFont="1" fillId="0" applyAlignment="1">
      <alignment horizontal="left"/>
    </xf>
    <xf xfId="0" numFmtId="165" applyNumberFormat="1" borderId="28" applyBorder="1" fontId="7" applyFont="1" fillId="7" applyFill="1" applyAlignment="1">
      <alignment horizontal="center"/>
    </xf>
    <xf xfId="0" numFmtId="165" applyNumberFormat="1" borderId="29" applyBorder="1" fontId="7" applyFont="1" fillId="7" applyFill="1" applyAlignment="1">
      <alignment horizontal="center"/>
    </xf>
    <xf xfId="0" numFmtId="165" applyNumberFormat="1" borderId="30" applyBorder="1" fontId="7" applyFont="1" fillId="7" applyFill="1" applyAlignment="1">
      <alignment horizontal="center"/>
    </xf>
    <xf xfId="0" numFmtId="3" applyNumberFormat="1" borderId="1" applyBorder="1" fontId="3" applyFont="1" fillId="0" applyAlignment="1">
      <alignment horizontal="right"/>
    </xf>
    <xf xfId="0" numFmtId="176" applyNumberFormat="1" borderId="1" applyBorder="1" fontId="3" applyFont="1" fillId="0" applyAlignment="1">
      <alignment horizontal="left"/>
    </xf>
    <xf xfId="0" numFmtId="3" applyNumberFormat="1" borderId="12" applyBorder="1" fontId="7" applyFont="1" fillId="14" applyFill="1" applyAlignment="1">
      <alignment horizontal="center" vertical="top"/>
    </xf>
    <xf xfId="0" numFmtId="3" applyNumberFormat="1" borderId="10" applyBorder="1" fontId="7" applyFont="1" fillId="14" applyFill="1" applyAlignment="1">
      <alignment horizontal="center" vertical="top" wrapText="1"/>
    </xf>
    <xf xfId="0" numFmtId="0" borderId="11" applyBorder="1" fontId="7" applyFont="1" fillId="14" applyFill="1" applyAlignment="1">
      <alignment horizontal="center" wrapText="1"/>
    </xf>
    <xf xfId="0" numFmtId="0" borderId="4" applyBorder="1" fontId="7" applyFont="1" fillId="14" applyFill="1" applyAlignment="1">
      <alignment horizontal="center" vertical="top" wrapText="1"/>
    </xf>
    <xf xfId="0" numFmtId="1" applyNumberFormat="1" borderId="5" applyBorder="1" fontId="26" applyFont="1" fillId="14" applyFill="1" applyAlignment="1">
      <alignment horizontal="center" vertical="top" wrapText="1"/>
    </xf>
    <xf xfId="0" numFmtId="3" applyNumberFormat="1" borderId="130" applyBorder="1" fontId="7" applyFont="1" fillId="14" applyFill="1" applyAlignment="1">
      <alignment horizontal="center" vertical="top" wrapText="1"/>
    </xf>
    <xf xfId="0" numFmtId="171" applyNumberFormat="1" borderId="131" applyBorder="1" fontId="7" applyFont="1" fillId="14" applyFill="1" applyAlignment="1">
      <alignment horizontal="center" vertical="top" wrapText="1"/>
    </xf>
    <xf xfId="0" numFmtId="166" applyNumberFormat="1" borderId="9" applyBorder="1" fontId="7" applyFont="1" fillId="14" applyFill="1" applyAlignment="1">
      <alignment horizontal="center" vertical="top" wrapText="1"/>
    </xf>
    <xf xfId="0" numFmtId="3" applyNumberFormat="1" borderId="10" applyBorder="1" fontId="2" applyFont="1" fillId="7" applyFill="1" applyAlignment="1">
      <alignment horizontal="left" vertical="top"/>
    </xf>
    <xf xfId="0" numFmtId="3" applyNumberFormat="1" borderId="7" applyBorder="1" fontId="2" applyFont="1" fillId="7" applyFill="1" applyAlignment="1">
      <alignment horizontal="left"/>
    </xf>
    <xf xfId="0" numFmtId="1" applyNumberFormat="1" borderId="7" applyBorder="1" fontId="2" applyFont="1" fillId="7" applyFill="1" applyAlignment="1">
      <alignment horizontal="left"/>
    </xf>
    <xf xfId="0" numFmtId="3" applyNumberFormat="1" borderId="11" applyBorder="1" fontId="2" applyFont="1" fillId="7" applyFill="1" applyAlignment="1">
      <alignment horizontal="left"/>
    </xf>
    <xf xfId="0" numFmtId="171" applyNumberFormat="1" borderId="59" applyBorder="1" fontId="6" applyFont="1" fillId="25" applyFill="1" applyAlignment="1">
      <alignment horizontal="center"/>
    </xf>
    <xf xfId="0" numFmtId="177" applyNumberFormat="1" borderId="76" applyBorder="1" fontId="2" applyFont="1" fillId="0" applyAlignment="1">
      <alignment horizontal="left"/>
    </xf>
    <xf xfId="0" numFmtId="165" applyNumberFormat="1" borderId="13" applyBorder="1" fontId="7" applyFont="1" fillId="14" applyFill="1" applyAlignment="1">
      <alignment horizontal="center"/>
    </xf>
    <xf xfId="0" numFmtId="165" applyNumberFormat="1" borderId="14" applyBorder="1" fontId="7" applyFont="1" fillId="14" applyFill="1" applyAlignment="1">
      <alignment horizontal="center"/>
    </xf>
    <xf xfId="0" numFmtId="165" applyNumberFormat="1" borderId="15" applyBorder="1" fontId="7" applyFont="1" fillId="14" applyFill="1" applyAlignment="1">
      <alignment horizontal="center"/>
    </xf>
    <xf xfId="0" numFmtId="0" borderId="3" applyBorder="1" fontId="7" applyFont="1" fillId="14" applyFill="1" applyAlignment="1">
      <alignment horizontal="center"/>
    </xf>
    <xf xfId="0" numFmtId="4" applyNumberFormat="1" borderId="38" applyBorder="1" fontId="3" applyFont="1" fillId="7" applyFill="1" applyAlignment="1">
      <alignment horizontal="right"/>
    </xf>
    <xf xfId="0" numFmtId="1" applyNumberFormat="1" borderId="71" applyBorder="1" fontId="3" applyFont="1" fillId="5" applyFill="1" applyAlignment="1">
      <alignment horizontal="center"/>
    </xf>
    <xf xfId="0" numFmtId="175" applyNumberFormat="1" borderId="1" applyBorder="1" fontId="3" applyFont="1" fillId="0" applyAlignment="1">
      <alignment horizontal="right"/>
    </xf>
    <xf xfId="0" numFmtId="3" applyNumberFormat="1" borderId="24" applyBorder="1" fontId="7" applyFont="1" fillId="14" applyFill="1" applyAlignment="1">
      <alignment horizontal="center"/>
    </xf>
    <xf xfId="0" numFmtId="3" applyNumberFormat="1" borderId="22" applyBorder="1" fontId="7" applyFont="1" fillId="14" applyFill="1" applyAlignment="1">
      <alignment horizontal="center" wrapText="1"/>
    </xf>
    <xf xfId="0" numFmtId="0" borderId="23" applyBorder="1" fontId="7" applyFont="1" fillId="14" applyFill="1" applyAlignment="1">
      <alignment horizontal="center" wrapText="1"/>
    </xf>
    <xf xfId="0" numFmtId="0" borderId="16" applyBorder="1" fontId="7" applyFont="1" fillId="14" applyFill="1" applyAlignment="1">
      <alignment horizontal="center" wrapText="1"/>
    </xf>
    <xf xfId="0" numFmtId="1" applyNumberFormat="1" borderId="17" applyBorder="1" fontId="26" applyFont="1" fillId="14" applyFill="1" applyAlignment="1">
      <alignment horizontal="center" wrapText="1"/>
    </xf>
    <xf xfId="0" numFmtId="3" applyNumberFormat="1" borderId="132" applyBorder="1" fontId="7" applyFont="1" fillId="14" applyFill="1" applyAlignment="1">
      <alignment horizontal="center" wrapText="1"/>
    </xf>
    <xf xfId="0" numFmtId="171" applyNumberFormat="1" borderId="133" applyBorder="1" fontId="7" applyFont="1" fillId="14" applyFill="1" applyAlignment="1">
      <alignment horizontal="center" wrapText="1"/>
    </xf>
    <xf xfId="0" numFmtId="166" applyNumberFormat="1" borderId="21" applyBorder="1" fontId="7" applyFont="1" fillId="14" applyFill="1" applyAlignment="1">
      <alignment horizontal="center" wrapText="1"/>
    </xf>
    <xf xfId="0" numFmtId="3" applyNumberFormat="1" borderId="28" applyBorder="1" fontId="2" applyFont="1" fillId="7" applyFill="1" applyAlignment="1">
      <alignment horizontal="left"/>
    </xf>
    <xf xfId="0" numFmtId="3" applyNumberFormat="1" borderId="29" applyBorder="1" fontId="2" applyFont="1" fillId="7" applyFill="1" applyAlignment="1">
      <alignment horizontal="left"/>
    </xf>
    <xf xfId="0" numFmtId="1" applyNumberFormat="1" borderId="29" applyBorder="1" fontId="2" applyFont="1" fillId="7" applyFill="1" applyAlignment="1">
      <alignment horizontal="left"/>
    </xf>
    <xf xfId="0" numFmtId="3" applyNumberFormat="1" borderId="30" applyBorder="1" fontId="2" applyFont="1" fillId="7" applyFill="1" applyAlignment="1">
      <alignment horizontal="left"/>
    </xf>
    <xf xfId="0" numFmtId="3" applyNumberFormat="1" borderId="73" applyBorder="1" fontId="7" applyFont="1" fillId="17" applyFill="1" applyAlignment="1">
      <alignment horizontal="right" wrapText="1"/>
    </xf>
    <xf xfId="0" numFmtId="3" applyNumberFormat="1" borderId="56" applyBorder="1" fontId="7" applyFont="1" fillId="17" applyFill="1" applyAlignment="1">
      <alignment horizontal="right" wrapText="1"/>
    </xf>
    <xf xfId="0" numFmtId="3" applyNumberFormat="1" borderId="60" applyBorder="1" fontId="7" applyFont="1" fillId="17" applyFill="1" applyAlignment="1">
      <alignment horizontal="right" wrapText="1"/>
    </xf>
    <xf xfId="0" numFmtId="1" applyNumberFormat="1" borderId="3" applyBorder="1" fontId="7" applyFont="1" fillId="26" applyFill="1" applyAlignment="1">
      <alignment horizontal="center" wrapText="1"/>
    </xf>
    <xf xfId="0" numFmtId="165" applyNumberFormat="1" borderId="13" applyBorder="1" fontId="7" applyFont="1" fillId="7" applyFill="1" applyAlignment="1">
      <alignment horizontal="center"/>
    </xf>
    <xf xfId="0" numFmtId="165" applyNumberFormat="1" borderId="14" applyBorder="1" fontId="7" applyFont="1" fillId="7" applyFill="1" applyAlignment="1">
      <alignment horizontal="center"/>
    </xf>
    <xf xfId="0" numFmtId="165" applyNumberFormat="1" borderId="15" applyBorder="1" fontId="7" applyFont="1" fillId="7" applyFill="1" applyAlignment="1">
      <alignment horizontal="center"/>
    </xf>
    <xf xfId="0" numFmtId="0" borderId="12" applyBorder="1" fontId="3" applyFont="1" fillId="24" applyFill="1" applyAlignment="1">
      <alignment horizontal="left" vertical="top" wrapText="1"/>
    </xf>
    <xf xfId="0" numFmtId="165" applyNumberFormat="1" borderId="1" applyBorder="1" fontId="3" applyFont="1" fillId="0" applyAlignment="1">
      <alignment horizontal="center"/>
    </xf>
    <xf xfId="0" numFmtId="1" applyNumberFormat="1" borderId="1" applyBorder="1" fontId="7" applyFont="1" fillId="0" applyAlignment="1">
      <alignment horizontal="right"/>
    </xf>
    <xf xfId="0" numFmtId="166" applyNumberFormat="1" borderId="37" applyBorder="1" fontId="7" applyFont="1" fillId="14" applyFill="1" applyAlignment="1">
      <alignment horizontal="center" wrapText="1"/>
    </xf>
    <xf xfId="0" numFmtId="3" applyNumberFormat="1" borderId="134" applyBorder="1" fontId="7" applyFont="1" fillId="17" applyFill="1" applyAlignment="1">
      <alignment horizontal="center" vertical="top" wrapText="1"/>
    </xf>
    <xf xfId="0" numFmtId="3" applyNumberFormat="1" borderId="8" applyBorder="1" fontId="7" applyFont="1" fillId="17" applyFill="1" applyAlignment="1">
      <alignment horizontal="center" vertical="top" wrapText="1"/>
    </xf>
    <xf xfId="0" numFmtId="3" applyNumberFormat="1" borderId="6" applyBorder="1" fontId="7" applyFont="1" fillId="17" applyFill="1" applyAlignment="1">
      <alignment horizontal="center" vertical="top" wrapText="1"/>
    </xf>
    <xf xfId="0" numFmtId="1" applyNumberFormat="1" borderId="9" applyBorder="1" fontId="7" applyFont="1" fillId="17" applyFill="1" applyAlignment="1">
      <alignment horizontal="center" vertical="top" wrapText="1"/>
    </xf>
    <xf xfId="0" numFmtId="3" applyNumberFormat="1" borderId="14" applyBorder="1" fontId="2" applyFont="1" fillId="7" applyFill="1" applyAlignment="1">
      <alignment horizontal="left"/>
    </xf>
    <xf xfId="0" numFmtId="3" applyNumberFormat="1" borderId="14" applyBorder="1" fontId="6" applyFont="1" fillId="7" applyFill="1" applyAlignment="1">
      <alignment horizontal="center"/>
    </xf>
    <xf xfId="0" numFmtId="3" applyNumberFormat="1" borderId="15" applyBorder="1" fontId="2" applyFont="1" fillId="7" applyFill="1" applyAlignment="1">
      <alignment horizontal="left"/>
    </xf>
    <xf xfId="0" numFmtId="1" applyNumberFormat="1" borderId="76" applyBorder="1" fontId="3" applyFont="1" fillId="0" applyAlignment="1">
      <alignment horizontal="left"/>
    </xf>
    <xf xfId="0" numFmtId="165" applyNumberFormat="1" borderId="4" applyBorder="1" fontId="3" applyFont="1" fillId="17" applyFill="1" applyAlignment="1">
      <alignment horizontal="center" vertical="top" wrapText="1"/>
    </xf>
    <xf xfId="0" numFmtId="165" applyNumberFormat="1" borderId="5" applyBorder="1" fontId="3" applyFont="1" fillId="17" applyFill="1" applyAlignment="1">
      <alignment horizontal="center" vertical="top" wrapText="1"/>
    </xf>
    <xf xfId="0" numFmtId="165" applyNumberFormat="1" borderId="9" applyBorder="1" fontId="3" applyFont="1" fillId="17" applyFill="1" applyAlignment="1">
      <alignment horizontal="center" vertical="top" wrapText="1"/>
    </xf>
    <xf xfId="0" numFmtId="165" applyNumberFormat="1" borderId="12" applyBorder="1" fontId="7" applyFont="1" fillId="14" applyFill="1" applyAlignment="1">
      <alignment horizontal="center" vertical="top" wrapText="1"/>
    </xf>
    <xf xfId="0" numFmtId="0" borderId="24" applyBorder="1" fontId="3" applyFont="1" fillId="24" applyFill="1" applyAlignment="1">
      <alignment horizontal="left" wrapText="1"/>
    </xf>
    <xf xfId="0" numFmtId="3" applyNumberFormat="1" borderId="31" applyBorder="1" fontId="7" applyFont="1" fillId="14" applyFill="1" applyAlignment="1">
      <alignment horizontal="center"/>
    </xf>
    <xf xfId="0" numFmtId="3" applyNumberFormat="1" borderId="28" applyBorder="1" fontId="7" applyFont="1" fillId="14" applyFill="1" applyAlignment="1">
      <alignment horizontal="center" wrapText="1"/>
    </xf>
    <xf xfId="0" numFmtId="0" borderId="30" applyBorder="1" fontId="7" applyFont="1" fillId="14" applyFill="1" applyAlignment="1">
      <alignment horizontal="center" wrapText="1"/>
    </xf>
    <xf xfId="0" numFmtId="0" borderId="35" applyBorder="1" fontId="7" applyFont="1" fillId="14" applyFill="1" applyAlignment="1">
      <alignment horizontal="center" wrapText="1"/>
    </xf>
    <xf xfId="0" numFmtId="1" applyNumberFormat="1" borderId="36" applyBorder="1" fontId="26" applyFont="1" fillId="14" applyFill="1" applyAlignment="1">
      <alignment horizontal="center" wrapText="1"/>
    </xf>
    <xf xfId="0" numFmtId="3" applyNumberFormat="1" borderId="135" applyBorder="1" fontId="7" applyFont="1" fillId="14" applyFill="1" applyAlignment="1">
      <alignment horizontal="center" wrapText="1"/>
    </xf>
    <xf xfId="0" numFmtId="171" applyNumberFormat="1" borderId="136" applyBorder="1" fontId="7" applyFont="1" fillId="14" applyFill="1" applyAlignment="1">
      <alignment horizontal="center" wrapText="1"/>
    </xf>
    <xf xfId="0" numFmtId="3" applyNumberFormat="1" borderId="15" applyBorder="1" fontId="3" applyFont="1" fillId="5" applyFill="1" applyAlignment="1">
      <alignment horizontal="center"/>
    </xf>
    <xf xfId="0" numFmtId="3" applyNumberFormat="1" borderId="137" applyBorder="1" fontId="7" applyFont="1" fillId="17" applyFill="1" applyAlignment="1">
      <alignment horizontal="center" wrapText="1"/>
    </xf>
    <xf xfId="0" numFmtId="3" applyNumberFormat="1" borderId="20" applyBorder="1" fontId="7" applyFont="1" fillId="17" applyFill="1" applyAlignment="1">
      <alignment horizontal="center" wrapText="1"/>
    </xf>
    <xf xfId="0" numFmtId="3" applyNumberFormat="1" borderId="18" applyBorder="1" fontId="7" applyFont="1" fillId="17" applyFill="1" applyAlignment="1">
      <alignment horizontal="center" wrapText="1"/>
    </xf>
    <xf xfId="0" numFmtId="1" applyNumberFormat="1" borderId="21" applyBorder="1" fontId="7" applyFont="1" fillId="17" applyFill="1" applyAlignment="1">
      <alignment horizontal="center" wrapText="1"/>
    </xf>
    <xf xfId="0" numFmtId="3" applyNumberFormat="1" borderId="4" applyBorder="1" fontId="7" applyFont="1" fillId="3" applyFill="1" applyAlignment="1">
      <alignment horizontal="center" vertical="top" wrapText="1"/>
    </xf>
    <xf xfId="0" numFmtId="3" applyNumberFormat="1" borderId="5" applyBorder="1" fontId="7" applyFont="1" fillId="3" applyFill="1" applyAlignment="1">
      <alignment horizontal="center" vertical="top" wrapText="1"/>
    </xf>
    <xf xfId="0" numFmtId="3" applyNumberFormat="1" borderId="6" applyBorder="1" fontId="7" applyFont="1" fillId="3" applyFill="1" applyAlignment="1">
      <alignment horizontal="center" vertical="top" wrapText="1"/>
    </xf>
    <xf xfId="0" numFmtId="3" applyNumberFormat="1" borderId="3" applyBorder="1" fontId="7" applyFont="1" fillId="17" applyFill="1" applyAlignment="1">
      <alignment horizontal="center" wrapText="1"/>
    </xf>
    <xf xfId="0" numFmtId="165" applyNumberFormat="1" borderId="16" applyBorder="1" fontId="3" applyFont="1" fillId="17" applyFill="1" applyAlignment="1">
      <alignment horizontal="center" wrapText="1"/>
    </xf>
    <xf xfId="0" numFmtId="165" applyNumberFormat="1" borderId="17" applyBorder="1" fontId="3" applyFont="1" fillId="17" applyFill="1" applyAlignment="1">
      <alignment horizontal="center" wrapText="1"/>
    </xf>
    <xf xfId="0" numFmtId="165" applyNumberFormat="1" borderId="21" applyBorder="1" fontId="3" applyFont="1" fillId="17" applyFill="1" applyAlignment="1">
      <alignment horizontal="center" wrapText="1"/>
    </xf>
    <xf xfId="0" numFmtId="165" applyNumberFormat="1" borderId="24" applyBorder="1" fontId="7" applyFont="1" fillId="14" applyFill="1" applyAlignment="1">
      <alignment horizontal="center" wrapText="1"/>
    </xf>
    <xf xfId="0" numFmtId="166" applyNumberFormat="1" borderId="138" applyBorder="1" fontId="3" applyFont="1" fillId="0" applyAlignment="1">
      <alignment horizontal="right"/>
    </xf>
    <xf xfId="0" numFmtId="3" applyNumberFormat="1" borderId="129" applyBorder="1" fontId="7" applyFont="1" fillId="7" applyFill="1" applyAlignment="1">
      <alignment horizontal="center"/>
    </xf>
    <xf xfId="0" numFmtId="3" applyNumberFormat="1" borderId="67" applyBorder="1" fontId="3" applyFont="1" fillId="17" applyFill="1" applyAlignment="1">
      <alignment horizontal="center"/>
    </xf>
    <xf xfId="0" numFmtId="0" borderId="66" applyBorder="1" fontId="3" applyFont="1" fillId="17" applyFill="1" applyAlignment="1">
      <alignment horizontal="center"/>
    </xf>
    <xf xfId="0" numFmtId="165" applyNumberFormat="1" borderId="27" applyBorder="1" fontId="3" applyFont="1" fillId="16" applyFill="1" applyAlignment="1">
      <alignment horizontal="center" wrapText="1"/>
    </xf>
    <xf xfId="0" numFmtId="1" applyNumberFormat="1" borderId="33" applyBorder="1" fontId="3" applyFont="1" fillId="16" applyFill="1" applyAlignment="1">
      <alignment horizontal="center" wrapText="1"/>
    </xf>
    <xf xfId="0" numFmtId="3" applyNumberFormat="1" borderId="139" applyBorder="1" fontId="3" applyFont="1" fillId="16" applyFill="1" applyAlignment="1">
      <alignment horizontal="center" wrapText="1"/>
    </xf>
    <xf xfId="0" numFmtId="3" applyNumberFormat="1" borderId="140" applyBorder="1" fontId="3" applyFont="1" fillId="6" applyFill="1" applyAlignment="1">
      <alignment horizontal="center" wrapText="1"/>
    </xf>
    <xf xfId="0" numFmtId="166" applyNumberFormat="1" borderId="141" applyBorder="1" fontId="3" applyFont="1" fillId="6" applyFill="1" applyAlignment="1">
      <alignment horizontal="center" wrapText="1"/>
    </xf>
    <xf xfId="0" numFmtId="3" applyNumberFormat="1" borderId="142" applyBorder="1" fontId="27" applyFont="1" fillId="5" applyFill="1" applyAlignment="1">
      <alignment horizontal="center" vertical="top"/>
    </xf>
    <xf xfId="0" numFmtId="3" applyNumberFormat="1" borderId="16" applyBorder="1" fontId="7" applyFont="1" fillId="3" applyFill="1" applyAlignment="1">
      <alignment horizontal="center" wrapText="1"/>
    </xf>
    <xf xfId="0" numFmtId="3" applyNumberFormat="1" borderId="17" applyBorder="1" fontId="7" applyFont="1" fillId="3" applyFill="1" applyAlignment="1">
      <alignment horizontal="center" wrapText="1"/>
    </xf>
    <xf xfId="0" numFmtId="3" applyNumberFormat="1" borderId="18" applyBorder="1" fontId="7" applyFont="1" fillId="3" applyFill="1" applyAlignment="1">
      <alignment horizontal="center" wrapText="1"/>
    </xf>
    <xf xfId="0" numFmtId="3" applyNumberFormat="1" borderId="9" applyBorder="1" fontId="7" applyFont="1" fillId="3" applyFill="1" applyAlignment="1">
      <alignment horizontal="center" vertical="top" wrapText="1"/>
    </xf>
    <xf xfId="0" numFmtId="166" applyNumberFormat="1" borderId="143" applyBorder="1" fontId="3" applyFont="1" fillId="0" applyAlignment="1">
      <alignment horizontal="right"/>
    </xf>
    <xf xfId="0" numFmtId="3" applyNumberFormat="1" borderId="70" applyBorder="1" fontId="3" applyFont="1" fillId="17" applyFill="1" applyAlignment="1">
      <alignment horizontal="center"/>
    </xf>
    <xf xfId="0" numFmtId="0" borderId="59" applyBorder="1" fontId="3" applyFont="1" fillId="17" applyFill="1" applyAlignment="1">
      <alignment horizontal="center"/>
    </xf>
    <xf xfId="0" numFmtId="166" applyNumberFormat="1" borderId="44" applyBorder="1" fontId="3" applyFont="1" fillId="6" applyFill="1" applyAlignment="1">
      <alignment horizontal="center" wrapText="1"/>
    </xf>
    <xf xfId="0" numFmtId="3" applyNumberFormat="1" borderId="144" applyBorder="1" fontId="27" applyFont="1" fillId="5" applyFill="1" applyAlignment="1">
      <alignment horizontal="center"/>
    </xf>
    <xf xfId="0" numFmtId="3" applyNumberFormat="1" borderId="35" applyBorder="1" fontId="7" applyFont="1" fillId="3" applyFill="1" applyAlignment="1">
      <alignment horizontal="center" wrapText="1"/>
    </xf>
    <xf xfId="0" numFmtId="3" applyNumberFormat="1" borderId="36" applyBorder="1" fontId="7" applyFont="1" fillId="3" applyFill="1" applyAlignment="1">
      <alignment horizontal="center" wrapText="1"/>
    </xf>
    <xf xfId="0" numFmtId="3" applyNumberFormat="1" borderId="100" applyBorder="1" fontId="7" applyFont="1" fillId="3" applyFill="1" applyAlignment="1">
      <alignment horizontal="center" wrapText="1"/>
    </xf>
    <xf xfId="0" numFmtId="3" applyNumberFormat="1" borderId="37" applyBorder="1" fontId="7" applyFont="1" fillId="3" applyFill="1" applyAlignment="1">
      <alignment horizontal="center" wrapText="1"/>
    </xf>
    <xf xfId="0" numFmtId="165" applyNumberFormat="1" borderId="35" applyBorder="1" fontId="3" applyFont="1" fillId="17" applyFill="1" applyAlignment="1">
      <alignment horizontal="center" wrapText="1"/>
    </xf>
    <xf xfId="0" numFmtId="165" applyNumberFormat="1" borderId="36" applyBorder="1" fontId="3" applyFont="1" fillId="17" applyFill="1" applyAlignment="1">
      <alignment horizontal="center" wrapText="1"/>
    </xf>
    <xf xfId="0" numFmtId="165" applyNumberFormat="1" borderId="37" applyBorder="1" fontId="3" applyFont="1" fillId="17" applyFill="1" applyAlignment="1">
      <alignment horizontal="center" wrapText="1"/>
    </xf>
    <xf xfId="0" numFmtId="3" applyNumberFormat="1" borderId="137" applyBorder="1" fontId="27" applyFont="1" fillId="5" applyFill="1" applyAlignment="1">
      <alignment horizontal="center"/>
    </xf>
    <xf xfId="0" numFmtId="1" applyNumberFormat="1" borderId="37" applyBorder="1" fontId="7" applyFont="1" fillId="17" applyFill="1" applyAlignment="1">
      <alignment horizontal="center" wrapText="1"/>
    </xf>
    <xf xfId="0" numFmtId="167" applyNumberFormat="1" borderId="20" applyBorder="1" fontId="7" applyFont="1" fillId="24" applyFill="1" applyAlignment="1">
      <alignment horizontal="center" wrapText="1"/>
    </xf>
    <xf xfId="0" numFmtId="167" applyNumberFormat="1" borderId="17" applyBorder="1" fontId="7" applyFont="1" fillId="24" applyFill="1" applyAlignment="1">
      <alignment horizontal="center" wrapText="1"/>
    </xf>
    <xf xfId="0" numFmtId="167" applyNumberFormat="1" borderId="145" applyBorder="1" fontId="3" applyFont="1" fillId="5" applyFill="1" applyAlignment="1">
      <alignment horizontal="center"/>
    </xf>
    <xf xfId="0" numFmtId="167" applyNumberFormat="1" borderId="146" applyBorder="1" fontId="3" applyFont="1" fillId="5" applyFill="1" applyAlignment="1">
      <alignment horizontal="center"/>
    </xf>
    <xf xfId="0" numFmtId="167" applyNumberFormat="1" borderId="147" applyBorder="1" fontId="3" applyFont="1" fillId="5" applyFill="1" applyAlignment="1">
      <alignment horizontal="center"/>
    </xf>
    <xf xfId="0" numFmtId="165" applyNumberFormat="1" borderId="148" applyBorder="1" fontId="7" applyFont="1" fillId="14" applyFill="1" applyAlignment="1">
      <alignment horizontal="center" wrapText="1"/>
    </xf>
    <xf xfId="0" numFmtId="3" applyNumberFormat="1" borderId="149" applyBorder="1" fontId="7" applyFont="1" fillId="7" applyFill="1" applyAlignment="1">
      <alignment horizontal="center" wrapText="1"/>
    </xf>
    <xf xfId="0" numFmtId="3" applyNumberFormat="1" borderId="62" applyBorder="1" fontId="7" applyFont="1" fillId="17" applyFill="1" applyAlignment="1">
      <alignment horizontal="center" wrapText="1"/>
    </xf>
    <xf xfId="0" numFmtId="3" applyNumberFormat="1" borderId="100" applyBorder="1" fontId="7" applyFont="1" fillId="17" applyFill="1" applyAlignment="1">
      <alignment horizontal="center" wrapText="1"/>
    </xf>
    <xf xfId="0" numFmtId="3" applyNumberFormat="1" borderId="3" applyBorder="1" fontId="19" applyFont="1" fillId="5" applyFill="1" applyAlignment="1">
      <alignment horizontal="center"/>
    </xf>
    <xf xfId="0" numFmtId="3" applyNumberFormat="1" borderId="78" applyBorder="1" fontId="3" applyFont="1" fillId="5" applyFill="1" applyAlignment="1">
      <alignment horizontal="center"/>
    </xf>
    <xf xfId="0" numFmtId="3" applyNumberFormat="1" borderId="39" applyBorder="1" fontId="3" applyFont="1" fillId="5" applyFill="1" applyAlignment="1">
      <alignment horizontal="center"/>
    </xf>
    <xf xfId="0" numFmtId="3" applyNumberFormat="1" borderId="71" applyBorder="1" fontId="3" applyFont="1" fillId="5" applyFill="1" applyAlignment="1">
      <alignment horizontal="center"/>
    </xf>
    <xf xfId="0" numFmtId="1" applyNumberFormat="1" borderId="35" applyBorder="1" fontId="2" applyFont="1" fillId="5" applyFill="1" applyAlignment="1">
      <alignment horizontal="center"/>
    </xf>
    <xf xfId="0" numFmtId="1" applyNumberFormat="1" borderId="36" applyBorder="1" fontId="2" applyFont="1" fillId="5" applyFill="1" applyAlignment="1">
      <alignment horizontal="center"/>
    </xf>
    <xf xfId="0" numFmtId="1" applyNumberFormat="1" borderId="37" applyBorder="1" fontId="2" applyFont="1" fillId="5" applyFill="1" applyAlignment="1">
      <alignment horizontal="center"/>
    </xf>
    <xf xfId="0" numFmtId="1" applyNumberFormat="1" borderId="150" applyBorder="1" fontId="6" applyFont="1" fillId="5" applyFill="1" applyAlignment="1">
      <alignment horizontal="center"/>
    </xf>
    <xf xfId="0" numFmtId="0" borderId="31" applyBorder="1" fontId="3" applyFont="1" fillId="24" applyFill="1" applyAlignment="1">
      <alignment horizontal="left" wrapText="1"/>
    </xf>
    <xf xfId="0" numFmtId="3" applyNumberFormat="1" borderId="151" applyBorder="1" fontId="3" applyFont="1" fillId="0" applyAlignment="1">
      <alignment horizontal="left"/>
    </xf>
    <xf xfId="0" numFmtId="3" applyNumberFormat="1" borderId="89" applyBorder="1" fontId="3" applyFont="1" fillId="0" applyAlignment="1">
      <alignment horizontal="center"/>
    </xf>
    <xf xfId="0" numFmtId="3" applyNumberFormat="1" borderId="110" applyBorder="1" fontId="3" applyFont="1" fillId="0" applyAlignment="1">
      <alignment horizontal="center"/>
    </xf>
    <xf xfId="0" numFmtId="3" applyNumberFormat="1" borderId="138" applyBorder="1" fontId="3" applyFont="1" fillId="0" applyAlignment="1">
      <alignment horizontal="center"/>
    </xf>
    <xf xfId="0" numFmtId="3" applyNumberFormat="1" borderId="41" applyBorder="1" fontId="3" applyFont="1" fillId="16" applyFill="1" applyAlignment="1">
      <alignment horizontal="left"/>
    </xf>
    <xf xfId="0" numFmtId="1" applyNumberFormat="1" borderId="152" applyBorder="1" fontId="3" applyFont="1" fillId="16" applyFill="1" applyAlignment="1">
      <alignment horizontal="center" wrapText="1"/>
    </xf>
    <xf xfId="0" numFmtId="3" applyNumberFormat="1" borderId="123" applyBorder="1" fontId="3" applyFont="1" fillId="21" applyFill="1" applyAlignment="1">
      <alignment horizontal="center" wrapText="1"/>
    </xf>
    <xf xfId="0" numFmtId="165" applyNumberFormat="1" borderId="32" applyBorder="1" fontId="3" applyFont="1" fillId="4" applyFill="1" applyAlignment="1">
      <alignment horizontal="center" wrapText="1"/>
    </xf>
    <xf xfId="0" numFmtId="165" applyNumberFormat="1" borderId="33" applyBorder="1" fontId="3" applyFont="1" fillId="4" applyFill="1" applyAlignment="1">
      <alignment horizontal="center" wrapText="1"/>
    </xf>
    <xf xfId="0" numFmtId="165" applyNumberFormat="1" borderId="42" applyBorder="1" fontId="3" applyFont="1" fillId="4" applyFill="1" applyAlignment="1">
      <alignment horizontal="center" wrapText="1"/>
    </xf>
    <xf xfId="0" numFmtId="165" applyNumberFormat="1" borderId="126" applyBorder="1" fontId="3" applyFont="1" fillId="5" applyFill="1" applyAlignment="1">
      <alignment horizontal="center" wrapText="1"/>
    </xf>
    <xf xfId="0" numFmtId="0" borderId="47" applyBorder="1" fontId="3" applyFont="1" fillId="24" applyFill="1" applyAlignment="1">
      <alignment horizontal="left"/>
    </xf>
    <xf xfId="0" numFmtId="3" applyNumberFormat="1" borderId="153" applyBorder="1" fontId="3" applyFont="1" fillId="0" applyAlignment="1">
      <alignment horizontal="right"/>
    </xf>
    <xf xfId="0" numFmtId="3" applyNumberFormat="1" borderId="34" applyBorder="1" fontId="3" applyFont="1" fillId="0" applyAlignment="1">
      <alignment horizontal="right"/>
    </xf>
    <xf xfId="0" numFmtId="165" applyNumberFormat="1" borderId="41" applyBorder="1" fontId="3" applyFont="1" fillId="4" applyFill="1" applyAlignment="1">
      <alignment horizontal="center" wrapText="1"/>
    </xf>
    <xf xfId="0" numFmtId="165" applyNumberFormat="1" borderId="34" applyBorder="1" fontId="3" applyFont="1" fillId="4" applyFill="1" applyAlignment="1">
      <alignment horizontal="center" wrapText="1"/>
    </xf>
    <xf xfId="0" numFmtId="165" applyNumberFormat="1" borderId="44" applyBorder="1" fontId="3" applyFont="1" fillId="4" applyFill="1" applyAlignment="1">
      <alignment horizontal="center" wrapText="1"/>
    </xf>
    <xf xfId="0" numFmtId="0" borderId="91" applyBorder="1" fontId="3" applyFont="1" fillId="24" applyFill="1" applyAlignment="1">
      <alignment horizontal="left"/>
    </xf>
    <xf xfId="0" numFmtId="3" applyNumberFormat="1" borderId="76" applyBorder="1" fontId="3" applyFont="1" fillId="0" applyAlignment="1">
      <alignment horizontal="right"/>
    </xf>
    <xf xfId="0" numFmtId="1" applyNumberFormat="1" borderId="154" applyBorder="1" fontId="3" applyFont="1" fillId="0" applyAlignment="1">
      <alignment horizontal="right"/>
    </xf>
    <xf xfId="0" numFmtId="3" applyNumberFormat="1" borderId="22" applyBorder="1" fontId="7" applyFont="1" fillId="7" applyFill="1" applyAlignment="1">
      <alignment horizontal="center"/>
    </xf>
    <xf xfId="0" numFmtId="3" applyNumberFormat="1" borderId="73" applyBorder="1" fontId="3" applyFont="1" fillId="17" applyFill="1" applyAlignment="1">
      <alignment horizontal="center"/>
    </xf>
    <xf xfId="0" numFmtId="0" borderId="60" applyBorder="1" fontId="3" applyFont="1" fillId="17" applyFill="1" applyAlignment="1">
      <alignment horizontal="center"/>
    </xf>
    <xf xfId="0" numFmtId="166" applyNumberFormat="1" borderId="50" applyBorder="1" fontId="3" applyFont="1" fillId="6" applyFill="1" applyAlignment="1">
      <alignment horizontal="center" wrapText="1"/>
    </xf>
    <xf xfId="0" numFmtId="3" applyNumberFormat="1" borderId="67" applyBorder="1" fontId="7" applyFont="1" fillId="7" applyFill="1" applyAlignment="1">
      <alignment horizontal="right"/>
    </xf>
    <xf xfId="0" numFmtId="3" applyNumberFormat="1" borderId="68" applyBorder="1" fontId="7" applyFont="1" fillId="7" applyFill="1" applyAlignment="1">
      <alignment horizontal="right"/>
    </xf>
    <xf xfId="0" numFmtId="0" borderId="68" applyBorder="1" fontId="7" applyFont="1" fillId="7" applyFill="1" applyAlignment="1">
      <alignment horizontal="right"/>
    </xf>
    <xf xfId="0" numFmtId="1" applyNumberFormat="1" borderId="68" applyBorder="1" fontId="7" applyFont="1" fillId="7" applyFill="1" applyAlignment="1">
      <alignment horizontal="right"/>
    </xf>
    <xf xfId="0" numFmtId="3" applyNumberFormat="1" borderId="69" applyBorder="1" fontId="7" applyFont="1" fillId="7" applyFill="1" applyAlignment="1">
      <alignment horizontal="right"/>
    </xf>
    <xf xfId="0" numFmtId="165" applyNumberFormat="1" borderId="72" applyBorder="1" fontId="7" applyFont="1" fillId="5" applyFill="1" applyAlignment="1">
      <alignment horizontal="center"/>
    </xf>
    <xf xfId="0" numFmtId="166" applyNumberFormat="1" borderId="141" applyBorder="1" fontId="7" applyFont="1" fillId="5" applyFill="1" applyAlignment="1">
      <alignment horizontal="center"/>
    </xf>
    <xf xfId="0" numFmtId="3" applyNumberFormat="1" borderId="73" applyBorder="1" fontId="7" applyFont="1" fillId="7" applyFill="1" applyAlignment="1">
      <alignment horizontal="right"/>
    </xf>
    <xf xfId="0" numFmtId="3" applyNumberFormat="1" borderId="56" applyBorder="1" fontId="7" applyFont="1" fillId="7" applyFill="1" applyAlignment="1">
      <alignment horizontal="right"/>
    </xf>
    <xf xfId="0" numFmtId="0" borderId="56" applyBorder="1" fontId="7" applyFont="1" fillId="7" applyFill="1" applyAlignment="1">
      <alignment horizontal="right"/>
    </xf>
    <xf xfId="0" numFmtId="1" applyNumberFormat="1" borderId="56" applyBorder="1" fontId="7" applyFont="1" fillId="7" applyFill="1" applyAlignment="1">
      <alignment horizontal="right"/>
    </xf>
    <xf xfId="0" numFmtId="3" applyNumberFormat="1" borderId="55" applyBorder="1" fontId="7" applyFont="1" fillId="7" applyFill="1" applyAlignment="1">
      <alignment horizontal="right"/>
    </xf>
    <xf xfId="0" numFmtId="171" applyNumberFormat="1" borderId="74" applyBorder="1" fontId="7" applyFont="1" fillId="5" applyFill="1" applyAlignment="1">
      <alignment horizontal="center"/>
    </xf>
    <xf xfId="0" numFmtId="171" applyNumberFormat="1" borderId="60" applyBorder="1" fontId="7" applyFont="1" fillId="5" applyFill="1" applyAlignment="1">
      <alignment horizontal="center"/>
    </xf>
    <xf xfId="0" numFmtId="3" applyNumberFormat="1" borderId="13" applyBorder="1" fontId="7" applyFont="1" fillId="17" applyFill="1" applyAlignment="1">
      <alignment horizontal="center" wrapText="1"/>
    </xf>
    <xf xfId="0" numFmtId="3" applyNumberFormat="1" borderId="14" applyBorder="1" fontId="7" applyFont="1" fillId="17" applyFill="1" applyAlignment="1">
      <alignment horizontal="center" wrapText="1"/>
    </xf>
    <xf xfId="0" numFmtId="0" borderId="14" applyBorder="1" fontId="7" applyFont="1" fillId="17" applyFill="1" applyAlignment="1">
      <alignment horizontal="center" wrapText="1"/>
    </xf>
    <xf xfId="0" numFmtId="1" applyNumberFormat="1" borderId="14" applyBorder="1" fontId="7" applyFont="1" fillId="17" applyFill="1" applyAlignment="1">
      <alignment horizontal="center" wrapText="1"/>
    </xf>
    <xf xfId="0" numFmtId="171" applyNumberFormat="1" borderId="14" applyBorder="1" fontId="7" applyFont="1" fillId="17" applyFill="1" applyAlignment="1">
      <alignment horizontal="center" wrapText="1"/>
    </xf>
    <xf xfId="0" numFmtId="166" applyNumberFormat="1" borderId="15" applyBorder="1" fontId="7" applyFont="1" fillId="17" applyFill="1" applyAlignment="1">
      <alignment horizontal="center" wrapText="1"/>
    </xf>
    <xf xfId="0" numFmtId="3" applyNumberFormat="1" borderId="1" applyBorder="1" fontId="28" applyFont="1" fillId="0" applyAlignment="1">
      <alignment horizontal="right"/>
    </xf>
    <xf xfId="0" numFmtId="0" borderId="1" applyBorder="1" fontId="29" applyFont="1" fillId="0" applyAlignment="1">
      <alignment horizontal="left"/>
    </xf>
    <xf xfId="0" numFmtId="3" applyNumberFormat="1" borderId="1" applyBorder="1" fontId="29" applyFont="1" fillId="0" applyAlignment="1">
      <alignment horizontal="left"/>
    </xf>
    <xf xfId="0" numFmtId="171" applyNumberFormat="1" borderId="1" applyBorder="1" fontId="29" applyFont="1" fillId="0" applyAlignment="1">
      <alignment horizontal="left"/>
    </xf>
    <xf xfId="0" numFmtId="166" applyNumberFormat="1" borderId="1" applyBorder="1" fontId="29" applyFont="1" fillId="0" applyAlignment="1">
      <alignment horizontal="left"/>
    </xf>
    <xf xfId="0" numFmtId="165" applyNumberFormat="1" borderId="48" applyBorder="1" fontId="3" applyFont="1" fillId="4" applyFill="1" applyAlignment="1">
      <alignment horizontal="center" wrapText="1"/>
    </xf>
    <xf xfId="0" numFmtId="165" applyNumberFormat="1" borderId="49" applyBorder="1" fontId="3" applyFont="1" fillId="4" applyFill="1" applyAlignment="1">
      <alignment horizontal="center" wrapText="1"/>
    </xf>
    <xf xfId="0" numFmtId="165" applyNumberFormat="1" borderId="50" applyBorder="1" fontId="3" applyFont="1" fillId="4" applyFill="1" applyAlignment="1">
      <alignment horizontal="center" wrapText="1"/>
    </xf>
    <xf xfId="0" numFmtId="165" applyNumberFormat="1" borderId="155" applyBorder="1" fontId="3" applyFont="1" fillId="5" applyFill="1" applyAlignment="1">
      <alignment horizontal="center" wrapText="1"/>
    </xf>
    <xf xfId="0" numFmtId="3" applyNumberFormat="1" borderId="14" applyBorder="1" fontId="7" applyFont="1" fillId="14" applyFill="1" applyAlignment="1">
      <alignment horizontal="center"/>
    </xf>
    <xf xfId="0" numFmtId="1" applyNumberFormat="1" borderId="14" applyBorder="1" fontId="7" applyFont="1" fillId="14" applyFill="1" applyAlignment="1">
      <alignment horizontal="center"/>
    </xf>
    <xf xfId="0" numFmtId="165" applyNumberFormat="1" borderId="10" applyBorder="1" fontId="7" applyFont="1" fillId="14" applyFill="1" applyAlignment="1">
      <alignment horizontal="center" vertical="top" wrapText="1"/>
    </xf>
    <xf xfId="0" numFmtId="1" applyNumberFormat="1" borderId="7" applyBorder="1" fontId="7" applyFont="1" fillId="14" applyFill="1" applyAlignment="1">
      <alignment horizontal="center" wrapText="1"/>
    </xf>
    <xf xfId="0" numFmtId="1" applyNumberFormat="1" borderId="11" applyBorder="1" fontId="7" applyFont="1" fillId="14" applyFill="1" applyAlignment="1">
      <alignment horizontal="center" wrapText="1"/>
    </xf>
    <xf xfId="0" numFmtId="3" applyNumberFormat="1" borderId="10" applyBorder="1" fontId="7" applyFont="1" fillId="7" applyFill="1" applyAlignment="1">
      <alignment horizontal="center" vertical="top" wrapText="1"/>
    </xf>
    <xf xfId="0" numFmtId="3" applyNumberFormat="1" borderId="7" applyBorder="1" fontId="7" applyFont="1" fillId="7" applyFill="1" applyAlignment="1">
      <alignment horizontal="center" wrapText="1"/>
    </xf>
    <xf xfId="0" numFmtId="1" applyNumberFormat="1" borderId="7" applyBorder="1" fontId="7" applyFont="1" fillId="7" applyFill="1" applyAlignment="1">
      <alignment horizontal="center" wrapText="1"/>
    </xf>
    <xf xfId="0" numFmtId="3" applyNumberFormat="1" borderId="8" applyBorder="1" fontId="7" applyFont="1" fillId="7" applyFill="1" applyAlignment="1">
      <alignment horizontal="center" wrapText="1"/>
    </xf>
    <xf xfId="0" numFmtId="3" applyNumberFormat="1" borderId="5" applyBorder="1" fontId="7" applyFont="1" fillId="7" applyFill="1" applyAlignment="1">
      <alignment horizontal="center" vertical="top" wrapText="1"/>
    </xf>
    <xf xfId="0" numFmtId="3" applyNumberFormat="1" borderId="9" applyBorder="1" fontId="7" applyFont="1" fillId="7" applyFill="1" applyAlignment="1">
      <alignment horizontal="center" vertical="top" wrapText="1"/>
    </xf>
    <xf xfId="0" numFmtId="1" applyNumberFormat="1" borderId="22" applyBorder="1" fontId="7" applyFont="1" fillId="14" applyFill="1" applyAlignment="1">
      <alignment horizontal="center" wrapText="1"/>
    </xf>
    <xf xfId="0" numFmtId="1" applyNumberFormat="1" borderId="19" applyBorder="1" fontId="7" applyFont="1" fillId="14" applyFill="1" applyAlignment="1">
      <alignment horizontal="center" wrapText="1"/>
    </xf>
    <xf xfId="0" numFmtId="1" applyNumberFormat="1" borderId="23" applyBorder="1" fontId="7" applyFont="1" fillId="14" applyFill="1" applyAlignment="1">
      <alignment horizontal="center" wrapText="1"/>
    </xf>
    <xf xfId="0" numFmtId="3" applyNumberFormat="1" borderId="22" applyBorder="1" fontId="7" applyFont="1" fillId="7" applyFill="1" applyAlignment="1">
      <alignment horizontal="center" wrapText="1"/>
    </xf>
    <xf xfId="0" numFmtId="3" applyNumberFormat="1" borderId="19" applyBorder="1" fontId="7" applyFont="1" fillId="7" applyFill="1" applyAlignment="1">
      <alignment horizontal="center" wrapText="1"/>
    </xf>
    <xf xfId="0" numFmtId="1" applyNumberFormat="1" borderId="19" applyBorder="1" fontId="7" applyFont="1" fillId="7" applyFill="1" applyAlignment="1">
      <alignment horizontal="center" wrapText="1"/>
    </xf>
    <xf xfId="0" numFmtId="3" applyNumberFormat="1" borderId="20" applyBorder="1" fontId="7" applyFont="1" fillId="7" applyFill="1" applyAlignment="1">
      <alignment horizontal="center" wrapText="1"/>
    </xf>
    <xf xfId="0" numFmtId="3" applyNumberFormat="1" borderId="17" applyBorder="1" fontId="7" applyFont="1" fillId="7" applyFill="1" applyAlignment="1">
      <alignment horizontal="center" wrapText="1"/>
    </xf>
    <xf xfId="0" numFmtId="3" applyNumberFormat="1" borderId="21" applyBorder="1" fontId="7" applyFont="1" fillId="7" applyFill="1" applyAlignment="1">
      <alignment horizontal="center" wrapText="1"/>
    </xf>
    <xf xfId="0" numFmtId="3" applyNumberFormat="1" borderId="28" applyBorder="1" fontId="7" applyFont="1" fillId="7" applyFill="1" applyAlignment="1">
      <alignment horizontal="center" wrapText="1"/>
    </xf>
    <xf xfId="0" numFmtId="3" applyNumberFormat="1" borderId="29" applyBorder="1" fontId="7" applyFont="1" fillId="7" applyFill="1" applyAlignment="1">
      <alignment horizontal="center" wrapText="1"/>
    </xf>
    <xf xfId="0" numFmtId="1" applyNumberFormat="1" borderId="29" applyBorder="1" fontId="7" applyFont="1" fillId="7" applyFill="1" applyAlignment="1">
      <alignment horizontal="center" wrapText="1"/>
    </xf>
    <xf xfId="0" numFmtId="3" applyNumberFormat="1" borderId="62" applyBorder="1" fontId="7" applyFont="1" fillId="7" applyFill="1" applyAlignment="1">
      <alignment horizontal="center" wrapText="1"/>
    </xf>
    <xf xfId="0" numFmtId="3" applyNumberFormat="1" borderId="36" applyBorder="1" fontId="7" applyFont="1" fillId="7" applyFill="1" applyAlignment="1">
      <alignment horizontal="center" wrapText="1"/>
    </xf>
    <xf xfId="0" numFmtId="3" applyNumberFormat="1" borderId="37" applyBorder="1" fontId="7" applyFont="1" fillId="7" applyFill="1" applyAlignment="1">
      <alignment horizontal="center" wrapText="1"/>
    </xf>
    <xf xfId="0" numFmtId="1" applyNumberFormat="1" borderId="28" applyBorder="1" fontId="7" applyFont="1" fillId="14" applyFill="1" applyAlignment="1">
      <alignment horizontal="center" wrapText="1"/>
    </xf>
    <xf xfId="0" numFmtId="1" applyNumberFormat="1" borderId="29" applyBorder="1" fontId="7" applyFont="1" fillId="14" applyFill="1" applyAlignment="1">
      <alignment horizontal="center" wrapText="1"/>
    </xf>
    <xf xfId="0" numFmtId="1" applyNumberFormat="1" borderId="30" applyBorder="1" fontId="7" applyFont="1" fillId="14" applyFill="1" applyAlignment="1">
      <alignment horizontal="center" wrapText="1"/>
    </xf>
    <xf xfId="0" numFmtId="3" applyNumberFormat="1" borderId="129" applyBorder="1" fontId="3" applyFont="1" fillId="21" applyFill="1" applyAlignment="1">
      <alignment horizontal="left"/>
    </xf>
    <xf xfId="0" numFmtId="3" applyNumberFormat="1" borderId="26" applyBorder="1" fontId="2" applyFont="1" fillId="21" applyFill="1" applyAlignment="1">
      <alignment horizontal="left"/>
    </xf>
    <xf xfId="0" numFmtId="1" applyNumberFormat="1" borderId="26" applyBorder="1" fontId="2" applyFont="1" fillId="21" applyFill="1" applyAlignment="1">
      <alignment horizontal="left"/>
    </xf>
    <xf xfId="0" numFmtId="3" applyNumberFormat="1" borderId="27" applyBorder="1" fontId="2" applyFont="1" fillId="21" applyFill="1" applyAlignment="1">
      <alignment horizontal="left"/>
    </xf>
    <xf xfId="0" numFmtId="3" applyNumberFormat="1" borderId="42" applyBorder="1" fontId="3" applyFont="1" fillId="21" applyFill="1" applyAlignment="1">
      <alignment horizontal="center" wrapText="1"/>
    </xf>
    <xf xfId="0" numFmtId="1" applyNumberFormat="1" borderId="129" applyBorder="1" fontId="3" applyFont="1" fillId="17" applyFill="1" applyAlignment="1">
      <alignment horizontal="center" wrapText="1"/>
    </xf>
    <xf xfId="0" numFmtId="165" applyNumberFormat="1" borderId="26" applyBorder="1" fontId="2" applyFont="1" fillId="17" applyFill="1" applyAlignment="1">
      <alignment horizontal="center" wrapText="1"/>
    </xf>
    <xf xfId="0" numFmtId="165" applyNumberFormat="1" borderId="126" applyBorder="1" fontId="2" applyFont="1" fillId="17" applyFill="1" applyAlignment="1">
      <alignment horizontal="center" wrapText="1"/>
    </xf>
    <xf xfId="0" numFmtId="1" applyNumberFormat="1" borderId="42" applyBorder="1" fontId="3" applyFont="1" fillId="4" applyFill="1" applyAlignment="1">
      <alignment horizontal="center" wrapText="1"/>
    </xf>
    <xf xfId="0" numFmtId="3" applyNumberFormat="1" borderId="70" applyBorder="1" fontId="3" applyFont="1" fillId="21" applyFill="1" applyAlignment="1">
      <alignment horizontal="left"/>
    </xf>
    <xf xfId="0" numFmtId="3" applyNumberFormat="1" borderId="46" applyBorder="1" fontId="2" applyFont="1" fillId="21" applyFill="1" applyAlignment="1">
      <alignment horizontal="left"/>
    </xf>
    <xf xfId="0" numFmtId="1" applyNumberFormat="1" borderId="46" applyBorder="1" fontId="2" applyFont="1" fillId="21" applyFill="1" applyAlignment="1">
      <alignment horizontal="left"/>
    </xf>
    <xf xfId="0" numFmtId="3" applyNumberFormat="1" borderId="45" applyBorder="1" fontId="2" applyFont="1" fillId="21" applyFill="1" applyAlignment="1">
      <alignment horizontal="left"/>
    </xf>
    <xf xfId="0" numFmtId="3" applyNumberFormat="1" borderId="59" applyBorder="1" fontId="3" applyFont="1" fillId="21" applyFill="1" applyAlignment="1">
      <alignment horizontal="center" wrapText="1"/>
    </xf>
    <xf xfId="0" numFmtId="1" applyNumberFormat="1" borderId="70" applyBorder="1" fontId="3" applyFont="1" fillId="17" applyFill="1" applyAlignment="1">
      <alignment horizontal="center" wrapText="1"/>
    </xf>
    <xf xfId="0" numFmtId="165" applyNumberFormat="1" borderId="46" applyBorder="1" fontId="2" applyFont="1" fillId="17" applyFill="1" applyAlignment="1">
      <alignment horizontal="center" wrapText="1"/>
    </xf>
    <xf xfId="0" numFmtId="165" applyNumberFormat="1" borderId="59" applyBorder="1" fontId="2" applyFont="1" fillId="17" applyFill="1" applyAlignment="1">
      <alignment horizontal="center" wrapText="1"/>
    </xf>
    <xf xfId="0" numFmtId="3" applyNumberFormat="1" borderId="13" applyBorder="1" fontId="30" applyFont="1" fillId="14" applyFill="1" applyAlignment="1">
      <alignment horizontal="center"/>
    </xf>
    <xf xfId="0" numFmtId="3" applyNumberFormat="1" borderId="14" applyBorder="1" fontId="30" applyFont="1" fillId="14" applyFill="1" applyAlignment="1">
      <alignment horizontal="center"/>
    </xf>
    <xf xfId="0" numFmtId="1" applyNumberFormat="1" borderId="14" applyBorder="1" fontId="30" applyFont="1" fillId="14" applyFill="1" applyAlignment="1">
      <alignment horizontal="center"/>
    </xf>
    <xf xfId="0" numFmtId="3" applyNumberFormat="1" borderId="15" applyBorder="1" fontId="30" applyFont="1" fillId="14" applyFill="1" applyAlignment="1">
      <alignment horizontal="center"/>
    </xf>
    <xf xfId="0" numFmtId="165" applyNumberFormat="1" borderId="73" applyBorder="1" fontId="7" applyFont="1" fillId="5" applyFill="1" applyAlignment="1">
      <alignment horizontal="right"/>
    </xf>
    <xf xfId="0" numFmtId="165" applyNumberFormat="1" borderId="56" applyBorder="1" fontId="7" applyFont="1" fillId="5" applyFill="1" applyAlignment="1">
      <alignment horizontal="right"/>
    </xf>
    <xf xfId="0" numFmtId="165" applyNumberFormat="1" borderId="60" applyBorder="1" fontId="7" applyFont="1" fillId="5" applyFill="1" applyAlignment="1">
      <alignment horizontal="right"/>
    </xf>
    <xf xfId="0" numFmtId="3" applyNumberFormat="1" borderId="3" applyBorder="1" fontId="7" applyFont="1" fillId="5" applyFill="1" applyAlignment="1">
      <alignment horizontal="center"/>
    </xf>
    <xf xfId="0" numFmtId="3" applyNumberFormat="1" borderId="10" applyBorder="1" fontId="3" applyFont="1" fillId="21" applyFill="1" applyAlignment="1">
      <alignment horizontal="left" vertical="top" wrapText="1"/>
    </xf>
    <xf xfId="0" numFmtId="3" applyNumberFormat="1" borderId="7" applyBorder="1" fontId="3" applyFont="1" fillId="21" applyFill="1" applyAlignment="1">
      <alignment horizontal="left" wrapText="1"/>
    </xf>
    <xf xfId="0" numFmtId="1" applyNumberFormat="1" borderId="7" applyBorder="1" fontId="3" applyFont="1" fillId="21" applyFill="1" applyAlignment="1">
      <alignment horizontal="left" wrapText="1"/>
    </xf>
    <xf xfId="0" numFmtId="3" applyNumberFormat="1" borderId="11" applyBorder="1" fontId="3" applyFont="1" fillId="21" applyFill="1" applyAlignment="1">
      <alignment horizontal="left" wrapText="1"/>
    </xf>
    <xf xfId="0" numFmtId="165" applyNumberFormat="1" borderId="13" applyBorder="1" fontId="7" applyFont="1" fillId="5" applyFill="1" applyAlignment="1">
      <alignment horizontal="right"/>
    </xf>
    <xf xfId="0" numFmtId="165" applyNumberFormat="1" borderId="14" applyBorder="1" fontId="7" applyFont="1" fillId="5" applyFill="1" applyAlignment="1">
      <alignment horizontal="right"/>
    </xf>
    <xf xfId="0" numFmtId="165" applyNumberFormat="1" borderId="15" applyBorder="1" fontId="7" applyFont="1" fillId="5" applyFill="1" applyAlignment="1">
      <alignment horizontal="right"/>
    </xf>
    <xf xfId="0" numFmtId="165" applyNumberFormat="1" borderId="3" applyBorder="1" fontId="7" applyFont="1" fillId="5" applyFill="1" applyAlignment="1">
      <alignment horizontal="center"/>
    </xf>
    <xf xfId="0" numFmtId="3" applyNumberFormat="1" borderId="22" applyBorder="1" fontId="3" applyFont="1" fillId="21" applyFill="1" applyAlignment="1">
      <alignment horizontal="left" wrapText="1"/>
    </xf>
    <xf xfId="0" numFmtId="3" applyNumberFormat="1" borderId="19" applyBorder="1" fontId="3" applyFont="1" fillId="21" applyFill="1" applyAlignment="1">
      <alignment horizontal="left" wrapText="1"/>
    </xf>
    <xf xfId="0" numFmtId="1" applyNumberFormat="1" borderId="19" applyBorder="1" fontId="3" applyFont="1" fillId="21" applyFill="1" applyAlignment="1">
      <alignment horizontal="left" wrapText="1"/>
    </xf>
    <xf xfId="0" numFmtId="3" applyNumberFormat="1" borderId="23" applyBorder="1" fontId="3" applyFont="1" fillId="21" applyFill="1" applyAlignment="1">
      <alignment horizontal="left" wrapText="1"/>
    </xf>
    <xf xfId="0" numFmtId="4" applyNumberFormat="1" borderId="1" applyBorder="1" fontId="1" applyFont="1" fillId="0" applyAlignment="1">
      <alignment horizontal="right" wrapText="1"/>
    </xf>
    <xf xfId="0" numFmtId="3" applyNumberFormat="1" borderId="28" applyBorder="1" fontId="3" applyFont="1" fillId="21" applyFill="1" applyAlignment="1">
      <alignment horizontal="left" wrapText="1"/>
    </xf>
    <xf xfId="0" numFmtId="3" applyNumberFormat="1" borderId="29" applyBorder="1" fontId="3" applyFont="1" fillId="21" applyFill="1" applyAlignment="1">
      <alignment horizontal="left" wrapText="1"/>
    </xf>
    <xf xfId="0" numFmtId="1" applyNumberFormat="1" borderId="29" applyBorder="1" fontId="3" applyFont="1" fillId="21" applyFill="1" applyAlignment="1">
      <alignment horizontal="left" wrapText="1"/>
    </xf>
    <xf xfId="0" numFmtId="3" applyNumberFormat="1" borderId="30" applyBorder="1" fontId="3" applyFont="1" fillId="21" applyFill="1" applyAlignment="1">
      <alignment horizontal="left" wrapText="1"/>
    </xf>
    <xf xfId="0" numFmtId="3" applyNumberFormat="1" borderId="156" applyBorder="1" fontId="16" applyFont="1" fillId="7" applyFill="1" applyAlignment="1">
      <alignment horizontal="center" vertical="top" wrapText="1"/>
    </xf>
    <xf xfId="0" numFmtId="3" applyNumberFormat="1" borderId="157" applyBorder="1" fontId="16" applyFont="1" fillId="7" applyFill="1" applyAlignment="1">
      <alignment horizontal="center" wrapText="1"/>
    </xf>
    <xf xfId="0" numFmtId="0" borderId="157" applyBorder="1" fontId="16" applyFont="1" fillId="7" applyFill="1" applyAlignment="1">
      <alignment horizontal="center" wrapText="1"/>
    </xf>
    <xf xfId="0" numFmtId="1" applyNumberFormat="1" borderId="157" applyBorder="1" fontId="16" applyFont="1" fillId="7" applyFill="1" applyAlignment="1">
      <alignment horizontal="center" wrapText="1"/>
    </xf>
    <xf xfId="0" numFmtId="171" applyNumberFormat="1" borderId="157" applyBorder="1" fontId="16" applyFont="1" fillId="7" applyFill="1" applyAlignment="1">
      <alignment horizontal="center" wrapText="1"/>
    </xf>
    <xf xfId="0" numFmtId="166" applyNumberFormat="1" borderId="158" applyBorder="1" fontId="16" applyFont="1" fillId="7" applyFill="1" applyAlignment="1">
      <alignment horizontal="center" wrapText="1"/>
    </xf>
    <xf xfId="0" numFmtId="3" applyNumberFormat="1" borderId="159" applyBorder="1" fontId="16" applyFont="1" fillId="7" applyFill="1" applyAlignment="1">
      <alignment horizontal="center" wrapText="1"/>
    </xf>
    <xf xfId="0" numFmtId="3" applyNumberFormat="1" borderId="29" applyBorder="1" fontId="16" applyFont="1" fillId="7" applyFill="1" applyAlignment="1">
      <alignment horizontal="center" wrapText="1"/>
    </xf>
    <xf xfId="0" numFmtId="0" borderId="29" applyBorder="1" fontId="16" applyFont="1" fillId="7" applyFill="1" applyAlignment="1">
      <alignment horizontal="center" wrapText="1"/>
    </xf>
    <xf xfId="0" numFmtId="1" applyNumberFormat="1" borderId="29" applyBorder="1" fontId="16" applyFont="1" fillId="7" applyFill="1" applyAlignment="1">
      <alignment horizontal="center" wrapText="1"/>
    </xf>
    <xf xfId="0" numFmtId="171" applyNumberFormat="1" borderId="29" applyBorder="1" fontId="16" applyFont="1" fillId="7" applyFill="1" applyAlignment="1">
      <alignment horizontal="center" wrapText="1"/>
    </xf>
    <xf xfId="0" numFmtId="166" applyNumberFormat="1" borderId="160" applyBorder="1" fontId="16" applyFont="1" fillId="7" applyFill="1" applyAlignment="1">
      <alignment horizontal="center" wrapText="1"/>
    </xf>
    <xf xfId="0" numFmtId="3" applyNumberFormat="1" borderId="161" applyBorder="1" fontId="3" applyFont="1" fillId="8" applyFill="1" applyAlignment="1">
      <alignment horizontal="left"/>
    </xf>
    <xf xfId="0" numFmtId="3" applyNumberFormat="1" borderId="6" applyBorder="1" fontId="3" applyFont="1" fillId="27" applyFill="1" applyAlignment="1">
      <alignment horizontal="left" vertical="top" wrapText="1"/>
    </xf>
    <xf xfId="0" numFmtId="0" borderId="7" applyBorder="1" fontId="3" applyFont="1" fillId="27" applyFill="1" applyAlignment="1">
      <alignment horizontal="left" wrapText="1"/>
    </xf>
    <xf xfId="0" numFmtId="1" applyNumberFormat="1" borderId="7" applyBorder="1" fontId="3" applyFont="1" fillId="27" applyFill="1" applyAlignment="1">
      <alignment horizontal="left" wrapText="1"/>
    </xf>
    <xf xfId="0" numFmtId="3" applyNumberFormat="1" borderId="7" applyBorder="1" fontId="3" applyFont="1" fillId="27" applyFill="1" applyAlignment="1">
      <alignment horizontal="left" wrapText="1"/>
    </xf>
    <xf xfId="0" numFmtId="171" applyNumberFormat="1" borderId="7" applyBorder="1" fontId="3" applyFont="1" fillId="27" applyFill="1" applyAlignment="1">
      <alignment horizontal="left" wrapText="1"/>
    </xf>
    <xf xfId="0" numFmtId="166" applyNumberFormat="1" borderId="162" applyBorder="1" fontId="3" applyFont="1" fillId="27" applyFill="1" applyAlignment="1">
      <alignment horizontal="left" wrapText="1"/>
    </xf>
    <xf xfId="0" numFmtId="3" applyNumberFormat="1" borderId="163" applyBorder="1" fontId="15" applyFont="1" fillId="7" applyFill="1" applyAlignment="1">
      <alignment horizontal="center"/>
    </xf>
    <xf xfId="0" numFmtId="3" applyNumberFormat="1" borderId="25" applyBorder="1" fontId="3" applyFont="1" fillId="27" applyFill="1" applyAlignment="1">
      <alignment horizontal="left" wrapText="1"/>
    </xf>
    <xf xfId="0" numFmtId="0" borderId="26" applyBorder="1" fontId="3" applyFont="1" fillId="27" applyFill="1" applyAlignment="1">
      <alignment horizontal="left" wrapText="1"/>
    </xf>
    <xf xfId="0" numFmtId="1" applyNumberFormat="1" borderId="26" applyBorder="1" fontId="3" applyFont="1" fillId="27" applyFill="1" applyAlignment="1">
      <alignment horizontal="left" wrapText="1"/>
    </xf>
    <xf xfId="0" numFmtId="3" applyNumberFormat="1" borderId="26" applyBorder="1" fontId="3" applyFont="1" fillId="27" applyFill="1" applyAlignment="1">
      <alignment horizontal="left" wrapText="1"/>
    </xf>
    <xf xfId="0" numFmtId="171" applyNumberFormat="1" borderId="26" applyBorder="1" fontId="3" applyFont="1" fillId="27" applyFill="1" applyAlignment="1">
      <alignment horizontal="left" wrapText="1"/>
    </xf>
    <xf xfId="0" numFmtId="166" applyNumberFormat="1" borderId="164" applyBorder="1" fontId="3" applyFont="1" fillId="27" applyFill="1" applyAlignment="1">
      <alignment horizontal="left" wrapText="1"/>
    </xf>
    <xf xfId="0" numFmtId="3" applyNumberFormat="1" borderId="165" applyBorder="1" fontId="3" applyFont="1" fillId="5" applyFill="1" applyAlignment="1">
      <alignment horizontal="center"/>
    </xf>
    <xf xfId="0" numFmtId="3" applyNumberFormat="1" borderId="79" applyBorder="1" fontId="3" applyFont="1" fillId="27" applyFill="1" applyAlignment="1">
      <alignment horizontal="left" vertical="top" wrapText="1"/>
    </xf>
    <xf xfId="0" numFmtId="0" borderId="53" applyBorder="1" fontId="3" applyFont="1" fillId="27" applyFill="1" applyAlignment="1">
      <alignment horizontal="left" wrapText="1"/>
    </xf>
    <xf xfId="0" numFmtId="1" applyNumberFormat="1" borderId="53" applyBorder="1" fontId="3" applyFont="1" fillId="27" applyFill="1" applyAlignment="1">
      <alignment horizontal="left" wrapText="1"/>
    </xf>
    <xf xfId="0" numFmtId="3" applyNumberFormat="1" borderId="53" applyBorder="1" fontId="3" applyFont="1" fillId="27" applyFill="1" applyAlignment="1">
      <alignment horizontal="left" wrapText="1"/>
    </xf>
    <xf xfId="0" numFmtId="171" applyNumberFormat="1" borderId="53" applyBorder="1" fontId="3" applyFont="1" fillId="27" applyFill="1" applyAlignment="1">
      <alignment horizontal="left" wrapText="1"/>
    </xf>
    <xf xfId="0" numFmtId="166" applyNumberFormat="1" borderId="166" applyBorder="1" fontId="3" applyFont="1" fillId="27" applyFill="1" applyAlignment="1">
      <alignment horizontal="left" wrapText="1"/>
    </xf>
    <xf xfId="0" numFmtId="3" applyNumberFormat="1" borderId="163" applyBorder="1" fontId="3" applyFont="1" fillId="6" applyFill="1" applyAlignment="1">
      <alignment horizontal="center" wrapText="1"/>
    </xf>
    <xf xfId="0" numFmtId="3" applyNumberFormat="1" borderId="165" applyBorder="1" fontId="3" applyFont="1" fillId="25" applyFill="1" applyAlignment="1">
      <alignment horizontal="left"/>
    </xf>
    <xf xfId="0" numFmtId="165" applyNumberFormat="1" borderId="167" applyBorder="1" fontId="3" applyFont="1" fillId="16" applyFill="1" applyAlignment="1">
      <alignment horizontal="center" wrapText="1"/>
    </xf>
    <xf xfId="0" numFmtId="3" applyNumberFormat="1" borderId="168" applyBorder="1" fontId="3" applyFont="1" fillId="27" applyFill="1" applyAlignment="1">
      <alignment horizontal="left" wrapText="1"/>
    </xf>
    <xf xfId="0" numFmtId="0" borderId="169" applyBorder="1" fontId="3" applyFont="1" fillId="27" applyFill="1" applyAlignment="1">
      <alignment horizontal="left" wrapText="1"/>
    </xf>
    <xf xfId="0" numFmtId="1" applyNumberFormat="1" borderId="169" applyBorder="1" fontId="3" applyFont="1" fillId="27" applyFill="1" applyAlignment="1">
      <alignment horizontal="left" wrapText="1"/>
    </xf>
    <xf xfId="0" numFmtId="3" applyNumberFormat="1" borderId="169" applyBorder="1" fontId="3" applyFont="1" fillId="27" applyFill="1" applyAlignment="1">
      <alignment horizontal="left" wrapText="1"/>
    </xf>
    <xf xfId="0" numFmtId="171" applyNumberFormat="1" borderId="169" applyBorder="1" fontId="3" applyFont="1" fillId="27" applyFill="1" applyAlignment="1">
      <alignment horizontal="left" wrapText="1"/>
    </xf>
    <xf xfId="0" numFmtId="166" applyNumberFormat="1" borderId="170" applyBorder="1" fontId="3" applyFont="1" fillId="27" applyFill="1" applyAlignment="1">
      <alignment horizontal="left" wrapText="1"/>
    </xf>
    <xf xfId="0" numFmtId="3" applyNumberFormat="1" borderId="171" applyBorder="1" fontId="3" applyFont="1" fillId="28" applyFill="1" applyAlignment="1">
      <alignment horizontal="left"/>
    </xf>
    <xf xfId="0" numFmtId="3" applyNumberFormat="1" borderId="172" applyBorder="1" fontId="3" applyFont="1" fillId="27" applyFill="1" applyAlignment="1">
      <alignment horizontal="left" vertical="top" wrapText="1"/>
    </xf>
    <xf xfId="0" numFmtId="0" borderId="157" applyBorder="1" fontId="3" applyFont="1" fillId="27" applyFill="1" applyAlignment="1">
      <alignment horizontal="left" wrapText="1"/>
    </xf>
    <xf xfId="0" numFmtId="1" applyNumberFormat="1" borderId="157" applyBorder="1" fontId="3" applyFont="1" fillId="27" applyFill="1" applyAlignment="1">
      <alignment horizontal="left" wrapText="1"/>
    </xf>
    <xf xfId="0" numFmtId="3" applyNumberFormat="1" borderId="157" applyBorder="1" fontId="3" applyFont="1" fillId="27" applyFill="1" applyAlignment="1">
      <alignment horizontal="left" wrapText="1"/>
    </xf>
    <xf xfId="0" numFmtId="171" applyNumberFormat="1" borderId="157" applyBorder="1" fontId="3" applyFont="1" fillId="27" applyFill="1" applyAlignment="1">
      <alignment horizontal="left" wrapText="1"/>
    </xf>
    <xf xfId="0" numFmtId="166" applyNumberFormat="1" borderId="158" applyBorder="1" fontId="3" applyFont="1" fillId="27" applyFill="1" applyAlignment="1">
      <alignment horizontal="left" wrapText="1"/>
    </xf>
    <xf xfId="0" numFmtId="3" applyNumberFormat="1" borderId="18" applyBorder="1" fontId="3" applyFont="1" fillId="27" applyFill="1" applyAlignment="1">
      <alignment horizontal="left" wrapText="1"/>
    </xf>
    <xf xfId="0" numFmtId="0" borderId="19" applyBorder="1" fontId="3" applyFont="1" fillId="27" applyFill="1" applyAlignment="1">
      <alignment horizontal="left" wrapText="1"/>
    </xf>
    <xf xfId="0" numFmtId="1" applyNumberFormat="1" borderId="19" applyBorder="1" fontId="3" applyFont="1" fillId="27" applyFill="1" applyAlignment="1">
      <alignment horizontal="left" wrapText="1"/>
    </xf>
    <xf xfId="0" numFmtId="3" applyNumberFormat="1" borderId="19" applyBorder="1" fontId="3" applyFont="1" fillId="27" applyFill="1" applyAlignment="1">
      <alignment horizontal="left" wrapText="1"/>
    </xf>
    <xf xfId="0" numFmtId="171" applyNumberFormat="1" borderId="19" applyBorder="1" fontId="3" applyFont="1" fillId="27" applyFill="1" applyAlignment="1">
      <alignment horizontal="left" wrapText="1"/>
    </xf>
    <xf xfId="0" numFmtId="166" applyNumberFormat="1" borderId="173" applyBorder="1" fontId="3" applyFont="1" fillId="27" applyFill="1" applyAlignment="1">
      <alignment horizontal="left" wrapText="1"/>
    </xf>
    <xf xfId="0" numFmtId="3" applyNumberFormat="1" borderId="163" applyBorder="1" fontId="3" applyFont="1" fillId="28" applyFill="1" applyAlignment="1">
      <alignment horizontal="left"/>
    </xf>
    <xf xfId="0" numFmtId="3" applyNumberFormat="1" borderId="165" applyBorder="1" fontId="3" applyFont="1" fillId="29" applyFill="1" applyAlignment="1">
      <alignment horizontal="left"/>
    </xf>
    <xf xfId="0" numFmtId="3" applyNumberFormat="1" borderId="171" applyBorder="1" fontId="3" applyFont="1" fillId="29" applyFill="1" applyAlignment="1">
      <alignment horizontal="left"/>
    </xf>
    <xf xfId="0" numFmtId="3" applyNumberFormat="1" borderId="163" applyBorder="1" fontId="3" applyFont="1" fillId="29" applyFill="1" applyAlignment="1">
      <alignment horizontal="left"/>
    </xf>
    <xf xfId="0" numFmtId="3" applyNumberFormat="1" borderId="174" applyBorder="1" fontId="3" applyFont="1" fillId="30" applyFill="1" applyAlignment="1">
      <alignment horizontal="left"/>
    </xf>
    <xf xfId="0" numFmtId="3" applyNumberFormat="1" borderId="54" applyBorder="1" fontId="3" applyFont="1" fillId="27" applyFill="1" applyAlignment="1">
      <alignment horizontal="left" wrapText="1"/>
    </xf>
    <xf xfId="0" numFmtId="0" borderId="46" applyBorder="1" fontId="3" applyFont="1" fillId="27" applyFill="1" applyAlignment="1">
      <alignment horizontal="left" wrapText="1"/>
    </xf>
    <xf xfId="0" numFmtId="1" applyNumberFormat="1" borderId="46" applyBorder="1" fontId="3" applyFont="1" fillId="27" applyFill="1" applyAlignment="1">
      <alignment horizontal="left" wrapText="1"/>
    </xf>
    <xf xfId="0" numFmtId="3" applyNumberFormat="1" borderId="46" applyBorder="1" fontId="3" applyFont="1" fillId="27" applyFill="1" applyAlignment="1">
      <alignment horizontal="left" wrapText="1"/>
    </xf>
    <xf xfId="0" numFmtId="171" applyNumberFormat="1" borderId="46" applyBorder="1" fontId="3" applyFont="1" fillId="27" applyFill="1" applyAlignment="1">
      <alignment horizontal="left" wrapText="1"/>
    </xf>
    <xf xfId="0" numFmtId="166" applyNumberFormat="1" borderId="175" applyBorder="1" fontId="3" applyFont="1" fillId="27" applyFill="1" applyAlignment="1">
      <alignment horizontal="left" wrapText="1"/>
    </xf>
    <xf xfId="0" numFmtId="3" applyNumberFormat="1" borderId="174" applyBorder="1" fontId="3" applyFont="1" fillId="25" applyFill="1" applyAlignment="1">
      <alignment horizontal="left"/>
    </xf>
    <xf xfId="0" numFmtId="165" applyNumberFormat="1" borderId="174" applyBorder="1" fontId="3" applyFont="1" fillId="16" applyFill="1" applyAlignment="1">
      <alignment horizontal="center" wrapText="1"/>
    </xf>
    <xf xfId="0" numFmtId="3" applyNumberFormat="1" borderId="174" applyBorder="1" fontId="3" applyFont="1" fillId="31" applyFill="1" applyAlignment="1">
      <alignment horizontal="left"/>
    </xf>
    <xf xfId="0" numFmtId="3" applyNumberFormat="1" borderId="174" applyBorder="1" fontId="3" applyFont="1" fillId="5" applyFill="1" applyAlignment="1">
      <alignment horizontal="center"/>
    </xf>
    <xf xfId="0" numFmtId="3" applyNumberFormat="1" borderId="165" applyBorder="1" fontId="3" applyFont="1" fillId="32" applyFill="1" applyAlignment="1">
      <alignment horizontal="left"/>
    </xf>
    <xf xfId="0" numFmtId="3" applyNumberFormat="1" borderId="171" applyBorder="1" fontId="3" applyFont="1" fillId="32" applyFill="1" applyAlignment="1">
      <alignment horizontal="left"/>
    </xf>
    <xf xfId="0" numFmtId="3" applyNumberFormat="1" borderId="165" applyBorder="1" fontId="3" applyFont="1" fillId="33" applyFill="1" applyAlignment="1">
      <alignment horizontal="left" vertical="top"/>
    </xf>
    <xf xfId="0" numFmtId="3" applyNumberFormat="1" borderId="171" applyBorder="1" fontId="3" applyFont="1" fillId="33" applyFill="1" applyAlignment="1">
      <alignment horizontal="left"/>
    </xf>
    <xf xfId="0" numFmtId="3" applyNumberFormat="1" borderId="167" applyBorder="1" fontId="3" applyFont="1" fillId="33" applyFill="1" applyAlignment="1">
      <alignment horizontal="left"/>
    </xf>
    <xf xfId="0" numFmtId="171"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sharedStrings.xml" Type="http://schemas.openxmlformats.org/officeDocument/2006/relationships/sharedStrings" Id="rId7"/><Relationship Target="styles.xml" Type="http://schemas.openxmlformats.org/officeDocument/2006/relationships/styles" Id="rId8"/><Relationship Target="theme/theme1.xml" Type="http://schemas.openxmlformats.org/officeDocument/2006/relationships/theme" Id="rId9"/></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D161"/>
  <sheetViews>
    <sheetView workbookViewId="0">
      <pane state="frozen" activePane="bottomLeft" topLeftCell="A32" ySplit="31" xSplit="0"/>
    </sheetView>
  </sheetViews>
  <sheetFormatPr defaultRowHeight="15" x14ac:dyDescent="0.25"/>
  <cols>
    <col min="1" max="1" style="245" width="0.8621428571428571" customWidth="1" bestFit="1"/>
    <col min="2" max="2" style="216" width="13.005" customWidth="1" bestFit="1" hidden="1"/>
    <col min="3" max="3" style="220" width="13.005" customWidth="1" bestFit="1" hidden="1"/>
    <col min="4" max="4" style="220" width="13.005" customWidth="1" bestFit="1" hidden="1"/>
    <col min="5" max="5" style="222" width="13.005" customWidth="1" bestFit="1" hidden="1"/>
    <col min="6" max="6" style="220" width="13.005" customWidth="1" bestFit="1" hidden="1"/>
    <col min="7" max="7" style="217" width="13.005" customWidth="1" bestFit="1" hidden="1"/>
    <col min="8" max="8" style="218" width="6.005" customWidth="1" bestFit="1"/>
    <col min="9" max="9" style="218" width="8.576428571428572" customWidth="1" bestFit="1"/>
    <col min="10" max="10" style="216" width="5.147857142857143" customWidth="1" bestFit="1"/>
    <col min="11" max="11" style="216" width="7.862142857142857" customWidth="1" bestFit="1"/>
    <col min="12" max="12" style="217" width="7.862142857142857" customWidth="1" bestFit="1"/>
    <col min="13" max="13" style="218" width="7.862142857142857" customWidth="1" bestFit="1"/>
    <col min="14" max="14" style="1001" width="7.862142857142857" customWidth="1" bestFit="1"/>
    <col min="15" max="15" style="221" width="8.147857142857141" customWidth="1" bestFit="1"/>
    <col min="16" max="16" style="222" width="0.5764285714285714" customWidth="1" bestFit="1"/>
    <col min="17" max="17" style="218" width="26.005" customWidth="1" bestFit="1"/>
    <col min="18" max="18" style="218" width="6.862142857142857" customWidth="1" bestFit="1"/>
    <col min="19" max="19" style="218" width="6.576428571428571" customWidth="1" bestFit="1"/>
    <col min="20" max="20" style="217" width="8.576428571428572" customWidth="1" bestFit="1"/>
    <col min="21" max="21" style="218" width="11.005" customWidth="1" bestFit="1"/>
    <col min="22" max="22" style="218" width="11.005" customWidth="1" bestFit="1"/>
    <col min="23" max="23" style="218" width="11.005" customWidth="1" bestFit="1"/>
    <col min="24" max="24" style="218" width="11.005" customWidth="1" bestFit="1"/>
    <col min="25" max="25" style="218" width="11.005" customWidth="1" bestFit="1"/>
    <col min="26" max="26" style="218" width="11.005" customWidth="1" bestFit="1"/>
    <col min="27" max="27" style="217" width="0.7192857142857143" customWidth="1" bestFit="1"/>
    <col min="28" max="28" style="220" width="5.005" customWidth="1" bestFit="1"/>
    <col min="29" max="29" style="220" width="5.005" customWidth="1" bestFit="1"/>
    <col min="30" max="30" style="220" width="5.005" customWidth="1" bestFit="1"/>
    <col min="31" max="31" style="220" width="5.005" customWidth="1" bestFit="1"/>
    <col min="32" max="32" style="220" width="5.005" customWidth="1" bestFit="1"/>
    <col min="33" max="33" style="220" width="5.005" customWidth="1" bestFit="1"/>
    <col min="34" max="34" style="220" width="7.576428571428571" customWidth="1" bestFit="1"/>
    <col min="35" max="35" style="216" width="71.7192857142857" customWidth="1" bestFit="1"/>
    <col min="36" max="36" style="221" width="13.005" customWidth="1" bestFit="1" hidden="1"/>
    <col min="37" max="37" style="218" width="13.005" customWidth="1" bestFit="1" hidden="1"/>
    <col min="38" max="38" style="218" width="13.005" customWidth="1" bestFit="1" hidden="1"/>
    <col min="39" max="39" style="218" width="13.005" customWidth="1" bestFit="1" hidden="1"/>
    <col min="40" max="40" style="218" width="13.005" customWidth="1" bestFit="1" hidden="1"/>
    <col min="41" max="41" style="218" width="13.005" customWidth="1" bestFit="1" hidden="1"/>
    <col min="42" max="42" style="218" width="13.005" customWidth="1" bestFit="1" hidden="1"/>
    <col min="43" max="43" style="218" width="13.005" customWidth="1" bestFit="1" hidden="1"/>
    <col min="44" max="44" style="218" width="13.005" customWidth="1" bestFit="1" hidden="1"/>
    <col min="45" max="45" style="245" width="13.005" customWidth="1" bestFit="1" hidden="1"/>
    <col min="46" max="46" style="245" width="13.005" customWidth="1" bestFit="1" hidden="1"/>
    <col min="47" max="47" style="245" width="13.005" customWidth="1" bestFit="1" hidden="1"/>
    <col min="48" max="48" style="245" width="13.005" customWidth="1" bestFit="1" hidden="1"/>
    <col min="49" max="49" style="216" width="13.005" customWidth="1" bestFit="1" hidden="1"/>
    <col min="50" max="50" style="245" width="13.005" customWidth="1" bestFit="1" hidden="1"/>
    <col min="51" max="51" style="245" width="13.005" customWidth="1" bestFit="1" hidden="1"/>
    <col min="52" max="52" style="216" width="13.005" customWidth="1" bestFit="1" hidden="1"/>
    <col min="53" max="53" style="245" width="9.147857142857141" customWidth="1" bestFit="1"/>
    <col min="54" max="54" style="245" width="9.147857142857141" customWidth="1" bestFit="1"/>
    <col min="55" max="55" style="245" width="9.147857142857141" customWidth="1" bestFit="1"/>
    <col min="56" max="56" style="216" width="9.147857142857141" customWidth="1" bestFit="1"/>
  </cols>
  <sheetData>
    <row x14ac:dyDescent="0.25" r="1" customHeight="1" ht="18" hidden="1">
      <c r="A1" s="227"/>
      <c r="B1" s="1"/>
      <c r="C1" s="5"/>
      <c r="D1" s="593"/>
      <c r="E1" s="594"/>
      <c r="F1" s="595"/>
      <c r="G1" s="596"/>
      <c r="H1" s="293"/>
      <c r="I1" s="293"/>
      <c r="J1" s="597"/>
      <c r="K1" s="597"/>
      <c r="L1" s="215"/>
      <c r="M1" s="293"/>
      <c r="N1" s="598"/>
      <c r="O1" s="599"/>
      <c r="P1" s="600"/>
      <c r="Q1" s="293"/>
      <c r="R1" s="293"/>
      <c r="S1" s="293"/>
      <c r="T1" s="215"/>
      <c r="U1" s="293"/>
      <c r="V1" s="293"/>
      <c r="W1" s="293"/>
      <c r="X1" s="293"/>
      <c r="Y1" s="293"/>
      <c r="Z1" s="293"/>
      <c r="AA1" s="69"/>
      <c r="AB1" s="601"/>
      <c r="AC1" s="601"/>
      <c r="AD1" s="601"/>
      <c r="AE1" s="601"/>
      <c r="AF1" s="601"/>
      <c r="AG1" s="601"/>
      <c r="AH1" s="601"/>
      <c r="AI1" s="597"/>
      <c r="AJ1" s="599"/>
      <c r="AK1" s="293"/>
      <c r="AL1" s="215"/>
      <c r="AM1" s="3"/>
      <c r="AN1" s="3"/>
      <c r="AO1" s="3"/>
      <c r="AP1" s="3"/>
      <c r="AQ1" s="3"/>
      <c r="AR1" s="3"/>
      <c r="AS1" s="227"/>
      <c r="AT1" s="227"/>
      <c r="AU1" s="227"/>
      <c r="AV1" s="227"/>
      <c r="AW1" s="1"/>
      <c r="AX1" s="227"/>
      <c r="AY1" s="227"/>
      <c r="AZ1" s="1"/>
      <c r="BA1" s="227"/>
      <c r="BB1" s="227"/>
      <c r="BC1" s="227"/>
      <c r="BD1" s="1"/>
    </row>
    <row x14ac:dyDescent="0.25" r="2" customHeight="1" ht="18" hidden="1">
      <c r="A2" s="227"/>
      <c r="B2" s="1"/>
      <c r="C2" s="5"/>
      <c r="D2" s="593"/>
      <c r="E2" s="594"/>
      <c r="F2" s="595"/>
      <c r="G2" s="596"/>
      <c r="H2" s="293"/>
      <c r="I2" s="293"/>
      <c r="J2" s="597"/>
      <c r="K2" s="597"/>
      <c r="L2" s="215"/>
      <c r="M2" s="293"/>
      <c r="N2" s="598"/>
      <c r="O2" s="599"/>
      <c r="P2" s="600"/>
      <c r="Q2" s="293"/>
      <c r="R2" s="293"/>
      <c r="S2" s="293"/>
      <c r="T2" s="215"/>
      <c r="U2" s="293"/>
      <c r="V2" s="293"/>
      <c r="W2" s="293"/>
      <c r="X2" s="293"/>
      <c r="Y2" s="293"/>
      <c r="Z2" s="293"/>
      <c r="AA2" s="69"/>
      <c r="AB2" s="601"/>
      <c r="AC2" s="601"/>
      <c r="AD2" s="601"/>
      <c r="AE2" s="601"/>
      <c r="AF2" s="601"/>
      <c r="AG2" s="601"/>
      <c r="AH2" s="601"/>
      <c r="AI2" s="597"/>
      <c r="AJ2" s="599"/>
      <c r="AK2" s="293"/>
      <c r="AL2" s="215"/>
      <c r="AM2" s="3"/>
      <c r="AN2" s="3"/>
      <c r="AO2" s="3"/>
      <c r="AP2" s="3"/>
      <c r="AQ2" s="3"/>
      <c r="AR2" s="3"/>
      <c r="AS2" s="227"/>
      <c r="AT2" s="227"/>
      <c r="AU2" s="227"/>
      <c r="AV2" s="227"/>
      <c r="AW2" s="1"/>
      <c r="AX2" s="227"/>
      <c r="AY2" s="227"/>
      <c r="AZ2" s="1"/>
      <c r="BA2" s="227"/>
      <c r="BB2" s="227"/>
      <c r="BC2" s="227"/>
      <c r="BD2" s="1"/>
    </row>
    <row x14ac:dyDescent="0.25" r="3" customHeight="1" ht="18" hidden="1">
      <c r="A3" s="227"/>
      <c r="B3" s="1"/>
      <c r="C3" s="5"/>
      <c r="D3" s="593"/>
      <c r="E3" s="594"/>
      <c r="F3" s="595"/>
      <c r="G3" s="596"/>
      <c r="H3" s="293"/>
      <c r="I3" s="293"/>
      <c r="J3" s="597"/>
      <c r="K3" s="597"/>
      <c r="L3" s="215"/>
      <c r="M3" s="293"/>
      <c r="N3" s="598"/>
      <c r="O3" s="599"/>
      <c r="P3" s="600"/>
      <c r="Q3" s="293"/>
      <c r="R3" s="293"/>
      <c r="S3" s="293"/>
      <c r="T3" s="215"/>
      <c r="U3" s="293"/>
      <c r="V3" s="293"/>
      <c r="W3" s="293"/>
      <c r="X3" s="293"/>
      <c r="Y3" s="293"/>
      <c r="Z3" s="293"/>
      <c r="AA3" s="69"/>
      <c r="AB3" s="601"/>
      <c r="AC3" s="601"/>
      <c r="AD3" s="601"/>
      <c r="AE3" s="601"/>
      <c r="AF3" s="601"/>
      <c r="AG3" s="601"/>
      <c r="AH3" s="601"/>
      <c r="AI3" s="597"/>
      <c r="AJ3" s="599"/>
      <c r="AK3" s="293"/>
      <c r="AL3" s="215"/>
      <c r="AM3" s="3"/>
      <c r="AN3" s="3"/>
      <c r="AO3" s="3"/>
      <c r="AP3" s="3"/>
      <c r="AQ3" s="3"/>
      <c r="AR3" s="3"/>
      <c r="AS3" s="227"/>
      <c r="AT3" s="227"/>
      <c r="AU3" s="227"/>
      <c r="AV3" s="227"/>
      <c r="AW3" s="1"/>
      <c r="AX3" s="227"/>
      <c r="AY3" s="227"/>
      <c r="AZ3" s="1"/>
      <c r="BA3" s="227"/>
      <c r="BB3" s="227"/>
      <c r="BC3" s="227"/>
      <c r="BD3" s="1"/>
    </row>
    <row x14ac:dyDescent="0.25" r="4" customHeight="1" ht="18" hidden="1">
      <c r="A4" s="227"/>
      <c r="B4" s="1"/>
      <c r="C4" s="5"/>
      <c r="D4" s="593"/>
      <c r="E4" s="594"/>
      <c r="F4" s="595"/>
      <c r="G4" s="596"/>
      <c r="H4" s="293"/>
      <c r="I4" s="293"/>
      <c r="J4" s="597"/>
      <c r="K4" s="597"/>
      <c r="L4" s="215"/>
      <c r="M4" s="293"/>
      <c r="N4" s="598"/>
      <c r="O4" s="599"/>
      <c r="P4" s="600"/>
      <c r="Q4" s="293"/>
      <c r="R4" s="293"/>
      <c r="S4" s="293"/>
      <c r="T4" s="215"/>
      <c r="U4" s="293"/>
      <c r="V4" s="293"/>
      <c r="W4" s="293"/>
      <c r="X4" s="293"/>
      <c r="Y4" s="293"/>
      <c r="Z4" s="293"/>
      <c r="AA4" s="69"/>
      <c r="AB4" s="601"/>
      <c r="AC4" s="601"/>
      <c r="AD4" s="601"/>
      <c r="AE4" s="601"/>
      <c r="AF4" s="601"/>
      <c r="AG4" s="601"/>
      <c r="AH4" s="601"/>
      <c r="AI4" s="597"/>
      <c r="AJ4" s="599"/>
      <c r="AK4" s="293"/>
      <c r="AL4" s="215"/>
      <c r="AM4" s="3"/>
      <c r="AN4" s="3"/>
      <c r="AO4" s="3"/>
      <c r="AP4" s="3"/>
      <c r="AQ4" s="3"/>
      <c r="AR4" s="3"/>
      <c r="AS4" s="227"/>
      <c r="AT4" s="227"/>
      <c r="AU4" s="227"/>
      <c r="AV4" s="227"/>
      <c r="AW4" s="1"/>
      <c r="AX4" s="227"/>
      <c r="AY4" s="227"/>
      <c r="AZ4" s="1"/>
      <c r="BA4" s="227"/>
      <c r="BB4" s="227"/>
      <c r="BC4" s="227"/>
      <c r="BD4" s="1"/>
    </row>
    <row x14ac:dyDescent="0.25" r="5" customHeight="1" ht="18" hidden="1">
      <c r="A5" s="227"/>
      <c r="B5" s="1"/>
      <c r="C5" s="5"/>
      <c r="D5" s="593"/>
      <c r="E5" s="594"/>
      <c r="F5" s="595"/>
      <c r="G5" s="596"/>
      <c r="H5" s="293"/>
      <c r="I5" s="293"/>
      <c r="J5" s="597"/>
      <c r="K5" s="597"/>
      <c r="L5" s="215"/>
      <c r="M5" s="293"/>
      <c r="N5" s="598"/>
      <c r="O5" s="599"/>
      <c r="P5" s="600"/>
      <c r="Q5" s="293"/>
      <c r="R5" s="293"/>
      <c r="S5" s="293"/>
      <c r="T5" s="215"/>
      <c r="U5" s="293"/>
      <c r="V5" s="293"/>
      <c r="W5" s="293"/>
      <c r="X5" s="293"/>
      <c r="Y5" s="293"/>
      <c r="Z5" s="293"/>
      <c r="AA5" s="69"/>
      <c r="AB5" s="601"/>
      <c r="AC5" s="601"/>
      <c r="AD5" s="601"/>
      <c r="AE5" s="601"/>
      <c r="AF5" s="601"/>
      <c r="AG5" s="601"/>
      <c r="AH5" s="601"/>
      <c r="AI5" s="597"/>
      <c r="AJ5" s="599"/>
      <c r="AK5" s="293"/>
      <c r="AL5" s="215"/>
      <c r="AM5" s="3"/>
      <c r="AN5" s="3"/>
      <c r="AO5" s="3"/>
      <c r="AP5" s="3"/>
      <c r="AQ5" s="3"/>
      <c r="AR5" s="3"/>
      <c r="AS5" s="227"/>
      <c r="AT5" s="227"/>
      <c r="AU5" s="227"/>
      <c r="AV5" s="227"/>
      <c r="AW5" s="1"/>
      <c r="AX5" s="227"/>
      <c r="AY5" s="227"/>
      <c r="AZ5" s="1"/>
      <c r="BA5" s="227"/>
      <c r="BB5" s="227"/>
      <c r="BC5" s="227"/>
      <c r="BD5" s="1"/>
    </row>
    <row x14ac:dyDescent="0.25" r="6" customHeight="1" ht="18" hidden="1">
      <c r="A6" s="227"/>
      <c r="B6" s="1"/>
      <c r="C6" s="5"/>
      <c r="D6" s="593"/>
      <c r="E6" s="594"/>
      <c r="F6" s="595"/>
      <c r="G6" s="596"/>
      <c r="H6" s="293"/>
      <c r="I6" s="293"/>
      <c r="J6" s="597"/>
      <c r="K6" s="597"/>
      <c r="L6" s="215"/>
      <c r="M6" s="293"/>
      <c r="N6" s="598"/>
      <c r="O6" s="599"/>
      <c r="P6" s="600"/>
      <c r="Q6" s="293"/>
      <c r="R6" s="293"/>
      <c r="S6" s="293"/>
      <c r="T6" s="215"/>
      <c r="U6" s="293"/>
      <c r="V6" s="293"/>
      <c r="W6" s="293"/>
      <c r="X6" s="293"/>
      <c r="Y6" s="293"/>
      <c r="Z6" s="293"/>
      <c r="AA6" s="69"/>
      <c r="AB6" s="601"/>
      <c r="AC6" s="601"/>
      <c r="AD6" s="601"/>
      <c r="AE6" s="601"/>
      <c r="AF6" s="601"/>
      <c r="AG6" s="601"/>
      <c r="AH6" s="601"/>
      <c r="AI6" s="597"/>
      <c r="AJ6" s="599"/>
      <c r="AK6" s="293"/>
      <c r="AL6" s="215"/>
      <c r="AM6" s="3"/>
      <c r="AN6" s="3"/>
      <c r="AO6" s="3"/>
      <c r="AP6" s="3"/>
      <c r="AQ6" s="3"/>
      <c r="AR6" s="3"/>
      <c r="AS6" s="227"/>
      <c r="AT6" s="227"/>
      <c r="AU6" s="227"/>
      <c r="AV6" s="227"/>
      <c r="AW6" s="1"/>
      <c r="AX6" s="227"/>
      <c r="AY6" s="227"/>
      <c r="AZ6" s="1"/>
      <c r="BA6" s="227"/>
      <c r="BB6" s="227"/>
      <c r="BC6" s="227"/>
      <c r="BD6" s="1"/>
    </row>
    <row x14ac:dyDescent="0.25" r="7" customHeight="1" ht="18" hidden="1">
      <c r="A7" s="227"/>
      <c r="B7" s="1"/>
      <c r="C7" s="5"/>
      <c r="D7" s="593"/>
      <c r="E7" s="594"/>
      <c r="F7" s="595"/>
      <c r="G7" s="596"/>
      <c r="H7" s="293"/>
      <c r="I7" s="293"/>
      <c r="J7" s="597"/>
      <c r="K7" s="597"/>
      <c r="L7" s="215"/>
      <c r="M7" s="293"/>
      <c r="N7" s="598"/>
      <c r="O7" s="599"/>
      <c r="P7" s="600"/>
      <c r="Q7" s="293"/>
      <c r="R7" s="293"/>
      <c r="S7" s="293"/>
      <c r="T7" s="215"/>
      <c r="U7" s="293"/>
      <c r="V7" s="293"/>
      <c r="W7" s="293"/>
      <c r="X7" s="293"/>
      <c r="Y7" s="293"/>
      <c r="Z7" s="293"/>
      <c r="AA7" s="69"/>
      <c r="AB7" s="601"/>
      <c r="AC7" s="601"/>
      <c r="AD7" s="601"/>
      <c r="AE7" s="601"/>
      <c r="AF7" s="601"/>
      <c r="AG7" s="601"/>
      <c r="AH7" s="601"/>
      <c r="AI7" s="597"/>
      <c r="AJ7" s="599"/>
      <c r="AK7" s="293"/>
      <c r="AL7" s="215"/>
      <c r="AM7" s="3"/>
      <c r="AN7" s="3"/>
      <c r="AO7" s="3"/>
      <c r="AP7" s="3"/>
      <c r="AQ7" s="3"/>
      <c r="AR7" s="3"/>
      <c r="AS7" s="227"/>
      <c r="AT7" s="227"/>
      <c r="AU7" s="227"/>
      <c r="AV7" s="227"/>
      <c r="AW7" s="1"/>
      <c r="AX7" s="227"/>
      <c r="AY7" s="227"/>
      <c r="AZ7" s="1"/>
      <c r="BA7" s="227"/>
      <c r="BB7" s="227"/>
      <c r="BC7" s="227"/>
      <c r="BD7" s="1"/>
    </row>
    <row x14ac:dyDescent="0.25" r="8" customHeight="1" ht="18" hidden="1">
      <c r="A8" s="227"/>
      <c r="B8" s="1"/>
      <c r="C8" s="5"/>
      <c r="D8" s="593"/>
      <c r="E8" s="594"/>
      <c r="F8" s="595"/>
      <c r="G8" s="596"/>
      <c r="H8" s="293"/>
      <c r="I8" s="293"/>
      <c r="J8" s="597"/>
      <c r="K8" s="597"/>
      <c r="L8" s="215"/>
      <c r="M8" s="293"/>
      <c r="N8" s="598"/>
      <c r="O8" s="599"/>
      <c r="P8" s="600"/>
      <c r="Q8" s="293"/>
      <c r="R8" s="293"/>
      <c r="S8" s="293"/>
      <c r="T8" s="215"/>
      <c r="U8" s="293"/>
      <c r="V8" s="293"/>
      <c r="W8" s="293"/>
      <c r="X8" s="293"/>
      <c r="Y8" s="293"/>
      <c r="Z8" s="293"/>
      <c r="AA8" s="69"/>
      <c r="AB8" s="601"/>
      <c r="AC8" s="601"/>
      <c r="AD8" s="601"/>
      <c r="AE8" s="601"/>
      <c r="AF8" s="601"/>
      <c r="AG8" s="601"/>
      <c r="AH8" s="601"/>
      <c r="AI8" s="597"/>
      <c r="AJ8" s="599"/>
      <c r="AK8" s="293"/>
      <c r="AL8" s="215"/>
      <c r="AM8" s="3"/>
      <c r="AN8" s="3"/>
      <c r="AO8" s="3"/>
      <c r="AP8" s="3"/>
      <c r="AQ8" s="3"/>
      <c r="AR8" s="3"/>
      <c r="AS8" s="227"/>
      <c r="AT8" s="227"/>
      <c r="AU8" s="227"/>
      <c r="AV8" s="227"/>
      <c r="AW8" s="1"/>
      <c r="AX8" s="227"/>
      <c r="AY8" s="227"/>
      <c r="AZ8" s="1"/>
      <c r="BA8" s="227"/>
      <c r="BB8" s="227"/>
      <c r="BC8" s="227"/>
      <c r="BD8" s="1"/>
    </row>
    <row x14ac:dyDescent="0.25" r="9" customHeight="1" ht="18" hidden="1">
      <c r="A9" s="227"/>
      <c r="B9" s="1"/>
      <c r="C9" s="5"/>
      <c r="D9" s="593"/>
      <c r="E9" s="594"/>
      <c r="F9" s="595"/>
      <c r="G9" s="596"/>
      <c r="H9" s="293"/>
      <c r="I9" s="293"/>
      <c r="J9" s="597"/>
      <c r="K9" s="597"/>
      <c r="L9" s="215"/>
      <c r="M9" s="293"/>
      <c r="N9" s="598"/>
      <c r="O9" s="599"/>
      <c r="P9" s="600"/>
      <c r="Q9" s="293"/>
      <c r="R9" s="293"/>
      <c r="S9" s="293"/>
      <c r="T9" s="215"/>
      <c r="U9" s="293"/>
      <c r="V9" s="293"/>
      <c r="W9" s="293"/>
      <c r="X9" s="293"/>
      <c r="Y9" s="293"/>
      <c r="Z9" s="293"/>
      <c r="AA9" s="69"/>
      <c r="AB9" s="601"/>
      <c r="AC9" s="601"/>
      <c r="AD9" s="601"/>
      <c r="AE9" s="601"/>
      <c r="AF9" s="601"/>
      <c r="AG9" s="601"/>
      <c r="AH9" s="601"/>
      <c r="AI9" s="597"/>
      <c r="AJ9" s="599"/>
      <c r="AK9" s="293"/>
      <c r="AL9" s="215"/>
      <c r="AM9" s="3"/>
      <c r="AN9" s="3"/>
      <c r="AO9" s="3"/>
      <c r="AP9" s="3"/>
      <c r="AQ9" s="3"/>
      <c r="AR9" s="3"/>
      <c r="AS9" s="227"/>
      <c r="AT9" s="227"/>
      <c r="AU9" s="227"/>
      <c r="AV9" s="227"/>
      <c r="AW9" s="1"/>
      <c r="AX9" s="227"/>
      <c r="AY9" s="227"/>
      <c r="AZ9" s="1"/>
      <c r="BA9" s="227"/>
      <c r="BB9" s="227"/>
      <c r="BC9" s="227"/>
      <c r="BD9" s="1"/>
    </row>
    <row x14ac:dyDescent="0.25" r="10" customHeight="1" ht="15">
      <c r="A10" s="227"/>
      <c r="B10" s="1"/>
      <c r="C10" s="5"/>
      <c r="D10" s="593"/>
      <c r="E10" s="594"/>
      <c r="F10" s="601"/>
      <c r="G10" s="596"/>
      <c r="H10" s="12">
        <f>IF(ISTEXT(AK19),AK19,"")</f>
      </c>
      <c r="I10" s="12"/>
      <c r="J10" s="210"/>
      <c r="K10" s="210"/>
      <c r="L10" s="602"/>
      <c r="M10" s="12"/>
      <c r="N10" s="603"/>
      <c r="O10" s="604"/>
      <c r="P10" s="209"/>
      <c r="Q10" s="12"/>
      <c r="R10" s="12"/>
      <c r="S10" s="12"/>
      <c r="T10" s="602"/>
      <c r="U10" s="12"/>
      <c r="V10" s="12"/>
      <c r="W10" s="12"/>
      <c r="X10" s="12"/>
      <c r="Y10" s="12"/>
      <c r="Z10" s="12"/>
      <c r="AA10" s="69"/>
      <c r="AB10" s="5"/>
      <c r="AC10" s="601"/>
      <c r="AD10" s="601"/>
      <c r="AE10" s="601"/>
      <c r="AF10" s="601"/>
      <c r="AG10" s="601"/>
      <c r="AH10" s="601"/>
      <c r="AI10" s="597"/>
      <c r="AJ10" s="599"/>
      <c r="AK10" s="293"/>
      <c r="AL10" s="215"/>
      <c r="AM10" s="3"/>
      <c r="AN10" s="3"/>
      <c r="AO10" s="3"/>
      <c r="AP10" s="3"/>
      <c r="AQ10" s="3"/>
      <c r="AR10" s="3"/>
      <c r="AS10" s="227"/>
      <c r="AT10" s="227"/>
      <c r="AU10" s="227"/>
      <c r="AV10" s="227"/>
      <c r="AW10" s="1"/>
      <c r="AX10" s="227"/>
      <c r="AY10" s="227"/>
      <c r="AZ10" s="1"/>
      <c r="BA10" s="227"/>
      <c r="BB10" s="227"/>
      <c r="BC10" s="227"/>
      <c r="BD10" s="1"/>
    </row>
    <row x14ac:dyDescent="0.25" r="11" customHeight="1" ht="13.5">
      <c r="A11" s="227"/>
      <c r="B11" s="1"/>
      <c r="C11" s="5"/>
      <c r="D11" s="593"/>
      <c r="E11" s="605"/>
      <c r="F11" s="601"/>
      <c r="G11" s="596"/>
      <c r="H11" s="606"/>
      <c r="I11" s="607" t="s">
        <v>309</v>
      </c>
      <c r="J11" s="608"/>
      <c r="K11" s="608"/>
      <c r="L11" s="609"/>
      <c r="M11" s="610"/>
      <c r="N11" s="611"/>
      <c r="O11" s="612"/>
      <c r="P11" s="600"/>
      <c r="Q11" s="613"/>
      <c r="R11" s="614">
        <f>IF(ISTEXT(AL19),"See error message above",Q13&amp;" Translation Plan")</f>
      </c>
      <c r="S11" s="615"/>
      <c r="T11" s="616"/>
      <c r="U11" s="615"/>
      <c r="V11" s="615"/>
      <c r="W11" s="615"/>
      <c r="X11" s="615"/>
      <c r="Y11" s="617" t="s">
        <v>310</v>
      </c>
      <c r="Z11" s="618">
        <v>44144</v>
      </c>
      <c r="AA11" s="2"/>
      <c r="AB11" s="619"/>
      <c r="AC11" s="620"/>
      <c r="AD11" s="620"/>
      <c r="AE11" s="620"/>
      <c r="AF11" s="620"/>
      <c r="AG11" s="620"/>
      <c r="AH11" s="621"/>
      <c r="AI11" s="622"/>
      <c r="AJ11" s="599"/>
      <c r="AK11" s="293"/>
      <c r="AL11" s="215"/>
      <c r="AM11" s="3"/>
      <c r="AN11" s="215"/>
      <c r="AO11" s="3"/>
      <c r="AP11" s="3"/>
      <c r="AQ11" s="3"/>
      <c r="AR11" s="3"/>
      <c r="AS11" s="227"/>
      <c r="AT11" s="227"/>
      <c r="AU11" s="227"/>
      <c r="AV11" s="227"/>
      <c r="AW11" s="1"/>
      <c r="AX11" s="227"/>
      <c r="AY11" s="227"/>
      <c r="AZ11" s="1"/>
      <c r="BA11" s="227"/>
      <c r="BB11" s="227"/>
      <c r="BC11" s="227"/>
      <c r="BD11" s="1"/>
    </row>
    <row x14ac:dyDescent="0.25" r="12" customHeight="1" ht="12.75">
      <c r="A12" s="227"/>
      <c r="B12" s="1"/>
      <c r="C12" s="5"/>
      <c r="D12" s="593"/>
      <c r="E12" s="623"/>
      <c r="F12" s="215"/>
      <c r="G12" s="596"/>
      <c r="H12" s="624"/>
      <c r="I12" s="625"/>
      <c r="J12" s="626"/>
      <c r="K12" s="626"/>
      <c r="L12" s="627"/>
      <c r="M12" s="625"/>
      <c r="N12" s="628"/>
      <c r="O12" s="629"/>
      <c r="P12" s="7"/>
      <c r="Q12" s="630"/>
      <c r="R12" s="631"/>
      <c r="S12" s="631"/>
      <c r="T12" s="632"/>
      <c r="U12" s="631"/>
      <c r="V12" s="631"/>
      <c r="W12" s="631"/>
      <c r="X12" s="631"/>
      <c r="Y12" s="633"/>
      <c r="Z12" s="634"/>
      <c r="AA12" s="215"/>
      <c r="AB12" s="635"/>
      <c r="AC12" s="636"/>
      <c r="AD12" s="636"/>
      <c r="AE12" s="636"/>
      <c r="AF12" s="636"/>
      <c r="AG12" s="636"/>
      <c r="AH12" s="637"/>
      <c r="AI12" s="638"/>
      <c r="AJ12" s="639"/>
      <c r="AK12" s="293"/>
      <c r="AL12" s="215"/>
      <c r="AM12" s="3"/>
      <c r="AN12" s="215"/>
      <c r="AO12" s="3"/>
      <c r="AP12" s="3"/>
      <c r="AQ12" s="3"/>
      <c r="AR12" s="3"/>
      <c r="AS12" s="227"/>
      <c r="AT12" s="227"/>
      <c r="AU12" s="227"/>
      <c r="AV12" s="227"/>
      <c r="AW12" s="1"/>
      <c r="AX12" s="227"/>
      <c r="AY12" s="227"/>
      <c r="AZ12" s="1"/>
      <c r="BA12" s="227"/>
      <c r="BB12" s="227"/>
      <c r="BC12" s="227"/>
      <c r="BD12" s="1"/>
    </row>
    <row x14ac:dyDescent="0.25" r="13" customHeight="1" ht="12.75">
      <c r="A13" s="227"/>
      <c r="B13" s="597"/>
      <c r="C13" s="5"/>
      <c r="D13" s="593"/>
      <c r="E13" s="623"/>
      <c r="F13" s="595"/>
      <c r="G13" s="596">
        <f>YEAR(Z13+92)</f>
      </c>
      <c r="H13" s="640" t="s">
        <v>311</v>
      </c>
      <c r="I13" s="641"/>
      <c r="J13" s="642"/>
      <c r="K13" s="642"/>
      <c r="L13" s="643"/>
      <c r="M13" s="644"/>
      <c r="N13" s="645" t="s">
        <v>212</v>
      </c>
      <c r="O13" s="646"/>
      <c r="P13" s="600"/>
      <c r="Q13" s="647" t="s">
        <v>312</v>
      </c>
      <c r="R13" s="648" t="s">
        <v>191</v>
      </c>
      <c r="S13" s="649"/>
      <c r="T13" s="650"/>
      <c r="U13" s="651" t="s">
        <v>43</v>
      </c>
      <c r="V13" s="652"/>
      <c r="W13" s="653" t="s">
        <v>313</v>
      </c>
      <c r="X13" s="654"/>
      <c r="Y13" s="655"/>
      <c r="Z13" s="656">
        <v>43891</v>
      </c>
      <c r="AA13" s="215"/>
      <c r="AB13" s="635"/>
      <c r="AC13" s="636"/>
      <c r="AD13" s="636"/>
      <c r="AE13" s="636"/>
      <c r="AF13" s="636"/>
      <c r="AG13" s="636"/>
      <c r="AH13" s="637"/>
      <c r="AI13" s="638"/>
      <c r="AJ13" s="599"/>
      <c r="AK13" s="293"/>
      <c r="AL13" s="215"/>
      <c r="AM13" s="3"/>
      <c r="AN13" s="3"/>
      <c r="AO13" s="3"/>
      <c r="AP13" s="3"/>
      <c r="AQ13" s="3"/>
      <c r="AR13" s="3"/>
      <c r="AS13" s="227"/>
      <c r="AT13" s="227"/>
      <c r="AU13" s="227"/>
      <c r="AV13" s="227"/>
      <c r="AW13" s="1"/>
      <c r="AX13" s="227"/>
      <c r="AY13" s="227"/>
      <c r="AZ13" s="1"/>
      <c r="BA13" s="227"/>
      <c r="BB13" s="227"/>
      <c r="BC13" s="227"/>
      <c r="BD13" s="1"/>
    </row>
    <row x14ac:dyDescent="0.25" r="14" customHeight="1" ht="12.75">
      <c r="A14" s="227"/>
      <c r="B14" s="597"/>
      <c r="C14" s="5"/>
      <c r="D14" s="593"/>
      <c r="E14" s="623"/>
      <c r="F14" s="595"/>
      <c r="G14" s="596">
        <f>YEAR(Z14+92)</f>
      </c>
      <c r="H14" s="657"/>
      <c r="I14" s="658"/>
      <c r="J14" s="659"/>
      <c r="K14" s="659"/>
      <c r="L14" s="660"/>
      <c r="M14" s="661"/>
      <c r="N14" s="662"/>
      <c r="O14" s="663"/>
      <c r="P14" s="600"/>
      <c r="Q14" s="664" t="s">
        <v>314</v>
      </c>
      <c r="R14" s="665" t="s">
        <v>192</v>
      </c>
      <c r="S14" s="666"/>
      <c r="T14" s="667"/>
      <c r="U14" s="668" t="s">
        <v>47</v>
      </c>
      <c r="V14" s="669"/>
      <c r="W14" s="670" t="s">
        <v>315</v>
      </c>
      <c r="X14" s="671"/>
      <c r="Y14" s="672"/>
      <c r="Z14" s="656">
        <v>43891</v>
      </c>
      <c r="AA14" s="673"/>
      <c r="AB14" s="674"/>
      <c r="AC14" s="675"/>
      <c r="AD14" s="675"/>
      <c r="AE14" s="675"/>
      <c r="AF14" s="675"/>
      <c r="AG14" s="675"/>
      <c r="AH14" s="676"/>
      <c r="AI14" s="638"/>
      <c r="AJ14" s="599"/>
      <c r="AK14" s="677">
        <f>IF(U14="Genesis","BookList_Genesis",IF(U14="luke","BookList_Luke",IF(U14="nt","BookList_NT",IF(U14="ot","BookList_OT",IF(U14="pioneer series","BookList_PioneerSeries",IF(U14="New Tribes Chron","BookList_NewTribesChron"))))))</f>
      </c>
      <c r="AL14" s="594"/>
      <c r="AM14" s="678"/>
      <c r="AN14" s="215"/>
      <c r="AO14" s="594"/>
      <c r="AP14" s="3"/>
      <c r="AQ14" s="3"/>
      <c r="AR14" s="3"/>
      <c r="AS14" s="227"/>
      <c r="AT14" s="227"/>
      <c r="AU14" s="227"/>
      <c r="AV14" s="227"/>
      <c r="AW14" s="1"/>
      <c r="AX14" s="227"/>
      <c r="AY14" s="227"/>
      <c r="AZ14" s="1"/>
      <c r="BA14" s="227"/>
      <c r="BB14" s="227"/>
      <c r="BC14" s="227"/>
      <c r="BD14" s="1"/>
    </row>
    <row x14ac:dyDescent="0.25" r="15" customHeight="1" ht="12.75">
      <c r="A15" s="227"/>
      <c r="B15" s="1"/>
      <c r="C15" s="5"/>
      <c r="D15" s="593"/>
      <c r="E15" s="623"/>
      <c r="F15" s="595"/>
      <c r="G15" s="596">
        <f>YEAR(AA15+92)</f>
      </c>
      <c r="H15" s="679" t="s">
        <v>23</v>
      </c>
      <c r="I15" s="680" t="s">
        <v>316</v>
      </c>
      <c r="J15" s="681"/>
      <c r="K15" s="682" t="s">
        <v>317</v>
      </c>
      <c r="L15" s="683" t="s">
        <v>318</v>
      </c>
      <c r="M15" s="684" t="s">
        <v>319</v>
      </c>
      <c r="N15" s="685" t="s">
        <v>320</v>
      </c>
      <c r="O15" s="686">
        <f>IF(AK18=1,"Percent of Project","Verse Equivalents")</f>
      </c>
      <c r="P15" s="600"/>
      <c r="Q15" s="687"/>
      <c r="R15" s="688"/>
      <c r="S15" s="688"/>
      <c r="T15" s="689"/>
      <c r="U15" s="688"/>
      <c r="V15" s="690"/>
      <c r="W15" s="670" t="s">
        <v>321</v>
      </c>
      <c r="X15" s="671"/>
      <c r="Y15" s="672"/>
      <c r="Z15" s="691">
        <v>44805</v>
      </c>
      <c r="AA15" s="692">
        <f>EOMONTH(Z15,0)</f>
        <v>25568.791666666668</v>
      </c>
      <c r="AB15" s="693" t="s">
        <v>322</v>
      </c>
      <c r="AC15" s="694"/>
      <c r="AD15" s="694"/>
      <c r="AE15" s="694"/>
      <c r="AF15" s="694"/>
      <c r="AG15" s="694"/>
      <c r="AH15" s="695"/>
      <c r="AI15" s="696" t="s">
        <v>323</v>
      </c>
      <c r="AJ15" s="599"/>
      <c r="AK15" s="293"/>
      <c r="AL15" s="594"/>
      <c r="AM15" s="3"/>
      <c r="AN15" s="3"/>
      <c r="AO15" s="3"/>
      <c r="AP15" s="3"/>
      <c r="AQ15" s="3"/>
      <c r="AR15" s="3"/>
      <c r="AS15" s="227"/>
      <c r="AT15" s="227"/>
      <c r="AU15" s="227"/>
      <c r="AV15" s="227"/>
      <c r="AW15" s="1"/>
      <c r="AX15" s="227"/>
      <c r="AY15" s="227"/>
      <c r="AZ15" s="1"/>
      <c r="BA15" s="227"/>
      <c r="BB15" s="227"/>
      <c r="BC15" s="227"/>
      <c r="BD15" s="597"/>
    </row>
    <row x14ac:dyDescent="0.25" r="16" customHeight="1" ht="12.75">
      <c r="A16" s="227"/>
      <c r="B16" s="1"/>
      <c r="C16" s="5"/>
      <c r="D16" s="593"/>
      <c r="E16" s="697" t="s">
        <v>324</v>
      </c>
      <c r="F16" s="698">
        <f>Z14</f>
      </c>
      <c r="G16" s="699"/>
      <c r="H16" s="700"/>
      <c r="I16" s="701"/>
      <c r="J16" s="702"/>
      <c r="K16" s="703"/>
      <c r="L16" s="704"/>
      <c r="M16" s="705"/>
      <c r="N16" s="706"/>
      <c r="O16" s="707"/>
      <c r="P16" s="209"/>
      <c r="Q16" s="708"/>
      <c r="R16" s="709"/>
      <c r="S16" s="709"/>
      <c r="T16" s="710"/>
      <c r="U16" s="709"/>
      <c r="V16" s="711"/>
      <c r="W16" s="712" t="s">
        <v>325</v>
      </c>
      <c r="X16" s="713"/>
      <c r="Y16" s="714"/>
      <c r="Z16" s="715">
        <v>2021</v>
      </c>
      <c r="AA16" s="69"/>
      <c r="AB16" s="716" t="s">
        <v>326</v>
      </c>
      <c r="AC16" s="717"/>
      <c r="AD16" s="717"/>
      <c r="AE16" s="717"/>
      <c r="AF16" s="717"/>
      <c r="AG16" s="717"/>
      <c r="AH16" s="718"/>
      <c r="AI16" s="719"/>
      <c r="AJ16" s="599"/>
      <c r="AK16" s="293"/>
      <c r="AL16" s="215"/>
      <c r="AM16" s="3"/>
      <c r="AN16" s="3"/>
      <c r="AO16" s="3"/>
      <c r="AP16" s="3"/>
      <c r="AQ16" s="3"/>
      <c r="AR16" s="3"/>
      <c r="AS16" s="227"/>
      <c r="AT16" s="227"/>
      <c r="AU16" s="227"/>
      <c r="AV16" s="227"/>
      <c r="AW16" s="1"/>
      <c r="AX16" s="227"/>
      <c r="AY16" s="227"/>
      <c r="AZ16" s="1"/>
      <c r="BA16" s="227"/>
      <c r="BB16" s="227"/>
      <c r="BC16" s="227"/>
      <c r="BD16" s="1"/>
    </row>
    <row x14ac:dyDescent="0.25" r="17" customHeight="1" ht="12.75">
      <c r="A17" s="227"/>
      <c r="B17" s="1"/>
      <c r="C17" s="5"/>
      <c r="D17" s="593"/>
      <c r="E17" s="594"/>
      <c r="F17" s="720"/>
      <c r="G17" s="721"/>
      <c r="H17" s="700"/>
      <c r="I17" s="701"/>
      <c r="J17" s="702"/>
      <c r="K17" s="703"/>
      <c r="L17" s="704"/>
      <c r="M17" s="705"/>
      <c r="N17" s="706"/>
      <c r="O17" s="722"/>
      <c r="P17" s="602"/>
      <c r="Q17" s="723">
        <f>IF(SUM(U21:Z21)&lt;&gt;1,"The percents in the 6 Stages to the right do not total 100%","Verse Equivalents in Project")</f>
      </c>
      <c r="R17" s="724" t="s">
        <v>327</v>
      </c>
      <c r="S17" s="725" t="s">
        <v>328</v>
      </c>
      <c r="T17" s="726" t="s">
        <v>329</v>
      </c>
      <c r="U17" s="727"/>
      <c r="V17" s="727"/>
      <c r="W17" s="728" t="s">
        <v>330</v>
      </c>
      <c r="X17" s="728"/>
      <c r="Y17" s="727"/>
      <c r="Z17" s="729"/>
      <c r="AA17" s="730"/>
      <c r="AB17" s="731" t="s">
        <v>331</v>
      </c>
      <c r="AC17" s="732" t="s">
        <v>332</v>
      </c>
      <c r="AD17" s="732" t="s">
        <v>333</v>
      </c>
      <c r="AE17" s="732" t="s">
        <v>334</v>
      </c>
      <c r="AF17" s="732" t="s">
        <v>335</v>
      </c>
      <c r="AG17" s="733">
        <f>Z19</f>
      </c>
      <c r="AH17" s="734" t="s">
        <v>336</v>
      </c>
      <c r="AI17" s="735"/>
      <c r="AJ17" s="677"/>
      <c r="AK17" s="293"/>
      <c r="AL17" s="215"/>
      <c r="AM17" s="3"/>
      <c r="AN17" s="3"/>
      <c r="AO17" s="3"/>
      <c r="AP17" s="3"/>
      <c r="AQ17" s="3"/>
      <c r="AR17" s="3"/>
      <c r="AS17" s="227"/>
      <c r="AT17" s="227"/>
      <c r="AU17" s="227"/>
      <c r="AV17" s="227"/>
      <c r="AW17" s="1"/>
      <c r="AX17" s="227"/>
      <c r="AY17" s="227"/>
      <c r="AZ17" s="1"/>
      <c r="BA17" s="227"/>
      <c r="BB17" s="227"/>
      <c r="BC17" s="227"/>
      <c r="BD17" s="1"/>
    </row>
    <row x14ac:dyDescent="0.25" r="18" customHeight="1" ht="13">
      <c r="A18" s="227"/>
      <c r="B18" s="597"/>
      <c r="C18" s="5"/>
      <c r="D18" s="593"/>
      <c r="E18" s="600" t="s">
        <v>337</v>
      </c>
      <c r="F18" s="601" t="s">
        <v>338</v>
      </c>
      <c r="G18" s="215" t="s">
        <v>339</v>
      </c>
      <c r="H18" s="736"/>
      <c r="I18" s="737"/>
      <c r="J18" s="738"/>
      <c r="K18" s="739"/>
      <c r="L18" s="740"/>
      <c r="M18" s="741"/>
      <c r="N18" s="742"/>
      <c r="O18" s="743">
        <f>Calculations!G22</f>
      </c>
      <c r="P18" s="209"/>
      <c r="Q18" s="744"/>
      <c r="R18" s="745"/>
      <c r="S18" s="746"/>
      <c r="T18" s="747"/>
      <c r="U18" s="748" t="s">
        <v>340</v>
      </c>
      <c r="V18" s="749" t="s">
        <v>332</v>
      </c>
      <c r="W18" s="749" t="s">
        <v>333</v>
      </c>
      <c r="X18" s="749" t="s">
        <v>334</v>
      </c>
      <c r="Y18" s="750" t="s">
        <v>335</v>
      </c>
      <c r="Z18" s="751" t="s">
        <v>288</v>
      </c>
      <c r="AA18" s="69"/>
      <c r="AB18" s="752"/>
      <c r="AC18" s="753"/>
      <c r="AD18" s="753"/>
      <c r="AE18" s="753"/>
      <c r="AF18" s="753"/>
      <c r="AG18" s="754"/>
      <c r="AH18" s="755"/>
      <c r="AI18" s="735"/>
      <c r="AJ18" s="756">
        <f>IF(ISNUMBER(I19),SUM((PlanYear&lt;I19)*(PlanYear&gt;0)*PlanPercent),"")</f>
      </c>
      <c r="AK18" s="677">
        <v>2</v>
      </c>
      <c r="AL18" s="215"/>
      <c r="AM18" s="3"/>
      <c r="AN18" s="3"/>
      <c r="AO18" s="3"/>
      <c r="AP18" s="3"/>
      <c r="AQ18" s="3"/>
      <c r="AR18" s="3"/>
      <c r="AS18" s="227"/>
      <c r="AT18" s="227"/>
      <c r="AU18" s="227"/>
      <c r="AV18" s="227"/>
      <c r="AW18" s="1"/>
      <c r="AX18" s="227"/>
      <c r="AY18" s="227"/>
      <c r="AZ18" s="1"/>
      <c r="BA18" s="227"/>
      <c r="BB18" s="227"/>
      <c r="BC18" s="227"/>
      <c r="BD18" s="1"/>
    </row>
    <row x14ac:dyDescent="0.25" r="19" customHeight="1" ht="13">
      <c r="A19" s="227"/>
      <c r="B19" s="597"/>
      <c r="C19" s="595">
        <f>IF(AND(ISNUMBER(Z14),G20&lt;Z14),,E19)</f>
      </c>
      <c r="D19" s="595">
        <f>IF(AND(G19&gt;=$Z$14,G19&lt;=$AA$15-365),M19,0)</f>
      </c>
      <c r="E19" s="595">
        <f>IF(ISNUMBER(I19),SUMIF($U$23:$Z$88,I19,$AB$23:$AG$88)+SUMIF(PlannedOtherYear,I19,PlannedOtherDays),)</f>
      </c>
      <c r="F19" s="595">
        <f>IF(AND(Z$14&gt;1,Z$14&gt;=G20-1),,E19-M19)</f>
      </c>
      <c r="G19" s="594">
        <f>IF(I19="",1,ROUND((I19-1-1900)*365.25+(365.25*0.752),))</f>
      </c>
      <c r="H19" s="757">
        <v>1</v>
      </c>
      <c r="I19" s="758">
        <f>IF(SUM(U21:Z21)=1,Progress!BL26,"")</f>
      </c>
      <c r="J19" s="759"/>
      <c r="K19" s="760"/>
      <c r="L19" s="761">
        <v>20</v>
      </c>
      <c r="M19" s="762">
        <v>180</v>
      </c>
      <c r="N19" s="763">
        <f>IF(ISNUMBER(I19),SUMIF($U$23:$Z$88,I19,$AB$23:$AG$88)+SUMIF(PlannedOtherYear,I19,PlannedOtherDays),)</f>
      </c>
      <c r="O19" s="764">
        <f>IF(OR(ISBLANK(L19),ISBLANK(M19)),"",IF(AND(N19=0,I19&gt;=$G$14),L19*M19*$U$21,IF(I19&lt;$G$14,SUMIFS(ProgVssDoneAllYears,ProgYearDone,I19),IF(MAX($U$23:$Z$88)&gt;=$G$14,SUMIF(PlanYear,I19,PlanPercent)*VE))))</f>
      </c>
      <c r="P19" s="594"/>
      <c r="Q19" s="765">
        <f>IF(SUM(U21:Z21)&lt;&gt;1,SUM(U21:Z21)*100&amp;"%",Calculations!N419)</f>
      </c>
      <c r="R19" s="745"/>
      <c r="S19" s="746"/>
      <c r="T19" s="747"/>
      <c r="U19" s="766"/>
      <c r="V19" s="767"/>
      <c r="W19" s="767"/>
      <c r="X19" s="767"/>
      <c r="Y19" s="768"/>
      <c r="Z19" s="769" t="s">
        <v>341</v>
      </c>
      <c r="AA19" s="69"/>
      <c r="AB19" s="752"/>
      <c r="AC19" s="753"/>
      <c r="AD19" s="753"/>
      <c r="AE19" s="753"/>
      <c r="AF19" s="753"/>
      <c r="AG19" s="754"/>
      <c r="AH19" s="755"/>
      <c r="AI19" s="735"/>
      <c r="AJ19" s="770">
        <f>IF(ISNUMBER(C19),SUMIF(PlanYear,I19,PlanPercent),0)</f>
      </c>
      <c r="AK19" s="677">
        <f>IF(ISERROR(SUM(E$19:F$38)),"Three potential problems: a) fill in the 3 columns of green cells in Columns K-M, b) you might not have # of verses listed in Col T, c) you may have entered years in the 6 Stages past Project End date",)</f>
      </c>
      <c r="AL19" s="594"/>
      <c r="AM19" s="3"/>
      <c r="AN19" s="3"/>
      <c r="AO19" s="3"/>
      <c r="AP19" s="3"/>
      <c r="AQ19" s="3"/>
      <c r="AR19" s="3"/>
      <c r="AS19" s="227"/>
      <c r="AT19" s="227"/>
      <c r="AU19" s="227"/>
      <c r="AV19" s="227"/>
      <c r="AW19" s="1"/>
      <c r="AX19" s="227"/>
      <c r="AY19" s="227"/>
      <c r="AZ19" s="1"/>
      <c r="BA19" s="227"/>
      <c r="BB19" s="227"/>
      <c r="BC19" s="227"/>
      <c r="BD19" s="1"/>
    </row>
    <row x14ac:dyDescent="0.25" r="20" customHeight="1" ht="13">
      <c r="A20" s="227"/>
      <c r="B20" s="597"/>
      <c r="C20" s="595">
        <f>IF(AND(ISNUMBER(Z$14),G20&lt;Z$14,E20&gt;0),E20,IF(AND(ISNUMBER(Z$14),G20&lt;Z$14),,IF(E20+F19&lt;=0,E20,IF(AND(ISNUMBER(L20),ISNUMBER(M20)),IF(AND(Z$14&gt;1,Z$14&gt;=G20+364),,E20+F19),))))</f>
      </c>
      <c r="D20" s="595">
        <f>IF(AND(G20&gt;=$Z$14,G20&lt;=$AA$15-365),M20,0)</f>
      </c>
      <c r="E20" s="595">
        <f>IF(ISNUMBER(I20),SUMIF($U$23:$Z$88,I20,$AB$23:$AG$88)+SUMIF(PlannedOtherYear,I20,PlannedOtherDays),)</f>
      </c>
      <c r="F20" s="595">
        <f>IF(AND(Z$14&gt;1,Z$14&gt;=G21-1),,E20-M20+F19)</f>
      </c>
      <c r="G20" s="594">
        <f>IF(I20="",1,ROUND((I20-1-1900)*365.25+(365.25*0.752),))</f>
      </c>
      <c r="H20" s="757">
        <v>2</v>
      </c>
      <c r="I20" s="771">
        <f>IF(ISNUMBER(I19),(I19+1),"")</f>
      </c>
      <c r="J20" s="772"/>
      <c r="K20" s="760"/>
      <c r="L20" s="761">
        <v>20</v>
      </c>
      <c r="M20" s="762">
        <v>180</v>
      </c>
      <c r="N20" s="763">
        <f>IF(ISNUMBER(I20),SUMIF($U$23:$Z$88,I20,$AB$23:$AG$88)+SUMIF(PlannedOtherYear,I20,PlannedOtherDays),)</f>
      </c>
      <c r="O20" s="773">
        <f>IF(OR(ISBLANK(L20),ISBLANK(M20)),"",IF(AND(N20=0,I20&gt;=$G$14),L20*M20*$U$21,IF(I20&lt;$G$14,SUMIFS(ProgVssDoneAllYears,ProgYearDone,I20),IF(MAX($U$23:$Z$88)&gt;=$G$14,SUMIF(PlanYear,I20,PlanPercent)*VE))))</f>
      </c>
      <c r="P20" s="594"/>
      <c r="Q20" s="774"/>
      <c r="R20" s="745"/>
      <c r="S20" s="746"/>
      <c r="T20" s="747"/>
      <c r="U20" s="775"/>
      <c r="V20" s="776"/>
      <c r="W20" s="776"/>
      <c r="X20" s="776"/>
      <c r="Y20" s="777"/>
      <c r="Z20" s="778"/>
      <c r="AA20" s="69"/>
      <c r="AB20" s="779"/>
      <c r="AC20" s="780"/>
      <c r="AD20" s="780"/>
      <c r="AE20" s="780"/>
      <c r="AF20" s="780"/>
      <c r="AG20" s="781"/>
      <c r="AH20" s="755"/>
      <c r="AI20" s="735"/>
      <c r="AJ20" s="770">
        <f>IF(MAX($U$23:$Z$88)&gt;I19,SUMIF(PlanYear,I20,PlanPercent),0)</f>
      </c>
      <c r="AK20" s="293"/>
      <c r="AL20" s="215"/>
      <c r="AM20" s="3"/>
      <c r="AN20" s="3"/>
      <c r="AO20" s="3"/>
      <c r="AP20" s="3"/>
      <c r="AQ20" s="3"/>
      <c r="AR20" s="3"/>
      <c r="AS20" s="227"/>
      <c r="AT20" s="227"/>
      <c r="AU20" s="227"/>
      <c r="AV20" s="227"/>
      <c r="AW20" s="1"/>
      <c r="AX20" s="227"/>
      <c r="AY20" s="227"/>
      <c r="AZ20" s="1"/>
      <c r="BA20" s="227"/>
      <c r="BB20" s="227"/>
      <c r="BC20" s="227"/>
      <c r="BD20" s="1"/>
    </row>
    <row x14ac:dyDescent="0.25" r="21" customHeight="1" ht="13">
      <c r="A21" s="227"/>
      <c r="B21" s="597"/>
      <c r="C21" s="595">
        <f>IF(AND(ISNUMBER(Z$14),G21&lt;Z$14,E21&gt;0),E21,IF(AND(ISNUMBER(Z$14),G21&lt;Z$14),,IF(E21+F20&lt;=0,E21,IF(AND(ISNUMBER(L21),ISNUMBER(M21)),IF(AND(Z$14&gt;1,Z$14&gt;=G21+364),,E21+F20),))))</f>
      </c>
      <c r="D21" s="595">
        <f>IF(AND(G21&gt;=$Z$14,G21&lt;=$AA$15-365),M21,0)</f>
      </c>
      <c r="E21" s="595">
        <f>IF(ISNUMBER(I21),SUMIF($U$23:$Z$88,I21,$AB$23:$AG$88)+SUMIF(PlannedOtherYear,I21,PlannedOtherDays),)</f>
      </c>
      <c r="F21" s="595">
        <f>IF(AND(Z$14&gt;1,Z$14&gt;=G22-1),,E21-M21+F20)</f>
      </c>
      <c r="G21" s="594">
        <f>IF(I21="",1,ROUND((I21-1-1900)*365.25+(365.25*0.752),))</f>
      </c>
      <c r="H21" s="757">
        <v>3</v>
      </c>
      <c r="I21" s="771">
        <f>IF(ISNUMBER(I20),(I20+1),"")</f>
      </c>
      <c r="J21" s="772"/>
      <c r="K21" s="760"/>
      <c r="L21" s="761">
        <v>20</v>
      </c>
      <c r="M21" s="762">
        <v>180</v>
      </c>
      <c r="N21" s="763">
        <f>IF(ISNUMBER(I21),SUMIF($U$23:$Z$88,I21,$AB$23:$AG$88)+SUMIF(PlannedOtherYear,I21,PlannedOtherDays),)</f>
      </c>
      <c r="O21" s="773">
        <f>IF(OR(ISBLANK(L21),ISBLANK(M21)),"",IF(AND(N21=0,I21&gt;=$G$14),L21*M21*$U$21,IF(I21&lt;$G$14,SUMIFS(ProgVssDoneAllYears,ProgYearDone,I21),IF(MAX($U$23:$Z$88)&gt;=$G$14,SUMIF(PlanYear,I21,PlanPercent)*VE))))</f>
      </c>
      <c r="P21" s="594"/>
      <c r="Q21" s="782"/>
      <c r="R21" s="745"/>
      <c r="S21" s="746"/>
      <c r="T21" s="783"/>
      <c r="U21" s="784">
        <v>0.35</v>
      </c>
      <c r="V21" s="784">
        <v>0.1</v>
      </c>
      <c r="W21" s="784">
        <v>0.25</v>
      </c>
      <c r="X21" s="784">
        <v>0.1</v>
      </c>
      <c r="Y21" s="785">
        <v>0.1</v>
      </c>
      <c r="Z21" s="785">
        <v>0.1</v>
      </c>
      <c r="AA21" s="673"/>
      <c r="AB21" s="786">
        <f>U21</f>
      </c>
      <c r="AC21" s="787">
        <f>V21</f>
      </c>
      <c r="AD21" s="787">
        <f>W21</f>
      </c>
      <c r="AE21" s="787">
        <f>X21</f>
      </c>
      <c r="AF21" s="787">
        <f>Y21</f>
      </c>
      <c r="AG21" s="788">
        <f>Z21</f>
      </c>
      <c r="AH21" s="789"/>
      <c r="AI21" s="735"/>
      <c r="AJ21" s="770">
        <f>IF(MAX($U$23:$Z$88)&gt;I20,SUMIF(PlanYear,I21,PlanPercent),0)</f>
      </c>
      <c r="AK21" s="293"/>
      <c r="AL21" s="215"/>
      <c r="AM21" s="3"/>
      <c r="AN21" s="3"/>
      <c r="AO21" s="3"/>
      <c r="AP21" s="3"/>
      <c r="AQ21" s="3"/>
      <c r="AR21" s="3"/>
      <c r="AS21" s="227"/>
      <c r="AT21" s="227"/>
      <c r="AU21" s="227"/>
      <c r="AV21" s="227"/>
      <c r="AW21" s="1"/>
      <c r="AX21" s="227"/>
      <c r="AY21" s="227"/>
      <c r="AZ21" s="1"/>
      <c r="BA21" s="227"/>
      <c r="BB21" s="227"/>
      <c r="BC21" s="227"/>
      <c r="BD21" s="1"/>
    </row>
    <row x14ac:dyDescent="0.25" r="22" customHeight="1" ht="13">
      <c r="A22" s="227"/>
      <c r="B22" s="597"/>
      <c r="C22" s="595">
        <f>IF(AND(ISNUMBER(Z$14),G22&lt;Z$14,E22&gt;0),E22,IF(AND(ISNUMBER(Z$14),G22&lt;Z$14),,IF(E22+F21&lt;=0,E22,IF(AND(ISNUMBER(L22),ISNUMBER(M22)),IF(AND(Z$14&gt;1,Z$14&gt;=G22+364),,E22+F21),))))</f>
      </c>
      <c r="D22" s="595">
        <f>IF(AND(G22&gt;=$Z$14,G22&lt;=$AA$15-365),M22,0)</f>
      </c>
      <c r="E22" s="595">
        <f>IF(ISNUMBER(I22),SUMIF($U$23:$Z$88,I22,$AB$23:$AG$88)+SUMIF(PlannedOtherYear,I22,PlannedOtherDays),)</f>
      </c>
      <c r="F22" s="595">
        <f>IF(AND(Z$14&gt;1,Z$14&gt;=G23-1),,E22-M22+F21)</f>
      </c>
      <c r="G22" s="594">
        <f>IF(I22="",1,ROUND((I22-1-1900)*365.25+(365.25*0.752),))</f>
      </c>
      <c r="H22" s="757">
        <v>4</v>
      </c>
      <c r="I22" s="771">
        <f>IF(ISNUMBER(I21),(I21+1),"")</f>
      </c>
      <c r="J22" s="772"/>
      <c r="K22" s="760"/>
      <c r="L22" s="761"/>
      <c r="M22" s="762"/>
      <c r="N22" s="763">
        <f>IF(ISNUMBER(I22),SUMIF($U$23:$Z$88,I22,$AB$23:$AG$88)+SUMIF(PlannedOtherYear,I22,PlannedOtherDays),)</f>
      </c>
      <c r="O22" s="773">
        <f>IF(OR(ISBLANK(L22),ISBLANK(M22)),"",IF(AND(N22=0,I22&gt;=$G$14),L22*M22*$U$21,IF(I22&lt;$G$14,SUMIFS(ProgVssDoneAllYears,ProgYearDone,I22),IF(MAX($U$23:$Z$88)&gt;=$G$14,SUMIF(PlanYear,I22,PlanPercent)*VE))))</f>
      </c>
      <c r="P22" s="594"/>
      <c r="Q22" s="790" t="s">
        <v>188</v>
      </c>
      <c r="R22" s="791"/>
      <c r="S22" s="792"/>
      <c r="T22" s="793">
        <f>SUM(T23:T88)</f>
      </c>
      <c r="U22" s="794">
        <f>SUMIF(U23:U88,$Z$16,Calculations!$AF$23:$AF$88)</f>
      </c>
      <c r="V22" s="795">
        <f>SUMIF(V23:V88,$Z$16,Calculations!$AF$23:$AF$88)</f>
      </c>
      <c r="W22" s="795">
        <f>SUMIF(W23:W88,$Z$16,Calculations!$AF$23:$AF$88)</f>
      </c>
      <c r="X22" s="795">
        <f>SUMIF(X23:X88,$Z$16,Calculations!$AF$23:$AF$88)</f>
      </c>
      <c r="Y22" s="795">
        <f>SUMIF(Y23:Y88,$Z$16,Calculations!$AF$23:$AF$88)</f>
      </c>
      <c r="Z22" s="796">
        <f>SUMIF(Z23:Z88,$Z$16,Calculations!$AF$23:$AF$88)</f>
      </c>
      <c r="AA22" s="69"/>
      <c r="AB22" s="797">
        <f>SUMIF(U23:U88,$Z$16,$AB$23:$AB$88)</f>
      </c>
      <c r="AC22" s="798">
        <f>SUMIF(V23:V88,$Z$16,$AC$23:$AC$88)</f>
      </c>
      <c r="AD22" s="798">
        <f>SUMIF(W23:W88,$Z$16,$AD$23:$AD$88)</f>
      </c>
      <c r="AE22" s="798">
        <f>SUMIF(X23:X88,$Z$16,$AE$23:$AE$88)</f>
      </c>
      <c r="AF22" s="798">
        <f>SUMIF(Y23:Y88,$Z$16,$AF$23:$AF$88)</f>
      </c>
      <c r="AG22" s="799">
        <f>SUMIF(Z23:Z88,$Z$16,$AG$23:$AG$88)</f>
      </c>
      <c r="AH22" s="800">
        <f>SUMIF(U23:Z88,$Z$16,$AB$23:$AG$88)+SUMIF(PlannedOtherYear,$Z$16,PlannedOtherDays)</f>
      </c>
      <c r="AI22" s="801"/>
      <c r="AJ22" s="770">
        <f>IF(MAX($U$23:$Z$88)&gt;I21,SUMIF(PlanYear,I22,PlanPercent),0)</f>
      </c>
      <c r="AK22" s="293"/>
      <c r="AL22" s="802" t="s">
        <v>342</v>
      </c>
      <c r="AM22" s="803" t="s">
        <v>343</v>
      </c>
      <c r="AN22" s="804"/>
      <c r="AO22" s="804"/>
      <c r="AP22" s="804"/>
      <c r="AQ22" s="804"/>
      <c r="AR22" s="805"/>
      <c r="AS22" s="227"/>
      <c r="AT22" s="227"/>
      <c r="AU22" s="227"/>
      <c r="AV22" s="227"/>
      <c r="AW22" s="1"/>
      <c r="AX22" s="227"/>
      <c r="AY22" s="227"/>
      <c r="AZ22" s="1"/>
      <c r="BA22" s="227"/>
      <c r="BB22" s="227"/>
      <c r="BC22" s="227"/>
      <c r="BD22" s="1"/>
    </row>
    <row x14ac:dyDescent="0.25" r="23" customHeight="1" ht="13">
      <c r="A23" s="227"/>
      <c r="B23" s="597"/>
      <c r="C23" s="595">
        <f>IF(AND(ISNUMBER(Z$14),G23&lt;Z$14,E23&gt;0),E23,IF(AND(ISNUMBER(Z$14),G23&lt;Z$14),,IF(E23+F22&lt;=0,E23,IF(AND(ISNUMBER(L23),ISNUMBER(M23)),IF(AND(Z$14&gt;1,Z$14&gt;=G23+364),,E23+F22),))))</f>
      </c>
      <c r="D23" s="595">
        <f>IF(AND(G23&gt;=$Z$14,G23&lt;=$AA$15-365),M23,0)</f>
      </c>
      <c r="E23" s="595">
        <f>IF(ISNUMBER(I23),SUMIF($U$23:$Z$88,I23,$AB$23:$AG$88)+SUMIF(PlannedOtherYear,I23,PlannedOtherDays),)</f>
      </c>
      <c r="F23" s="595">
        <f>IF(AND(Z$14&gt;1,Z$14&gt;=G24-1),,E23-M23+F22)</f>
      </c>
      <c r="G23" s="594">
        <f>IF(I23="",1,ROUND((I23-1-1900)*365.25+(365.25*0.752),))</f>
      </c>
      <c r="H23" s="757">
        <v>5</v>
      </c>
      <c r="I23" s="771">
        <f>IF(ISNUMBER(I22),(I22+1),"")</f>
      </c>
      <c r="J23" s="772"/>
      <c r="K23" s="760"/>
      <c r="L23" s="761"/>
      <c r="M23" s="762"/>
      <c r="N23" s="763">
        <f>IF(ISNUMBER(I23),SUMIF($U$23:$Z$88,I23,$AB$23:$AG$88)+SUMIF(PlannedOtherYear,I23,PlannedOtherDays),)</f>
      </c>
      <c r="O23" s="773">
        <f>IF(OR(ISBLANK(L23),ISBLANK(M23)),"",IF(AND(N23=0,I23&gt;=$G$14),L23*M23*$U$21,IF(I23&lt;$G$14,SUMIFS(ProgVssDoneAllYears,ProgYearDone,I23),IF(MAX($U$23:$Z$88)&gt;=$G$14,SUMIF(PlanYear,I23,PlanPercent)*VE))))</f>
      </c>
      <c r="P23" s="594">
        <f>Calculations!AB23</f>
      </c>
      <c r="Q23" s="806" t="s">
        <v>41</v>
      </c>
      <c r="R23" s="99">
        <f>IF(Calculations!AC23=1,"",Calculations!AC23)</f>
      </c>
      <c r="S23" s="99">
        <f>Calculations!AB23</f>
      </c>
      <c r="T23" s="807">
        <v>1533</v>
      </c>
      <c r="U23" s="808">
        <v>2019</v>
      </c>
      <c r="V23" s="808">
        <v>2020</v>
      </c>
      <c r="W23" s="808">
        <v>2020</v>
      </c>
      <c r="X23" s="808">
        <v>2020</v>
      </c>
      <c r="Y23" s="808">
        <v>2021</v>
      </c>
      <c r="Z23" s="808">
        <v>2022</v>
      </c>
      <c r="AA23" s="69"/>
      <c r="AB23" s="809">
        <f>IF(ISTEXT(U23),0,IF(U23&lt;Year1,,IF(U23&lt;IF(AND(MONTH($Z$14)&gt;=10,MONTH($Z$14)&lt;=12),YEAR($Z$14)+1,YEAR($Z$14)),,IF(U23&gt;1,Calculations!$AF23/VLOOKUP(U23,Annual_Inputs,3,FALSE)/$AB$21*AB$21,0))))</f>
      </c>
      <c r="AC23" s="810">
        <f>IF(ISTEXT(V23),0,IF(V23&lt;Year1,,IF(V23&lt;IF(AND(MONTH($Z$14)&gt;=10,MONTH($Z$14)&lt;=12),YEAR($Z$14)+1,YEAR($Z$14)),,IF(V23&gt;1,Calculations!$AF23/VLOOKUP(V23,Annual_Inputs,3,FALSE)/$AB$21*AC$21,0))))</f>
      </c>
      <c r="AD23" s="810">
        <f>IF(ISTEXT(W23),0,IF(W23&lt;Year1,,IF(W23&lt;IF(AND(MONTH($Z$14)&gt;=10,MONTH($Z$14)&lt;=12),YEAR($Z$14)+1,YEAR($Z$14)),,IF(W23&gt;1,Calculations!$AF23/VLOOKUP(W23,Annual_Inputs,3,FALSE)/$AB$21*AD$21,0))))</f>
      </c>
      <c r="AE23" s="810">
        <f>IF(ISTEXT(X23),0,IF(X23&lt;Year1,,IF(X23&lt;IF(AND(MONTH($Z$14)&gt;=10,MONTH($Z$14)&lt;=12),YEAR($Z$14)+1,YEAR($Z$14)),,IF(X23&gt;1,Calculations!$AF23/VLOOKUP(X23,Annual_Inputs,3,FALSE)/$AB$21*AE$21,0))))</f>
      </c>
      <c r="AF23" s="810">
        <f>IF(ISTEXT(Y23),0,IF(Y23&lt;Year1,,IF(Y23&lt;IF(AND(MONTH($Z$14)&gt;=10,MONTH($Z$14)&lt;=12),YEAR($Z$14)+1,YEAR($Z$14)),,IF(Y23&gt;1,Calculations!$AF23/VLOOKUP(Y23,Annual_Inputs,3,FALSE)/$AB$21*AF$21,0))))</f>
      </c>
      <c r="AG23" s="811">
        <f>IF(ISTEXT(Z23),0,IF(Z23&lt;Year1,,IF(Z23&lt;IF(AND(MONTH($Z$14)&gt;=10,MONTH($Z$14)&lt;=12),YEAR($Z$14)+1,YEAR($Z$14)),,IF(Z23&gt;1,Calculations!$AF23/VLOOKUP(Z23,Annual_Inputs,3,FALSE)/$AB$21*AG$21,0))))</f>
      </c>
      <c r="AH23" s="812">
        <f>SUM(AB23:AG23)</f>
      </c>
      <c r="AI23" s="813"/>
      <c r="AJ23" s="770">
        <f>IF(MAX($U$23:$Z$88)&gt;I22,SUMIF(PlanYear,I23,PlanPercent),0)</f>
      </c>
      <c r="AK23" s="12">
        <v>23</v>
      </c>
      <c r="AL23" s="814">
        <v>3</v>
      </c>
      <c r="AM23" s="815">
        <f>IF($I19="",0,SUMIF(U$23:U$88,$I19,Calculations!$AF$23:$AF$88))</f>
      </c>
      <c r="AN23" s="815">
        <f>IF($I19="",0,SUMIF(V$23:V$88,$I19,Calculations!$AF$23:$AF$88))</f>
      </c>
      <c r="AO23" s="815">
        <f>IF($I19="",0,SUMIF(W$23:W$88,$I19,Calculations!$AF$23:$AF$88))</f>
      </c>
      <c r="AP23" s="815">
        <f>IF($I19="",0,SUMIF(X$23:X$88,$I19,Calculations!$AF$23:$AF$88))</f>
      </c>
      <c r="AQ23" s="815">
        <f>IF($I19="",0,SUMIF(Y$23:Y$88,$I19,Calculations!$AF$23:$AF$88))</f>
      </c>
      <c r="AR23" s="815">
        <f>IF($I19="",0,SUMIF(Z$23:Z$88,$I19,Calculations!$AF$23:$AF$88))</f>
      </c>
      <c r="AS23" s="227"/>
      <c r="AT23" s="227"/>
      <c r="AU23" s="227"/>
      <c r="AV23" s="227"/>
      <c r="AW23" s="1"/>
      <c r="AX23" s="227"/>
      <c r="AY23" s="227"/>
      <c r="AZ23" s="1"/>
      <c r="BA23" s="227"/>
      <c r="BB23" s="227"/>
      <c r="BC23" s="227"/>
      <c r="BD23" s="597"/>
    </row>
    <row x14ac:dyDescent="0.25" r="24" customHeight="1" ht="13">
      <c r="A24" s="227"/>
      <c r="B24" s="597"/>
      <c r="C24" s="595">
        <f>IF(AND(ISNUMBER(Z$14),G24&lt;Z$14,E24&gt;0),E24,IF(AND(ISNUMBER(Z$14),G24&lt;Z$14),,IF(E24+F23&lt;=0,E24,IF(AND(ISNUMBER(L24),ISNUMBER(M24)),IF(AND(Z$14&gt;1,Z$14&gt;=G24+364),,E24+F23),))))</f>
      </c>
      <c r="D24" s="595">
        <f>IF(AND(G24&gt;=$Z$14,G24&lt;=$AA$15-365),M24,0)</f>
      </c>
      <c r="E24" s="595">
        <f>IF(ISNUMBER(I24),SUMIF($U$23:$Z$88,I24,$AB$23:$AG$88)+SUMIF(PlannedOtherYear,I24,PlannedOtherDays),)</f>
      </c>
      <c r="F24" s="595">
        <f>IF(AND(Z$14&gt;1,Z$14&gt;=G25-1),,E24-M24+F23)</f>
      </c>
      <c r="G24" s="594">
        <f>IF(I24="",1,ROUND((I24-1-1900)*365.25+(365.25*0.752),))</f>
      </c>
      <c r="H24" s="757">
        <v>6</v>
      </c>
      <c r="I24" s="771">
        <f>IF(ISNUMBER(I23),(I23+1),"")</f>
      </c>
      <c r="J24" s="772"/>
      <c r="K24" s="760"/>
      <c r="L24" s="761"/>
      <c r="M24" s="762"/>
      <c r="N24" s="763">
        <f>IF(ISNUMBER(I24),SUMIF($U$23:$Z$88,I24,$AB$23:$AG$88)+SUMIF(PlannedOtherYear,I24,PlannedOtherDays),)</f>
      </c>
      <c r="O24" s="773">
        <f>IF(OR(ISBLANK(L24),ISBLANK(M24)),"",IF(AND(N24=0,I24&gt;=$G$14),L24*M24*$U$21,IF(I24&lt;$G$14,SUMIFS(ProgVssDoneAllYears,ProgYearDone,I24),IF(MAX($U$23:$Z$88)&gt;=$G$14,SUMIF(PlanYear,I24,PlanPercent)*VE))))</f>
      </c>
      <c r="P24" s="594"/>
      <c r="Q24" s="806" t="s">
        <v>44</v>
      </c>
      <c r="R24" s="99">
        <f>IF(Calculations!AC24=1,"",Calculations!AC24)</f>
      </c>
      <c r="S24" s="99">
        <f>Calculations!AB24</f>
      </c>
      <c r="T24" s="807">
        <v>1213</v>
      </c>
      <c r="U24" s="808">
        <v>2019</v>
      </c>
      <c r="V24" s="808">
        <v>2020</v>
      </c>
      <c r="W24" s="808">
        <v>2020</v>
      </c>
      <c r="X24" s="808">
        <v>2021</v>
      </c>
      <c r="Y24" s="808">
        <v>2021</v>
      </c>
      <c r="Z24" s="808">
        <v>2022</v>
      </c>
      <c r="AA24" s="69"/>
      <c r="AB24" s="816">
        <f>IF(ISTEXT(U24),0,IF(U24&lt;Year1,,IF(U24&lt;IF(AND(MONTH($Z$14)&gt;=10,MONTH($Z$14)&lt;=12),YEAR($Z$14)+1,YEAR($Z$14)),,IF(U24&gt;1,Calculations!$AF24/VLOOKUP(U24,Annual_Inputs,3,FALSE)/$AB$21*AB$21,0))))</f>
      </c>
      <c r="AC24" s="817">
        <f>IF(ISTEXT(V24),0,IF(V24&lt;Year1,,IF(V24&lt;IF(AND(MONTH($Z$14)&gt;=10,MONTH($Z$14)&lt;=12),YEAR($Z$14)+1,YEAR($Z$14)),,IF(V24&gt;1,Calculations!$AF24/VLOOKUP(V24,Annual_Inputs,3,FALSE)/$AB$21*AC$21,0))))</f>
      </c>
      <c r="AD24" s="817">
        <f>IF(ISTEXT(W24),0,IF(W24&lt;Year1,,IF(W24&lt;IF(AND(MONTH($Z$14)&gt;=10,MONTH($Z$14)&lt;=12),YEAR($Z$14)+1,YEAR($Z$14)),,IF(W24&gt;1,Calculations!$AF24/VLOOKUP(W24,Annual_Inputs,3,FALSE)/$AB$21*AD$21,0))))</f>
      </c>
      <c r="AE24" s="817">
        <f>IF(ISTEXT(X24),0,IF(X24&lt;Year1,,IF(X24&lt;IF(AND(MONTH($Z$14)&gt;=10,MONTH($Z$14)&lt;=12),YEAR($Z$14)+1,YEAR($Z$14)),,IF(X24&gt;1,Calculations!$AF24/VLOOKUP(X24,Annual_Inputs,3,FALSE)/$AB$21*AE$21,0))))</f>
      </c>
      <c r="AF24" s="817">
        <f>IF(ISTEXT(Y24),0,IF(Y24&lt;Year1,,IF(Y24&lt;IF(AND(MONTH($Z$14)&gt;=10,MONTH($Z$14)&lt;=12),YEAR($Z$14)+1,YEAR($Z$14)),,IF(Y24&gt;1,Calculations!$AF24/VLOOKUP(Y24,Annual_Inputs,3,FALSE)/$AB$21*AF$21,0))))</f>
      </c>
      <c r="AG24" s="818">
        <f>IF(ISTEXT(Z24),0,IF(Z24&lt;Year1,,IF(Z24&lt;IF(AND(MONTH($Z$14)&gt;=10,MONTH($Z$14)&lt;=12),YEAR($Z$14)+1,YEAR($Z$14)),,IF(Z24&gt;1,Calculations!$AF24/VLOOKUP(Z24,Annual_Inputs,3,FALSE)/$AB$21*AG$21,0))))</f>
      </c>
      <c r="AH24" s="812">
        <f>SUM(AB24:AG24)</f>
      </c>
      <c r="AI24" s="819"/>
      <c r="AJ24" s="770">
        <f>IF(MAX($U$23:$Z$88)&gt;I23,SUMIF(PlanYear,I24,PlanPercent),0)</f>
      </c>
      <c r="AK24" s="12">
        <v>89</v>
      </c>
      <c r="AL24" s="820">
        <v>2</v>
      </c>
      <c r="AM24" s="815">
        <f>IF($I20="",0,SUMIF(U$23:U$88,$I20,Calculations!$AF$23:$AF$88))</f>
      </c>
      <c r="AN24" s="815">
        <f>IF($I20="",0,SUMIF(V$23:V$88,$I20,Calculations!$AF$23:$AF$88))</f>
      </c>
      <c r="AO24" s="815">
        <f>IF($I20="",0,SUMIF(W$23:W$88,$I20,Calculations!$AF$23:$AF$88))</f>
      </c>
      <c r="AP24" s="815">
        <f>IF($I20="",0,SUMIF(X$23:X$88,$I20,Calculations!$AF$23:$AF$88))</f>
      </c>
      <c r="AQ24" s="815">
        <f>IF($I20="",0,SUMIF(Y$23:Y$88,$I20,Calculations!$AF$23:$AF$88))</f>
      </c>
      <c r="AR24" s="815">
        <f>IF($I20="",0,SUMIF(Z$23:Z$88,$I20,Calculations!$AF$23:$AF$88))</f>
      </c>
      <c r="AS24" s="227"/>
      <c r="AT24" s="227"/>
      <c r="AU24" s="227"/>
      <c r="AV24" s="227"/>
      <c r="AW24" s="1"/>
      <c r="AX24" s="227"/>
      <c r="AY24" s="227"/>
      <c r="AZ24" s="1"/>
      <c r="BA24" s="227"/>
      <c r="BB24" s="227"/>
      <c r="BC24" s="227"/>
      <c r="BD24" s="1"/>
    </row>
    <row x14ac:dyDescent="0.25" r="25" customHeight="1" ht="13">
      <c r="A25" s="227"/>
      <c r="B25" s="597"/>
      <c r="C25" s="595">
        <f>IF(AND(ISNUMBER(Z$14),G25&lt;Z$14,E25&gt;0),E25,IF(AND(ISNUMBER(Z$14),G25&lt;Z$14),,IF(E25+F24&lt;=0,E25,IF(AND(ISNUMBER(L25),ISNUMBER(M25)),IF(AND(Z$14&gt;1,Z$14&gt;=G25+364),,E25+F24),))))</f>
      </c>
      <c r="D25" s="595">
        <f>IF(AND(G25&gt;=$Z$14,G25&lt;=$AA$15-365),M25,0)</f>
      </c>
      <c r="E25" s="595">
        <f>IF(ISNUMBER(I25),SUMIF($U$23:$Z$88,I25,$AB$23:$AG$88)+SUMIF(PlannedOtherYear,I25,PlannedOtherDays),)</f>
      </c>
      <c r="F25" s="595">
        <f>IF(AND(Z$14&gt;1,Z$14&gt;=G26-1),,E25-M25+F24)</f>
      </c>
      <c r="G25" s="594">
        <f>IF(I25="",1,ROUND((I25-1-1900)*365.25+(365.25*0.752),))</f>
      </c>
      <c r="H25" s="757">
        <v>7</v>
      </c>
      <c r="I25" s="771">
        <f>IF(ISNUMBER(I24),(I24+1),"")</f>
      </c>
      <c r="J25" s="772"/>
      <c r="K25" s="760"/>
      <c r="L25" s="761"/>
      <c r="M25" s="762"/>
      <c r="N25" s="763">
        <f>IF(ISNUMBER(I25),SUMIF($U$23:$Z$88,I25,$AB$23:$AG$88)+SUMIF(PlannedOtherYear,I25,PlannedOtherDays),)</f>
      </c>
      <c r="O25" s="773">
        <f>IF(OR(ISBLANK(L25),ISBLANK(M25)),"",IF(AND(N25=0,I25&gt;=$G$14),L25*M25*$U$21,IF(I25&lt;$G$14,SUMIFS(ProgVssDoneAllYears,ProgYearDone,I25),IF(MAX($U$23:$Z$88)&gt;=$G$14,SUMIF(PlanYear,I25,PlanPercent)*VE))))</f>
      </c>
      <c r="P25" s="594"/>
      <c r="Q25" s="806" t="s">
        <v>50</v>
      </c>
      <c r="R25" s="99">
        <f>IF(Calculations!AC25=1,"",Calculations!AC25)</f>
      </c>
      <c r="S25" s="99">
        <f>Calculations!AB25</f>
      </c>
      <c r="T25" s="807">
        <v>450</v>
      </c>
      <c r="U25" s="808">
        <v>2020</v>
      </c>
      <c r="V25" s="808">
        <v>2021</v>
      </c>
      <c r="W25" s="808">
        <v>2021</v>
      </c>
      <c r="X25" s="808">
        <v>2021</v>
      </c>
      <c r="Y25" s="808">
        <v>2022</v>
      </c>
      <c r="Z25" s="808">
        <v>2022</v>
      </c>
      <c r="AA25" s="69"/>
      <c r="AB25" s="816">
        <f>IF(ISTEXT(U25),0,IF(U25&lt;Year1,,IF(U25&lt;IF(AND(MONTH($Z$14)&gt;=10,MONTH($Z$14)&lt;=12),YEAR($Z$14)+1,YEAR($Z$14)),,IF(U25&gt;1,Calculations!$AF25/VLOOKUP(U25,Annual_Inputs,3,FALSE)/$AB$21*AB$21,0))))</f>
      </c>
      <c r="AC25" s="817">
        <f>IF(ISTEXT(V25),0,IF(V25&lt;Year1,,IF(V25&lt;IF(AND(MONTH($Z$14)&gt;=10,MONTH($Z$14)&lt;=12),YEAR($Z$14)+1,YEAR($Z$14)),,IF(V25&gt;1,Calculations!$AF25/VLOOKUP(V25,Annual_Inputs,3,FALSE)/$AB$21*AC$21,0))))</f>
      </c>
      <c r="AD25" s="817">
        <f>IF(ISTEXT(W25),0,IF(W25&lt;Year1,,IF(W25&lt;IF(AND(MONTH($Z$14)&gt;=10,MONTH($Z$14)&lt;=12),YEAR($Z$14)+1,YEAR($Z$14)),,IF(W25&gt;1,Calculations!$AF25/VLOOKUP(W25,Annual_Inputs,3,FALSE)/$AB$21*AD$21,0))))</f>
      </c>
      <c r="AE25" s="817">
        <f>IF(ISTEXT(X25),0,IF(X25&lt;Year1,,IF(X25&lt;IF(AND(MONTH($Z$14)&gt;=10,MONTH($Z$14)&lt;=12),YEAR($Z$14)+1,YEAR($Z$14)),,IF(X25&gt;1,Calculations!$AF25/VLOOKUP(X25,Annual_Inputs,3,FALSE)/$AB$21*AE$21,0))))</f>
      </c>
      <c r="AF25" s="817">
        <f>IF(ISTEXT(Y25),0,IF(Y25&lt;Year1,,IF(Y25&lt;IF(AND(MONTH($Z$14)&gt;=10,MONTH($Z$14)&lt;=12),YEAR($Z$14)+1,YEAR($Z$14)),,IF(Y25&gt;1,Calculations!$AF25/VLOOKUP(Y25,Annual_Inputs,3,FALSE)/$AB$21*AF$21,0))))</f>
      </c>
      <c r="AG25" s="818">
        <f>IF(ISTEXT(Z25),0,IF(Z25&lt;Year1,,IF(Z25&lt;IF(AND(MONTH($Z$14)&gt;=10,MONTH($Z$14)&lt;=12),YEAR($Z$14)+1,YEAR($Z$14)),,IF(Z25&gt;1,Calculations!$AF25/VLOOKUP(Z25,Annual_Inputs,3,FALSE)/$AB$21*AG$21,0))))</f>
      </c>
      <c r="AH25" s="812">
        <f>SUM(AB25:AG25)</f>
      </c>
      <c r="AI25" s="819"/>
      <c r="AJ25" s="770">
        <f>IF(MAX($U$23:$Z$88)&gt;I24,SUMIF(PlanYear,I25,PlanPercent),0)</f>
      </c>
      <c r="AK25" s="12">
        <v>155</v>
      </c>
      <c r="AL25" s="730"/>
      <c r="AM25" s="815">
        <f>IF($I21="",0,SUMIF(U$23:U$88,$I21,Calculations!$AF$23:$AF$88))</f>
      </c>
      <c r="AN25" s="815">
        <f>IF($I21="",0,SUMIF(V$23:V$88,$I21,Calculations!$AF$23:$AF$88))</f>
      </c>
      <c r="AO25" s="815">
        <f>IF($I21="",0,SUMIF(W$23:W$88,$I21,Calculations!$AF$23:$AF$88))</f>
      </c>
      <c r="AP25" s="815">
        <f>IF($I21="",0,SUMIF(X$23:X$88,$I21,Calculations!$AF$23:$AF$88))</f>
      </c>
      <c r="AQ25" s="815">
        <f>IF($I21="",0,SUMIF(Y$23:Y$88,$I21,Calculations!$AF$23:$AF$88))</f>
      </c>
      <c r="AR25" s="815">
        <f>IF($I21="",0,SUMIF(Z$23:Z$88,$I21,Calculations!$AF$23:$AF$88))</f>
      </c>
      <c r="AS25" s="227"/>
      <c r="AT25" s="227"/>
      <c r="AU25" s="227"/>
      <c r="AV25" s="227"/>
      <c r="AW25" s="1"/>
      <c r="AX25" s="227"/>
      <c r="AY25" s="227"/>
      <c r="AZ25" s="1"/>
      <c r="BA25" s="227"/>
      <c r="BB25" s="227"/>
      <c r="BC25" s="227"/>
      <c r="BD25" s="1"/>
    </row>
    <row x14ac:dyDescent="0.25" r="26" customHeight="1" ht="13">
      <c r="A26" s="227"/>
      <c r="B26" s="597"/>
      <c r="C26" s="595">
        <f>IF(AND(ISNUMBER(Z$14),G26&lt;Z$14,E26&gt;0),E26,IF(AND(ISNUMBER(Z$14),G26&lt;Z$14),,IF(E26+F25&lt;=0,E26,IF(AND(ISNUMBER(L26),ISNUMBER(M26)),IF(AND(Z$14&gt;1,Z$14&gt;=G26+364),,E26+F25),))))</f>
      </c>
      <c r="D26" s="595">
        <f>IF(AND(G26&gt;=$Z$14,G26&lt;=$AA$15-365),M26,0)</f>
      </c>
      <c r="E26" s="595">
        <f>IF(ISNUMBER(I26),SUMIF($U$23:$Z$88,I26,$AB$23:$AG$88)+SUMIF(PlannedOtherYear,I26,PlannedOtherDays),)</f>
      </c>
      <c r="F26" s="595">
        <f>IF(AND(Z$14&gt;1,Z$14&gt;=G27-1),,E26-M26+F25)</f>
      </c>
      <c r="G26" s="594">
        <f>IF(I26="",1,ROUND((I26-1-1900)*365.25+(365.25*0.752),))</f>
      </c>
      <c r="H26" s="757">
        <v>8</v>
      </c>
      <c r="I26" s="771">
        <f>IF(ISNUMBER(I25),(I25+1),"")</f>
      </c>
      <c r="J26" s="772"/>
      <c r="K26" s="760"/>
      <c r="L26" s="761"/>
      <c r="M26" s="762"/>
      <c r="N26" s="763">
        <f>IF(ISNUMBER(I26),SUMIF($U$23:$Z$88,I26,$AB$23:$AG$88)+SUMIF(PlannedOtherYear,I26,PlannedOtherDays),)</f>
      </c>
      <c r="O26" s="773">
        <f>IF(OR(ISBLANK(L26),ISBLANK(M26)),"",IF(AND(N26=0,I26&gt;=$G$14),L26*M26*$U$21,IF(I26&lt;$G$14,SUMIFS(ProgVssDoneAllYears,ProgYearDone,I26),IF(MAX($U$23:$Z$88)&gt;=$G$14,SUMIF(PlanYear,I26,PlanPercent)*VE))))</f>
      </c>
      <c r="P26" s="594"/>
      <c r="Q26" s="806" t="s">
        <v>56</v>
      </c>
      <c r="R26" s="99">
        <f>IF(Calculations!AC26=1,"",Calculations!AC26)</f>
      </c>
      <c r="S26" s="99">
        <f>Calculations!AB26</f>
      </c>
      <c r="T26" s="807">
        <v>588</v>
      </c>
      <c r="U26" s="808">
        <v>2021</v>
      </c>
      <c r="V26" s="808">
        <v>2021</v>
      </c>
      <c r="W26" s="808">
        <v>2022</v>
      </c>
      <c r="X26" s="808">
        <v>2022</v>
      </c>
      <c r="Y26" s="808">
        <v>2022</v>
      </c>
      <c r="Z26" s="808">
        <v>2022</v>
      </c>
      <c r="AA26" s="69"/>
      <c r="AB26" s="816">
        <f>IF(ISTEXT(U26),0,IF(U26&lt;Year1,,IF(U26&lt;IF(AND(MONTH($Z$14)&gt;=10,MONTH($Z$14)&lt;=12),YEAR($Z$14)+1,YEAR($Z$14)),,IF(U26&gt;1,Calculations!$AF26/VLOOKUP(U26,Annual_Inputs,3,FALSE)/$AB$21*AB$21,0))))</f>
      </c>
      <c r="AC26" s="817">
        <f>IF(ISTEXT(V26),0,IF(V26&lt;Year1,,IF(V26&lt;IF(AND(MONTH($Z$14)&gt;=10,MONTH($Z$14)&lt;=12),YEAR($Z$14)+1,YEAR($Z$14)),,IF(V26&gt;1,Calculations!$AF26/VLOOKUP(V26,Annual_Inputs,3,FALSE)/$AB$21*AC$21,0))))</f>
      </c>
      <c r="AD26" s="817">
        <f>IF(ISTEXT(W26),0,IF(W26&lt;Year1,,IF(W26&lt;IF(AND(MONTH($Z$14)&gt;=10,MONTH($Z$14)&lt;=12),YEAR($Z$14)+1,YEAR($Z$14)),,IF(W26&gt;1,Calculations!$AF26/VLOOKUP(W26,Annual_Inputs,3,FALSE)/$AB$21*AD$21,0))))</f>
      </c>
      <c r="AE26" s="817">
        <f>IF(ISTEXT(X26),0,IF(X26&lt;Year1,,IF(X26&lt;IF(AND(MONTH($Z$14)&gt;=10,MONTH($Z$14)&lt;=12),YEAR($Z$14)+1,YEAR($Z$14)),,IF(X26&gt;1,Calculations!$AF26/VLOOKUP(X26,Annual_Inputs,3,FALSE)/$AB$21*AE$21,0))))</f>
      </c>
      <c r="AF26" s="817">
        <f>IF(ISTEXT(Y26),0,IF(Y26&lt;Year1,,IF(Y26&lt;IF(AND(MONTH($Z$14)&gt;=10,MONTH($Z$14)&lt;=12),YEAR($Z$14)+1,YEAR($Z$14)),,IF(Y26&gt;1,Calculations!$AF26/VLOOKUP(Y26,Annual_Inputs,3,FALSE)/$AB$21*AF$21,0))))</f>
      </c>
      <c r="AG26" s="818">
        <f>IF(ISTEXT(Z26),0,IF(Z26&lt;Year1,,IF(Z26&lt;IF(AND(MONTH($Z$14)&gt;=10,MONTH($Z$14)&lt;=12),YEAR($Z$14)+1,YEAR($Z$14)),,IF(Z26&gt;1,Calculations!$AF26/VLOOKUP(Z26,Annual_Inputs,3,FALSE)/$AB$21*AG$21,0))))</f>
      </c>
      <c r="AH26" s="812">
        <f>SUM(AB26:AG26)</f>
      </c>
      <c r="AI26" s="819"/>
      <c r="AJ26" s="770">
        <f>IF(MAX($U$23:$Z$88)&gt;I25,SUMIF(PlanYear,I26,PlanPercent),0)</f>
      </c>
      <c r="AK26" s="12">
        <v>221</v>
      </c>
      <c r="AL26" s="730"/>
      <c r="AM26" s="815">
        <f>IF($I22="",0,SUMIF(U$23:U$88,$I22,Calculations!$AF$23:$AF$88))</f>
      </c>
      <c r="AN26" s="815">
        <f>IF($I22="",0,SUMIF(V$23:V$88,$I22,Calculations!$AF$23:$AF$88))</f>
      </c>
      <c r="AO26" s="815">
        <f>IF($I22="",0,SUMIF(W$23:W$88,$I22,Calculations!$AF$23:$AF$88))</f>
      </c>
      <c r="AP26" s="815">
        <f>IF($I22="",0,SUMIF(X$23:X$88,$I22,Calculations!$AF$23:$AF$88))</f>
      </c>
      <c r="AQ26" s="815">
        <f>IF($I22="",0,SUMIF(Y$23:Y$88,$I22,Calculations!$AF$23:$AF$88))</f>
      </c>
      <c r="AR26" s="815">
        <f>IF($I22="",0,SUMIF(Z$23:Z$88,$I22,Calculations!$AF$23:$AF$88))</f>
      </c>
      <c r="AS26" s="227"/>
      <c r="AT26" s="227"/>
      <c r="AU26" s="227"/>
      <c r="AV26" s="227"/>
      <c r="AW26" s="1"/>
      <c r="AX26" s="227"/>
      <c r="AY26" s="227"/>
      <c r="AZ26" s="1"/>
      <c r="BA26" s="227"/>
      <c r="BB26" s="227"/>
      <c r="BC26" s="227"/>
      <c r="BD26" s="1"/>
    </row>
    <row x14ac:dyDescent="0.25" r="27" customHeight="1" ht="13">
      <c r="A27" s="227"/>
      <c r="B27" s="597"/>
      <c r="C27" s="595">
        <f>IF(AND(ISNUMBER(Z$14),G27&lt;Z$14,E27&gt;0),E27,IF(AND(ISNUMBER(Z$14),G27&lt;Z$14),,IF(E27+F26&lt;=0,E27,IF(AND(ISNUMBER(L27),ISNUMBER(M27)),IF(AND(Z$14&gt;1,Z$14&gt;=G27+364),,E27+F26),))))</f>
      </c>
      <c r="D27" s="595">
        <f>IF(AND(G27&gt;=$Z$14,G27&lt;=$AA$15-365),M27,0)</f>
      </c>
      <c r="E27" s="595">
        <f>IF(ISNUMBER(I27),SUMIF($U$23:$Z$88,I27,$AB$23:$AG$88)+SUMIF(PlannedOtherYear,I27,PlannedOtherDays),)</f>
      </c>
      <c r="F27" s="595">
        <f>IF(AND(Z$14&gt;1,Z$14&gt;=G28-1),,E27-M27+F26)</f>
      </c>
      <c r="G27" s="594">
        <f>IF(I27="",1,ROUND((I27-1-1900)*365.25+(365.25*0.752),))</f>
      </c>
      <c r="H27" s="757">
        <v>9</v>
      </c>
      <c r="I27" s="771">
        <f>IF(ISNUMBER(I26),(I26+1),"")</f>
      </c>
      <c r="J27" s="772"/>
      <c r="K27" s="760"/>
      <c r="L27" s="761"/>
      <c r="M27" s="762"/>
      <c r="N27" s="763">
        <f>IF(ISNUMBER(I27),SUMIF($U$23:$Z$88,I27,$AB$23:$AG$88)+SUMIF(PlannedOtherYear,I27,PlannedOtherDays),)</f>
      </c>
      <c r="O27" s="773">
        <f>IF(OR(ISBLANK(L27),ISBLANK(M27)),"",IF(AND(N27=0,I27&gt;=$G$14),L27*M27*$U$21,IF(I27&lt;$G$14,SUMIFS(ProgVssDoneAllYears,ProgYearDone,I27),IF(MAX($U$23:$Z$88)&gt;=$G$14,SUMIF(PlanYear,I27,PlanPercent)*VE))))</f>
      </c>
      <c r="P27" s="594"/>
      <c r="Q27" s="806" t="s">
        <v>62</v>
      </c>
      <c r="R27" s="99">
        <f>IF(Calculations!AC27=1,"",Calculations!AC27)</f>
      </c>
      <c r="S27" s="99">
        <f>Calculations!AB27</f>
      </c>
      <c r="T27" s="807">
        <v>959</v>
      </c>
      <c r="U27" s="808">
        <v>2021</v>
      </c>
      <c r="V27" s="808">
        <v>2022</v>
      </c>
      <c r="W27" s="808">
        <v>2022</v>
      </c>
      <c r="X27" s="808">
        <v>2022</v>
      </c>
      <c r="Y27" s="808">
        <v>2022</v>
      </c>
      <c r="Z27" s="808"/>
      <c r="AA27" s="69"/>
      <c r="AB27" s="816">
        <f>IF(ISTEXT(U27),0,IF(U27&lt;Year1,,IF(U27&lt;IF(AND(MONTH($Z$14)&gt;=10,MONTH($Z$14)&lt;=12),YEAR($Z$14)+1,YEAR($Z$14)),,IF(U27&gt;1,Calculations!$AF27/VLOOKUP(U27,Annual_Inputs,3,FALSE)/$AB$21*AB$21,0))))</f>
      </c>
      <c r="AC27" s="817">
        <f>IF(ISTEXT(V27),0,IF(V27&lt;Year1,,IF(V27&lt;IF(AND(MONTH($Z$14)&gt;=10,MONTH($Z$14)&lt;=12),YEAR($Z$14)+1,YEAR($Z$14)),,IF(V27&gt;1,Calculations!$AF27/VLOOKUP(V27,Annual_Inputs,3,FALSE)/$AB$21*AC$21,0))))</f>
      </c>
      <c r="AD27" s="817">
        <f>IF(ISTEXT(W27),0,IF(W27&lt;Year1,,IF(W27&lt;IF(AND(MONTH($Z$14)&gt;=10,MONTH($Z$14)&lt;=12),YEAR($Z$14)+1,YEAR($Z$14)),,IF(W27&gt;1,Calculations!$AF27/VLOOKUP(W27,Annual_Inputs,3,FALSE)/$AB$21*AD$21,0))))</f>
      </c>
      <c r="AE27" s="817">
        <f>IF(ISTEXT(X27),0,IF(X27&lt;Year1,,IF(X27&lt;IF(AND(MONTH($Z$14)&gt;=10,MONTH($Z$14)&lt;=12),YEAR($Z$14)+1,YEAR($Z$14)),,IF(X27&gt;1,Calculations!$AF27/VLOOKUP(X27,Annual_Inputs,3,FALSE)/$AB$21*AE$21,0))))</f>
      </c>
      <c r="AF27" s="817">
        <f>IF(ISTEXT(Y27),0,IF(Y27&lt;Year1,,IF(Y27&lt;IF(AND(MONTH($Z$14)&gt;=10,MONTH($Z$14)&lt;=12),YEAR($Z$14)+1,YEAR($Z$14)),,IF(Y27&gt;1,Calculations!$AF27/VLOOKUP(Y27,Annual_Inputs,3,FALSE)/$AB$21*AF$21,0))))</f>
      </c>
      <c r="AG27" s="818">
        <f>IF(ISTEXT(Z27),0,IF(Z27&lt;Year1,,IF(Z27&lt;IF(AND(MONTH($Z$14)&gt;=10,MONTH($Z$14)&lt;=12),YEAR($Z$14)+1,YEAR($Z$14)),,IF(Z27&gt;1,Calculations!$AF27/VLOOKUP(Z27,Annual_Inputs,3,FALSE)/$AB$21*AG$21,0))))</f>
      </c>
      <c r="AH27" s="812">
        <f>SUM(AB27:AG27)</f>
      </c>
      <c r="AI27" s="819"/>
      <c r="AJ27" s="770">
        <f>IF(MAX($U$23:$Z$88)&gt;I26,SUMIF(PlanYear,I27,PlanPercent),0)</f>
      </c>
      <c r="AK27" s="12">
        <v>287</v>
      </c>
      <c r="AL27" s="821">
        <f>IF($AL$23+GraphScrollValue&gt;=20,20-GraphScrollValue,$AL$23)</f>
      </c>
      <c r="AM27" s="815">
        <f>IF($I23="",0,SUMIF(U$23:U$88,$I23,Calculations!$AF$23:$AF$88))</f>
      </c>
      <c r="AN27" s="815">
        <f>IF($I23="",0,SUMIF(V$23:V$88,$I23,Calculations!$AF$23:$AF$88))</f>
      </c>
      <c r="AO27" s="815">
        <f>IF($I23="",0,SUMIF(W$23:W$88,$I23,Calculations!$AF$23:$AF$88))</f>
      </c>
      <c r="AP27" s="815">
        <f>IF($I23="",0,SUMIF(X$23:X$88,$I23,Calculations!$AF$23:$AF$88))</f>
      </c>
      <c r="AQ27" s="815">
        <f>IF($I23="",0,SUMIF(Y$23:Y$88,$I23,Calculations!$AF$23:$AF$88))</f>
      </c>
      <c r="AR27" s="815">
        <f>IF($I23="",0,SUMIF(Z$23:Z$88,$I23,Calculations!$AF$23:$AF$88))</f>
      </c>
      <c r="AS27" s="227"/>
      <c r="AT27" s="227"/>
      <c r="AU27" s="227"/>
      <c r="AV27" s="227"/>
      <c r="AW27" s="1"/>
      <c r="AX27" s="227"/>
      <c r="AY27" s="227"/>
      <c r="AZ27" s="1"/>
      <c r="BA27" s="227"/>
      <c r="BB27" s="227"/>
      <c r="BC27" s="227"/>
      <c r="BD27" s="1"/>
    </row>
    <row x14ac:dyDescent="0.25" r="28" customHeight="1" ht="13">
      <c r="A28" s="227"/>
      <c r="B28" s="597"/>
      <c r="C28" s="595">
        <f>IF(AND(ISNUMBER(Z$14),G28&lt;Z$14,E28&gt;0),E28,IF(AND(ISNUMBER(Z$14),G28&lt;Z$14),,IF(E28+F27&lt;=0,E28,IF(AND(ISNUMBER(L28),ISNUMBER(M28)),IF(AND(Z$14&gt;1,Z$14&gt;=G28+364),,E28+F27),))))</f>
      </c>
      <c r="D28" s="595">
        <f>IF(AND(G28&gt;=$Z$14,G28&lt;=$AA$15-365),M28,0)</f>
      </c>
      <c r="E28" s="595">
        <f>IF(ISNUMBER(I28),SUMIF($U$23:$Z$88,I28,$AB$23:$AG$88)+SUMIF(PlannedOtherYear,I28,PlannedOtherDays),)</f>
      </c>
      <c r="F28" s="595">
        <f>IF(AND(Z$14&gt;1,Z$14&gt;=G29-1),,E28-M28+F27)</f>
      </c>
      <c r="G28" s="594">
        <f>IF(I28="",1,ROUND((I28-1-1900)*365.25+(365.25*0.752),))</f>
      </c>
      <c r="H28" s="757">
        <v>10</v>
      </c>
      <c r="I28" s="771">
        <f>IF(ISNUMBER(I27),(I27+1),"")</f>
      </c>
      <c r="J28" s="772"/>
      <c r="K28" s="760"/>
      <c r="L28" s="761"/>
      <c r="M28" s="762"/>
      <c r="N28" s="763">
        <f>IF(ISNUMBER(I28),SUMIF($U$23:$Z$88,I28,$AB$23:$AG$88)+SUMIF(PlannedOtherYear,I28,PlannedOtherDays),)</f>
      </c>
      <c r="O28" s="773">
        <f>IF(OR(ISBLANK(L28),ISBLANK(M28)),"",IF(AND(N28=0,I28&gt;=$G$14),L28*M28*$U$21,IF(I28&lt;$G$14,SUMIFS(ProgVssDoneAllYears,ProgYearDone,I28),IF(MAX($U$23:$Z$88)&gt;=$G$14,SUMIF(PlanYear,I28,PlanPercent)*VE))))</f>
      </c>
      <c r="P28" s="594"/>
      <c r="Q28" s="806"/>
      <c r="R28" s="99">
        <f>IF(Calculations!AC28=1,"",Calculations!AC28)</f>
      </c>
      <c r="S28" s="99">
        <f>Calculations!AB28</f>
      </c>
      <c r="T28" s="807"/>
      <c r="U28" s="808"/>
      <c r="V28" s="808"/>
      <c r="W28" s="808"/>
      <c r="X28" s="808"/>
      <c r="Y28" s="808"/>
      <c r="Z28" s="808"/>
      <c r="AA28" s="69"/>
      <c r="AB28" s="816">
        <f>IF(ISTEXT(U28),0,IF(U28&lt;Year1,,IF(U28&lt;IF(AND(MONTH($Z$14)&gt;=10,MONTH($Z$14)&lt;=12),YEAR($Z$14)+1,YEAR($Z$14)),,IF(U28&gt;1,Calculations!$AF28/VLOOKUP(U28,Annual_Inputs,3,FALSE)/$AB$21*AB$21,0))))</f>
      </c>
      <c r="AC28" s="817">
        <f>IF(ISTEXT(V28),0,IF(V28&lt;Year1,,IF(V28&lt;IF(AND(MONTH($Z$14)&gt;=10,MONTH($Z$14)&lt;=12),YEAR($Z$14)+1,YEAR($Z$14)),,IF(V28&gt;1,Calculations!$AF28/VLOOKUP(V28,Annual_Inputs,3,FALSE)/$AB$21*AC$21,0))))</f>
      </c>
      <c r="AD28" s="817">
        <f>IF(ISTEXT(W28),0,IF(W28&lt;Year1,,IF(W28&lt;IF(AND(MONTH($Z$14)&gt;=10,MONTH($Z$14)&lt;=12),YEAR($Z$14)+1,YEAR($Z$14)),,IF(W28&gt;1,Calculations!$AF28/VLOOKUP(W28,Annual_Inputs,3,FALSE)/$AB$21*AD$21,0))))</f>
      </c>
      <c r="AE28" s="817">
        <f>IF(ISTEXT(X28),0,IF(X28&lt;Year1,,IF(X28&lt;IF(AND(MONTH($Z$14)&gt;=10,MONTH($Z$14)&lt;=12),YEAR($Z$14)+1,YEAR($Z$14)),,IF(X28&gt;1,Calculations!$AF28/VLOOKUP(X28,Annual_Inputs,3,FALSE)/$AB$21*AE$21,0))))</f>
      </c>
      <c r="AF28" s="817">
        <f>IF(ISTEXT(Y28),0,IF(Y28&lt;Year1,,IF(Y28&lt;IF(AND(MONTH($Z$14)&gt;=10,MONTH($Z$14)&lt;=12),YEAR($Z$14)+1,YEAR($Z$14)),,IF(Y28&gt;1,Calculations!$AF28/VLOOKUP(Y28,Annual_Inputs,3,FALSE)/$AB$21*AF$21,0))))</f>
      </c>
      <c r="AG28" s="818">
        <f>IF(ISTEXT(Z28),0,IF(Z28&lt;Year1,,IF(Z28&lt;IF(AND(MONTH($Z$14)&gt;=10,MONTH($Z$14)&lt;=12),YEAR($Z$14)+1,YEAR($Z$14)),,IF(Z28&gt;1,Calculations!$AF28/VLOOKUP(Z28,Annual_Inputs,3,FALSE)/$AB$21*AG$21,0))))</f>
      </c>
      <c r="AH28" s="812">
        <f>SUM(AB28:AG28)</f>
      </c>
      <c r="AI28" s="819"/>
      <c r="AJ28" s="770">
        <f>IF(MAX($U$23:$Z$88)&gt;I27,SUMIF(PlanYear,I28,PlanPercent),0)</f>
      </c>
      <c r="AK28" s="12">
        <v>353</v>
      </c>
      <c r="AL28" s="215"/>
      <c r="AM28" s="815">
        <f>IF($I24="",0,SUMIF(U$23:U$88,$I24,Calculations!$AF$23:$AF$88))</f>
      </c>
      <c r="AN28" s="815">
        <f>IF($I24="",0,SUMIF(V$23:V$88,$I24,Calculations!$AF$23:$AF$88))</f>
      </c>
      <c r="AO28" s="815">
        <f>IF($I24="",0,SUMIF(W$23:W$88,$I24,Calculations!$AF$23:$AF$88))</f>
      </c>
      <c r="AP28" s="815">
        <f>IF($I24="",0,SUMIF(X$23:X$88,$I24,Calculations!$AF$23:$AF$88))</f>
      </c>
      <c r="AQ28" s="815">
        <f>IF($I24="",0,SUMIF(Y$23:Y$88,$I24,Calculations!$AF$23:$AF$88))</f>
      </c>
      <c r="AR28" s="815">
        <f>IF($I24="",0,SUMIF(Z$23:Z$88,$I24,Calculations!$AF$23:$AF$88))</f>
      </c>
      <c r="AS28" s="227"/>
      <c r="AT28" s="227"/>
      <c r="AU28" s="227"/>
      <c r="AV28" s="227"/>
      <c r="AW28" s="1"/>
      <c r="AX28" s="227"/>
      <c r="AY28" s="227"/>
      <c r="AZ28" s="1"/>
      <c r="BA28" s="227"/>
      <c r="BB28" s="227"/>
      <c r="BC28" s="227"/>
      <c r="BD28" s="1"/>
    </row>
    <row x14ac:dyDescent="0.25" r="29" customHeight="1" ht="13">
      <c r="A29" s="227"/>
      <c r="B29" s="597"/>
      <c r="C29" s="595">
        <f>IF(AND(ISNUMBER(Z$14),G29&lt;Z$14,E29&gt;0),E29,IF(AND(ISNUMBER(Z$14),G29&lt;Z$14),,IF(E29+F28&lt;=0,E29,IF(AND(ISNUMBER(L29),ISNUMBER(M29)),IF(AND(Z$14&gt;1,Z$14&gt;=G29+364),,E29+F28),))))</f>
      </c>
      <c r="D29" s="595">
        <f>IF(AND(G29&gt;=$Z$14,G29&lt;=$AA$15-365),M29,0)</f>
      </c>
      <c r="E29" s="595">
        <f>IF(ISNUMBER(I29),SUMIF($U$23:$Z$88,I29,$AB$23:$AG$88)+SUMIF(PlannedOtherYear,I29,PlannedOtherDays),)</f>
      </c>
      <c r="F29" s="595">
        <f>IF(AND(Z$14&gt;1,Z$14&gt;=G30-1),,E29-M29+F28)</f>
      </c>
      <c r="G29" s="594">
        <f>IF(I29="",1,ROUND((I29-1-1900)*365.25+(365.25*0.752),))</f>
      </c>
      <c r="H29" s="757">
        <v>11</v>
      </c>
      <c r="I29" s="771">
        <f>IF(ISNUMBER(I28),(I28+1),"")</f>
      </c>
      <c r="J29" s="772"/>
      <c r="K29" s="760"/>
      <c r="L29" s="761"/>
      <c r="M29" s="762"/>
      <c r="N29" s="763">
        <f>IF(ISNUMBER(I29),SUMIF($U$23:$Z$88,I29,$AB$23:$AG$88)+SUMIF(PlannedOtherYear,I29,PlannedOtherDays),)</f>
      </c>
      <c r="O29" s="773">
        <f>IF(OR(ISBLANK(L29),ISBLANK(M29)),"",IF(AND(N29=0,I29&gt;=$G$14),L29*M29*$U$21,IF(I29&lt;$G$14,SUMIFS(ProgVssDoneAllYears,ProgYearDone,I29),IF(MAX($U$23:$Z$88)&gt;=$G$14,SUMIF(PlanYear,I29,PlanPercent)*VE))))</f>
      </c>
      <c r="P29" s="594"/>
      <c r="Q29" s="806"/>
      <c r="R29" s="99">
        <f>IF(Calculations!AC29=1,"",Calculations!AC29)</f>
      </c>
      <c r="S29" s="99">
        <f>Calculations!AB29</f>
      </c>
      <c r="T29" s="807"/>
      <c r="U29" s="808"/>
      <c r="V29" s="808"/>
      <c r="W29" s="808"/>
      <c r="X29" s="808"/>
      <c r="Y29" s="808"/>
      <c r="Z29" s="808"/>
      <c r="AA29" s="69"/>
      <c r="AB29" s="816">
        <f>IF(ISTEXT(U29),0,IF(U29&lt;Year1,,IF(U29&lt;IF(AND(MONTH($Z$14)&gt;=10,MONTH($Z$14)&lt;=12),YEAR($Z$14)+1,YEAR($Z$14)),,IF(U29&gt;1,Calculations!$AF29/VLOOKUP(U29,Annual_Inputs,3,FALSE)/$AB$21*AB$21,0))))</f>
      </c>
      <c r="AC29" s="817">
        <f>IF(ISTEXT(V29),0,IF(V29&lt;Year1,,IF(V29&lt;IF(AND(MONTH($Z$14)&gt;=10,MONTH($Z$14)&lt;=12),YEAR($Z$14)+1,YEAR($Z$14)),,IF(V29&gt;1,Calculations!$AF29/VLOOKUP(V29,Annual_Inputs,3,FALSE)/$AB$21*AC$21,0))))</f>
      </c>
      <c r="AD29" s="817">
        <f>IF(ISTEXT(W29),0,IF(W29&lt;Year1,,IF(W29&lt;IF(AND(MONTH($Z$14)&gt;=10,MONTH($Z$14)&lt;=12),YEAR($Z$14)+1,YEAR($Z$14)),,IF(W29&gt;1,Calculations!$AF29/VLOOKUP(W29,Annual_Inputs,3,FALSE)/$AB$21*AD$21,0))))</f>
      </c>
      <c r="AE29" s="817">
        <f>IF(ISTEXT(X29),0,IF(X29&lt;Year1,,IF(X29&lt;IF(AND(MONTH($Z$14)&gt;=10,MONTH($Z$14)&lt;=12),YEAR($Z$14)+1,YEAR($Z$14)),,IF(X29&gt;1,Calculations!$AF29/VLOOKUP(X29,Annual_Inputs,3,FALSE)/$AB$21*AE$21,0))))</f>
      </c>
      <c r="AF29" s="817">
        <f>IF(ISTEXT(Y29),0,IF(Y29&lt;Year1,,IF(Y29&lt;IF(AND(MONTH($Z$14)&gt;=10,MONTH($Z$14)&lt;=12),YEAR($Z$14)+1,YEAR($Z$14)),,IF(Y29&gt;1,Calculations!$AF29/VLOOKUP(Y29,Annual_Inputs,3,FALSE)/$AB$21*AF$21,0))))</f>
      </c>
      <c r="AG29" s="818">
        <f>IF(ISTEXT(Z29),0,IF(Z29&lt;Year1,,IF(Z29&lt;IF(AND(MONTH($Z$14)&gt;=10,MONTH($Z$14)&lt;=12),YEAR($Z$14)+1,YEAR($Z$14)),,IF(Z29&gt;1,Calculations!$AF29/VLOOKUP(Z29,Annual_Inputs,3,FALSE)/$AB$21*AG$21,0))))</f>
      </c>
      <c r="AH29" s="812">
        <f>SUM(AB29:AG29)</f>
      </c>
      <c r="AI29" s="819"/>
      <c r="AJ29" s="770">
        <f>IF(MAX($U$23:$Z$88)&gt;I28,SUMIF(PlanYear,I29,PlanPercent),0)</f>
      </c>
      <c r="AK29" s="293"/>
      <c r="AL29" s="215"/>
      <c r="AM29" s="815">
        <f>IF($I25="",0,SUMIF(U$23:U$88,$I25,Calculations!$AF$23:$AF$88))</f>
      </c>
      <c r="AN29" s="815">
        <f>IF($I25="",0,SUMIF(V$23:V$88,$I25,Calculations!$AF$23:$AF$88))</f>
      </c>
      <c r="AO29" s="815">
        <f>IF($I25="",0,SUMIF(W$23:W$88,$I25,Calculations!$AF$23:$AF$88))</f>
      </c>
      <c r="AP29" s="815">
        <f>IF($I25="",0,SUMIF(X$23:X$88,$I25,Calculations!$AF$23:$AF$88))</f>
      </c>
      <c r="AQ29" s="815">
        <f>IF($I25="",0,SUMIF(Y$23:Y$88,$I25,Calculations!$AF$23:$AF$88))</f>
      </c>
      <c r="AR29" s="815">
        <f>IF($I25="",0,SUMIF(Z$23:Z$88,$I25,Calculations!$AF$23:$AF$88))</f>
      </c>
      <c r="AS29" s="227"/>
      <c r="AT29" s="227"/>
      <c r="AU29" s="227"/>
      <c r="AV29" s="227"/>
      <c r="AW29" s="1"/>
      <c r="AX29" s="227"/>
      <c r="AY29" s="227"/>
      <c r="AZ29" s="1"/>
      <c r="BA29" s="227"/>
      <c r="BB29" s="227"/>
      <c r="BC29" s="227"/>
      <c r="BD29" s="1"/>
    </row>
    <row x14ac:dyDescent="0.25" r="30" customHeight="1" ht="13">
      <c r="A30" s="227"/>
      <c r="B30" s="597"/>
      <c r="C30" s="595">
        <f>IF(AND(ISNUMBER(Z$14),G30&lt;Z$14,E30&gt;0),E30,IF(AND(ISNUMBER(Z$14),G30&lt;Z$14),,IF(E30+F29&lt;=0,E30,IF(AND(ISNUMBER(L30),ISNUMBER(M30)),IF(AND(Z$14&gt;1,Z$14&gt;=G30+364),,E30+F29),))))</f>
      </c>
      <c r="D30" s="595">
        <f>IF(AND(G30&gt;=$Z$14,G30&lt;=$AA$15-365),M30,0)</f>
      </c>
      <c r="E30" s="595">
        <f>IF(ISNUMBER(I30),SUMIF($U$23:$Z$88,I30,$AB$23:$AG$88)+SUMIF(PlannedOtherYear,I30,PlannedOtherDays),)</f>
      </c>
      <c r="F30" s="595">
        <f>IF(AND(Z$14&gt;1,Z$14&gt;=G31-1),,E30-M30+F29)</f>
      </c>
      <c r="G30" s="594">
        <f>IF(I30="",1,ROUND((I30-1-1900)*365.25+(365.25*0.752),))</f>
      </c>
      <c r="H30" s="757">
        <v>12</v>
      </c>
      <c r="I30" s="771">
        <f>IF(ISNUMBER(I29),(I29+1),"")</f>
      </c>
      <c r="J30" s="772"/>
      <c r="K30" s="760"/>
      <c r="L30" s="761"/>
      <c r="M30" s="762"/>
      <c r="N30" s="763">
        <f>IF(ISNUMBER(I30),SUMIF($U$23:$Z$88,I30,$AB$23:$AG$88)+SUMIF(PlannedOtherYear,I30,PlannedOtherDays),)</f>
      </c>
      <c r="O30" s="773">
        <f>IF(OR(ISBLANK(L30),ISBLANK(M30)),"",IF(AND(N30=0,I30&gt;=$G$14),L30*M30*$U$21,IF(I30&lt;$G$14,SUMIFS(ProgVssDoneAllYears,ProgYearDone,I30),IF(MAX($U$23:$Z$88)&gt;=$G$14,SUMIF(PlanYear,I30,PlanPercent)*VE))))</f>
      </c>
      <c r="P30" s="594"/>
      <c r="Q30" s="806"/>
      <c r="R30" s="99">
        <f>IF(Calculations!AC30=1,"",Calculations!AC30)</f>
      </c>
      <c r="S30" s="99">
        <f>Calculations!AB30</f>
      </c>
      <c r="T30" s="807"/>
      <c r="U30" s="808"/>
      <c r="V30" s="808"/>
      <c r="W30" s="808"/>
      <c r="X30" s="808"/>
      <c r="Y30" s="808"/>
      <c r="Z30" s="808"/>
      <c r="AA30" s="69"/>
      <c r="AB30" s="816">
        <f>IF(ISTEXT(U30),0,IF(U30&lt;Year1,,IF(U30&lt;IF(AND(MONTH($Z$14)&gt;=10,MONTH($Z$14)&lt;=12),YEAR($Z$14)+1,YEAR($Z$14)),,IF(U30&gt;1,Calculations!$AF30/VLOOKUP(U30,Annual_Inputs,3,FALSE)/$AB$21*AB$21,0))))</f>
      </c>
      <c r="AC30" s="817">
        <f>IF(ISTEXT(V30),0,IF(V30&lt;Year1,,IF(V30&lt;IF(AND(MONTH($Z$14)&gt;=10,MONTH($Z$14)&lt;=12),YEAR($Z$14)+1,YEAR($Z$14)),,IF(V30&gt;1,Calculations!$AF30/VLOOKUP(V30,Annual_Inputs,3,FALSE)/$AB$21*AC$21,0))))</f>
      </c>
      <c r="AD30" s="817">
        <f>IF(ISTEXT(W30),0,IF(W30&lt;Year1,,IF(W30&lt;IF(AND(MONTH($Z$14)&gt;=10,MONTH($Z$14)&lt;=12),YEAR($Z$14)+1,YEAR($Z$14)),,IF(W30&gt;1,Calculations!$AF30/VLOOKUP(W30,Annual_Inputs,3,FALSE)/$AB$21*AD$21,0))))</f>
      </c>
      <c r="AE30" s="817">
        <f>IF(ISTEXT(X30),0,IF(X30&lt;Year1,,IF(X30&lt;IF(AND(MONTH($Z$14)&gt;=10,MONTH($Z$14)&lt;=12),YEAR($Z$14)+1,YEAR($Z$14)),,IF(X30&gt;1,Calculations!$AF30/VLOOKUP(X30,Annual_Inputs,3,FALSE)/$AB$21*AE$21,0))))</f>
      </c>
      <c r="AF30" s="817">
        <f>IF(ISTEXT(Y30),0,IF(Y30&lt;Year1,,IF(Y30&lt;IF(AND(MONTH($Z$14)&gt;=10,MONTH($Z$14)&lt;=12),YEAR($Z$14)+1,YEAR($Z$14)),,IF(Y30&gt;1,Calculations!$AF30/VLOOKUP(Y30,Annual_Inputs,3,FALSE)/$AB$21*AF$21,0))))</f>
      </c>
      <c r="AG30" s="818">
        <f>IF(ISTEXT(Z30),0,IF(Z30&lt;Year1,,IF(Z30&lt;IF(AND(MONTH($Z$14)&gt;=10,MONTH($Z$14)&lt;=12),YEAR($Z$14)+1,YEAR($Z$14)),,IF(Z30&gt;1,Calculations!$AF30/VLOOKUP(Z30,Annual_Inputs,3,FALSE)/$AB$21*AG$21,0))))</f>
      </c>
      <c r="AH30" s="812">
        <f>SUM(AB30:AG30)</f>
      </c>
      <c r="AI30" s="819"/>
      <c r="AJ30" s="770">
        <f>IF(MAX($U$23:$Z$88)&gt;I29,SUMIF(PlanYear,I30,PlanPercent),0)</f>
      </c>
      <c r="AK30" s="293"/>
      <c r="AL30" s="215"/>
      <c r="AM30" s="815">
        <f>IF($I26="",0,SUMIF(U$23:U$88,$I26,Calculations!$AF$23:$AF$88))</f>
      </c>
      <c r="AN30" s="815">
        <f>IF($I26="",0,SUMIF(V$23:V$88,$I26,Calculations!$AF$23:$AF$88))</f>
      </c>
      <c r="AO30" s="815">
        <f>IF($I26="",0,SUMIF(W$23:W$88,$I26,Calculations!$AF$23:$AF$88))</f>
      </c>
      <c r="AP30" s="815">
        <f>IF($I26="",0,SUMIF(X$23:X$88,$I26,Calculations!$AF$23:$AF$88))</f>
      </c>
      <c r="AQ30" s="815">
        <f>IF($I26="",0,SUMIF(Y$23:Y$88,$I26,Calculations!$AF$23:$AF$88))</f>
      </c>
      <c r="AR30" s="815">
        <f>IF($I26="",0,SUMIF(Z$23:Z$88,$I26,Calculations!$AF$23:$AF$88))</f>
      </c>
      <c r="AS30" s="227"/>
      <c r="AT30" s="227"/>
      <c r="AU30" s="227"/>
      <c r="AV30" s="227"/>
      <c r="AW30" s="1"/>
      <c r="AX30" s="227"/>
      <c r="AY30" s="227"/>
      <c r="AZ30" s="1"/>
      <c r="BA30" s="227"/>
      <c r="BB30" s="227"/>
      <c r="BC30" s="227"/>
      <c r="BD30" s="1"/>
    </row>
    <row x14ac:dyDescent="0.25" r="31" customHeight="1" ht="13">
      <c r="A31" s="227"/>
      <c r="B31" s="597"/>
      <c r="C31" s="595">
        <f>IF(AND(ISNUMBER(Z$14),G31&lt;Z$14,E31&gt;0),E31,IF(AND(ISNUMBER(Z$14),G31&lt;Z$14),,IF(E31+F30&lt;=0,E31,IF(AND(ISNUMBER(L31),ISNUMBER(M31)),IF(AND(Z$14&gt;1,Z$14&gt;=G31+364),,E31+F30),))))</f>
      </c>
      <c r="D31" s="595">
        <f>IF(AND(G31&gt;=$Z$14,G31&lt;=$AA$15-365),M31,0)</f>
      </c>
      <c r="E31" s="595">
        <f>IF(ISNUMBER(I31),SUMIF($U$23:$Z$88,I31,$AB$23:$AG$88)+SUMIF(PlannedOtherYear,I31,PlannedOtherDays),)</f>
      </c>
      <c r="F31" s="595">
        <f>IF(AND(Z$14&gt;1,Z$14&gt;=G32-1),,E31-M31+F30)</f>
      </c>
      <c r="G31" s="594">
        <f>IF(I31="",1,ROUND((I31-1-1900)*365.25+(365.25*0.752),))</f>
      </c>
      <c r="H31" s="757">
        <v>13</v>
      </c>
      <c r="I31" s="771">
        <f>IF(ISNUMBER(I30),(I30+1),"")</f>
      </c>
      <c r="J31" s="772"/>
      <c r="K31" s="760"/>
      <c r="L31" s="761"/>
      <c r="M31" s="762"/>
      <c r="N31" s="763">
        <f>IF(ISNUMBER(I31),SUMIF($U$23:$Z$88,I31,$AB$23:$AG$88)+SUMIF(PlannedOtherYear,I31,PlannedOtherDays),)</f>
      </c>
      <c r="O31" s="773">
        <f>IF(OR(ISBLANK(L31),ISBLANK(M31)),"",IF(AND(N31=0,I31&gt;=$G$14),L31*M31*$U$21,IF(I31&lt;$G$14,SUMIFS(ProgVssDoneAllYears,ProgYearDone,I31),IF(MAX($U$23:$Z$88)&gt;=$G$14,SUMIF(PlanYear,I31,PlanPercent)*VE))))</f>
      </c>
      <c r="P31" s="594"/>
      <c r="Q31" s="806"/>
      <c r="R31" s="99">
        <f>IF(Calculations!AC31=1,"",Calculations!AC31)</f>
      </c>
      <c r="S31" s="99">
        <f>Calculations!AB31</f>
      </c>
      <c r="T31" s="807"/>
      <c r="U31" s="808"/>
      <c r="V31" s="808"/>
      <c r="W31" s="808"/>
      <c r="X31" s="808"/>
      <c r="Y31" s="808"/>
      <c r="Z31" s="808"/>
      <c r="AA31" s="69"/>
      <c r="AB31" s="816">
        <f>IF(ISTEXT(U31),0,IF(U31&lt;Year1,,IF(U31&lt;IF(AND(MONTH($Z$14)&gt;=10,MONTH($Z$14)&lt;=12),YEAR($Z$14)+1,YEAR($Z$14)),,IF(U31&gt;1,Calculations!$AF31/VLOOKUP(U31,Annual_Inputs,3,FALSE)/$AB$21*AB$21,0))))</f>
      </c>
      <c r="AC31" s="817">
        <f>IF(ISTEXT(V31),0,IF(V31&lt;Year1,,IF(V31&lt;IF(AND(MONTH($Z$14)&gt;=10,MONTH($Z$14)&lt;=12),YEAR($Z$14)+1,YEAR($Z$14)),,IF(V31&gt;1,Calculations!$AF31/VLOOKUP(V31,Annual_Inputs,3,FALSE)/$AB$21*AC$21,0))))</f>
      </c>
      <c r="AD31" s="817">
        <f>IF(ISTEXT(W31),0,IF(W31&lt;Year1,,IF(W31&lt;IF(AND(MONTH($Z$14)&gt;=10,MONTH($Z$14)&lt;=12),YEAR($Z$14)+1,YEAR($Z$14)),,IF(W31&gt;1,Calculations!$AF31/VLOOKUP(W31,Annual_Inputs,3,FALSE)/$AB$21*AD$21,0))))</f>
      </c>
      <c r="AE31" s="817">
        <f>IF(ISTEXT(X31),0,IF(X31&lt;Year1,,IF(X31&lt;IF(AND(MONTH($Z$14)&gt;=10,MONTH($Z$14)&lt;=12),YEAR($Z$14)+1,YEAR($Z$14)),,IF(X31&gt;1,Calculations!$AF31/VLOOKUP(X31,Annual_Inputs,3,FALSE)/$AB$21*AE$21,0))))</f>
      </c>
      <c r="AF31" s="817">
        <f>IF(ISTEXT(Y31),0,IF(Y31&lt;Year1,,IF(Y31&lt;IF(AND(MONTH($Z$14)&gt;=10,MONTH($Z$14)&lt;=12),YEAR($Z$14)+1,YEAR($Z$14)),,IF(Y31&gt;1,Calculations!$AF31/VLOOKUP(Y31,Annual_Inputs,3,FALSE)/$AB$21*AF$21,0))))</f>
      </c>
      <c r="AG31" s="818">
        <f>IF(ISTEXT(Z31),0,IF(Z31&lt;Year1,,IF(Z31&lt;IF(AND(MONTH($Z$14)&gt;=10,MONTH($Z$14)&lt;=12),YEAR($Z$14)+1,YEAR($Z$14)),,IF(Z31&gt;1,Calculations!$AF31/VLOOKUP(Z31,Annual_Inputs,3,FALSE)/$AB$21*AG$21,0))))</f>
      </c>
      <c r="AH31" s="812">
        <f>SUM(AB31:AG31)</f>
      </c>
      <c r="AI31" s="819"/>
      <c r="AJ31" s="770">
        <f>IF(MAX($U$23:$Z$88)&gt;I30,SUMIF(PlanYear,I31,PlanPercent),0)</f>
      </c>
      <c r="AK31" s="293"/>
      <c r="AL31" s="215"/>
      <c r="AM31" s="815">
        <f>IF($I27="",0,SUMIF(U$23:U$88,$I27,Calculations!$AF$23:$AF$88))</f>
      </c>
      <c r="AN31" s="815">
        <f>IF($I27="",0,SUMIF(V$23:V$88,$I27,Calculations!$AF$23:$AF$88))</f>
      </c>
      <c r="AO31" s="815">
        <f>IF($I27="",0,SUMIF(W$23:W$88,$I27,Calculations!$AF$23:$AF$88))</f>
      </c>
      <c r="AP31" s="815">
        <f>IF($I27="",0,SUMIF(X$23:X$88,$I27,Calculations!$AF$23:$AF$88))</f>
      </c>
      <c r="AQ31" s="815">
        <f>IF($I27="",0,SUMIF(Y$23:Y$88,$I27,Calculations!$AF$23:$AF$88))</f>
      </c>
      <c r="AR31" s="815">
        <f>IF($I27="",0,SUMIF(Z$23:Z$88,$I27,Calculations!$AF$23:$AF$88))</f>
      </c>
      <c r="AS31" s="227"/>
      <c r="AT31" s="227"/>
      <c r="AU31" s="227"/>
      <c r="AV31" s="227"/>
      <c r="AW31" s="1"/>
      <c r="AX31" s="227"/>
      <c r="AY31" s="227"/>
      <c r="AZ31" s="1"/>
      <c r="BA31" s="227"/>
      <c r="BB31" s="227"/>
      <c r="BC31" s="227"/>
      <c r="BD31" s="1"/>
    </row>
    <row x14ac:dyDescent="0.25" r="32" customHeight="1" ht="13">
      <c r="A32" s="227"/>
      <c r="B32" s="597"/>
      <c r="C32" s="595">
        <f>IF(AND(ISNUMBER(Z$14),G32&lt;Z$14,E32&gt;0),E32,IF(AND(ISNUMBER(Z$14),G32&lt;Z$14),,IF(E32+F31&lt;=0,E32,IF(AND(ISNUMBER(L32),ISNUMBER(M32)),IF(AND(Z$14&gt;1,Z$14&gt;=G32+364),,E32+F31),))))</f>
      </c>
      <c r="D32" s="595">
        <f>IF(AND(G32&gt;=$Z$14,G32&lt;=$AA$15-365),M32,0)</f>
      </c>
      <c r="E32" s="595">
        <f>IF(ISNUMBER(I32),SUMIF($U$23:$Z$88,I32,$AB$23:$AG$88)+SUMIF(PlannedOtherYear,I32,PlannedOtherDays),)</f>
      </c>
      <c r="F32" s="595">
        <f>IF(AND(Z$14&gt;1,Z$14&gt;=G33-1),,E32-M32+F31)</f>
      </c>
      <c r="G32" s="594">
        <f>IF(I32="",1,ROUND((I32-1-1900)*365.25+(365.25*0.752),))</f>
      </c>
      <c r="H32" s="757">
        <v>14</v>
      </c>
      <c r="I32" s="771">
        <f>IF(ISNUMBER(I31),(I31+1),"")</f>
      </c>
      <c r="J32" s="772"/>
      <c r="K32" s="760"/>
      <c r="L32" s="761"/>
      <c r="M32" s="762"/>
      <c r="N32" s="763">
        <f>IF(ISNUMBER(I32),SUMIF($U$23:$Z$88,I32,$AB$23:$AG$88)+SUMIF(PlannedOtherYear,I32,PlannedOtherDays),)</f>
      </c>
      <c r="O32" s="773">
        <f>IF(OR(ISBLANK(L32),ISBLANK(M32)),"",IF(AND(N32=0,I32&gt;=$G$14),L32*M32*$U$21,IF(I32&lt;$G$14,SUMIFS(ProgVssDoneAllYears,ProgYearDone,I32),IF(MAX($U$23:$Z$88)&gt;=$G$14,SUMIF(PlanYear,I32,PlanPercent)*VE))))</f>
      </c>
      <c r="P32" s="594"/>
      <c r="Q32" s="806"/>
      <c r="R32" s="99">
        <f>IF(Calculations!AC32=1,"",Calculations!AC32)</f>
      </c>
      <c r="S32" s="99">
        <f>Calculations!AB32</f>
      </c>
      <c r="T32" s="807"/>
      <c r="U32" s="808"/>
      <c r="V32" s="808"/>
      <c r="W32" s="808"/>
      <c r="X32" s="808"/>
      <c r="Y32" s="808"/>
      <c r="Z32" s="808"/>
      <c r="AA32" s="69"/>
      <c r="AB32" s="816">
        <f>IF(ISTEXT(U32),0,IF(U32&lt;Year1,,IF(U32&lt;IF(AND(MONTH($Z$14)&gt;=10,MONTH($Z$14)&lt;=12),YEAR($Z$14)+1,YEAR($Z$14)),,IF(U32&gt;1,Calculations!$AF32/VLOOKUP(U32,Annual_Inputs,3,FALSE)/$AB$21*AB$21,0))))</f>
      </c>
      <c r="AC32" s="817">
        <f>IF(ISTEXT(V32),0,IF(V32&lt;Year1,,IF(V32&lt;IF(AND(MONTH($Z$14)&gt;=10,MONTH($Z$14)&lt;=12),YEAR($Z$14)+1,YEAR($Z$14)),,IF(V32&gt;1,Calculations!$AF32/VLOOKUP(V32,Annual_Inputs,3,FALSE)/$AB$21*AC$21,0))))</f>
      </c>
      <c r="AD32" s="817">
        <f>IF(ISTEXT(W32),0,IF(W32&lt;Year1,,IF(W32&lt;IF(AND(MONTH($Z$14)&gt;=10,MONTH($Z$14)&lt;=12),YEAR($Z$14)+1,YEAR($Z$14)),,IF(W32&gt;1,Calculations!$AF32/VLOOKUP(W32,Annual_Inputs,3,FALSE)/$AB$21*AD$21,0))))</f>
      </c>
      <c r="AE32" s="817">
        <f>IF(ISTEXT(X32),0,IF(X32&lt;Year1,,IF(X32&lt;IF(AND(MONTH($Z$14)&gt;=10,MONTH($Z$14)&lt;=12),YEAR($Z$14)+1,YEAR($Z$14)),,IF(X32&gt;1,Calculations!$AF32/VLOOKUP(X32,Annual_Inputs,3,FALSE)/$AB$21*AE$21,0))))</f>
      </c>
      <c r="AF32" s="817">
        <f>IF(ISTEXT(Y32),0,IF(Y32&lt;Year1,,IF(Y32&lt;IF(AND(MONTH($Z$14)&gt;=10,MONTH($Z$14)&lt;=12),YEAR($Z$14)+1,YEAR($Z$14)),,IF(Y32&gt;1,Calculations!$AF32/VLOOKUP(Y32,Annual_Inputs,3,FALSE)/$AB$21*AF$21,0))))</f>
      </c>
      <c r="AG32" s="818">
        <f>IF(ISTEXT(Z32),0,IF(Z32&lt;Year1,,IF(Z32&lt;IF(AND(MONTH($Z$14)&gt;=10,MONTH($Z$14)&lt;=12),YEAR($Z$14)+1,YEAR($Z$14)),,IF(Z32&gt;1,Calculations!$AF32/VLOOKUP(Z32,Annual_Inputs,3,FALSE)/$AB$21*AG$21,0))))</f>
      </c>
      <c r="AH32" s="812">
        <f>SUM(AB32:AG32)</f>
      </c>
      <c r="AI32" s="819"/>
      <c r="AJ32" s="770">
        <f>IF(MAX($U$23:$Z$88)&gt;I31,SUMIF(PlanYear,I32,PlanPercent),0)</f>
      </c>
      <c r="AK32" s="293"/>
      <c r="AL32" s="215"/>
      <c r="AM32" s="815">
        <f>IF($I28="",0,SUMIF(U$23:U$88,$I28,Calculations!$AF$23:$AF$88))</f>
      </c>
      <c r="AN32" s="815">
        <f>IF($I28="",0,SUMIF(V$23:V$88,$I28,Calculations!$AF$23:$AF$88))</f>
      </c>
      <c r="AO32" s="815">
        <f>IF($I28="",0,SUMIF(W$23:W$88,$I28,Calculations!$AF$23:$AF$88))</f>
      </c>
      <c r="AP32" s="815">
        <f>IF($I28="",0,SUMIF(X$23:X$88,$I28,Calculations!$AF$23:$AF$88))</f>
      </c>
      <c r="AQ32" s="815">
        <f>IF($I28="",0,SUMIF(Y$23:Y$88,$I28,Calculations!$AF$23:$AF$88))</f>
      </c>
      <c r="AR32" s="815">
        <f>IF($I28="",0,SUMIF(Z$23:Z$88,$I28,Calculations!$AF$23:$AF$88))</f>
      </c>
      <c r="AS32" s="227"/>
      <c r="AT32" s="227"/>
      <c r="AU32" s="227"/>
      <c r="AV32" s="227"/>
      <c r="AW32" s="1"/>
      <c r="AX32" s="227"/>
      <c r="AY32" s="227"/>
      <c r="AZ32" s="1"/>
      <c r="BA32" s="227"/>
      <c r="BB32" s="227"/>
      <c r="BC32" s="227"/>
      <c r="BD32" s="1"/>
    </row>
    <row x14ac:dyDescent="0.25" r="33" customHeight="1" ht="13">
      <c r="A33" s="227"/>
      <c r="B33" s="597"/>
      <c r="C33" s="595">
        <f>IF(AND(ISNUMBER(Z$14),G33&lt;Z$14,E33&gt;0),E33,IF(AND(ISNUMBER(Z$14),G33&lt;Z$14),,IF(E33+F32&lt;=0,E33,IF(AND(ISNUMBER(L33),ISNUMBER(M33)),IF(AND(Z$14&gt;1,Z$14&gt;=G33+364),,E33+F32),))))</f>
      </c>
      <c r="D33" s="595">
        <f>IF(AND(G33&gt;=$Z$14,G33&lt;=$AA$15-365),M33,0)</f>
      </c>
      <c r="E33" s="595">
        <f>IF(ISNUMBER(I33),SUMIF($U$23:$Z$88,I33,$AB$23:$AG$88)+SUMIF(PlannedOtherYear,I33,PlannedOtherDays),)</f>
      </c>
      <c r="F33" s="595">
        <f>IF(AND(Z$14&gt;1,Z$14&gt;=G34-1),,E33-M33+F32)</f>
      </c>
      <c r="G33" s="594">
        <f>IF(I33="",1,ROUND((I33-1-1900)*365.25+(365.25*0.752),))</f>
      </c>
      <c r="H33" s="757">
        <v>15</v>
      </c>
      <c r="I33" s="771">
        <f>IF(ISNUMBER(I32),(I32+1),"")</f>
      </c>
      <c r="J33" s="772"/>
      <c r="K33" s="760"/>
      <c r="L33" s="761"/>
      <c r="M33" s="762"/>
      <c r="N33" s="763">
        <f>IF(ISNUMBER(I33),SUMIF($U$23:$Z$88,I33,$AB$23:$AG$88)+SUMIF(PlannedOtherYear,I33,PlannedOtherDays),)</f>
      </c>
      <c r="O33" s="773">
        <f>IF(OR(ISBLANK(L33),ISBLANK(M33)),"",IF(AND(N33=0,I33&gt;=$G$14),L33*M33*$U$21,IF(I33&lt;$G$14,SUMIFS(ProgVssDoneAllYears,ProgYearDone,I33),IF(MAX($U$23:$Z$88)&gt;=$G$14,SUMIF(PlanYear,I33,PlanPercent)*VE))))</f>
      </c>
      <c r="P33" s="594"/>
      <c r="Q33" s="806"/>
      <c r="R33" s="99">
        <f>IF(Calculations!AC33=1,"",Calculations!AC33)</f>
      </c>
      <c r="S33" s="99">
        <f>Calculations!AB33</f>
      </c>
      <c r="T33" s="807"/>
      <c r="U33" s="808"/>
      <c r="V33" s="808"/>
      <c r="W33" s="808"/>
      <c r="X33" s="808"/>
      <c r="Y33" s="808"/>
      <c r="Z33" s="808"/>
      <c r="AA33" s="69"/>
      <c r="AB33" s="816">
        <f>IF(ISTEXT(U33),0,IF(U33&lt;Year1,,IF(U33&lt;IF(AND(MONTH($Z$14)&gt;=10,MONTH($Z$14)&lt;=12),YEAR($Z$14)+1,YEAR($Z$14)),,IF(U33&gt;1,Calculations!$AF33/VLOOKUP(U33,Annual_Inputs,3,FALSE)/$AB$21*AB$21,0))))</f>
      </c>
      <c r="AC33" s="817">
        <f>IF(ISTEXT(V33),0,IF(V33&lt;Year1,,IF(V33&lt;IF(AND(MONTH($Z$14)&gt;=10,MONTH($Z$14)&lt;=12),YEAR($Z$14)+1,YEAR($Z$14)),,IF(V33&gt;1,Calculations!$AF33/VLOOKUP(V33,Annual_Inputs,3,FALSE)/$AB$21*AC$21,0))))</f>
      </c>
      <c r="AD33" s="817">
        <f>IF(ISTEXT(W33),0,IF(W33&lt;Year1,,IF(W33&lt;IF(AND(MONTH($Z$14)&gt;=10,MONTH($Z$14)&lt;=12),YEAR($Z$14)+1,YEAR($Z$14)),,IF(W33&gt;1,Calculations!$AF33/VLOOKUP(W33,Annual_Inputs,3,FALSE)/$AB$21*AD$21,0))))</f>
      </c>
      <c r="AE33" s="817">
        <f>IF(ISTEXT(X33),0,IF(X33&lt;Year1,,IF(X33&lt;IF(AND(MONTH($Z$14)&gt;=10,MONTH($Z$14)&lt;=12),YEAR($Z$14)+1,YEAR($Z$14)),,IF(X33&gt;1,Calculations!$AF33/VLOOKUP(X33,Annual_Inputs,3,FALSE)/$AB$21*AE$21,0))))</f>
      </c>
      <c r="AF33" s="817">
        <f>IF(ISTEXT(Y33),0,IF(Y33&lt;Year1,,IF(Y33&lt;IF(AND(MONTH($Z$14)&gt;=10,MONTH($Z$14)&lt;=12),YEAR($Z$14)+1,YEAR($Z$14)),,IF(Y33&gt;1,Calculations!$AF33/VLOOKUP(Y33,Annual_Inputs,3,FALSE)/$AB$21*AF$21,0))))</f>
      </c>
      <c r="AG33" s="818">
        <f>IF(ISTEXT(Z33),0,IF(Z33&lt;Year1,,IF(Z33&lt;IF(AND(MONTH($Z$14)&gt;=10,MONTH($Z$14)&lt;=12),YEAR($Z$14)+1,YEAR($Z$14)),,IF(Z33&gt;1,Calculations!$AF33/VLOOKUP(Z33,Annual_Inputs,3,FALSE)/$AB$21*AG$21,0))))</f>
      </c>
      <c r="AH33" s="812">
        <f>SUM(AB33:AG33)</f>
      </c>
      <c r="AI33" s="819"/>
      <c r="AJ33" s="770">
        <f>IF(MAX($U$23:$Z$88)&gt;I32,SUMIF(PlanYear,I33,PlanPercent),0)</f>
      </c>
      <c r="AK33" s="293"/>
      <c r="AL33" s="215"/>
      <c r="AM33" s="815">
        <f>IF($I29="",0,SUMIF(U$23:U$88,$I29,Calculations!$AF$23:$AF$88))</f>
      </c>
      <c r="AN33" s="815">
        <f>IF($I29="",0,SUMIF(V$23:V$88,$I29,Calculations!$AF$23:$AF$88))</f>
      </c>
      <c r="AO33" s="815">
        <f>IF($I29="",0,SUMIF(W$23:W$88,$I29,Calculations!$AF$23:$AF$88))</f>
      </c>
      <c r="AP33" s="815">
        <f>IF($I29="",0,SUMIF(X$23:X$88,$I29,Calculations!$AF$23:$AF$88))</f>
      </c>
      <c r="AQ33" s="815">
        <f>IF($I29="",0,SUMIF(Y$23:Y$88,$I29,Calculations!$AF$23:$AF$88))</f>
      </c>
      <c r="AR33" s="815">
        <f>IF($I29="",0,SUMIF(Z$23:Z$88,$I29,Calculations!$AF$23:$AF$88))</f>
      </c>
      <c r="AS33" s="227"/>
      <c r="AT33" s="227"/>
      <c r="AU33" s="227"/>
      <c r="AV33" s="227"/>
      <c r="AW33" s="1"/>
      <c r="AX33" s="227"/>
      <c r="AY33" s="227"/>
      <c r="AZ33" s="1"/>
      <c r="BA33" s="227"/>
      <c r="BB33" s="227"/>
      <c r="BC33" s="227"/>
      <c r="BD33" s="1"/>
    </row>
    <row x14ac:dyDescent="0.25" r="34" customHeight="1" ht="13">
      <c r="A34" s="227"/>
      <c r="B34" s="597"/>
      <c r="C34" s="595">
        <f>IF(AND(ISNUMBER(Z$14),G34&lt;Z$14,E34&gt;0),E34,IF(AND(ISNUMBER(Z$14),G34&lt;Z$14),,IF(E34+F33&lt;=0,E34,IF(AND(ISNUMBER(L34),ISNUMBER(M34)),IF(AND(Z$14&gt;1,Z$14&gt;=G34+364),,E34+F33),))))</f>
      </c>
      <c r="D34" s="595">
        <f>IF(AND(G34&gt;=$Z$14,G34&lt;=$AA$15-365),M34,0)</f>
      </c>
      <c r="E34" s="595">
        <f>IF(ISNUMBER(I34),SUMIF($U$23:$Z$88,I34,$AB$23:$AG$88)+SUMIF(PlannedOtherYear,I34,PlannedOtherDays),)</f>
      </c>
      <c r="F34" s="595">
        <f>IF(AND(Z$14&gt;1,Z$14&gt;=G35-1),,E34-M34+F33)</f>
      </c>
      <c r="G34" s="594">
        <f>IF(I34="",1,ROUND((I34-1-1900)*365.25+(365.25*0.752),))</f>
      </c>
      <c r="H34" s="757">
        <v>16</v>
      </c>
      <c r="I34" s="771">
        <f>IF(ISNUMBER(I33),(I33+1),"")</f>
      </c>
      <c r="J34" s="772"/>
      <c r="K34" s="760"/>
      <c r="L34" s="761"/>
      <c r="M34" s="762"/>
      <c r="N34" s="763">
        <f>IF(ISNUMBER(I34),SUMIF($U$23:$Z$88,I34,$AB$23:$AG$88)+SUMIF(PlannedOtherYear,I34,PlannedOtherDays),)</f>
      </c>
      <c r="O34" s="773">
        <f>IF(OR(ISBLANK(L34),ISBLANK(M34)),"",IF(AND(N34=0,I34&gt;=$G$14),L34*M34*$U$21,IF(I34&lt;$G$14,SUMIFS(ProgVssDoneAllYears,ProgYearDone,I34),IF(MAX($U$23:$Z$88)&gt;=$G$14,SUMIF(PlanYear,I34,PlanPercent)*VE))))</f>
      </c>
      <c r="P34" s="594"/>
      <c r="Q34" s="806"/>
      <c r="R34" s="99">
        <f>IF(Calculations!AC34=1,"",Calculations!AC34)</f>
      </c>
      <c r="S34" s="99">
        <f>Calculations!AB34</f>
      </c>
      <c r="T34" s="807"/>
      <c r="U34" s="808"/>
      <c r="V34" s="808"/>
      <c r="W34" s="808"/>
      <c r="X34" s="808"/>
      <c r="Y34" s="808"/>
      <c r="Z34" s="808"/>
      <c r="AA34" s="69"/>
      <c r="AB34" s="816">
        <f>IF(ISTEXT(U34),0,IF(U34&lt;Year1,,IF(U34&lt;IF(AND(MONTH($Z$14)&gt;=10,MONTH($Z$14)&lt;=12),YEAR($Z$14)+1,YEAR($Z$14)),,IF(U34&gt;1,Calculations!$AF34/VLOOKUP(U34,Annual_Inputs,3,FALSE)/$AB$21*AB$21,0))))</f>
      </c>
      <c r="AC34" s="817">
        <f>IF(ISTEXT(V34),0,IF(V34&lt;Year1,,IF(V34&lt;IF(AND(MONTH($Z$14)&gt;=10,MONTH($Z$14)&lt;=12),YEAR($Z$14)+1,YEAR($Z$14)),,IF(V34&gt;1,Calculations!$AF34/VLOOKUP(V34,Annual_Inputs,3,FALSE)/$AB$21*AC$21,0))))</f>
      </c>
      <c r="AD34" s="817">
        <f>IF(ISTEXT(W34),0,IF(W34&lt;Year1,,IF(W34&lt;IF(AND(MONTH($Z$14)&gt;=10,MONTH($Z$14)&lt;=12),YEAR($Z$14)+1,YEAR($Z$14)),,IF(W34&gt;1,Calculations!$AF34/VLOOKUP(W34,Annual_Inputs,3,FALSE)/$AB$21*AD$21,0))))</f>
      </c>
      <c r="AE34" s="817">
        <f>IF(ISTEXT(X34),0,IF(X34&lt;Year1,,IF(X34&lt;IF(AND(MONTH($Z$14)&gt;=10,MONTH($Z$14)&lt;=12),YEAR($Z$14)+1,YEAR($Z$14)),,IF(X34&gt;1,Calculations!$AF34/VLOOKUP(X34,Annual_Inputs,3,FALSE)/$AB$21*AE$21,0))))</f>
      </c>
      <c r="AF34" s="817">
        <f>IF(ISTEXT(Y34),0,IF(Y34&lt;Year1,,IF(Y34&lt;IF(AND(MONTH($Z$14)&gt;=10,MONTH($Z$14)&lt;=12),YEAR($Z$14)+1,YEAR($Z$14)),,IF(Y34&gt;1,Calculations!$AF34/VLOOKUP(Y34,Annual_Inputs,3,FALSE)/$AB$21*AF$21,0))))</f>
      </c>
      <c r="AG34" s="818">
        <f>IF(ISTEXT(Z34),0,IF(Z34&lt;Year1,,IF(Z34&lt;IF(AND(MONTH($Z$14)&gt;=10,MONTH($Z$14)&lt;=12),YEAR($Z$14)+1,YEAR($Z$14)),,IF(Z34&gt;1,Calculations!$AF34/VLOOKUP(Z34,Annual_Inputs,3,FALSE)/$AB$21*AG$21,0))))</f>
      </c>
      <c r="AH34" s="812">
        <f>SUM(AB34:AG34)</f>
      </c>
      <c r="AI34" s="819"/>
      <c r="AJ34" s="770">
        <f>IF(MAX($U$23:$Z$88)&gt;I33,SUMIF(PlanYear,I34,PlanPercent),0)</f>
      </c>
      <c r="AK34" s="293"/>
      <c r="AL34" s="215"/>
      <c r="AM34" s="815">
        <f>IF($I30="",0,SUMIF(U$23:U$88,$I30,Calculations!$AF$23:$AF$88))</f>
      </c>
      <c r="AN34" s="815">
        <f>IF($I30="",0,SUMIF(V$23:V$88,$I30,Calculations!$AF$23:$AF$88))</f>
      </c>
      <c r="AO34" s="815">
        <f>IF($I30="",0,SUMIF(W$23:W$88,$I30,Calculations!$AF$23:$AF$88))</f>
      </c>
      <c r="AP34" s="815">
        <f>IF($I30="",0,SUMIF(X$23:X$88,$I30,Calculations!$AF$23:$AF$88))</f>
      </c>
      <c r="AQ34" s="815">
        <f>IF($I30="",0,SUMIF(Y$23:Y$88,$I30,Calculations!$AF$23:$AF$88))</f>
      </c>
      <c r="AR34" s="815">
        <f>IF($I30="",0,SUMIF(Z$23:Z$88,$I30,Calculations!$AF$23:$AF$88))</f>
      </c>
      <c r="AS34" s="227"/>
      <c r="AT34" s="227"/>
      <c r="AU34" s="227"/>
      <c r="AV34" s="227"/>
      <c r="AW34" s="1"/>
      <c r="AX34" s="227"/>
      <c r="AY34" s="227"/>
      <c r="AZ34" s="1"/>
      <c r="BA34" s="227"/>
      <c r="BB34" s="227"/>
      <c r="BC34" s="227"/>
      <c r="BD34" s="1"/>
    </row>
    <row x14ac:dyDescent="0.25" r="35" customHeight="1" ht="13">
      <c r="A35" s="227"/>
      <c r="B35" s="597"/>
      <c r="C35" s="595">
        <f>IF(AND(ISNUMBER(Z$14),G35&lt;Z$14,E35&gt;0),E35,IF(AND(ISNUMBER(Z$14),G35&lt;Z$14),,IF(E35+F34&lt;=0,E35,IF(AND(ISNUMBER(L35),ISNUMBER(M35)),IF(AND(Z$14&gt;1,Z$14&gt;=G35+364),,E35+F34),))))</f>
      </c>
      <c r="D35" s="595">
        <f>IF(AND(G35&gt;=$Z$14,G35&lt;=$AA$15-365),M35,0)</f>
      </c>
      <c r="E35" s="595">
        <f>IF(ISNUMBER(I35),SUMIF($U$23:$Z$88,I35,$AB$23:$AG$88)+SUMIF(PlannedOtherYear,I35,PlannedOtherDays),)</f>
      </c>
      <c r="F35" s="595">
        <f>IF(AND(Z$14&gt;1,Z$14&gt;=G36-1),,E35-M35+F34)</f>
      </c>
      <c r="G35" s="594">
        <f>IF(I35="",1,ROUND((I35-1-1900)*365.25+(365.25*0.752),))</f>
      </c>
      <c r="H35" s="757">
        <v>17</v>
      </c>
      <c r="I35" s="771">
        <f>IF(ISNUMBER(I34),(I34+1),"")</f>
      </c>
      <c r="J35" s="772"/>
      <c r="K35" s="760"/>
      <c r="L35" s="761"/>
      <c r="M35" s="762"/>
      <c r="N35" s="763">
        <f>IF(ISNUMBER(I35),SUMIF($U$23:$Z$88,I35,$AB$23:$AG$88)+SUMIF(PlannedOtherYear,I35,PlannedOtherDays),)</f>
      </c>
      <c r="O35" s="773">
        <f>IF(OR(ISBLANK(L35),ISBLANK(M35)),"",IF(AND(N35=0,I35&gt;=$G$14),L35*M35*$U$21,IF(I35&lt;$G$14,SUMIFS(ProgVssDoneAllYears,ProgYearDone,I35),IF(MAX($U$23:$Z$88)&gt;=$G$14,SUMIF(PlanYear,I35,PlanPercent)*VE))))</f>
      </c>
      <c r="P35" s="594"/>
      <c r="Q35" s="806"/>
      <c r="R35" s="99">
        <f>IF(Calculations!AC35=1,"",Calculations!AC35)</f>
      </c>
      <c r="S35" s="99">
        <f>Calculations!AB35</f>
      </c>
      <c r="T35" s="807"/>
      <c r="U35" s="808"/>
      <c r="V35" s="808"/>
      <c r="W35" s="808"/>
      <c r="X35" s="808"/>
      <c r="Y35" s="808"/>
      <c r="Z35" s="808"/>
      <c r="AA35" s="69"/>
      <c r="AB35" s="816">
        <f>IF(ISTEXT(U35),0,IF(U35&lt;Year1,,IF(U35&lt;IF(AND(MONTH($Z$14)&gt;=10,MONTH($Z$14)&lt;=12),YEAR($Z$14)+1,YEAR($Z$14)),,IF(U35&gt;1,Calculations!$AF35/VLOOKUP(U35,Annual_Inputs,3,FALSE)/$AB$21*AB$21,0))))</f>
      </c>
      <c r="AC35" s="817">
        <f>IF(ISTEXT(V35),0,IF(V35&lt;Year1,,IF(V35&lt;IF(AND(MONTH($Z$14)&gt;=10,MONTH($Z$14)&lt;=12),YEAR($Z$14)+1,YEAR($Z$14)),,IF(V35&gt;1,Calculations!$AF35/VLOOKUP(V35,Annual_Inputs,3,FALSE)/$AB$21*AC$21,0))))</f>
      </c>
      <c r="AD35" s="817">
        <f>IF(ISTEXT(W35),0,IF(W35&lt;Year1,,IF(W35&lt;IF(AND(MONTH($Z$14)&gt;=10,MONTH($Z$14)&lt;=12),YEAR($Z$14)+1,YEAR($Z$14)),,IF(W35&gt;1,Calculations!$AF35/VLOOKUP(W35,Annual_Inputs,3,FALSE)/$AB$21*AD$21,0))))</f>
      </c>
      <c r="AE35" s="817">
        <f>IF(ISTEXT(X35),0,IF(X35&lt;Year1,,IF(X35&lt;IF(AND(MONTH($Z$14)&gt;=10,MONTH($Z$14)&lt;=12),YEAR($Z$14)+1,YEAR($Z$14)),,IF(X35&gt;1,Calculations!$AF35/VLOOKUP(X35,Annual_Inputs,3,FALSE)/$AB$21*AE$21,0))))</f>
      </c>
      <c r="AF35" s="817">
        <f>IF(ISTEXT(Y35),0,IF(Y35&lt;Year1,,IF(Y35&lt;IF(AND(MONTH($Z$14)&gt;=10,MONTH($Z$14)&lt;=12),YEAR($Z$14)+1,YEAR($Z$14)),,IF(Y35&gt;1,Calculations!$AF35/VLOOKUP(Y35,Annual_Inputs,3,FALSE)/$AB$21*AF$21,0))))</f>
      </c>
      <c r="AG35" s="818">
        <f>IF(ISTEXT(Z35),0,IF(Z35&lt;Year1,,IF(Z35&lt;IF(AND(MONTH($Z$14)&gt;=10,MONTH($Z$14)&lt;=12),YEAR($Z$14)+1,YEAR($Z$14)),,IF(Z35&gt;1,Calculations!$AF35/VLOOKUP(Z35,Annual_Inputs,3,FALSE)/$AB$21*AG$21,0))))</f>
      </c>
      <c r="AH35" s="812">
        <f>SUM(AB35:AG35)</f>
      </c>
      <c r="AI35" s="819"/>
      <c r="AJ35" s="770">
        <f>IF(MAX($U$23:$Z$88)&gt;I34,SUMIF(PlanYear,I35,PlanPercent),0)</f>
      </c>
      <c r="AK35" s="293"/>
      <c r="AL35" s="215"/>
      <c r="AM35" s="815">
        <f>IF($I31="",0,SUMIF(U$23:U$88,$I31,Calculations!$AF$23:$AF$88))</f>
      </c>
      <c r="AN35" s="815">
        <f>IF($I31="",0,SUMIF(V$23:V$88,$I31,Calculations!$AF$23:$AF$88))</f>
      </c>
      <c r="AO35" s="815">
        <f>IF($I31="",0,SUMIF(W$23:W$88,$I31,Calculations!$AF$23:$AF$88))</f>
      </c>
      <c r="AP35" s="815">
        <f>IF($I31="",0,SUMIF(X$23:X$88,$I31,Calculations!$AF$23:$AF$88))</f>
      </c>
      <c r="AQ35" s="815">
        <f>IF($I31="",0,SUMIF(Y$23:Y$88,$I31,Calculations!$AF$23:$AF$88))</f>
      </c>
      <c r="AR35" s="815">
        <f>IF($I31="",0,SUMIF(Z$23:Z$88,$I31,Calculations!$AF$23:$AF$88))</f>
      </c>
      <c r="AS35" s="227"/>
      <c r="AT35" s="227"/>
      <c r="AU35" s="227"/>
      <c r="AV35" s="227"/>
      <c r="AW35" s="1"/>
      <c r="AX35" s="227"/>
      <c r="AY35" s="227"/>
      <c r="AZ35" s="1"/>
      <c r="BA35" s="227"/>
      <c r="BB35" s="227"/>
      <c r="BC35" s="227"/>
      <c r="BD35" s="1"/>
    </row>
    <row x14ac:dyDescent="0.25" r="36" customHeight="1" ht="13">
      <c r="A36" s="227"/>
      <c r="B36" s="597"/>
      <c r="C36" s="595">
        <f>IF(AND(ISNUMBER(Z$14),G36&lt;Z$14,E36&gt;0),E36,IF(AND(ISNUMBER(Z$14),G36&lt;Z$14),,IF(E36+F35&lt;=0,E36,IF(AND(ISNUMBER(L36),ISNUMBER(M36)),IF(AND(Z$14&gt;1,Z$14&gt;=G36+364),,E36+F35),))))</f>
      </c>
      <c r="D36" s="595">
        <f>IF(AND(G36&gt;=$Z$14,G36&lt;=$AA$15-365),M36,0)</f>
      </c>
      <c r="E36" s="595">
        <f>IF(ISNUMBER(I36),SUMIF($U$23:$Z$88,I36,$AB$23:$AG$88)+SUMIF(PlannedOtherYear,I36,PlannedOtherDays),)</f>
      </c>
      <c r="F36" s="595">
        <f>IF(AND(Z$14&gt;1,Z$14&gt;=G37-1),,E36-M36+F35)</f>
      </c>
      <c r="G36" s="594">
        <f>IF(I36="",1,ROUND((I36-1-1900)*365.25+(365.25*0.752),))</f>
      </c>
      <c r="H36" s="757">
        <v>18</v>
      </c>
      <c r="I36" s="771">
        <f>IF(ISNUMBER(I35),(I35+1),"")</f>
      </c>
      <c r="J36" s="772"/>
      <c r="K36" s="760"/>
      <c r="L36" s="761"/>
      <c r="M36" s="762"/>
      <c r="N36" s="763">
        <f>IF(ISNUMBER(I36),SUMIF($U$23:$Z$88,I36,$AB$23:$AG$88)+SUMIF(PlannedOtherYear,I36,PlannedOtherDays),)</f>
      </c>
      <c r="O36" s="773">
        <f>IF(OR(ISBLANK(L36),ISBLANK(M36)),"",IF(AND(N36=0,I36&gt;=$G$14),L36*M36*$U$21,IF(I36&lt;$G$14,SUMIFS(ProgVssDoneAllYears,ProgYearDone,I36),IF(MAX($U$23:$Z$88)&gt;=$G$14,SUMIF(PlanYear,I36,PlanPercent)*VE))))</f>
      </c>
      <c r="P36" s="594"/>
      <c r="Q36" s="806"/>
      <c r="R36" s="99">
        <f>IF(Calculations!AC36=1,"",Calculations!AC36)</f>
      </c>
      <c r="S36" s="99">
        <f>Calculations!AB36</f>
      </c>
      <c r="T36" s="807"/>
      <c r="U36" s="808"/>
      <c r="V36" s="808"/>
      <c r="W36" s="808"/>
      <c r="X36" s="808"/>
      <c r="Y36" s="808"/>
      <c r="Z36" s="808"/>
      <c r="AA36" s="69"/>
      <c r="AB36" s="809">
        <f>IF(ISTEXT(U36),0,IF(U36&lt;Year1,,IF(U36&lt;IF(AND(MONTH($Z$14)&gt;=10,MONTH($Z$14)&lt;=12),YEAR($Z$14)+1,YEAR($Z$14)),,IF(U36&gt;1,Calculations!$AF36/VLOOKUP(U36,Annual_Inputs,3,FALSE)/$AB$21*AB$21,0))))</f>
      </c>
      <c r="AC36" s="810">
        <f>IF(ISTEXT(V36),0,IF(V36&lt;Year1,,IF(V36&lt;IF(AND(MONTH($Z$14)&gt;=10,MONTH($Z$14)&lt;=12),YEAR($Z$14)+1,YEAR($Z$14)),,IF(V36&gt;1,Calculations!$AF36/VLOOKUP(V36,Annual_Inputs,3,FALSE)/$AB$21*AC$21,0))))</f>
      </c>
      <c r="AD36" s="810">
        <f>IF(ISTEXT(W36),0,IF(W36&lt;Year1,,IF(W36&lt;IF(AND(MONTH($Z$14)&gt;=10,MONTH($Z$14)&lt;=12),YEAR($Z$14)+1,YEAR($Z$14)),,IF(W36&gt;1,Calculations!$AF36/VLOOKUP(W36,Annual_Inputs,3,FALSE)/$AB$21*AD$21,0))))</f>
      </c>
      <c r="AE36" s="810">
        <f>IF(ISTEXT(X36),0,IF(X36&lt;Year1,,IF(X36&lt;IF(AND(MONTH($Z$14)&gt;=10,MONTH($Z$14)&lt;=12),YEAR($Z$14)+1,YEAR($Z$14)),,IF(X36&gt;1,Calculations!$AF36/VLOOKUP(X36,Annual_Inputs,3,FALSE)/$AB$21*AE$21,0))))</f>
      </c>
      <c r="AF36" s="810">
        <f>IF(ISTEXT(Y36),0,IF(Y36&lt;Year1,,IF(Y36&lt;IF(AND(MONTH($Z$14)&gt;=10,MONTH($Z$14)&lt;=12),YEAR($Z$14)+1,YEAR($Z$14)),,IF(Y36&gt;1,Calculations!$AF36/VLOOKUP(Y36,Annual_Inputs,3,FALSE)/$AB$21*AF$21,0))))</f>
      </c>
      <c r="AG36" s="811">
        <f>IF(ISTEXT(Z36),0,IF(Z36&lt;Year1,,IF(Z36&lt;IF(AND(MONTH($Z$14)&gt;=10,MONTH($Z$14)&lt;=12),YEAR($Z$14)+1,YEAR($Z$14)),,IF(Z36&gt;1,Calculations!$AF36/VLOOKUP(Z36,Annual_Inputs,3,FALSE)/$AB$21*AG$21,0))))</f>
      </c>
      <c r="AH36" s="812">
        <f>SUM(AB36:AG36)</f>
      </c>
      <c r="AI36" s="819"/>
      <c r="AJ36" s="770">
        <f>IF(MAX($U$23:$Z$88)&gt;I35,SUMIF(PlanYear,I36,PlanPercent),0)</f>
      </c>
      <c r="AK36" s="293"/>
      <c r="AL36" s="215"/>
      <c r="AM36" s="815">
        <f>IF($I32="",0,SUMIF(U$23:U$88,$I32,Calculations!$AF$23:$AF$88))</f>
      </c>
      <c r="AN36" s="815">
        <f>IF($I32="",0,SUMIF(V$23:V$88,$I32,Calculations!$AF$23:$AF$88))</f>
      </c>
      <c r="AO36" s="815">
        <f>IF($I32="",0,SUMIF(W$23:W$88,$I32,Calculations!$AF$23:$AF$88))</f>
      </c>
      <c r="AP36" s="815">
        <f>IF($I32="",0,SUMIF(X$23:X$88,$I32,Calculations!$AF$23:$AF$88))</f>
      </c>
      <c r="AQ36" s="815">
        <f>IF($I32="",0,SUMIF(Y$23:Y$88,$I32,Calculations!$AF$23:$AF$88))</f>
      </c>
      <c r="AR36" s="815">
        <f>IF($I32="",0,SUMIF(Z$23:Z$88,$I32,Calculations!$AF$23:$AF$88))</f>
      </c>
      <c r="AS36" s="227"/>
      <c r="AT36" s="227"/>
      <c r="AU36" s="227"/>
      <c r="AV36" s="227"/>
      <c r="AW36" s="1"/>
      <c r="AX36" s="227"/>
      <c r="AY36" s="227"/>
      <c r="AZ36" s="1"/>
      <c r="BA36" s="227"/>
      <c r="BB36" s="227"/>
      <c r="BC36" s="227"/>
      <c r="BD36" s="1"/>
    </row>
    <row x14ac:dyDescent="0.25" r="37" customHeight="1" ht="13">
      <c r="A37" s="227"/>
      <c r="B37" s="597"/>
      <c r="C37" s="595">
        <f>IF(AND(ISNUMBER(Z$14),G37&lt;Z$14,E37&gt;0),E37,IF(AND(ISNUMBER(Z$14),G37&lt;Z$14),,IF(E37+F36&lt;=0,E37,IF(AND(ISNUMBER(L37),ISNUMBER(M37)),IF(AND(Z$14&gt;1,Z$14&gt;=G37+364),,E37+F36),))))</f>
      </c>
      <c r="D37" s="595">
        <f>IF(AND(G37&gt;=$Z$14,G37&lt;=$AA$15-365),M37,0)</f>
      </c>
      <c r="E37" s="595">
        <f>IF(ISNUMBER(I37),SUMIF($U$23:$Z$88,I37,$AB$23:$AG$88)+SUMIF(PlannedOtherYear,I37,PlannedOtherDays),)</f>
      </c>
      <c r="F37" s="595">
        <f>IF(AND(Z$14&gt;1,Z$14&gt;=G38-1),,E37-M37+F36)</f>
      </c>
      <c r="G37" s="594">
        <f>IF(I37="",1,ROUND((I37-1-1900)*365.25+(365.25*0.752),))</f>
      </c>
      <c r="H37" s="757">
        <v>19</v>
      </c>
      <c r="I37" s="771">
        <f>IF(ISNUMBER(I36),(I36+1),"")</f>
      </c>
      <c r="J37" s="772"/>
      <c r="K37" s="760"/>
      <c r="L37" s="761"/>
      <c r="M37" s="762"/>
      <c r="N37" s="763">
        <f>IF(ISNUMBER(I37),SUMIF($U$23:$Z$88,I37,$AB$23:$AG$88)+SUMIF(PlannedOtherYear,I37,PlannedOtherDays),)</f>
      </c>
      <c r="O37" s="773">
        <f>IF(OR(ISBLANK(L37),ISBLANK(M37)),"",IF(AND(N37=0,I37&gt;=$G$14),L37*M37*$U$21,IF(I37&lt;$G$14,SUMIFS(ProgVssDoneAllYears,ProgYearDone,I37),IF(MAX($U$23:$Z$88)&gt;=$G$14,SUMIF(PlanYear,I37,PlanPercent)*VE))))</f>
      </c>
      <c r="P37" s="594"/>
      <c r="Q37" s="806"/>
      <c r="R37" s="99">
        <f>IF(Calculations!AC37=1,"",Calculations!AC37)</f>
      </c>
      <c r="S37" s="99">
        <f>Calculations!AB37</f>
      </c>
      <c r="T37" s="807"/>
      <c r="U37" s="808"/>
      <c r="V37" s="808"/>
      <c r="W37" s="808"/>
      <c r="X37" s="808"/>
      <c r="Y37" s="808"/>
      <c r="Z37" s="808"/>
      <c r="AA37" s="69"/>
      <c r="AB37" s="809">
        <f>IF(ISTEXT(U37),0,IF(U37&lt;Year1,,IF(U37&lt;IF(AND(MONTH($Z$14)&gt;=10,MONTH($Z$14)&lt;=12),YEAR($Z$14)+1,YEAR($Z$14)),,IF(U37&gt;1,Calculations!$AF37/VLOOKUP(U37,Annual_Inputs,3,FALSE)/$AB$21*AB$21,0))))</f>
      </c>
      <c r="AC37" s="810">
        <f>IF(ISTEXT(V37),0,IF(V37&lt;Year1,,IF(V37&lt;IF(AND(MONTH($Z$14)&gt;=10,MONTH($Z$14)&lt;=12),YEAR($Z$14)+1,YEAR($Z$14)),,IF(V37&gt;1,Calculations!$AF37/VLOOKUP(V37,Annual_Inputs,3,FALSE)/$AB$21*AC$21,0))))</f>
      </c>
      <c r="AD37" s="810">
        <f>IF(ISTEXT(W37),0,IF(W37&lt;Year1,,IF(W37&lt;IF(AND(MONTH($Z$14)&gt;=10,MONTH($Z$14)&lt;=12),YEAR($Z$14)+1,YEAR($Z$14)),,IF(W37&gt;1,Calculations!$AF37/VLOOKUP(W37,Annual_Inputs,3,FALSE)/$AB$21*AD$21,0))))</f>
      </c>
      <c r="AE37" s="810">
        <f>IF(ISTEXT(X37),0,IF(X37&lt;Year1,,IF(X37&lt;IF(AND(MONTH($Z$14)&gt;=10,MONTH($Z$14)&lt;=12),YEAR($Z$14)+1,YEAR($Z$14)),,IF(X37&gt;1,Calculations!$AF37/VLOOKUP(X37,Annual_Inputs,3,FALSE)/$AB$21*AE$21,0))))</f>
      </c>
      <c r="AF37" s="810">
        <f>IF(ISTEXT(Y37),0,IF(Y37&lt;Year1,,IF(Y37&lt;IF(AND(MONTH($Z$14)&gt;=10,MONTH($Z$14)&lt;=12),YEAR($Z$14)+1,YEAR($Z$14)),,IF(Y37&gt;1,Calculations!$AF37/VLOOKUP(Y37,Annual_Inputs,3,FALSE)/$AB$21*AF$21,0))))</f>
      </c>
      <c r="AG37" s="811">
        <f>IF(ISTEXT(Z37),0,IF(Z37&lt;Year1,,IF(Z37&lt;IF(AND(MONTH($Z$14)&gt;=10,MONTH($Z$14)&lt;=12),YEAR($Z$14)+1,YEAR($Z$14)),,IF(Z37&gt;1,Calculations!$AF37/VLOOKUP(Z37,Annual_Inputs,3,FALSE)/$AB$21*AG$21,0))))</f>
      </c>
      <c r="AH37" s="812">
        <f>SUM(AB37:AG37)</f>
      </c>
      <c r="AI37" s="819"/>
      <c r="AJ37" s="770">
        <f>IF(MAX($U$23:$Z$88)&gt;I36,SUMIF(PlanYear,I37,PlanPercent),0)</f>
      </c>
      <c r="AK37" s="293"/>
      <c r="AL37" s="215"/>
      <c r="AM37" s="815">
        <f>IF($I33="",0,SUMIF(U$23:U$88,$I33,Calculations!$AF$23:$AF$88))</f>
      </c>
      <c r="AN37" s="815">
        <f>IF($I33="",0,SUMIF(V$23:V$88,$I33,Calculations!$AF$23:$AF$88))</f>
      </c>
      <c r="AO37" s="815">
        <f>IF($I33="",0,SUMIF(W$23:W$88,$I33,Calculations!$AF$23:$AF$88))</f>
      </c>
      <c r="AP37" s="815">
        <f>IF($I33="",0,SUMIF(X$23:X$88,$I33,Calculations!$AF$23:$AF$88))</f>
      </c>
      <c r="AQ37" s="815">
        <f>IF($I33="",0,SUMIF(Y$23:Y$88,$I33,Calculations!$AF$23:$AF$88))</f>
      </c>
      <c r="AR37" s="815">
        <f>IF($I33="",0,SUMIF(Z$23:Z$88,$I33,Calculations!$AF$23:$AF$88))</f>
      </c>
      <c r="AS37" s="227"/>
      <c r="AT37" s="227"/>
      <c r="AU37" s="227"/>
      <c r="AV37" s="227"/>
      <c r="AW37" s="1"/>
      <c r="AX37" s="227"/>
      <c r="AY37" s="227"/>
      <c r="AZ37" s="1"/>
      <c r="BA37" s="227"/>
      <c r="BB37" s="227"/>
      <c r="BC37" s="227"/>
      <c r="BD37" s="1"/>
    </row>
    <row x14ac:dyDescent="0.25" r="38" customHeight="1" ht="13">
      <c r="A38" s="227"/>
      <c r="B38" s="597"/>
      <c r="C38" s="595">
        <f>IF(AND(ISNUMBER(Z$14),G38&lt;Z$14,E38&gt;0),E38,IF(AND(ISNUMBER(Z$14),G38&lt;Z$14),,IF(E38+F37&lt;=0,E38,IF(AND(ISNUMBER(L38),ISNUMBER(M38)),IF(AND(Z$14&gt;1,Z$14&gt;=G38+364),,E38+F37),))))</f>
      </c>
      <c r="D38" s="595">
        <f>IF(AND(G38&gt;=$Z$14,G38&lt;=$AA$15-365),M38,0)</f>
      </c>
      <c r="E38" s="595">
        <f>IF(ISNUMBER(I38),SUMIF($U$23:$Z$88,I38,$AB$23:$AG$88)+SUMIF(PlannedOtherYear,I38,PlannedOtherDays),)</f>
      </c>
      <c r="F38" s="595">
        <f>IF(AND(Z$14&gt;1,Z$14&gt;=G39-1),,E38-M38+F37)</f>
      </c>
      <c r="G38" s="594">
        <f>IF(I38="",1,ROUND((I38-1-1900)*365.25+(365.25*0.752),))</f>
      </c>
      <c r="H38" s="822">
        <v>20</v>
      </c>
      <c r="I38" s="823">
        <f>IF(ISNUMBER(I37),(I37+1),"")</f>
      </c>
      <c r="J38" s="824"/>
      <c r="K38" s="760"/>
      <c r="L38" s="761"/>
      <c r="M38" s="762"/>
      <c r="N38" s="763">
        <f>IF(ISNUMBER(I38),SUMIF($U$23:$Z$88,I38,$AB$23:$AG$88)+SUMIF(PlannedOtherYear,I38,PlannedOtherDays),)</f>
      </c>
      <c r="O38" s="825">
        <f>IF(OR(ISBLANK(L38),ISBLANK(M38)),"",IF(AND(N38=0,I38&gt;=$G$14),L38*M38*$U$21,IF(I38&lt;$G$14,SUMIFS(ProgVssDoneAllYears,ProgYearDone,I38),IF(MAX($U$23:$Z$88)&gt;=$G$14,SUMIF(PlanYear,I38,PlanPercent)*VE))))</f>
      </c>
      <c r="P38" s="594"/>
      <c r="Q38" s="806"/>
      <c r="R38" s="99">
        <f>IF(Calculations!AC38=1,"",Calculations!AC38)</f>
      </c>
      <c r="S38" s="99">
        <f>Calculations!AB38</f>
      </c>
      <c r="T38" s="807"/>
      <c r="U38" s="808"/>
      <c r="V38" s="808"/>
      <c r="W38" s="808"/>
      <c r="X38" s="808"/>
      <c r="Y38" s="808"/>
      <c r="Z38" s="808"/>
      <c r="AA38" s="69"/>
      <c r="AB38" s="816">
        <f>IF(ISTEXT(U38),0,IF(U38&lt;Year1,,IF(U38&lt;IF(AND(MONTH($Z$14)&gt;=10,MONTH($Z$14)&lt;=12),YEAR($Z$14)+1,YEAR($Z$14)),,IF(U38&gt;1,Calculations!$AF38/VLOOKUP(U38,Annual_Inputs,3,FALSE)/$AB$21*AB$21,0))))</f>
      </c>
      <c r="AC38" s="810">
        <f>IF(ISTEXT(V38),0,IF(V38&lt;Year1,,IF(V38&lt;IF(AND(MONTH($Z$14)&gt;=10,MONTH($Z$14)&lt;=12),YEAR($Z$14)+1,YEAR($Z$14)),,IF(V38&gt;1,Calculations!$AF38/VLOOKUP(V38,Annual_Inputs,3,FALSE)/$AB$21*AC$21,0))))</f>
      </c>
      <c r="AD38" s="810">
        <f>IF(ISTEXT(W38),0,IF(W38&lt;Year1,,IF(W38&lt;IF(AND(MONTH($Z$14)&gt;=10,MONTH($Z$14)&lt;=12),YEAR($Z$14)+1,YEAR($Z$14)),,IF(W38&gt;1,Calculations!$AF38/VLOOKUP(W38,Annual_Inputs,3,FALSE)/$AB$21*AD$21,0))))</f>
      </c>
      <c r="AE38" s="810">
        <f>IF(ISTEXT(X38),0,IF(X38&lt;Year1,,IF(X38&lt;IF(AND(MONTH($Z$14)&gt;=10,MONTH($Z$14)&lt;=12),YEAR($Z$14)+1,YEAR($Z$14)),,IF(X38&gt;1,Calculations!$AF38/VLOOKUP(X38,Annual_Inputs,3,FALSE)/$AB$21*AE$21,0))))</f>
      </c>
      <c r="AF38" s="810">
        <f>IF(ISTEXT(Y38),0,IF(Y38&lt;Year1,,IF(Y38&lt;IF(AND(MONTH($Z$14)&gt;=10,MONTH($Z$14)&lt;=12),YEAR($Z$14)+1,YEAR($Z$14)),,IF(Y38&gt;1,Calculations!$AF38/VLOOKUP(Y38,Annual_Inputs,3,FALSE)/$AB$21*AF$21,0))))</f>
      </c>
      <c r="AG38" s="811">
        <f>IF(ISTEXT(Z38),0,IF(Z38&lt;Year1,,IF(Z38&lt;IF(AND(MONTH($Z$14)&gt;=10,MONTH($Z$14)&lt;=12),YEAR($Z$14)+1,YEAR($Z$14)),,IF(Z38&gt;1,Calculations!$AF38/VLOOKUP(Z38,Annual_Inputs,3,FALSE)/$AB$21*AG$21,0))))</f>
      </c>
      <c r="AH38" s="812">
        <f>SUM(AB38:AG38)</f>
      </c>
      <c r="AI38" s="819"/>
      <c r="AJ38" s="770">
        <f>IF(MAX($U$23:$Z$88)&gt;I37,SUMIF(PlanYear,I38,PlanPercent),0)</f>
      </c>
      <c r="AK38" s="293"/>
      <c r="AL38" s="215"/>
      <c r="AM38" s="815">
        <f>IF($I34="",0,SUMIF(U$23:U$88,$I34,Calculations!$AF$23:$AF$88))</f>
      </c>
      <c r="AN38" s="815">
        <f>IF($I34="",0,SUMIF(V$23:V$88,$I34,Calculations!$AF$23:$AF$88))</f>
      </c>
      <c r="AO38" s="815">
        <f>IF($I34="",0,SUMIF(W$23:W$88,$I34,Calculations!$AF$23:$AF$88))</f>
      </c>
      <c r="AP38" s="815">
        <f>IF($I34="",0,SUMIF(X$23:X$88,$I34,Calculations!$AF$23:$AF$88))</f>
      </c>
      <c r="AQ38" s="815">
        <f>IF($I34="",0,SUMIF(Y$23:Y$88,$I34,Calculations!$AF$23:$AF$88))</f>
      </c>
      <c r="AR38" s="815">
        <f>IF($I34="",0,SUMIF(Z$23:Z$88,$I34,Calculations!$AF$23:$AF$88))</f>
      </c>
      <c r="AS38" s="227"/>
      <c r="AT38" s="227"/>
      <c r="AU38" s="227"/>
      <c r="AV38" s="227"/>
      <c r="AW38" s="1"/>
      <c r="AX38" s="227"/>
      <c r="AY38" s="227"/>
      <c r="AZ38" s="1"/>
      <c r="BA38" s="227"/>
      <c r="BB38" s="227"/>
      <c r="BC38" s="227"/>
      <c r="BD38" s="677"/>
    </row>
    <row x14ac:dyDescent="0.25" r="39" customHeight="1" ht="13">
      <c r="A39" s="227"/>
      <c r="B39" s="1"/>
      <c r="C39" s="5"/>
      <c r="D39" s="595">
        <f>COUNTIF(D19:D38,"&gt;0")</f>
      </c>
      <c r="E39" s="594"/>
      <c r="F39" s="596"/>
      <c r="G39" s="596"/>
      <c r="H39" s="826" t="s">
        <v>344</v>
      </c>
      <c r="I39" s="827"/>
      <c r="J39" s="828"/>
      <c r="K39" s="828"/>
      <c r="L39" s="829"/>
      <c r="M39" s="830"/>
      <c r="N39" s="831">
        <f>IF(AH99=0,"",IF(ISERROR(AH99),"",AH99))</f>
      </c>
      <c r="O39" s="832">
        <f>SUMIFS(O19:O38,I19:I38,"&gt;="&amp;$G$14,C19:C38,"&gt;"&amp;0,I19:I38,"&lt;="&amp;$G$15)</f>
      </c>
      <c r="P39" s="600"/>
      <c r="Q39" s="806"/>
      <c r="R39" s="99">
        <f>IF(Calculations!AC39=1,"",Calculations!AC39)</f>
      </c>
      <c r="S39" s="99">
        <f>Calculations!AB39</f>
      </c>
      <c r="T39" s="807"/>
      <c r="U39" s="808"/>
      <c r="V39" s="808"/>
      <c r="W39" s="808"/>
      <c r="X39" s="808"/>
      <c r="Y39" s="808"/>
      <c r="Z39" s="808"/>
      <c r="AA39" s="69"/>
      <c r="AB39" s="816">
        <f>IF(ISTEXT(U39),0,IF(U39&lt;Year1,,IF(U39&lt;IF(AND(MONTH($Z$14)&gt;=10,MONTH($Z$14)&lt;=12),YEAR($Z$14)+1,YEAR($Z$14)),,IF(U39&gt;1,Calculations!$AF39/VLOOKUP(U39,Annual_Inputs,3,FALSE)/$AB$21*AB$21,0))))</f>
      </c>
      <c r="AC39" s="810">
        <f>IF(ISTEXT(V39),0,IF(V39&lt;Year1,,IF(V39&lt;IF(AND(MONTH($Z$14)&gt;=10,MONTH($Z$14)&lt;=12),YEAR($Z$14)+1,YEAR($Z$14)),,IF(V39&gt;1,Calculations!$AF39/VLOOKUP(V39,Annual_Inputs,3,FALSE)/$AB$21*AC$21,0))))</f>
      </c>
      <c r="AD39" s="810">
        <f>IF(ISTEXT(W39),0,IF(W39&lt;Year1,,IF(W39&lt;IF(AND(MONTH($Z$14)&gt;=10,MONTH($Z$14)&lt;=12),YEAR($Z$14)+1,YEAR($Z$14)),,IF(W39&gt;1,Calculations!$AF39/VLOOKUP(W39,Annual_Inputs,3,FALSE)/$AB$21*AD$21,0))))</f>
      </c>
      <c r="AE39" s="810">
        <f>IF(ISTEXT(X39),0,IF(X39&lt;Year1,,IF(X39&lt;IF(AND(MONTH($Z$14)&gt;=10,MONTH($Z$14)&lt;=12),YEAR($Z$14)+1,YEAR($Z$14)),,IF(X39&gt;1,Calculations!$AF39/VLOOKUP(X39,Annual_Inputs,3,FALSE)/$AB$21*AE$21,0))))</f>
      </c>
      <c r="AF39" s="810">
        <f>IF(ISTEXT(Y39),0,IF(Y39&lt;Year1,,IF(Y39&lt;IF(AND(MONTH($Z$14)&gt;=10,MONTH($Z$14)&lt;=12),YEAR($Z$14)+1,YEAR($Z$14)),,IF(Y39&gt;1,Calculations!$AF39/VLOOKUP(Y39,Annual_Inputs,3,FALSE)/$AB$21*AF$21,0))))</f>
      </c>
      <c r="AG39" s="811">
        <f>IF(ISTEXT(Z39),0,IF(Z39&lt;Year1,,IF(Z39&lt;IF(AND(MONTH($Z$14)&gt;=10,MONTH($Z$14)&lt;=12),YEAR($Z$14)+1,YEAR($Z$14)),,IF(Z39&gt;1,Calculations!$AF39/VLOOKUP(Z39,Annual_Inputs,3,FALSE)/$AB$21*AG$21,0))))</f>
      </c>
      <c r="AH39" s="812">
        <f>SUM(AB39:AG39)</f>
      </c>
      <c r="AI39" s="819"/>
      <c r="AJ39" s="599"/>
      <c r="AK39" s="293"/>
      <c r="AL39" s="215"/>
      <c r="AM39" s="815">
        <f>IF($I35="",0,SUMIF(U$23:U$88,$I35,Calculations!$AF$23:$AF$88))</f>
      </c>
      <c r="AN39" s="815">
        <f>IF($I35="",0,SUMIF(V$23:V$88,$I35,Calculations!$AF$23:$AF$88))</f>
      </c>
      <c r="AO39" s="815">
        <f>IF($I35="",0,SUMIF(W$23:W$88,$I35,Calculations!$AF$23:$AF$88))</f>
      </c>
      <c r="AP39" s="815">
        <f>IF($I35="",0,SUMIF(X$23:X$88,$I35,Calculations!$AF$23:$AF$88))</f>
      </c>
      <c r="AQ39" s="815">
        <f>IF($I35="",0,SUMIF(Y$23:Y$88,$I35,Calculations!$AF$23:$AF$88))</f>
      </c>
      <c r="AR39" s="815">
        <f>IF($I35="",0,SUMIF(Z$23:Z$88,$I35,Calculations!$AF$23:$AF$88))</f>
      </c>
      <c r="AS39" s="227"/>
      <c r="AT39" s="227"/>
      <c r="AU39" s="227"/>
      <c r="AV39" s="227"/>
      <c r="AW39" s="1"/>
      <c r="AX39" s="227"/>
      <c r="AY39" s="227"/>
      <c r="AZ39" s="1"/>
      <c r="BA39" s="227"/>
      <c r="BB39" s="227"/>
      <c r="BC39" s="227"/>
      <c r="BD39" s="677"/>
    </row>
    <row x14ac:dyDescent="0.25" r="40" customHeight="1" ht="13">
      <c r="A40" s="227"/>
      <c r="B40" s="1"/>
      <c r="C40" s="5"/>
      <c r="D40" s="595">
        <f>IF(ISERROR(SUM(D19:D38)/D39),0,SUM(D19:D38)/D39)</f>
      </c>
      <c r="E40" s="5"/>
      <c r="F40" s="594"/>
      <c r="G40" s="596"/>
      <c r="H40" s="833" t="s">
        <v>345</v>
      </c>
      <c r="I40" s="834"/>
      <c r="J40" s="835"/>
      <c r="K40" s="835"/>
      <c r="L40" s="836"/>
      <c r="M40" s="837"/>
      <c r="N40" s="838">
        <f>IF(OR(ISERROR(AH98),N39=""),"",IF(ISNUMBER(Z14),Z14+(N39*365.25-2),Z13+(N39*365.25-2)))</f>
        <v>25568.791666666668</v>
      </c>
      <c r="O40" s="839"/>
      <c r="P40" s="600"/>
      <c r="Q40" s="806"/>
      <c r="R40" s="99">
        <f>IF(Calculations!AC40=1,"",Calculations!AC40)</f>
      </c>
      <c r="S40" s="99">
        <f>Calculations!AB40</f>
      </c>
      <c r="T40" s="807"/>
      <c r="U40" s="808"/>
      <c r="V40" s="808"/>
      <c r="W40" s="808"/>
      <c r="X40" s="808"/>
      <c r="Y40" s="808"/>
      <c r="Z40" s="808"/>
      <c r="AA40" s="69"/>
      <c r="AB40" s="816">
        <f>IF(ISTEXT(U40),0,IF(U40&lt;Year1,,IF(U40&lt;IF(AND(MONTH($Z$14)&gt;=10,MONTH($Z$14)&lt;=12),YEAR($Z$14)+1,YEAR($Z$14)),,IF(U40&gt;1,Calculations!$AF40/VLOOKUP(U40,Annual_Inputs,3,FALSE)/$AB$21*AB$21,0))))</f>
      </c>
      <c r="AC40" s="810">
        <f>IF(ISTEXT(V40),0,IF(V40&lt;Year1,,IF(V40&lt;IF(AND(MONTH($Z$14)&gt;=10,MONTH($Z$14)&lt;=12),YEAR($Z$14)+1,YEAR($Z$14)),,IF(V40&gt;1,Calculations!$AF40/VLOOKUP(V40,Annual_Inputs,3,FALSE)/$AB$21*AC$21,0))))</f>
      </c>
      <c r="AD40" s="810">
        <f>IF(ISTEXT(W40),0,IF(W40&lt;Year1,,IF(W40&lt;IF(AND(MONTH($Z$14)&gt;=10,MONTH($Z$14)&lt;=12),YEAR($Z$14)+1,YEAR($Z$14)),,IF(W40&gt;1,Calculations!$AF40/VLOOKUP(W40,Annual_Inputs,3,FALSE)/$AB$21*AD$21,0))))</f>
      </c>
      <c r="AE40" s="810">
        <f>IF(ISTEXT(X40),0,IF(X40&lt;Year1,,IF(X40&lt;IF(AND(MONTH($Z$14)&gt;=10,MONTH($Z$14)&lt;=12),YEAR($Z$14)+1,YEAR($Z$14)),,IF(X40&gt;1,Calculations!$AF40/VLOOKUP(X40,Annual_Inputs,3,FALSE)/$AB$21*AE$21,0))))</f>
      </c>
      <c r="AF40" s="810">
        <f>IF(ISTEXT(Y40),0,IF(Y40&lt;Year1,,IF(Y40&lt;IF(AND(MONTH($Z$14)&gt;=10,MONTH($Z$14)&lt;=12),YEAR($Z$14)+1,YEAR($Z$14)),,IF(Y40&gt;1,Calculations!$AF40/VLOOKUP(Y40,Annual_Inputs,3,FALSE)/$AB$21*AF$21,0))))</f>
      </c>
      <c r="AG40" s="811">
        <f>IF(ISTEXT(Z40),0,IF(Z40&lt;Year1,,IF(Z40&lt;IF(AND(MONTH($Z$14)&gt;=10,MONTH($Z$14)&lt;=12),YEAR($Z$14)+1,YEAR($Z$14)),,IF(Z40&gt;1,Calculations!$AF40/VLOOKUP(Z40,Annual_Inputs,3,FALSE)/$AB$21*AG$21,0))))</f>
      </c>
      <c r="AH40" s="812">
        <f>SUM(AB40:AG40)</f>
      </c>
      <c r="AI40" s="819"/>
      <c r="AJ40" s="599"/>
      <c r="AK40" s="293"/>
      <c r="AL40" s="215"/>
      <c r="AM40" s="815">
        <f>IF($I36="",0,SUMIF(U$23:U$88,$I36,Calculations!$AF$23:$AF$88))</f>
      </c>
      <c r="AN40" s="815">
        <f>IF($I36="",0,SUMIF(V$23:V$88,$I36,Calculations!$AF$23:$AF$88))</f>
      </c>
      <c r="AO40" s="815">
        <f>IF($I36="",0,SUMIF(W$23:W$88,$I36,Calculations!$AF$23:$AF$88))</f>
      </c>
      <c r="AP40" s="815">
        <f>IF($I36="",0,SUMIF(X$23:X$88,$I36,Calculations!$AF$23:$AF$88))</f>
      </c>
      <c r="AQ40" s="815">
        <f>IF($I36="",0,SUMIF(Y$23:Y$88,$I36,Calculations!$AF$23:$AF$88))</f>
      </c>
      <c r="AR40" s="815">
        <f>IF($I36="",0,SUMIF(Z$23:Z$88,$I36,Calculations!$AF$23:$AF$88))</f>
      </c>
      <c r="AS40" s="227"/>
      <c r="AT40" s="227"/>
      <c r="AU40" s="227"/>
      <c r="AV40" s="227"/>
      <c r="AW40" s="1"/>
      <c r="AX40" s="227"/>
      <c r="AY40" s="227"/>
      <c r="AZ40" s="1"/>
      <c r="BA40" s="227"/>
      <c r="BB40" s="227"/>
      <c r="BC40" s="227"/>
      <c r="BD40" s="1"/>
    </row>
    <row x14ac:dyDescent="0.25" r="41" customHeight="1" ht="13">
      <c r="A41" s="227"/>
      <c r="B41" s="1"/>
      <c r="C41" s="5"/>
      <c r="D41" s="593"/>
      <c r="E41" s="5"/>
      <c r="F41" s="596"/>
      <c r="G41" s="596"/>
      <c r="H41" s="840"/>
      <c r="I41" s="841"/>
      <c r="J41" s="842"/>
      <c r="K41" s="842"/>
      <c r="L41" s="843"/>
      <c r="M41" s="841"/>
      <c r="N41" s="844"/>
      <c r="O41" s="845"/>
      <c r="P41" s="215"/>
      <c r="Q41" s="806"/>
      <c r="R41" s="99">
        <f>IF(Calculations!AC41=1,"",Calculations!AC41)</f>
      </c>
      <c r="S41" s="99">
        <f>Calculations!AB41</f>
      </c>
      <c r="T41" s="807"/>
      <c r="U41" s="808"/>
      <c r="V41" s="808"/>
      <c r="W41" s="808"/>
      <c r="X41" s="808"/>
      <c r="Y41" s="808"/>
      <c r="Z41" s="808"/>
      <c r="AA41" s="69"/>
      <c r="AB41" s="816">
        <f>IF(ISTEXT(U41),0,IF(U41&lt;Year1,,IF(U41&lt;IF(AND(MONTH($Z$14)&gt;=10,MONTH($Z$14)&lt;=12),YEAR($Z$14)+1,YEAR($Z$14)),,IF(U41&gt;1,Calculations!$AF41/VLOOKUP(U41,Annual_Inputs,3,FALSE)/$AB$21*AB$21,0))))</f>
      </c>
      <c r="AC41" s="810">
        <f>IF(ISTEXT(V41),0,IF(V41&lt;Year1,,IF(V41&lt;IF(AND(MONTH($Z$14)&gt;=10,MONTH($Z$14)&lt;=12),YEAR($Z$14)+1,YEAR($Z$14)),,IF(V41&gt;1,Calculations!$AF41/VLOOKUP(V41,Annual_Inputs,3,FALSE)/$AB$21*AC$21,0))))</f>
      </c>
      <c r="AD41" s="810">
        <f>IF(ISTEXT(W41),0,IF(W41&lt;Year1,,IF(W41&lt;IF(AND(MONTH($Z$14)&gt;=10,MONTH($Z$14)&lt;=12),YEAR($Z$14)+1,YEAR($Z$14)),,IF(W41&gt;1,Calculations!$AF41/VLOOKUP(W41,Annual_Inputs,3,FALSE)/$AB$21*AD$21,0))))</f>
      </c>
      <c r="AE41" s="810">
        <f>IF(ISTEXT(X41),0,IF(X41&lt;Year1,,IF(X41&lt;IF(AND(MONTH($Z$14)&gt;=10,MONTH($Z$14)&lt;=12),YEAR($Z$14)+1,YEAR($Z$14)),,IF(X41&gt;1,Calculations!$AF41/VLOOKUP(X41,Annual_Inputs,3,FALSE)/$AB$21*AE$21,0))))</f>
      </c>
      <c r="AF41" s="810">
        <f>IF(ISTEXT(Y41),0,IF(Y41&lt;Year1,,IF(Y41&lt;IF(AND(MONTH($Z$14)&gt;=10,MONTH($Z$14)&lt;=12),YEAR($Z$14)+1,YEAR($Z$14)),,IF(Y41&gt;1,Calculations!$AF41/VLOOKUP(Y41,Annual_Inputs,3,FALSE)/$AB$21*AF$21,0))))</f>
      </c>
      <c r="AG41" s="811">
        <f>IF(ISTEXT(Z41),0,IF(Z41&lt;Year1,,IF(Z41&lt;IF(AND(MONTH($Z$14)&gt;=10,MONTH($Z$14)&lt;=12),YEAR($Z$14)+1,YEAR($Z$14)),,IF(Z41&gt;1,Calculations!$AF41/VLOOKUP(Z41,Annual_Inputs,3,FALSE)/$AB$21*AG$21,0))))</f>
      </c>
      <c r="AH41" s="812">
        <f>SUM(AB41:AG41)</f>
      </c>
      <c r="AI41" s="819"/>
      <c r="AJ41" s="599"/>
      <c r="AK41" s="293"/>
      <c r="AL41" s="215"/>
      <c r="AM41" s="815">
        <f>IF($I37="",0,SUMIF(U$23:U$88,$I37,Calculations!$AF$23:$AF$88))</f>
      </c>
      <c r="AN41" s="815">
        <f>IF($I37="",0,SUMIF(V$23:V$88,$I37,Calculations!$AF$23:$AF$88))</f>
      </c>
      <c r="AO41" s="815">
        <f>IF($I37="",0,SUMIF(W$23:W$88,$I37,Calculations!$AF$23:$AF$88))</f>
      </c>
      <c r="AP41" s="815">
        <f>IF($I37="",0,SUMIF(X$23:X$88,$I37,Calculations!$AF$23:$AF$88))</f>
      </c>
      <c r="AQ41" s="815">
        <f>IF($I37="",0,SUMIF(Y$23:Y$88,$I37,Calculations!$AF$23:$AF$88))</f>
      </c>
      <c r="AR41" s="815">
        <f>IF($I37="",0,SUMIF(Z$23:Z$88,$I37,Calculations!$AF$23:$AF$88))</f>
      </c>
      <c r="AS41" s="227"/>
      <c r="AT41" s="227"/>
      <c r="AU41" s="227"/>
      <c r="AV41" s="227"/>
      <c r="AW41" s="1"/>
      <c r="AX41" s="227"/>
      <c r="AY41" s="227"/>
      <c r="AZ41" s="1"/>
      <c r="BA41" s="227"/>
      <c r="BB41" s="227"/>
      <c r="BC41" s="227"/>
      <c r="BD41" s="1"/>
    </row>
    <row x14ac:dyDescent="0.25" r="42" customHeight="1" ht="13">
      <c r="A42" s="227"/>
      <c r="B42" s="1"/>
      <c r="C42" s="601"/>
      <c r="D42" s="593"/>
      <c r="E42" s="5"/>
      <c r="F42" s="596"/>
      <c r="G42" s="596"/>
      <c r="H42" s="3"/>
      <c r="I42" s="3"/>
      <c r="J42" s="1"/>
      <c r="K42" s="1"/>
      <c r="L42" s="2"/>
      <c r="M42" s="3"/>
      <c r="N42" s="333"/>
      <c r="O42" s="6"/>
      <c r="P42" s="600"/>
      <c r="Q42" s="806"/>
      <c r="R42" s="99">
        <f>IF(Calculations!AC42=1,"",Calculations!AC42)</f>
      </c>
      <c r="S42" s="99">
        <f>Calculations!AB42</f>
      </c>
      <c r="T42" s="807"/>
      <c r="U42" s="808"/>
      <c r="V42" s="808"/>
      <c r="W42" s="808"/>
      <c r="X42" s="808"/>
      <c r="Y42" s="808"/>
      <c r="Z42" s="808"/>
      <c r="AA42" s="69"/>
      <c r="AB42" s="809">
        <f>IF(ISTEXT(U42),0,IF(U42&lt;Year1,,IF(U42&lt;IF(AND(MONTH($Z$14)&gt;=10,MONTH($Z$14)&lt;=12),YEAR($Z$14)+1,YEAR($Z$14)),,IF(U42&gt;1,Calculations!$AF42/VLOOKUP(U42,Annual_Inputs,3,FALSE)/$AB$21*AB$21,0))))</f>
      </c>
      <c r="AC42" s="810">
        <f>IF(ISTEXT(V42),0,IF(V42&lt;Year1,,IF(V42&lt;IF(AND(MONTH($Z$14)&gt;=10,MONTH($Z$14)&lt;=12),YEAR($Z$14)+1,YEAR($Z$14)),,IF(V42&gt;1,Calculations!$AF42/VLOOKUP(V42,Annual_Inputs,3,FALSE)/$AB$21*AC$21,0))))</f>
      </c>
      <c r="AD42" s="810">
        <f>IF(ISTEXT(W42),0,IF(W42&lt;Year1,,IF(W42&lt;IF(AND(MONTH($Z$14)&gt;=10,MONTH($Z$14)&lt;=12),YEAR($Z$14)+1,YEAR($Z$14)),,IF(W42&gt;1,Calculations!$AF42/VLOOKUP(W42,Annual_Inputs,3,FALSE)/$AB$21*AD$21,0))))</f>
      </c>
      <c r="AE42" s="810">
        <f>IF(ISTEXT(X42),0,IF(X42&lt;Year1,,IF(X42&lt;IF(AND(MONTH($Z$14)&gt;=10,MONTH($Z$14)&lt;=12),YEAR($Z$14)+1,YEAR($Z$14)),,IF(X42&gt;1,Calculations!$AF42/VLOOKUP(X42,Annual_Inputs,3,FALSE)/$AB$21*AE$21,0))))</f>
      </c>
      <c r="AF42" s="810">
        <f>IF(ISTEXT(Y42),0,IF(Y42&lt;Year1,,IF(Y42&lt;IF(AND(MONTH($Z$14)&gt;=10,MONTH($Z$14)&lt;=12),YEAR($Z$14)+1,YEAR($Z$14)),,IF(Y42&gt;1,Calculations!$AF42/VLOOKUP(Y42,Annual_Inputs,3,FALSE)/$AB$21*AF$21,0))))</f>
      </c>
      <c r="AG42" s="811">
        <f>IF(ISTEXT(Z42),0,IF(Z42&lt;Year1,,IF(Z42&lt;IF(AND(MONTH($Z$14)&gt;=10,MONTH($Z$14)&lt;=12),YEAR($Z$14)+1,YEAR($Z$14)),,IF(Z42&gt;1,Calculations!$AF42/VLOOKUP(Z42,Annual_Inputs,3,FALSE)/$AB$21*AG$21,0))))</f>
      </c>
      <c r="AH42" s="812">
        <f>SUM(AB42:AG42)</f>
      </c>
      <c r="AI42" s="819"/>
      <c r="AJ42" s="599"/>
      <c r="AK42" s="293"/>
      <c r="AL42" s="215"/>
      <c r="AM42" s="815">
        <f>IF($I38="",0,SUMIF(U$23:U$88,$I38,Calculations!$AF$23:$AF$88))</f>
      </c>
      <c r="AN42" s="815">
        <f>IF($I38="",0,SUMIF(V$23:V$88,$I38,Calculations!$AF$23:$AF$88))</f>
      </c>
      <c r="AO42" s="815">
        <f>IF($I38="",0,SUMIF(W$23:W$88,$I38,Calculations!$AF$23:$AF$88))</f>
      </c>
      <c r="AP42" s="815">
        <f>IF($I38="",0,SUMIF(X$23:X$88,$I38,Calculations!$AF$23:$AF$88))</f>
      </c>
      <c r="AQ42" s="815">
        <f>IF($I38="",0,SUMIF(Y$23:Y$88,$I38,Calculations!$AF$23:$AF$88))</f>
      </c>
      <c r="AR42" s="815">
        <f>IF($I38="",0,SUMIF(Z$23:Z$88,$I38,Calculations!$AF$23:$AF$88))</f>
      </c>
      <c r="AS42" s="227"/>
      <c r="AT42" s="227"/>
      <c r="AU42" s="227"/>
      <c r="AV42" s="227"/>
      <c r="AW42" s="597"/>
      <c r="AX42" s="227"/>
      <c r="AY42" s="227"/>
      <c r="AZ42" s="597"/>
      <c r="BA42" s="227"/>
      <c r="BB42" s="227"/>
      <c r="BC42" s="227"/>
      <c r="BD42" s="1"/>
    </row>
    <row x14ac:dyDescent="0.25" r="43" customHeight="1" ht="13">
      <c r="A43" s="227"/>
      <c r="B43" s="1"/>
      <c r="C43" s="5"/>
      <c r="D43" s="593"/>
      <c r="E43" s="5"/>
      <c r="F43" s="596"/>
      <c r="G43" s="7"/>
      <c r="H43" s="3"/>
      <c r="I43" s="3"/>
      <c r="J43" s="1"/>
      <c r="K43" s="1"/>
      <c r="L43" s="2"/>
      <c r="M43" s="3"/>
      <c r="N43" s="333"/>
      <c r="O43" s="6"/>
      <c r="P43" s="600"/>
      <c r="Q43" s="806"/>
      <c r="R43" s="99">
        <f>IF(Calculations!AC43=1,"",Calculations!AC43)</f>
      </c>
      <c r="S43" s="99">
        <f>Calculations!AB43</f>
      </c>
      <c r="T43" s="807"/>
      <c r="U43" s="808"/>
      <c r="V43" s="808"/>
      <c r="W43" s="808"/>
      <c r="X43" s="808"/>
      <c r="Y43" s="808"/>
      <c r="Z43" s="808"/>
      <c r="AA43" s="69"/>
      <c r="AB43" s="809">
        <f>IF(ISTEXT(U43),0,IF(U43&lt;Year1,,IF(U43&lt;IF(AND(MONTH($Z$14)&gt;=10,MONTH($Z$14)&lt;=12),YEAR($Z$14)+1,YEAR($Z$14)),,IF(U43&gt;1,Calculations!$AF43/VLOOKUP(U43,Annual_Inputs,3,FALSE)/$AB$21*AB$21,0))))</f>
      </c>
      <c r="AC43" s="810">
        <f>IF(ISTEXT(V43),0,IF(V43&lt;Year1,,IF(V43&lt;IF(AND(MONTH($Z$14)&gt;=10,MONTH($Z$14)&lt;=12),YEAR($Z$14)+1,YEAR($Z$14)),,IF(V43&gt;1,Calculations!$AF43/VLOOKUP(V43,Annual_Inputs,3,FALSE)/$AB$21*AC$21,0))))</f>
      </c>
      <c r="AD43" s="810">
        <f>IF(ISTEXT(W43),0,IF(W43&lt;Year1,,IF(W43&lt;IF(AND(MONTH($Z$14)&gt;=10,MONTH($Z$14)&lt;=12),YEAR($Z$14)+1,YEAR($Z$14)),,IF(W43&gt;1,Calculations!$AF43/VLOOKUP(W43,Annual_Inputs,3,FALSE)/$AB$21*AD$21,0))))</f>
      </c>
      <c r="AE43" s="810">
        <f>IF(ISTEXT(X43),0,IF(X43&lt;Year1,,IF(X43&lt;IF(AND(MONTH($Z$14)&gt;=10,MONTH($Z$14)&lt;=12),YEAR($Z$14)+1,YEAR($Z$14)),,IF(X43&gt;1,Calculations!$AF43/VLOOKUP(X43,Annual_Inputs,3,FALSE)/$AB$21*AE$21,0))))</f>
      </c>
      <c r="AF43" s="810">
        <f>IF(ISTEXT(Y43),0,IF(Y43&lt;Year1,,IF(Y43&lt;IF(AND(MONTH($Z$14)&gt;=10,MONTH($Z$14)&lt;=12),YEAR($Z$14)+1,YEAR($Z$14)),,IF(Y43&gt;1,Calculations!$AF43/VLOOKUP(Y43,Annual_Inputs,3,FALSE)/$AB$21*AF$21,0))))</f>
      </c>
      <c r="AG43" s="811">
        <f>IF(ISTEXT(Z43),0,IF(Z43&lt;Year1,,IF(Z43&lt;IF(AND(MONTH($Z$14)&gt;=10,MONTH($Z$14)&lt;=12),YEAR($Z$14)+1,YEAR($Z$14)),,IF(Z43&gt;1,Calculations!$AF43/VLOOKUP(Z43,Annual_Inputs,3,FALSE)/$AB$21*AG$21,0))))</f>
      </c>
      <c r="AH43" s="812">
        <f>SUM(AB43:AG43)</f>
      </c>
      <c r="AI43" s="819"/>
      <c r="AJ43" s="599"/>
      <c r="AK43" s="293"/>
      <c r="AL43" s="215"/>
      <c r="AM43" s="3"/>
      <c r="AN43" s="3"/>
      <c r="AO43" s="3"/>
      <c r="AP43" s="3"/>
      <c r="AQ43" s="3"/>
      <c r="AR43" s="3"/>
      <c r="AS43" s="227"/>
      <c r="AT43" s="227"/>
      <c r="AU43" s="227"/>
      <c r="AV43" s="227"/>
      <c r="AW43" s="1"/>
      <c r="AX43" s="227"/>
      <c r="AY43" s="227"/>
      <c r="AZ43" s="1"/>
      <c r="BA43" s="227"/>
      <c r="BB43" s="227"/>
      <c r="BC43" s="227"/>
      <c r="BD43" s="1"/>
    </row>
    <row x14ac:dyDescent="0.25" r="44" customHeight="1" ht="13">
      <c r="A44" s="227"/>
      <c r="B44" s="1"/>
      <c r="C44" s="5"/>
      <c r="D44" s="593"/>
      <c r="E44" s="5"/>
      <c r="F44" s="596"/>
      <c r="G44" s="7"/>
      <c r="H44" s="3"/>
      <c r="I44" s="3"/>
      <c r="J44" s="1"/>
      <c r="K44" s="1"/>
      <c r="L44" s="2"/>
      <c r="M44" s="3"/>
      <c r="N44" s="333"/>
      <c r="O44" s="6"/>
      <c r="P44" s="600"/>
      <c r="Q44" s="806"/>
      <c r="R44" s="99">
        <f>IF(Calculations!AC44=1,"",Calculations!AC44)</f>
      </c>
      <c r="S44" s="99">
        <f>Calculations!AB44</f>
      </c>
      <c r="T44" s="807"/>
      <c r="U44" s="808"/>
      <c r="V44" s="808"/>
      <c r="W44" s="808"/>
      <c r="X44" s="808"/>
      <c r="Y44" s="808"/>
      <c r="Z44" s="808"/>
      <c r="AA44" s="69"/>
      <c r="AB44" s="809">
        <f>IF(ISTEXT(U44),0,IF(U44&lt;Year1,,IF(U44&lt;IF(AND(MONTH($Z$14)&gt;=10,MONTH($Z$14)&lt;=12),YEAR($Z$14)+1,YEAR($Z$14)),,IF(U44&gt;1,Calculations!$AF44/VLOOKUP(U44,Annual_Inputs,3,FALSE)/$AB$21*AB$21,0))))</f>
      </c>
      <c r="AC44" s="810">
        <f>IF(ISTEXT(V44),0,IF(V44&lt;Year1,,IF(V44&lt;IF(AND(MONTH($Z$14)&gt;=10,MONTH($Z$14)&lt;=12),YEAR($Z$14)+1,YEAR($Z$14)),,IF(V44&gt;1,Calculations!$AF44/VLOOKUP(V44,Annual_Inputs,3,FALSE)/$AB$21*AC$21,0))))</f>
      </c>
      <c r="AD44" s="810">
        <f>IF(ISTEXT(W44),0,IF(W44&lt;Year1,,IF(W44&lt;IF(AND(MONTH($Z$14)&gt;=10,MONTH($Z$14)&lt;=12),YEAR($Z$14)+1,YEAR($Z$14)),,IF(W44&gt;1,Calculations!$AF44/VLOOKUP(W44,Annual_Inputs,3,FALSE)/$AB$21*AD$21,0))))</f>
      </c>
      <c r="AE44" s="810">
        <f>IF(ISTEXT(X44),0,IF(X44&lt;Year1,,IF(X44&lt;IF(AND(MONTH($Z$14)&gt;=10,MONTH($Z$14)&lt;=12),YEAR($Z$14)+1,YEAR($Z$14)),,IF(X44&gt;1,Calculations!$AF44/VLOOKUP(X44,Annual_Inputs,3,FALSE)/$AB$21*AE$21,0))))</f>
      </c>
      <c r="AF44" s="810">
        <f>IF(ISTEXT(Y44),0,IF(Y44&lt;Year1,,IF(Y44&lt;IF(AND(MONTH($Z$14)&gt;=10,MONTH($Z$14)&lt;=12),YEAR($Z$14)+1,YEAR($Z$14)),,IF(Y44&gt;1,Calculations!$AF44/VLOOKUP(Y44,Annual_Inputs,3,FALSE)/$AB$21*AF$21,0))))</f>
      </c>
      <c r="AG44" s="811">
        <f>IF(ISTEXT(Z44),0,IF(Z44&lt;Year1,,IF(Z44&lt;IF(AND(MONTH($Z$14)&gt;=10,MONTH($Z$14)&lt;=12),YEAR($Z$14)+1,YEAR($Z$14)),,IF(Z44&gt;1,Calculations!$AF44/VLOOKUP(Z44,Annual_Inputs,3,FALSE)/$AB$21*AG$21,0))))</f>
      </c>
      <c r="AH44" s="812">
        <f>SUM(AB44:AG44)</f>
      </c>
      <c r="AI44" s="819"/>
      <c r="AJ44" s="599"/>
      <c r="AK44" s="293"/>
      <c r="AL44" s="215"/>
      <c r="AM44" s="3"/>
      <c r="AN44" s="3"/>
      <c r="AO44" s="3"/>
      <c r="AP44" s="3"/>
      <c r="AQ44" s="3"/>
      <c r="AR44" s="3"/>
      <c r="AS44" s="227"/>
      <c r="AT44" s="227"/>
      <c r="AU44" s="227"/>
      <c r="AV44" s="227"/>
      <c r="AW44" s="1"/>
      <c r="AX44" s="227"/>
      <c r="AY44" s="227"/>
      <c r="AZ44" s="1"/>
      <c r="BA44" s="227"/>
      <c r="BB44" s="227"/>
      <c r="BC44" s="227"/>
      <c r="BD44" s="1"/>
    </row>
    <row x14ac:dyDescent="0.25" r="45" customHeight="1" ht="13">
      <c r="A45" s="227"/>
      <c r="B45" s="1"/>
      <c r="C45" s="5"/>
      <c r="D45" s="593"/>
      <c r="E45" s="5"/>
      <c r="F45" s="596"/>
      <c r="G45" s="596"/>
      <c r="H45" s="3"/>
      <c r="I45" s="3"/>
      <c r="J45" s="1"/>
      <c r="K45" s="1"/>
      <c r="L45" s="2"/>
      <c r="M45" s="3"/>
      <c r="N45" s="333"/>
      <c r="O45" s="6"/>
      <c r="P45" s="600"/>
      <c r="Q45" s="806"/>
      <c r="R45" s="99">
        <f>IF(Calculations!AC45=1,"",Calculations!AC45)</f>
      </c>
      <c r="S45" s="99">
        <f>Calculations!AB45</f>
      </c>
      <c r="T45" s="807"/>
      <c r="U45" s="808"/>
      <c r="V45" s="808"/>
      <c r="W45" s="808"/>
      <c r="X45" s="808"/>
      <c r="Y45" s="808"/>
      <c r="Z45" s="808"/>
      <c r="AA45" s="69"/>
      <c r="AB45" s="809">
        <f>IF(ISTEXT(U45),0,IF(U45&lt;Year1,,IF(U45&lt;IF(AND(MONTH($Z$14)&gt;=10,MONTH($Z$14)&lt;=12),YEAR($Z$14)+1,YEAR($Z$14)),,IF(U45&gt;1,Calculations!$AF45/VLOOKUP(U45,Annual_Inputs,3,FALSE)/$AB$21*AB$21,0))))</f>
      </c>
      <c r="AC45" s="810">
        <f>IF(ISTEXT(V45),0,IF(V45&lt;Year1,,IF(V45&lt;IF(AND(MONTH($Z$14)&gt;=10,MONTH($Z$14)&lt;=12),YEAR($Z$14)+1,YEAR($Z$14)),,IF(V45&gt;1,Calculations!$AF45/VLOOKUP(V45,Annual_Inputs,3,FALSE)/$AB$21*AC$21,0))))</f>
      </c>
      <c r="AD45" s="810">
        <f>IF(ISTEXT(W45),0,IF(W45&lt;Year1,,IF(W45&lt;IF(AND(MONTH($Z$14)&gt;=10,MONTH($Z$14)&lt;=12),YEAR($Z$14)+1,YEAR($Z$14)),,IF(W45&gt;1,Calculations!$AF45/VLOOKUP(W45,Annual_Inputs,3,FALSE)/$AB$21*AD$21,0))))</f>
      </c>
      <c r="AE45" s="810">
        <f>IF(ISTEXT(X45),0,IF(X45&lt;Year1,,IF(X45&lt;IF(AND(MONTH($Z$14)&gt;=10,MONTH($Z$14)&lt;=12),YEAR($Z$14)+1,YEAR($Z$14)),,IF(X45&gt;1,Calculations!$AF45/VLOOKUP(X45,Annual_Inputs,3,FALSE)/$AB$21*AE$21,0))))</f>
      </c>
      <c r="AF45" s="810">
        <f>IF(ISTEXT(Y45),0,IF(Y45&lt;Year1,,IF(Y45&lt;IF(AND(MONTH($Z$14)&gt;=10,MONTH($Z$14)&lt;=12),YEAR($Z$14)+1,YEAR($Z$14)),,IF(Y45&gt;1,Calculations!$AF45/VLOOKUP(Y45,Annual_Inputs,3,FALSE)/$AB$21*AF$21,0))))</f>
      </c>
      <c r="AG45" s="811">
        <f>IF(ISTEXT(Z45),0,IF(Z45&lt;Year1,,IF(Z45&lt;IF(AND(MONTH($Z$14)&gt;=10,MONTH($Z$14)&lt;=12),YEAR($Z$14)+1,YEAR($Z$14)),,IF(Z45&gt;1,Calculations!$AF45/VLOOKUP(Z45,Annual_Inputs,3,FALSE)/$AB$21*AG$21,0))))</f>
      </c>
      <c r="AH45" s="812">
        <f>SUM(AB45:AG45)</f>
      </c>
      <c r="AI45" s="819"/>
      <c r="AJ45" s="599"/>
      <c r="AK45" s="293"/>
      <c r="AL45" s="215"/>
      <c r="AM45" s="3"/>
      <c r="AN45" s="3"/>
      <c r="AO45" s="3"/>
      <c r="AP45" s="3"/>
      <c r="AQ45" s="3"/>
      <c r="AR45" s="3"/>
      <c r="AS45" s="227"/>
      <c r="AT45" s="227"/>
      <c r="AU45" s="227"/>
      <c r="AV45" s="227"/>
      <c r="AW45" s="1"/>
      <c r="AX45" s="227"/>
      <c r="AY45" s="227"/>
      <c r="AZ45" s="1"/>
      <c r="BA45" s="227"/>
      <c r="BB45" s="227"/>
      <c r="BC45" s="227"/>
      <c r="BD45" s="1"/>
    </row>
    <row x14ac:dyDescent="0.25" r="46" customHeight="1" ht="13">
      <c r="A46" s="227"/>
      <c r="B46" s="1"/>
      <c r="C46" s="5"/>
      <c r="D46" s="593"/>
      <c r="E46" s="5"/>
      <c r="F46" s="596"/>
      <c r="G46" s="596"/>
      <c r="H46" s="3"/>
      <c r="I46" s="3"/>
      <c r="J46" s="1"/>
      <c r="K46" s="1"/>
      <c r="L46" s="2"/>
      <c r="M46" s="3"/>
      <c r="N46" s="333"/>
      <c r="O46" s="6"/>
      <c r="P46" s="600"/>
      <c r="Q46" s="806"/>
      <c r="R46" s="99">
        <f>IF(Calculations!AC46=1,"",Calculations!AC46)</f>
      </c>
      <c r="S46" s="99">
        <f>Calculations!AB46</f>
      </c>
      <c r="T46" s="807"/>
      <c r="U46" s="808"/>
      <c r="V46" s="808"/>
      <c r="W46" s="808"/>
      <c r="X46" s="808"/>
      <c r="Y46" s="808"/>
      <c r="Z46" s="808"/>
      <c r="AA46" s="69"/>
      <c r="AB46" s="809">
        <f>IF(ISTEXT(U46),0,IF(U46&lt;Year1,,IF(U46&lt;IF(AND(MONTH($Z$14)&gt;=10,MONTH($Z$14)&lt;=12),YEAR($Z$14)+1,YEAR($Z$14)),,IF(U46&gt;1,Calculations!$AF46/VLOOKUP(U46,Annual_Inputs,3,FALSE)/$AB$21*AB$21,0))))</f>
      </c>
      <c r="AC46" s="810">
        <f>IF(ISTEXT(V46),0,IF(V46&lt;Year1,,IF(V46&lt;IF(AND(MONTH($Z$14)&gt;=10,MONTH($Z$14)&lt;=12),YEAR($Z$14)+1,YEAR($Z$14)),,IF(V46&gt;1,Calculations!$AF46/VLOOKUP(V46,Annual_Inputs,3,FALSE)/$AB$21*AC$21,0))))</f>
      </c>
      <c r="AD46" s="810">
        <f>IF(ISTEXT(W46),0,IF(W46&lt;Year1,,IF(W46&lt;IF(AND(MONTH($Z$14)&gt;=10,MONTH($Z$14)&lt;=12),YEAR($Z$14)+1,YEAR($Z$14)),,IF(W46&gt;1,Calculations!$AF46/VLOOKUP(W46,Annual_Inputs,3,FALSE)/$AB$21*AD$21,0))))</f>
      </c>
      <c r="AE46" s="810">
        <f>IF(ISTEXT(X46),0,IF(X46&lt;Year1,,IF(X46&lt;IF(AND(MONTH($Z$14)&gt;=10,MONTH($Z$14)&lt;=12),YEAR($Z$14)+1,YEAR($Z$14)),,IF(X46&gt;1,Calculations!$AF46/VLOOKUP(X46,Annual_Inputs,3,FALSE)/$AB$21*AE$21,0))))</f>
      </c>
      <c r="AF46" s="810">
        <f>IF(ISTEXT(Y46),0,IF(Y46&lt;Year1,,IF(Y46&lt;IF(AND(MONTH($Z$14)&gt;=10,MONTH($Z$14)&lt;=12),YEAR($Z$14)+1,YEAR($Z$14)),,IF(Y46&gt;1,Calculations!$AF46/VLOOKUP(Y46,Annual_Inputs,3,FALSE)/$AB$21*AF$21,0))))</f>
      </c>
      <c r="AG46" s="811">
        <f>IF(ISTEXT(Z46),0,IF(Z46&lt;Year1,,IF(Z46&lt;IF(AND(MONTH($Z$14)&gt;=10,MONTH($Z$14)&lt;=12),YEAR($Z$14)+1,YEAR($Z$14)),,IF(Z46&gt;1,Calculations!$AF46/VLOOKUP(Z46,Annual_Inputs,3,FALSE)/$AB$21*AG$21,0))))</f>
      </c>
      <c r="AH46" s="812">
        <f>SUM(AB46:AG46)</f>
      </c>
      <c r="AI46" s="819"/>
      <c r="AJ46" s="599"/>
      <c r="AK46" s="293"/>
      <c r="AL46" s="215"/>
      <c r="AM46" s="3"/>
      <c r="AN46" s="3"/>
      <c r="AO46" s="3"/>
      <c r="AP46" s="3"/>
      <c r="AQ46" s="3"/>
      <c r="AR46" s="3"/>
      <c r="AS46" s="227"/>
      <c r="AT46" s="227"/>
      <c r="AU46" s="227"/>
      <c r="AV46" s="227"/>
      <c r="AW46" s="1"/>
      <c r="AX46" s="227"/>
      <c r="AY46" s="227"/>
      <c r="AZ46" s="1"/>
      <c r="BA46" s="227"/>
      <c r="BB46" s="227"/>
      <c r="BC46" s="227"/>
      <c r="BD46" s="1"/>
    </row>
    <row x14ac:dyDescent="0.25" r="47" customHeight="1" ht="13">
      <c r="A47" s="227"/>
      <c r="B47" s="1"/>
      <c r="C47" s="5"/>
      <c r="D47" s="593"/>
      <c r="E47" s="5"/>
      <c r="F47" s="596"/>
      <c r="G47" s="596"/>
      <c r="H47" s="3"/>
      <c r="I47" s="3"/>
      <c r="J47" s="1"/>
      <c r="K47" s="1"/>
      <c r="L47" s="2"/>
      <c r="M47" s="3"/>
      <c r="N47" s="333"/>
      <c r="O47" s="6"/>
      <c r="P47" s="600"/>
      <c r="Q47" s="806"/>
      <c r="R47" s="99">
        <f>IF(Calculations!AC47=1,"",Calculations!AC47)</f>
      </c>
      <c r="S47" s="99">
        <f>Calculations!AB47</f>
      </c>
      <c r="T47" s="807"/>
      <c r="U47" s="808"/>
      <c r="V47" s="808"/>
      <c r="W47" s="808"/>
      <c r="X47" s="808"/>
      <c r="Y47" s="808"/>
      <c r="Z47" s="808"/>
      <c r="AA47" s="69"/>
      <c r="AB47" s="809">
        <f>IF(ISTEXT(U47),0,IF(U47&lt;Year1,,IF(U47&lt;IF(AND(MONTH($Z$14)&gt;=10,MONTH($Z$14)&lt;=12),YEAR($Z$14)+1,YEAR($Z$14)),,IF(U47&gt;1,Calculations!$AF47/VLOOKUP(U47,Annual_Inputs,3,FALSE)/$AB$21*AB$21,0))))</f>
      </c>
      <c r="AC47" s="810">
        <f>IF(ISTEXT(V47),0,IF(V47&lt;Year1,,IF(V47&lt;IF(AND(MONTH($Z$14)&gt;=10,MONTH($Z$14)&lt;=12),YEAR($Z$14)+1,YEAR($Z$14)),,IF(V47&gt;1,Calculations!$AF47/VLOOKUP(V47,Annual_Inputs,3,FALSE)/$AB$21*AC$21,0))))</f>
      </c>
      <c r="AD47" s="810">
        <f>IF(ISTEXT(W47),0,IF(W47&lt;Year1,,IF(W47&lt;IF(AND(MONTH($Z$14)&gt;=10,MONTH($Z$14)&lt;=12),YEAR($Z$14)+1,YEAR($Z$14)),,IF(W47&gt;1,Calculations!$AF47/VLOOKUP(W47,Annual_Inputs,3,FALSE)/$AB$21*AD$21,0))))</f>
      </c>
      <c r="AE47" s="810">
        <f>IF(ISTEXT(X47),0,IF(X47&lt;Year1,,IF(X47&lt;IF(AND(MONTH($Z$14)&gt;=10,MONTH($Z$14)&lt;=12),YEAR($Z$14)+1,YEAR($Z$14)),,IF(X47&gt;1,Calculations!$AF47/VLOOKUP(X47,Annual_Inputs,3,FALSE)/$AB$21*AE$21,0))))</f>
      </c>
      <c r="AF47" s="810">
        <f>IF(ISTEXT(Y47),0,IF(Y47&lt;Year1,,IF(Y47&lt;IF(AND(MONTH($Z$14)&gt;=10,MONTH($Z$14)&lt;=12),YEAR($Z$14)+1,YEAR($Z$14)),,IF(Y47&gt;1,Calculations!$AF47/VLOOKUP(Y47,Annual_Inputs,3,FALSE)/$AB$21*AF$21,0))))</f>
      </c>
      <c r="AG47" s="811">
        <f>IF(ISTEXT(Z47),0,IF(Z47&lt;Year1,,IF(Z47&lt;IF(AND(MONTH($Z$14)&gt;=10,MONTH($Z$14)&lt;=12),YEAR($Z$14)+1,YEAR($Z$14)),,IF(Z47&gt;1,Calculations!$AF47/VLOOKUP(Z47,Annual_Inputs,3,FALSE)/$AB$21*AG$21,0))))</f>
      </c>
      <c r="AH47" s="812">
        <f>SUM(AB47:AG47)</f>
      </c>
      <c r="AI47" s="819"/>
      <c r="AJ47" s="599"/>
      <c r="AK47" s="293"/>
      <c r="AL47" s="215"/>
      <c r="AM47" s="3"/>
      <c r="AN47" s="3"/>
      <c r="AO47" s="3"/>
      <c r="AP47" s="3"/>
      <c r="AQ47" s="3"/>
      <c r="AR47" s="3"/>
      <c r="AS47" s="227"/>
      <c r="AT47" s="227"/>
      <c r="AU47" s="227"/>
      <c r="AV47" s="227"/>
      <c r="AW47" s="1"/>
      <c r="AX47" s="227"/>
      <c r="AY47" s="227"/>
      <c r="AZ47" s="1"/>
      <c r="BA47" s="227"/>
      <c r="BB47" s="227"/>
      <c r="BC47" s="227"/>
      <c r="BD47" s="1"/>
    </row>
    <row x14ac:dyDescent="0.25" r="48" customHeight="1" ht="13">
      <c r="A48" s="227"/>
      <c r="B48" s="1"/>
      <c r="C48" s="5"/>
      <c r="D48" s="593"/>
      <c r="E48" s="5"/>
      <c r="F48" s="596"/>
      <c r="G48" s="596"/>
      <c r="H48" s="3"/>
      <c r="I48" s="3"/>
      <c r="J48" s="1"/>
      <c r="K48" s="1"/>
      <c r="L48" s="2"/>
      <c r="M48" s="3"/>
      <c r="N48" s="333"/>
      <c r="O48" s="6"/>
      <c r="P48" s="600"/>
      <c r="Q48" s="806"/>
      <c r="R48" s="99">
        <f>IF(Calculations!AC48=1,"",Calculations!AC48)</f>
      </c>
      <c r="S48" s="99">
        <f>Calculations!AB48</f>
      </c>
      <c r="T48" s="807"/>
      <c r="U48" s="808"/>
      <c r="V48" s="808"/>
      <c r="W48" s="808"/>
      <c r="X48" s="808"/>
      <c r="Y48" s="808"/>
      <c r="Z48" s="808"/>
      <c r="AA48" s="69"/>
      <c r="AB48" s="809">
        <f>IF(ISTEXT(U48),0,IF(U48&lt;Year1,,IF(U48&lt;IF(AND(MONTH($Z$14)&gt;=10,MONTH($Z$14)&lt;=12),YEAR($Z$14)+1,YEAR($Z$14)),,IF(U48&gt;1,Calculations!$AF48/VLOOKUP(U48,Annual_Inputs,3,FALSE)/$AB$21*AB$21,0))))</f>
      </c>
      <c r="AC48" s="810">
        <f>IF(ISTEXT(V48),0,IF(V48&lt;Year1,,IF(V48&lt;IF(AND(MONTH($Z$14)&gt;=10,MONTH($Z$14)&lt;=12),YEAR($Z$14)+1,YEAR($Z$14)),,IF(V48&gt;1,Calculations!$AF48/VLOOKUP(V48,Annual_Inputs,3,FALSE)/$AB$21*AC$21,0))))</f>
      </c>
      <c r="AD48" s="810">
        <f>IF(ISTEXT(W48),0,IF(W48&lt;Year1,,IF(W48&lt;IF(AND(MONTH($Z$14)&gt;=10,MONTH($Z$14)&lt;=12),YEAR($Z$14)+1,YEAR($Z$14)),,IF(W48&gt;1,Calculations!$AF48/VLOOKUP(W48,Annual_Inputs,3,FALSE)/$AB$21*AD$21,0))))</f>
      </c>
      <c r="AE48" s="810">
        <f>IF(ISTEXT(X48),0,IF(X48&lt;Year1,,IF(X48&lt;IF(AND(MONTH($Z$14)&gt;=10,MONTH($Z$14)&lt;=12),YEAR($Z$14)+1,YEAR($Z$14)),,IF(X48&gt;1,Calculations!$AF48/VLOOKUP(X48,Annual_Inputs,3,FALSE)/$AB$21*AE$21,0))))</f>
      </c>
      <c r="AF48" s="810">
        <f>IF(ISTEXT(Y48),0,IF(Y48&lt;Year1,,IF(Y48&lt;IF(AND(MONTH($Z$14)&gt;=10,MONTH($Z$14)&lt;=12),YEAR($Z$14)+1,YEAR($Z$14)),,IF(Y48&gt;1,Calculations!$AF48/VLOOKUP(Y48,Annual_Inputs,3,FALSE)/$AB$21*AF$21,0))))</f>
      </c>
      <c r="AG48" s="811">
        <f>IF(ISTEXT(Z48),0,IF(Z48&lt;Year1,,IF(Z48&lt;IF(AND(MONTH($Z$14)&gt;=10,MONTH($Z$14)&lt;=12),YEAR($Z$14)+1,YEAR($Z$14)),,IF(Z48&gt;1,Calculations!$AF48/VLOOKUP(Z48,Annual_Inputs,3,FALSE)/$AB$21*AG$21,0))))</f>
      </c>
      <c r="AH48" s="812">
        <f>SUM(AB48:AG48)</f>
      </c>
      <c r="AI48" s="819"/>
      <c r="AJ48" s="599"/>
      <c r="AK48" s="293"/>
      <c r="AL48" s="215"/>
      <c r="AM48" s="3"/>
      <c r="AN48" s="3"/>
      <c r="AO48" s="3"/>
      <c r="AP48" s="3"/>
      <c r="AQ48" s="3"/>
      <c r="AR48" s="3"/>
      <c r="AS48" s="227"/>
      <c r="AT48" s="227"/>
      <c r="AU48" s="227"/>
      <c r="AV48" s="227"/>
      <c r="AW48" s="1"/>
      <c r="AX48" s="227"/>
      <c r="AY48" s="227"/>
      <c r="AZ48" s="1"/>
      <c r="BA48" s="227"/>
      <c r="BB48" s="227"/>
      <c r="BC48" s="227"/>
      <c r="BD48" s="1"/>
    </row>
    <row x14ac:dyDescent="0.25" r="49" customHeight="1" ht="13">
      <c r="A49" s="227"/>
      <c r="B49" s="1"/>
      <c r="C49" s="5"/>
      <c r="D49" s="593"/>
      <c r="E49" s="5"/>
      <c r="F49" s="596"/>
      <c r="G49" s="596"/>
      <c r="H49" s="3"/>
      <c r="I49" s="3"/>
      <c r="J49" s="1"/>
      <c r="K49" s="1"/>
      <c r="L49" s="2"/>
      <c r="M49" s="3"/>
      <c r="N49" s="333"/>
      <c r="O49" s="6"/>
      <c r="P49" s="600"/>
      <c r="Q49" s="806"/>
      <c r="R49" s="99">
        <f>IF(Calculations!AC49=1,"",Calculations!AC49)</f>
      </c>
      <c r="S49" s="99">
        <f>Calculations!AB49</f>
      </c>
      <c r="T49" s="807"/>
      <c r="U49" s="808"/>
      <c r="V49" s="808"/>
      <c r="W49" s="808"/>
      <c r="X49" s="808"/>
      <c r="Y49" s="808"/>
      <c r="Z49" s="808"/>
      <c r="AA49" s="69"/>
      <c r="AB49" s="809">
        <f>IF(ISTEXT(U49),0,IF(U49&lt;Year1,,IF(U49&lt;IF(AND(MONTH($Z$14)&gt;=10,MONTH($Z$14)&lt;=12),YEAR($Z$14)+1,YEAR($Z$14)),,IF(U49&gt;1,Calculations!$AF49/VLOOKUP(U49,Annual_Inputs,3,FALSE)/$AB$21*AB$21,0))))</f>
      </c>
      <c r="AC49" s="810">
        <f>IF(ISTEXT(V49),0,IF(V49&lt;Year1,,IF(V49&lt;IF(AND(MONTH($Z$14)&gt;=10,MONTH($Z$14)&lt;=12),YEAR($Z$14)+1,YEAR($Z$14)),,IF(V49&gt;1,Calculations!$AF49/VLOOKUP(V49,Annual_Inputs,3,FALSE)/$AB$21*AC$21,0))))</f>
      </c>
      <c r="AD49" s="810">
        <f>IF(ISTEXT(W49),0,IF(W49&lt;Year1,,IF(W49&lt;IF(AND(MONTH($Z$14)&gt;=10,MONTH($Z$14)&lt;=12),YEAR($Z$14)+1,YEAR($Z$14)),,IF(W49&gt;1,Calculations!$AF49/VLOOKUP(W49,Annual_Inputs,3,FALSE)/$AB$21*AD$21,0))))</f>
      </c>
      <c r="AE49" s="810">
        <f>IF(ISTEXT(X49),0,IF(X49&lt;Year1,,IF(X49&lt;IF(AND(MONTH($Z$14)&gt;=10,MONTH($Z$14)&lt;=12),YEAR($Z$14)+1,YEAR($Z$14)),,IF(X49&gt;1,Calculations!$AF49/VLOOKUP(X49,Annual_Inputs,3,FALSE)/$AB$21*AE$21,0))))</f>
      </c>
      <c r="AF49" s="810">
        <f>IF(ISTEXT(Y49),0,IF(Y49&lt;Year1,,IF(Y49&lt;IF(AND(MONTH($Z$14)&gt;=10,MONTH($Z$14)&lt;=12),YEAR($Z$14)+1,YEAR($Z$14)),,IF(Y49&gt;1,Calculations!$AF49/VLOOKUP(Y49,Annual_Inputs,3,FALSE)/$AB$21*AF$21,0))))</f>
      </c>
      <c r="AG49" s="811">
        <f>IF(ISTEXT(Z49),0,IF(Z49&lt;Year1,,IF(Z49&lt;IF(AND(MONTH($Z$14)&gt;=10,MONTH($Z$14)&lt;=12),YEAR($Z$14)+1,YEAR($Z$14)),,IF(Z49&gt;1,Calculations!$AF49/VLOOKUP(Z49,Annual_Inputs,3,FALSE)/$AB$21*AG$21,0))))</f>
      </c>
      <c r="AH49" s="812">
        <f>SUM(AB49:AG49)</f>
      </c>
      <c r="AI49" s="819"/>
      <c r="AJ49" s="599"/>
      <c r="AK49" s="293"/>
      <c r="AL49" s="215"/>
      <c r="AM49" s="3"/>
      <c r="AN49" s="3"/>
      <c r="AO49" s="3"/>
      <c r="AP49" s="3"/>
      <c r="AQ49" s="3"/>
      <c r="AR49" s="3"/>
      <c r="AS49" s="227"/>
      <c r="AT49" s="227"/>
      <c r="AU49" s="227"/>
      <c r="AV49" s="227"/>
      <c r="AW49" s="1"/>
      <c r="AX49" s="227"/>
      <c r="AY49" s="227"/>
      <c r="AZ49" s="1"/>
      <c r="BA49" s="227"/>
      <c r="BB49" s="227"/>
      <c r="BC49" s="227"/>
      <c r="BD49" s="1"/>
    </row>
    <row x14ac:dyDescent="0.25" r="50" customHeight="1" ht="13">
      <c r="A50" s="227"/>
      <c r="B50" s="1"/>
      <c r="C50" s="5"/>
      <c r="D50" s="593"/>
      <c r="E50" s="5"/>
      <c r="F50" s="596"/>
      <c r="G50" s="596"/>
      <c r="H50" s="3"/>
      <c r="I50" s="3"/>
      <c r="J50" s="1"/>
      <c r="K50" s="1"/>
      <c r="L50" s="2"/>
      <c r="M50" s="3"/>
      <c r="N50" s="333"/>
      <c r="O50" s="6"/>
      <c r="P50" s="600"/>
      <c r="Q50" s="806"/>
      <c r="R50" s="99">
        <f>IF(Calculations!AC50=1,"",Calculations!AC50)</f>
      </c>
      <c r="S50" s="99">
        <f>Calculations!AB50</f>
      </c>
      <c r="T50" s="807"/>
      <c r="U50" s="808"/>
      <c r="V50" s="808"/>
      <c r="W50" s="808"/>
      <c r="X50" s="808"/>
      <c r="Y50" s="808"/>
      <c r="Z50" s="808"/>
      <c r="AA50" s="69"/>
      <c r="AB50" s="809">
        <f>IF(ISTEXT(U50),0,IF(U50&lt;Year1,,IF(U50&lt;IF(AND(MONTH($Z$14)&gt;=10,MONTH($Z$14)&lt;=12),YEAR($Z$14)+1,YEAR($Z$14)),,IF(U50&gt;1,Calculations!$AF50/VLOOKUP(U50,Annual_Inputs,3,FALSE)/$AB$21*AB$21,0))))</f>
      </c>
      <c r="AC50" s="810">
        <f>IF(ISTEXT(V50),0,IF(V50&lt;Year1,,IF(V50&lt;IF(AND(MONTH($Z$14)&gt;=10,MONTH($Z$14)&lt;=12),YEAR($Z$14)+1,YEAR($Z$14)),,IF(V50&gt;1,Calculations!$AF50/VLOOKUP(V50,Annual_Inputs,3,FALSE)/$AB$21*AC$21,0))))</f>
      </c>
      <c r="AD50" s="810">
        <f>IF(ISTEXT(W50),0,IF(W50&lt;Year1,,IF(W50&lt;IF(AND(MONTH($Z$14)&gt;=10,MONTH($Z$14)&lt;=12),YEAR($Z$14)+1,YEAR($Z$14)),,IF(W50&gt;1,Calculations!$AF50/VLOOKUP(W50,Annual_Inputs,3,FALSE)/$AB$21*AD$21,0))))</f>
      </c>
      <c r="AE50" s="810">
        <f>IF(ISTEXT(X50),0,IF(X50&lt;Year1,,IF(X50&lt;IF(AND(MONTH($Z$14)&gt;=10,MONTH($Z$14)&lt;=12),YEAR($Z$14)+1,YEAR($Z$14)),,IF(X50&gt;1,Calculations!$AF50/VLOOKUP(X50,Annual_Inputs,3,FALSE)/$AB$21*AE$21,0))))</f>
      </c>
      <c r="AF50" s="810">
        <f>IF(ISTEXT(Y50),0,IF(Y50&lt;Year1,,IF(Y50&lt;IF(AND(MONTH($Z$14)&gt;=10,MONTH($Z$14)&lt;=12),YEAR($Z$14)+1,YEAR($Z$14)),,IF(Y50&gt;1,Calculations!$AF50/VLOOKUP(Y50,Annual_Inputs,3,FALSE)/$AB$21*AF$21,0))))</f>
      </c>
      <c r="AG50" s="811">
        <f>IF(ISTEXT(Z50),0,IF(Z50&lt;Year1,,IF(Z50&lt;IF(AND(MONTH($Z$14)&gt;=10,MONTH($Z$14)&lt;=12),YEAR($Z$14)+1,YEAR($Z$14)),,IF(Z50&gt;1,Calculations!$AF50/VLOOKUP(Z50,Annual_Inputs,3,FALSE)/$AB$21*AG$21,0))))</f>
      </c>
      <c r="AH50" s="812">
        <f>SUM(AB50:AG50)</f>
      </c>
      <c r="AI50" s="819"/>
      <c r="AJ50" s="599"/>
      <c r="AK50" s="293"/>
      <c r="AL50" s="215"/>
      <c r="AM50" s="3"/>
      <c r="AN50" s="3"/>
      <c r="AO50" s="3"/>
      <c r="AP50" s="3"/>
      <c r="AQ50" s="3"/>
      <c r="AR50" s="3"/>
      <c r="AS50" s="227"/>
      <c r="AT50" s="227"/>
      <c r="AU50" s="227"/>
      <c r="AV50" s="227"/>
      <c r="AW50" s="1"/>
      <c r="AX50" s="227"/>
      <c r="AY50" s="227"/>
      <c r="AZ50" s="1"/>
      <c r="BA50" s="227"/>
      <c r="BB50" s="227"/>
      <c r="BC50" s="227"/>
      <c r="BD50" s="1"/>
    </row>
    <row x14ac:dyDescent="0.25" r="51" customHeight="1" ht="13">
      <c r="A51" s="227"/>
      <c r="B51" s="1"/>
      <c r="C51" s="5"/>
      <c r="D51" s="593"/>
      <c r="E51" s="5"/>
      <c r="F51" s="596"/>
      <c r="G51" s="596"/>
      <c r="H51" s="3"/>
      <c r="I51" s="3"/>
      <c r="J51" s="1"/>
      <c r="K51" s="1"/>
      <c r="L51" s="2"/>
      <c r="M51" s="3"/>
      <c r="N51" s="333"/>
      <c r="O51" s="6"/>
      <c r="P51" s="600"/>
      <c r="Q51" s="806"/>
      <c r="R51" s="99">
        <f>IF(Calculations!AC51=1,"",Calculations!AC51)</f>
      </c>
      <c r="S51" s="99">
        <f>Calculations!AB51</f>
      </c>
      <c r="T51" s="807"/>
      <c r="U51" s="808"/>
      <c r="V51" s="808"/>
      <c r="W51" s="808"/>
      <c r="X51" s="808"/>
      <c r="Y51" s="808"/>
      <c r="Z51" s="808"/>
      <c r="AA51" s="69"/>
      <c r="AB51" s="809">
        <f>IF(ISTEXT(U51),0,IF(U51&lt;Year1,,IF(U51&lt;IF(AND(MONTH($Z$14)&gt;=10,MONTH($Z$14)&lt;=12),YEAR($Z$14)+1,YEAR($Z$14)),,IF(U51&gt;1,Calculations!$AF51/VLOOKUP(U51,Annual_Inputs,3,FALSE)/$AB$21*AB$21,0))))</f>
      </c>
      <c r="AC51" s="810">
        <f>IF(ISTEXT(V51),0,IF(V51&lt;Year1,,IF(V51&lt;IF(AND(MONTH($Z$14)&gt;=10,MONTH($Z$14)&lt;=12),YEAR($Z$14)+1,YEAR($Z$14)),,IF(V51&gt;1,Calculations!$AF51/VLOOKUP(V51,Annual_Inputs,3,FALSE)/$AB$21*AC$21,0))))</f>
      </c>
      <c r="AD51" s="810">
        <f>IF(ISTEXT(W51),0,IF(W51&lt;Year1,,IF(W51&lt;IF(AND(MONTH($Z$14)&gt;=10,MONTH($Z$14)&lt;=12),YEAR($Z$14)+1,YEAR($Z$14)),,IF(W51&gt;1,Calculations!$AF51/VLOOKUP(W51,Annual_Inputs,3,FALSE)/$AB$21*AD$21,0))))</f>
      </c>
      <c r="AE51" s="810">
        <f>IF(ISTEXT(X51),0,IF(X51&lt;Year1,,IF(X51&lt;IF(AND(MONTH($Z$14)&gt;=10,MONTH($Z$14)&lt;=12),YEAR($Z$14)+1,YEAR($Z$14)),,IF(X51&gt;1,Calculations!$AF51/VLOOKUP(X51,Annual_Inputs,3,FALSE)/$AB$21*AE$21,0))))</f>
      </c>
      <c r="AF51" s="810">
        <f>IF(ISTEXT(Y51),0,IF(Y51&lt;Year1,,IF(Y51&lt;IF(AND(MONTH($Z$14)&gt;=10,MONTH($Z$14)&lt;=12),YEAR($Z$14)+1,YEAR($Z$14)),,IF(Y51&gt;1,Calculations!$AF51/VLOOKUP(Y51,Annual_Inputs,3,FALSE)/$AB$21*AF$21,0))))</f>
      </c>
      <c r="AG51" s="811">
        <f>IF(ISTEXT(Z51),0,IF(Z51&lt;Year1,,IF(Z51&lt;IF(AND(MONTH($Z$14)&gt;=10,MONTH($Z$14)&lt;=12),YEAR($Z$14)+1,YEAR($Z$14)),,IF(Z51&gt;1,Calculations!$AF51/VLOOKUP(Z51,Annual_Inputs,3,FALSE)/$AB$21*AG$21,0))))</f>
      </c>
      <c r="AH51" s="812">
        <f>SUM(AB51:AG51)</f>
      </c>
      <c r="AI51" s="819"/>
      <c r="AJ51" s="599"/>
      <c r="AK51" s="293"/>
      <c r="AL51" s="215"/>
      <c r="AM51" s="3"/>
      <c r="AN51" s="3"/>
      <c r="AO51" s="3"/>
      <c r="AP51" s="3"/>
      <c r="AQ51" s="3"/>
      <c r="AR51" s="3"/>
      <c r="AS51" s="227"/>
      <c r="AT51" s="227"/>
      <c r="AU51" s="227"/>
      <c r="AV51" s="227"/>
      <c r="AW51" s="1"/>
      <c r="AX51" s="227"/>
      <c r="AY51" s="227"/>
      <c r="AZ51" s="1"/>
      <c r="BA51" s="227"/>
      <c r="BB51" s="227"/>
      <c r="BC51" s="227"/>
      <c r="BD51" s="1"/>
    </row>
    <row x14ac:dyDescent="0.25" r="52" customHeight="1" ht="13">
      <c r="A52" s="227"/>
      <c r="B52" s="1"/>
      <c r="C52" s="5"/>
      <c r="D52" s="593"/>
      <c r="E52" s="5"/>
      <c r="F52" s="596"/>
      <c r="G52" s="596"/>
      <c r="H52" s="3"/>
      <c r="I52" s="3"/>
      <c r="J52" s="1"/>
      <c r="K52" s="1"/>
      <c r="L52" s="2"/>
      <c r="M52" s="3"/>
      <c r="N52" s="333"/>
      <c r="O52" s="6"/>
      <c r="P52" s="600"/>
      <c r="Q52" s="806"/>
      <c r="R52" s="99">
        <f>IF(Calculations!AC52=1,"",Calculations!AC52)</f>
      </c>
      <c r="S52" s="99">
        <f>Calculations!AB52</f>
      </c>
      <c r="T52" s="807"/>
      <c r="U52" s="808"/>
      <c r="V52" s="808"/>
      <c r="W52" s="808"/>
      <c r="X52" s="808"/>
      <c r="Y52" s="808"/>
      <c r="Z52" s="808"/>
      <c r="AA52" s="69"/>
      <c r="AB52" s="809">
        <f>IF(ISTEXT(U52),0,IF(U52&lt;Year1,,IF(U52&lt;IF(AND(MONTH($Z$14)&gt;=10,MONTH($Z$14)&lt;=12),YEAR($Z$14)+1,YEAR($Z$14)),,IF(U52&gt;1,Calculations!$AF52/VLOOKUP(U52,Annual_Inputs,3,FALSE)/$AB$21*AB$21,0))))</f>
      </c>
      <c r="AC52" s="810">
        <f>IF(ISTEXT(V52),0,IF(V52&lt;Year1,,IF(V52&lt;IF(AND(MONTH($Z$14)&gt;=10,MONTH($Z$14)&lt;=12),YEAR($Z$14)+1,YEAR($Z$14)),,IF(V52&gt;1,Calculations!$AF52/VLOOKUP(V52,Annual_Inputs,3,FALSE)/$AB$21*AC$21,0))))</f>
      </c>
      <c r="AD52" s="810">
        <f>IF(ISTEXT(W52),0,IF(W52&lt;Year1,,IF(W52&lt;IF(AND(MONTH($Z$14)&gt;=10,MONTH($Z$14)&lt;=12),YEAR($Z$14)+1,YEAR($Z$14)),,IF(W52&gt;1,Calculations!$AF52/VLOOKUP(W52,Annual_Inputs,3,FALSE)/$AB$21*AD$21,0))))</f>
      </c>
      <c r="AE52" s="810">
        <f>IF(ISTEXT(X52),0,IF(X52&lt;Year1,,IF(X52&lt;IF(AND(MONTH($Z$14)&gt;=10,MONTH($Z$14)&lt;=12),YEAR($Z$14)+1,YEAR($Z$14)),,IF(X52&gt;1,Calculations!$AF52/VLOOKUP(X52,Annual_Inputs,3,FALSE)/$AB$21*AE$21,0))))</f>
      </c>
      <c r="AF52" s="810">
        <f>IF(ISTEXT(Y52),0,IF(Y52&lt;Year1,,IF(Y52&lt;IF(AND(MONTH($Z$14)&gt;=10,MONTH($Z$14)&lt;=12),YEAR($Z$14)+1,YEAR($Z$14)),,IF(Y52&gt;1,Calculations!$AF52/VLOOKUP(Y52,Annual_Inputs,3,FALSE)/$AB$21*AF$21,0))))</f>
      </c>
      <c r="AG52" s="811">
        <f>IF(ISTEXT(Z52),0,IF(Z52&lt;Year1,,IF(Z52&lt;IF(AND(MONTH($Z$14)&gt;=10,MONTH($Z$14)&lt;=12),YEAR($Z$14)+1,YEAR($Z$14)),,IF(Z52&gt;1,Calculations!$AF52/VLOOKUP(Z52,Annual_Inputs,3,FALSE)/$AB$21*AG$21,0))))</f>
      </c>
      <c r="AH52" s="812">
        <f>SUM(AB52:AG52)</f>
      </c>
      <c r="AI52" s="819"/>
      <c r="AJ52" s="599"/>
      <c r="AK52" s="293"/>
      <c r="AL52" s="215"/>
      <c r="AM52" s="3"/>
      <c r="AN52" s="3"/>
      <c r="AO52" s="3"/>
      <c r="AP52" s="3"/>
      <c r="AQ52" s="3"/>
      <c r="AR52" s="3"/>
      <c r="AS52" s="227"/>
      <c r="AT52" s="227"/>
      <c r="AU52" s="227"/>
      <c r="AV52" s="227"/>
      <c r="AW52" s="1"/>
      <c r="AX52" s="227"/>
      <c r="AY52" s="227"/>
      <c r="AZ52" s="1"/>
      <c r="BA52" s="227"/>
      <c r="BB52" s="227"/>
      <c r="BC52" s="227"/>
      <c r="BD52" s="1"/>
    </row>
    <row x14ac:dyDescent="0.25" r="53" customHeight="1" ht="13">
      <c r="A53" s="227"/>
      <c r="B53" s="1"/>
      <c r="C53" s="5"/>
      <c r="D53" s="593"/>
      <c r="E53" s="5"/>
      <c r="F53" s="596"/>
      <c r="G53" s="596"/>
      <c r="H53" s="3"/>
      <c r="I53" s="3"/>
      <c r="J53" s="1"/>
      <c r="K53" s="1"/>
      <c r="L53" s="2"/>
      <c r="M53" s="3"/>
      <c r="N53" s="333"/>
      <c r="O53" s="6"/>
      <c r="P53" s="600"/>
      <c r="Q53" s="806"/>
      <c r="R53" s="99">
        <f>IF(Calculations!AC53=1,"",Calculations!AC53)</f>
      </c>
      <c r="S53" s="99">
        <f>Calculations!AB53</f>
      </c>
      <c r="T53" s="807"/>
      <c r="U53" s="808"/>
      <c r="V53" s="808"/>
      <c r="W53" s="808"/>
      <c r="X53" s="808"/>
      <c r="Y53" s="808"/>
      <c r="Z53" s="808"/>
      <c r="AA53" s="69"/>
      <c r="AB53" s="809">
        <f>IF(ISTEXT(U53),0,IF(U53&lt;Year1,,IF(U53&lt;IF(AND(MONTH($Z$14)&gt;=10,MONTH($Z$14)&lt;=12),YEAR($Z$14)+1,YEAR($Z$14)),,IF(U53&gt;1,Calculations!$AF53/VLOOKUP(U53,Annual_Inputs,3,FALSE)/$AB$21*AB$21,0))))</f>
      </c>
      <c r="AC53" s="810">
        <f>IF(ISTEXT(V53),0,IF(V53&lt;Year1,,IF(V53&lt;IF(AND(MONTH($Z$14)&gt;=10,MONTH($Z$14)&lt;=12),YEAR($Z$14)+1,YEAR($Z$14)),,IF(V53&gt;1,Calculations!$AF53/VLOOKUP(V53,Annual_Inputs,3,FALSE)/$AB$21*AC$21,0))))</f>
      </c>
      <c r="AD53" s="810">
        <f>IF(ISTEXT(W53),0,IF(W53&lt;Year1,,IF(W53&lt;IF(AND(MONTH($Z$14)&gt;=10,MONTH($Z$14)&lt;=12),YEAR($Z$14)+1,YEAR($Z$14)),,IF(W53&gt;1,Calculations!$AF53/VLOOKUP(W53,Annual_Inputs,3,FALSE)/$AB$21*AD$21,0))))</f>
      </c>
      <c r="AE53" s="810">
        <f>IF(ISTEXT(X53),0,IF(X53&lt;Year1,,IF(X53&lt;IF(AND(MONTH($Z$14)&gt;=10,MONTH($Z$14)&lt;=12),YEAR($Z$14)+1,YEAR($Z$14)),,IF(X53&gt;1,Calculations!$AF53/VLOOKUP(X53,Annual_Inputs,3,FALSE)/$AB$21*AE$21,0))))</f>
      </c>
      <c r="AF53" s="810">
        <f>IF(ISTEXT(Y53),0,IF(Y53&lt;Year1,,IF(Y53&lt;IF(AND(MONTH($Z$14)&gt;=10,MONTH($Z$14)&lt;=12),YEAR($Z$14)+1,YEAR($Z$14)),,IF(Y53&gt;1,Calculations!$AF53/VLOOKUP(Y53,Annual_Inputs,3,FALSE)/$AB$21*AF$21,0))))</f>
      </c>
      <c r="AG53" s="811">
        <f>IF(ISTEXT(Z53),0,IF(Z53&lt;Year1,,IF(Z53&lt;IF(AND(MONTH($Z$14)&gt;=10,MONTH($Z$14)&lt;=12),YEAR($Z$14)+1,YEAR($Z$14)),,IF(Z53&gt;1,Calculations!$AF53/VLOOKUP(Z53,Annual_Inputs,3,FALSE)/$AB$21*AG$21,0))))</f>
      </c>
      <c r="AH53" s="812">
        <f>SUM(AB53:AG53)</f>
      </c>
      <c r="AI53" s="819"/>
      <c r="AJ53" s="599"/>
      <c r="AK53" s="293"/>
      <c r="AL53" s="215"/>
      <c r="AM53" s="3"/>
      <c r="AN53" s="3"/>
      <c r="AO53" s="3"/>
      <c r="AP53" s="3"/>
      <c r="AQ53" s="3"/>
      <c r="AR53" s="3"/>
      <c r="AS53" s="227"/>
      <c r="AT53" s="227"/>
      <c r="AU53" s="227"/>
      <c r="AV53" s="227"/>
      <c r="AW53" s="1"/>
      <c r="AX53" s="227"/>
      <c r="AY53" s="227"/>
      <c r="AZ53" s="1"/>
      <c r="BA53" s="227"/>
      <c r="BB53" s="227"/>
      <c r="BC53" s="227"/>
      <c r="BD53" s="1"/>
    </row>
    <row x14ac:dyDescent="0.25" r="54" customHeight="1" ht="13">
      <c r="A54" s="227"/>
      <c r="B54" s="1"/>
      <c r="C54" s="5"/>
      <c r="D54" s="593"/>
      <c r="E54" s="5"/>
      <c r="F54" s="596"/>
      <c r="G54" s="596"/>
      <c r="H54" s="3"/>
      <c r="I54" s="3"/>
      <c r="J54" s="1"/>
      <c r="K54" s="1"/>
      <c r="L54" s="2"/>
      <c r="M54" s="3"/>
      <c r="N54" s="333"/>
      <c r="O54" s="6"/>
      <c r="P54" s="600"/>
      <c r="Q54" s="806"/>
      <c r="R54" s="99">
        <f>IF(Calculations!AC54=1,"",Calculations!AC54)</f>
      </c>
      <c r="S54" s="99">
        <f>Calculations!AB54</f>
      </c>
      <c r="T54" s="807"/>
      <c r="U54" s="808"/>
      <c r="V54" s="808"/>
      <c r="W54" s="808"/>
      <c r="X54" s="808"/>
      <c r="Y54" s="808"/>
      <c r="Z54" s="808"/>
      <c r="AA54" s="69"/>
      <c r="AB54" s="809">
        <f>IF(ISTEXT(U54),0,IF(U54&lt;Year1,,IF(U54&lt;IF(AND(MONTH($Z$14)&gt;=10,MONTH($Z$14)&lt;=12),YEAR($Z$14)+1,YEAR($Z$14)),,IF(U54&gt;1,Calculations!$AF54/VLOOKUP(U54,Annual_Inputs,3,FALSE)/$AB$21*AB$21,0))))</f>
      </c>
      <c r="AC54" s="810">
        <f>IF(ISTEXT(V54),0,IF(V54&lt;Year1,,IF(V54&lt;IF(AND(MONTH($Z$14)&gt;=10,MONTH($Z$14)&lt;=12),YEAR($Z$14)+1,YEAR($Z$14)),,IF(V54&gt;1,Calculations!$AF54/VLOOKUP(V54,Annual_Inputs,3,FALSE)/$AB$21*AC$21,0))))</f>
      </c>
      <c r="AD54" s="810">
        <f>IF(ISTEXT(W54),0,IF(W54&lt;Year1,,IF(W54&lt;IF(AND(MONTH($Z$14)&gt;=10,MONTH($Z$14)&lt;=12),YEAR($Z$14)+1,YEAR($Z$14)),,IF(W54&gt;1,Calculations!$AF54/VLOOKUP(W54,Annual_Inputs,3,FALSE)/$AB$21*AD$21,0))))</f>
      </c>
      <c r="AE54" s="810">
        <f>IF(ISTEXT(X54),0,IF(X54&lt;Year1,,IF(X54&lt;IF(AND(MONTH($Z$14)&gt;=10,MONTH($Z$14)&lt;=12),YEAR($Z$14)+1,YEAR($Z$14)),,IF(X54&gt;1,Calculations!$AF54/VLOOKUP(X54,Annual_Inputs,3,FALSE)/$AB$21*AE$21,0))))</f>
      </c>
      <c r="AF54" s="810">
        <f>IF(ISTEXT(Y54),0,IF(Y54&lt;Year1,,IF(Y54&lt;IF(AND(MONTH($Z$14)&gt;=10,MONTH($Z$14)&lt;=12),YEAR($Z$14)+1,YEAR($Z$14)),,IF(Y54&gt;1,Calculations!$AF54/VLOOKUP(Y54,Annual_Inputs,3,FALSE)/$AB$21*AF$21,0))))</f>
      </c>
      <c r="AG54" s="811">
        <f>IF(ISTEXT(Z54),0,IF(Z54&lt;Year1,,IF(Z54&lt;IF(AND(MONTH($Z$14)&gt;=10,MONTH($Z$14)&lt;=12),YEAR($Z$14)+1,YEAR($Z$14)),,IF(Z54&gt;1,Calculations!$AF54/VLOOKUP(Z54,Annual_Inputs,3,FALSE)/$AB$21*AG$21,0))))</f>
      </c>
      <c r="AH54" s="812">
        <f>SUM(AB54:AG54)</f>
      </c>
      <c r="AI54" s="819"/>
      <c r="AJ54" s="599"/>
      <c r="AK54" s="293"/>
      <c r="AL54" s="215"/>
      <c r="AM54" s="3"/>
      <c r="AN54" s="3"/>
      <c r="AO54" s="3"/>
      <c r="AP54" s="3"/>
      <c r="AQ54" s="3"/>
      <c r="AR54" s="3"/>
      <c r="AS54" s="227"/>
      <c r="AT54" s="227"/>
      <c r="AU54" s="227"/>
      <c r="AV54" s="227"/>
      <c r="AW54" s="1"/>
      <c r="AX54" s="227"/>
      <c r="AY54" s="227"/>
      <c r="AZ54" s="1"/>
      <c r="BA54" s="227"/>
      <c r="BB54" s="227"/>
      <c r="BC54" s="227"/>
      <c r="BD54" s="1"/>
    </row>
    <row x14ac:dyDescent="0.25" r="55" customHeight="1" ht="13">
      <c r="A55" s="227"/>
      <c r="B55" s="1"/>
      <c r="C55" s="5"/>
      <c r="D55" s="593"/>
      <c r="E55" s="5"/>
      <c r="F55" s="596"/>
      <c r="G55" s="596"/>
      <c r="H55" s="3"/>
      <c r="I55" s="3"/>
      <c r="J55" s="1"/>
      <c r="K55" s="1"/>
      <c r="L55" s="2"/>
      <c r="M55" s="3"/>
      <c r="N55" s="333"/>
      <c r="O55" s="6"/>
      <c r="P55" s="600"/>
      <c r="Q55" s="806"/>
      <c r="R55" s="99">
        <f>IF(Calculations!AC55=1,"",Calculations!AC55)</f>
      </c>
      <c r="S55" s="99">
        <f>Calculations!AB55</f>
      </c>
      <c r="T55" s="807"/>
      <c r="U55" s="808"/>
      <c r="V55" s="808"/>
      <c r="W55" s="808"/>
      <c r="X55" s="808"/>
      <c r="Y55" s="808"/>
      <c r="Z55" s="808"/>
      <c r="AA55" s="69"/>
      <c r="AB55" s="809">
        <f>IF(ISTEXT(U55),0,IF(U55&lt;Year1,,IF(U55&lt;IF(AND(MONTH($Z$14)&gt;=10,MONTH($Z$14)&lt;=12),YEAR($Z$14)+1,YEAR($Z$14)),,IF(U55&gt;1,Calculations!$AF55/VLOOKUP(U55,Annual_Inputs,3,FALSE)/$AB$21*AB$21,0))))</f>
      </c>
      <c r="AC55" s="810">
        <f>IF(ISTEXT(V55),0,IF(V55&lt;Year1,,IF(V55&lt;IF(AND(MONTH($Z$14)&gt;=10,MONTH($Z$14)&lt;=12),YEAR($Z$14)+1,YEAR($Z$14)),,IF(V55&gt;1,Calculations!$AF55/VLOOKUP(V55,Annual_Inputs,3,FALSE)/$AB$21*AC$21,0))))</f>
      </c>
      <c r="AD55" s="810">
        <f>IF(ISTEXT(W55),0,IF(W55&lt;Year1,,IF(W55&lt;IF(AND(MONTH($Z$14)&gt;=10,MONTH($Z$14)&lt;=12),YEAR($Z$14)+1,YEAR($Z$14)),,IF(W55&gt;1,Calculations!$AF55/VLOOKUP(W55,Annual_Inputs,3,FALSE)/$AB$21*AD$21,0))))</f>
      </c>
      <c r="AE55" s="810">
        <f>IF(ISTEXT(X55),0,IF(X55&lt;Year1,,IF(X55&lt;IF(AND(MONTH($Z$14)&gt;=10,MONTH($Z$14)&lt;=12),YEAR($Z$14)+1,YEAR($Z$14)),,IF(X55&gt;1,Calculations!$AF55/VLOOKUP(X55,Annual_Inputs,3,FALSE)/$AB$21*AE$21,0))))</f>
      </c>
      <c r="AF55" s="810">
        <f>IF(ISTEXT(Y55),0,IF(Y55&lt;Year1,,IF(Y55&lt;IF(AND(MONTH($Z$14)&gt;=10,MONTH($Z$14)&lt;=12),YEAR($Z$14)+1,YEAR($Z$14)),,IF(Y55&gt;1,Calculations!$AF55/VLOOKUP(Y55,Annual_Inputs,3,FALSE)/$AB$21*AF$21,0))))</f>
      </c>
      <c r="AG55" s="811">
        <f>IF(ISTEXT(Z55),0,IF(Z55&lt;Year1,,IF(Z55&lt;IF(AND(MONTH($Z$14)&gt;=10,MONTH($Z$14)&lt;=12),YEAR($Z$14)+1,YEAR($Z$14)),,IF(Z55&gt;1,Calculations!$AF55/VLOOKUP(Z55,Annual_Inputs,3,FALSE)/$AB$21*AG$21,0))))</f>
      </c>
      <c r="AH55" s="812">
        <f>SUM(AB55:AG55)</f>
      </c>
      <c r="AI55" s="819"/>
      <c r="AJ55" s="599"/>
      <c r="AK55" s="293"/>
      <c r="AL55" s="215"/>
      <c r="AM55" s="3"/>
      <c r="AN55" s="3"/>
      <c r="AO55" s="3"/>
      <c r="AP55" s="3"/>
      <c r="AQ55" s="3"/>
      <c r="AR55" s="3"/>
      <c r="AS55" s="227"/>
      <c r="AT55" s="227"/>
      <c r="AU55" s="227"/>
      <c r="AV55" s="227"/>
      <c r="AW55" s="1"/>
      <c r="AX55" s="227"/>
      <c r="AY55" s="227"/>
      <c r="AZ55" s="1"/>
      <c r="BA55" s="227"/>
      <c r="BB55" s="227"/>
      <c r="BC55" s="227"/>
      <c r="BD55" s="1"/>
    </row>
    <row x14ac:dyDescent="0.25" r="56" customHeight="1" ht="13">
      <c r="A56" s="227"/>
      <c r="B56" s="1"/>
      <c r="C56" s="5"/>
      <c r="D56" s="593"/>
      <c r="E56" s="5"/>
      <c r="F56" s="596"/>
      <c r="G56" s="596"/>
      <c r="H56" s="846"/>
      <c r="I56" s="3"/>
      <c r="J56" s="1"/>
      <c r="K56" s="597"/>
      <c r="L56" s="215"/>
      <c r="M56" s="293"/>
      <c r="N56" s="598"/>
      <c r="O56" s="599"/>
      <c r="P56" s="600"/>
      <c r="Q56" s="806"/>
      <c r="R56" s="99">
        <f>IF(Calculations!AC56=1,"",Calculations!AC56)</f>
      </c>
      <c r="S56" s="99">
        <f>Calculations!AB56</f>
      </c>
      <c r="T56" s="807"/>
      <c r="U56" s="808"/>
      <c r="V56" s="808"/>
      <c r="W56" s="808"/>
      <c r="X56" s="808"/>
      <c r="Y56" s="808"/>
      <c r="Z56" s="808"/>
      <c r="AA56" s="69"/>
      <c r="AB56" s="809">
        <f>IF(ISTEXT(U56),0,IF(U56&lt;Year1,,IF(U56&lt;IF(AND(MONTH($Z$14)&gt;=10,MONTH($Z$14)&lt;=12),YEAR($Z$14)+1,YEAR($Z$14)),,IF(U56&gt;1,Calculations!$AF56/VLOOKUP(U56,Annual_Inputs,3,FALSE)/$AB$21*AB$21,0))))</f>
      </c>
      <c r="AC56" s="810">
        <f>IF(ISTEXT(V56),0,IF(V56&lt;Year1,,IF(V56&lt;IF(AND(MONTH($Z$14)&gt;=10,MONTH($Z$14)&lt;=12),YEAR($Z$14)+1,YEAR($Z$14)),,IF(V56&gt;1,Calculations!$AF56/VLOOKUP(V56,Annual_Inputs,3,FALSE)/$AB$21*AC$21,0))))</f>
      </c>
      <c r="AD56" s="810">
        <f>IF(ISTEXT(W56),0,IF(W56&lt;Year1,,IF(W56&lt;IF(AND(MONTH($Z$14)&gt;=10,MONTH($Z$14)&lt;=12),YEAR($Z$14)+1,YEAR($Z$14)),,IF(W56&gt;1,Calculations!$AF56/VLOOKUP(W56,Annual_Inputs,3,FALSE)/$AB$21*AD$21,0))))</f>
      </c>
      <c r="AE56" s="810">
        <f>IF(ISTEXT(X56),0,IF(X56&lt;Year1,,IF(X56&lt;IF(AND(MONTH($Z$14)&gt;=10,MONTH($Z$14)&lt;=12),YEAR($Z$14)+1,YEAR($Z$14)),,IF(X56&gt;1,Calculations!$AF56/VLOOKUP(X56,Annual_Inputs,3,FALSE)/$AB$21*AE$21,0))))</f>
      </c>
      <c r="AF56" s="810">
        <f>IF(ISTEXT(Y56),0,IF(Y56&lt;Year1,,IF(Y56&lt;IF(AND(MONTH($Z$14)&gt;=10,MONTH($Z$14)&lt;=12),YEAR($Z$14)+1,YEAR($Z$14)),,IF(Y56&gt;1,Calculations!$AF56/VLOOKUP(Y56,Annual_Inputs,3,FALSE)/$AB$21*AF$21,0))))</f>
      </c>
      <c r="AG56" s="811">
        <f>IF(ISTEXT(Z56),0,IF(Z56&lt;Year1,,IF(Z56&lt;IF(AND(MONTH($Z$14)&gt;=10,MONTH($Z$14)&lt;=12),YEAR($Z$14)+1,YEAR($Z$14)),,IF(Z56&gt;1,Calculations!$AF56/VLOOKUP(Z56,Annual_Inputs,3,FALSE)/$AB$21*AG$21,0))))</f>
      </c>
      <c r="AH56" s="812">
        <f>SUM(AB56:AG56)</f>
      </c>
      <c r="AI56" s="819"/>
      <c r="AJ56" s="599"/>
      <c r="AK56" s="293"/>
      <c r="AL56" s="215"/>
      <c r="AM56" s="3"/>
      <c r="AN56" s="3"/>
      <c r="AO56" s="3"/>
      <c r="AP56" s="3"/>
      <c r="AQ56" s="3"/>
      <c r="AR56" s="3"/>
      <c r="AS56" s="227"/>
      <c r="AT56" s="227"/>
      <c r="AU56" s="227"/>
      <c r="AV56" s="227"/>
      <c r="AW56" s="1"/>
      <c r="AX56" s="227"/>
      <c r="AY56" s="227"/>
      <c r="AZ56" s="1"/>
      <c r="BA56" s="227"/>
      <c r="BB56" s="227"/>
      <c r="BC56" s="227"/>
      <c r="BD56" s="1"/>
    </row>
    <row x14ac:dyDescent="0.25" r="57" customHeight="1" ht="13">
      <c r="A57" s="227"/>
      <c r="B57" s="1"/>
      <c r="C57" s="5"/>
      <c r="D57" s="593"/>
      <c r="E57" s="5"/>
      <c r="F57" s="596"/>
      <c r="G57" s="596"/>
      <c r="H57" s="677"/>
      <c r="I57" s="677"/>
      <c r="J57" s="847"/>
      <c r="K57" s="847"/>
      <c r="L57" s="215"/>
      <c r="M57" s="848"/>
      <c r="N57" s="849"/>
      <c r="O57" s="850"/>
      <c r="P57" s="600"/>
      <c r="Q57" s="806"/>
      <c r="R57" s="99">
        <f>IF(Calculations!AC57=1,"",Calculations!AC57)</f>
      </c>
      <c r="S57" s="99">
        <f>Calculations!AB57</f>
      </c>
      <c r="T57" s="807"/>
      <c r="U57" s="808"/>
      <c r="V57" s="808"/>
      <c r="W57" s="808"/>
      <c r="X57" s="808"/>
      <c r="Y57" s="808"/>
      <c r="Z57" s="808"/>
      <c r="AA57" s="69"/>
      <c r="AB57" s="809">
        <f>IF(ISTEXT(U57),0,IF(U57&lt;Year1,,IF(U57&lt;IF(AND(MONTH($Z$14)&gt;=10,MONTH($Z$14)&lt;=12),YEAR($Z$14)+1,YEAR($Z$14)),,IF(U57&gt;1,Calculations!$AF57/VLOOKUP(U57,Annual_Inputs,3,FALSE)/$AB$21*AB$21,0))))</f>
      </c>
      <c r="AC57" s="810">
        <f>IF(ISTEXT(V57),0,IF(V57&lt;Year1,,IF(V57&lt;IF(AND(MONTH($Z$14)&gt;=10,MONTH($Z$14)&lt;=12),YEAR($Z$14)+1,YEAR($Z$14)),,IF(V57&gt;1,Calculations!$AF57/VLOOKUP(V57,Annual_Inputs,3,FALSE)/$AB$21*AC$21,0))))</f>
      </c>
      <c r="AD57" s="810">
        <f>IF(ISTEXT(W57),0,IF(W57&lt;Year1,,IF(W57&lt;IF(AND(MONTH($Z$14)&gt;=10,MONTH($Z$14)&lt;=12),YEAR($Z$14)+1,YEAR($Z$14)),,IF(W57&gt;1,Calculations!$AF57/VLOOKUP(W57,Annual_Inputs,3,FALSE)/$AB$21*AD$21,0))))</f>
      </c>
      <c r="AE57" s="810">
        <f>IF(ISTEXT(X57),0,IF(X57&lt;Year1,,IF(X57&lt;IF(AND(MONTH($Z$14)&gt;=10,MONTH($Z$14)&lt;=12),YEAR($Z$14)+1,YEAR($Z$14)),,IF(X57&gt;1,Calculations!$AF57/VLOOKUP(X57,Annual_Inputs,3,FALSE)/$AB$21*AE$21,0))))</f>
      </c>
      <c r="AF57" s="810">
        <f>IF(ISTEXT(Y57),0,IF(Y57&lt;Year1,,IF(Y57&lt;IF(AND(MONTH($Z$14)&gt;=10,MONTH($Z$14)&lt;=12),YEAR($Z$14)+1,YEAR($Z$14)),,IF(Y57&gt;1,Calculations!$AF57/VLOOKUP(Y57,Annual_Inputs,3,FALSE)/$AB$21*AF$21,0))))</f>
      </c>
      <c r="AG57" s="811">
        <f>IF(ISTEXT(Z57),0,IF(Z57&lt;Year1,,IF(Z57&lt;IF(AND(MONTH($Z$14)&gt;=10,MONTH($Z$14)&lt;=12),YEAR($Z$14)+1,YEAR($Z$14)),,IF(Z57&gt;1,Calculations!$AF57/VLOOKUP(Z57,Annual_Inputs,3,FALSE)/$AB$21*AG$21,0))))</f>
      </c>
      <c r="AH57" s="812">
        <f>SUM(AB57:AG57)</f>
      </c>
      <c r="AI57" s="819"/>
      <c r="AJ57" s="599"/>
      <c r="AK57" s="293"/>
      <c r="AL57" s="215"/>
      <c r="AM57" s="3"/>
      <c r="AN57" s="3"/>
      <c r="AO57" s="3"/>
      <c r="AP57" s="3"/>
      <c r="AQ57" s="3"/>
      <c r="AR57" s="3"/>
      <c r="AS57" s="227"/>
      <c r="AT57" s="227"/>
      <c r="AU57" s="227"/>
      <c r="AV57" s="227"/>
      <c r="AW57" s="1"/>
      <c r="AX57" s="227"/>
      <c r="AY57" s="227"/>
      <c r="AZ57" s="1"/>
      <c r="BA57" s="227"/>
      <c r="BB57" s="227"/>
      <c r="BC57" s="227"/>
      <c r="BD57" s="1"/>
    </row>
    <row x14ac:dyDescent="0.25" r="58" customHeight="1" ht="13">
      <c r="A58" s="227"/>
      <c r="B58" s="1"/>
      <c r="C58" s="5"/>
      <c r="D58" s="593"/>
      <c r="E58" s="5"/>
      <c r="F58" s="596"/>
      <c r="G58" s="596"/>
      <c r="H58" s="677"/>
      <c r="I58" s="677"/>
      <c r="J58" s="847"/>
      <c r="K58" s="847"/>
      <c r="L58" s="215"/>
      <c r="M58" s="848"/>
      <c r="N58" s="849"/>
      <c r="O58" s="850"/>
      <c r="P58" s="600"/>
      <c r="Q58" s="806"/>
      <c r="R58" s="99">
        <f>IF(Calculations!AC58=1,"",Calculations!AC58)</f>
      </c>
      <c r="S58" s="99">
        <f>Calculations!AB58</f>
      </c>
      <c r="T58" s="807"/>
      <c r="U58" s="808"/>
      <c r="V58" s="808"/>
      <c r="W58" s="808"/>
      <c r="X58" s="808"/>
      <c r="Y58" s="808"/>
      <c r="Z58" s="808"/>
      <c r="AA58" s="69"/>
      <c r="AB58" s="809">
        <f>IF(ISTEXT(U58),0,IF(U58&lt;Year1,,IF(U58&lt;IF(AND(MONTH($Z$14)&gt;=10,MONTH($Z$14)&lt;=12),YEAR($Z$14)+1,YEAR($Z$14)),,IF(U58&gt;1,Calculations!$AF58/VLOOKUP(U58,Annual_Inputs,3,FALSE)/$AB$21*AB$21,0))))</f>
      </c>
      <c r="AC58" s="810">
        <f>IF(ISTEXT(V58),0,IF(V58&lt;Year1,,IF(V58&lt;IF(AND(MONTH($Z$14)&gt;=10,MONTH($Z$14)&lt;=12),YEAR($Z$14)+1,YEAR($Z$14)),,IF(V58&gt;1,Calculations!$AF58/VLOOKUP(V58,Annual_Inputs,3,FALSE)/$AB$21*AC$21,0))))</f>
      </c>
      <c r="AD58" s="810">
        <f>IF(ISTEXT(W58),0,IF(W58&lt;Year1,,IF(W58&lt;IF(AND(MONTH($Z$14)&gt;=10,MONTH($Z$14)&lt;=12),YEAR($Z$14)+1,YEAR($Z$14)),,IF(W58&gt;1,Calculations!$AF58/VLOOKUP(W58,Annual_Inputs,3,FALSE)/$AB$21*AD$21,0))))</f>
      </c>
      <c r="AE58" s="810">
        <f>IF(ISTEXT(X58),0,IF(X58&lt;Year1,,IF(X58&lt;IF(AND(MONTH($Z$14)&gt;=10,MONTH($Z$14)&lt;=12),YEAR($Z$14)+1,YEAR($Z$14)),,IF(X58&gt;1,Calculations!$AF58/VLOOKUP(X58,Annual_Inputs,3,FALSE)/$AB$21*AE$21,0))))</f>
      </c>
      <c r="AF58" s="810">
        <f>IF(ISTEXT(Y58),0,IF(Y58&lt;Year1,,IF(Y58&lt;IF(AND(MONTH($Z$14)&gt;=10,MONTH($Z$14)&lt;=12),YEAR($Z$14)+1,YEAR($Z$14)),,IF(Y58&gt;1,Calculations!$AF58/VLOOKUP(Y58,Annual_Inputs,3,FALSE)/$AB$21*AF$21,0))))</f>
      </c>
      <c r="AG58" s="811">
        <f>IF(ISTEXT(Z58),0,IF(Z58&lt;Year1,,IF(Z58&lt;IF(AND(MONTH($Z$14)&gt;=10,MONTH($Z$14)&lt;=12),YEAR($Z$14)+1,YEAR($Z$14)),,IF(Z58&gt;1,Calculations!$AF58/VLOOKUP(Z58,Annual_Inputs,3,FALSE)/$AB$21*AG$21,0))))</f>
      </c>
      <c r="AH58" s="812">
        <f>SUM(AB58:AG58)</f>
      </c>
      <c r="AI58" s="819"/>
      <c r="AJ58" s="599"/>
      <c r="AK58" s="293"/>
      <c r="AL58" s="215"/>
      <c r="AM58" s="3"/>
      <c r="AN58" s="3"/>
      <c r="AO58" s="3"/>
      <c r="AP58" s="3"/>
      <c r="AQ58" s="3"/>
      <c r="AR58" s="3"/>
      <c r="AS58" s="227"/>
      <c r="AT58" s="227"/>
      <c r="AU58" s="227"/>
      <c r="AV58" s="227"/>
      <c r="AW58" s="1"/>
      <c r="AX58" s="227"/>
      <c r="AY58" s="227"/>
      <c r="AZ58" s="1"/>
      <c r="BA58" s="227"/>
      <c r="BB58" s="227"/>
      <c r="BC58" s="227"/>
      <c r="BD58" s="1"/>
    </row>
    <row x14ac:dyDescent="0.25" r="59" customHeight="1" ht="13">
      <c r="A59" s="227"/>
      <c r="B59" s="1"/>
      <c r="C59" s="5"/>
      <c r="D59" s="593"/>
      <c r="E59" s="5"/>
      <c r="F59" s="596"/>
      <c r="G59" s="596"/>
      <c r="H59" s="677"/>
      <c r="I59" s="677"/>
      <c r="J59" s="847"/>
      <c r="K59" s="847"/>
      <c r="L59" s="215"/>
      <c r="M59" s="848"/>
      <c r="N59" s="849"/>
      <c r="O59" s="850"/>
      <c r="P59" s="600"/>
      <c r="Q59" s="806"/>
      <c r="R59" s="99">
        <f>IF(Calculations!AC59=1,"",Calculations!AC59)</f>
      </c>
      <c r="S59" s="99">
        <f>Calculations!AB59</f>
      </c>
      <c r="T59" s="807"/>
      <c r="U59" s="808"/>
      <c r="V59" s="808"/>
      <c r="W59" s="808"/>
      <c r="X59" s="808"/>
      <c r="Y59" s="808"/>
      <c r="Z59" s="808"/>
      <c r="AA59" s="69"/>
      <c r="AB59" s="809">
        <f>IF(ISTEXT(U59),0,IF(U59&lt;Year1,,IF(U59&lt;IF(AND(MONTH($Z$14)&gt;=10,MONTH($Z$14)&lt;=12),YEAR($Z$14)+1,YEAR($Z$14)),,IF(U59&gt;1,Calculations!$AF59/VLOOKUP(U59,Annual_Inputs,3,FALSE)/$AB$21*AB$21,0))))</f>
      </c>
      <c r="AC59" s="810">
        <f>IF(ISTEXT(V59),0,IF(V59&lt;Year1,,IF(V59&lt;IF(AND(MONTH($Z$14)&gt;=10,MONTH($Z$14)&lt;=12),YEAR($Z$14)+1,YEAR($Z$14)),,IF(V59&gt;1,Calculations!$AF59/VLOOKUP(V59,Annual_Inputs,3,FALSE)/$AB$21*AC$21,0))))</f>
      </c>
      <c r="AD59" s="810">
        <f>IF(ISTEXT(W59),0,IF(W59&lt;Year1,,IF(W59&lt;IF(AND(MONTH($Z$14)&gt;=10,MONTH($Z$14)&lt;=12),YEAR($Z$14)+1,YEAR($Z$14)),,IF(W59&gt;1,Calculations!$AF59/VLOOKUP(W59,Annual_Inputs,3,FALSE)/$AB$21*AD$21,0))))</f>
      </c>
      <c r="AE59" s="810">
        <f>IF(ISTEXT(X59),0,IF(X59&lt;Year1,,IF(X59&lt;IF(AND(MONTH($Z$14)&gt;=10,MONTH($Z$14)&lt;=12),YEAR($Z$14)+1,YEAR($Z$14)),,IF(X59&gt;1,Calculations!$AF59/VLOOKUP(X59,Annual_Inputs,3,FALSE)/$AB$21*AE$21,0))))</f>
      </c>
      <c r="AF59" s="810">
        <f>IF(ISTEXT(Y59),0,IF(Y59&lt;Year1,,IF(Y59&lt;IF(AND(MONTH($Z$14)&gt;=10,MONTH($Z$14)&lt;=12),YEAR($Z$14)+1,YEAR($Z$14)),,IF(Y59&gt;1,Calculations!$AF59/VLOOKUP(Y59,Annual_Inputs,3,FALSE)/$AB$21*AF$21,0))))</f>
      </c>
      <c r="AG59" s="811">
        <f>IF(ISTEXT(Z59),0,IF(Z59&lt;Year1,,IF(Z59&lt;IF(AND(MONTH($Z$14)&gt;=10,MONTH($Z$14)&lt;=12),YEAR($Z$14)+1,YEAR($Z$14)),,IF(Z59&gt;1,Calculations!$AF59/VLOOKUP(Z59,Annual_Inputs,3,FALSE)/$AB$21*AG$21,0))))</f>
      </c>
      <c r="AH59" s="812">
        <f>SUM(AB59:AG59)</f>
      </c>
      <c r="AI59" s="819"/>
      <c r="AJ59" s="599"/>
      <c r="AK59" s="293"/>
      <c r="AL59" s="215"/>
      <c r="AM59" s="3"/>
      <c r="AN59" s="3"/>
      <c r="AO59" s="3"/>
      <c r="AP59" s="3"/>
      <c r="AQ59" s="3"/>
      <c r="AR59" s="3"/>
      <c r="AS59" s="227"/>
      <c r="AT59" s="227"/>
      <c r="AU59" s="227"/>
      <c r="AV59" s="227"/>
      <c r="AW59" s="1"/>
      <c r="AX59" s="227"/>
      <c r="AY59" s="227"/>
      <c r="AZ59" s="1"/>
      <c r="BA59" s="227"/>
      <c r="BB59" s="227"/>
      <c r="BC59" s="227"/>
      <c r="BD59" s="1"/>
    </row>
    <row x14ac:dyDescent="0.25" r="60" customHeight="1" ht="13">
      <c r="A60" s="227"/>
      <c r="B60" s="1"/>
      <c r="C60" s="5"/>
      <c r="D60" s="593"/>
      <c r="E60" s="5"/>
      <c r="F60" s="596"/>
      <c r="G60" s="596"/>
      <c r="H60" s="677"/>
      <c r="I60" s="848"/>
      <c r="J60" s="847"/>
      <c r="K60" s="847"/>
      <c r="L60" s="215"/>
      <c r="M60" s="848"/>
      <c r="N60" s="849"/>
      <c r="O60" s="850"/>
      <c r="P60" s="600"/>
      <c r="Q60" s="806"/>
      <c r="R60" s="99">
        <f>IF(Calculations!AC60=1,"",Calculations!AC60)</f>
      </c>
      <c r="S60" s="99">
        <f>Calculations!AB60</f>
      </c>
      <c r="T60" s="807"/>
      <c r="U60" s="808"/>
      <c r="V60" s="808"/>
      <c r="W60" s="808"/>
      <c r="X60" s="808"/>
      <c r="Y60" s="808"/>
      <c r="Z60" s="808"/>
      <c r="AA60" s="69"/>
      <c r="AB60" s="809">
        <f>IF(ISTEXT(U60),0,IF(U60&lt;Year1,,IF(U60&lt;IF(AND(MONTH($Z$14)&gt;=10,MONTH($Z$14)&lt;=12),YEAR($Z$14)+1,YEAR($Z$14)),,IF(U60&gt;1,Calculations!$AF60/VLOOKUP(U60,Annual_Inputs,3,FALSE)/$AB$21*AB$21,0))))</f>
      </c>
      <c r="AC60" s="810">
        <f>IF(ISTEXT(V60),0,IF(V60&lt;Year1,,IF(V60&lt;IF(AND(MONTH($Z$14)&gt;=10,MONTH($Z$14)&lt;=12),YEAR($Z$14)+1,YEAR($Z$14)),,IF(V60&gt;1,Calculations!$AF60/VLOOKUP(V60,Annual_Inputs,3,FALSE)/$AB$21*AC$21,0))))</f>
      </c>
      <c r="AD60" s="810">
        <f>IF(ISTEXT(W60),0,IF(W60&lt;Year1,,IF(W60&lt;IF(AND(MONTH($Z$14)&gt;=10,MONTH($Z$14)&lt;=12),YEAR($Z$14)+1,YEAR($Z$14)),,IF(W60&gt;1,Calculations!$AF60/VLOOKUP(W60,Annual_Inputs,3,FALSE)/$AB$21*AD$21,0))))</f>
      </c>
      <c r="AE60" s="810">
        <f>IF(ISTEXT(X60),0,IF(X60&lt;Year1,,IF(X60&lt;IF(AND(MONTH($Z$14)&gt;=10,MONTH($Z$14)&lt;=12),YEAR($Z$14)+1,YEAR($Z$14)),,IF(X60&gt;1,Calculations!$AF60/VLOOKUP(X60,Annual_Inputs,3,FALSE)/$AB$21*AE$21,0))))</f>
      </c>
      <c r="AF60" s="810">
        <f>IF(ISTEXT(Y60),0,IF(Y60&lt;Year1,,IF(Y60&lt;IF(AND(MONTH($Z$14)&gt;=10,MONTH($Z$14)&lt;=12),YEAR($Z$14)+1,YEAR($Z$14)),,IF(Y60&gt;1,Calculations!$AF60/VLOOKUP(Y60,Annual_Inputs,3,FALSE)/$AB$21*AF$21,0))))</f>
      </c>
      <c r="AG60" s="811">
        <f>IF(ISTEXT(Z60),0,IF(Z60&lt;Year1,,IF(Z60&lt;IF(AND(MONTH($Z$14)&gt;=10,MONTH($Z$14)&lt;=12),YEAR($Z$14)+1,YEAR($Z$14)),,IF(Z60&gt;1,Calculations!$AF60/VLOOKUP(Z60,Annual_Inputs,3,FALSE)/$AB$21*AG$21,0))))</f>
      </c>
      <c r="AH60" s="812">
        <f>SUM(AB60:AG60)</f>
      </c>
      <c r="AI60" s="819"/>
      <c r="AJ60" s="599"/>
      <c r="AK60" s="293"/>
      <c r="AL60" s="215"/>
      <c r="AM60" s="3"/>
      <c r="AN60" s="3"/>
      <c r="AO60" s="3"/>
      <c r="AP60" s="3"/>
      <c r="AQ60" s="3"/>
      <c r="AR60" s="3"/>
      <c r="AS60" s="227"/>
      <c r="AT60" s="227"/>
      <c r="AU60" s="227"/>
      <c r="AV60" s="227"/>
      <c r="AW60" s="1"/>
      <c r="AX60" s="227"/>
      <c r="AY60" s="227"/>
      <c r="AZ60" s="1"/>
      <c r="BA60" s="227"/>
      <c r="BB60" s="227"/>
      <c r="BC60" s="227"/>
      <c r="BD60" s="1"/>
    </row>
    <row x14ac:dyDescent="0.25" r="61" customHeight="1" ht="13">
      <c r="A61" s="227"/>
      <c r="B61" s="1"/>
      <c r="C61" s="5"/>
      <c r="D61" s="593"/>
      <c r="E61" s="5"/>
      <c r="F61" s="596"/>
      <c r="G61" s="596"/>
      <c r="H61" s="677"/>
      <c r="I61" s="848"/>
      <c r="J61" s="847"/>
      <c r="K61" s="847"/>
      <c r="L61" s="215"/>
      <c r="M61" s="848"/>
      <c r="N61" s="849"/>
      <c r="O61" s="850"/>
      <c r="P61" s="600"/>
      <c r="Q61" s="806"/>
      <c r="R61" s="99">
        <f>IF(Calculations!AC61=1,"",Calculations!AC61)</f>
      </c>
      <c r="S61" s="99">
        <f>Calculations!AB61</f>
      </c>
      <c r="T61" s="807"/>
      <c r="U61" s="808"/>
      <c r="V61" s="808"/>
      <c r="W61" s="808"/>
      <c r="X61" s="808"/>
      <c r="Y61" s="808"/>
      <c r="Z61" s="808"/>
      <c r="AA61" s="69"/>
      <c r="AB61" s="816">
        <f>IF(ISTEXT(U61),0,IF(U61&lt;Year1,,IF(U61&lt;IF(AND(MONTH($Z$14)&gt;=10,MONTH($Z$14)&lt;=12),YEAR($Z$14)+1,YEAR($Z$14)),,IF(U61&gt;1,Calculations!$AF61/VLOOKUP(U61,Annual_Inputs,3,FALSE)/$AB$21*AB$21,0))))</f>
      </c>
      <c r="AC61" s="810">
        <f>IF(ISTEXT(V61),0,IF(V61&lt;Year1,,IF(V61&lt;IF(AND(MONTH($Z$14)&gt;=10,MONTH($Z$14)&lt;=12),YEAR($Z$14)+1,YEAR($Z$14)),,IF(V61&gt;1,Calculations!$AF61/VLOOKUP(V61,Annual_Inputs,3,FALSE)/$AB$21*AC$21,0))))</f>
      </c>
      <c r="AD61" s="810">
        <f>IF(ISTEXT(W61),0,IF(W61&lt;Year1,,IF(W61&lt;IF(AND(MONTH($Z$14)&gt;=10,MONTH($Z$14)&lt;=12),YEAR($Z$14)+1,YEAR($Z$14)),,IF(W61&gt;1,Calculations!$AF61/VLOOKUP(W61,Annual_Inputs,3,FALSE)/$AB$21*AD$21,0))))</f>
      </c>
      <c r="AE61" s="810">
        <f>IF(ISTEXT(X61),0,IF(X61&lt;Year1,,IF(X61&lt;IF(AND(MONTH($Z$14)&gt;=10,MONTH($Z$14)&lt;=12),YEAR($Z$14)+1,YEAR($Z$14)),,IF(X61&gt;1,Calculations!$AF61/VLOOKUP(X61,Annual_Inputs,3,FALSE)/$AB$21*AE$21,0))))</f>
      </c>
      <c r="AF61" s="810">
        <f>IF(ISTEXT(Y61),0,IF(Y61&lt;Year1,,IF(Y61&lt;IF(AND(MONTH($Z$14)&gt;=10,MONTH($Z$14)&lt;=12),YEAR($Z$14)+1,YEAR($Z$14)),,IF(Y61&gt;1,Calculations!$AF61/VLOOKUP(Y61,Annual_Inputs,3,FALSE)/$AB$21*AF$21,0))))</f>
      </c>
      <c r="AG61" s="811">
        <f>IF(ISTEXT(Z61),0,IF(Z61&lt;Year1,,IF(Z61&lt;IF(AND(MONTH($Z$14)&gt;=10,MONTH($Z$14)&lt;=12),YEAR($Z$14)+1,YEAR($Z$14)),,IF(Z61&gt;1,Calculations!$AF61/VLOOKUP(Z61,Annual_Inputs,3,FALSE)/$AB$21*AG$21,0))))</f>
      </c>
      <c r="AH61" s="812">
        <f>SUM(AB61:AG61)</f>
      </c>
      <c r="AI61" s="819"/>
      <c r="AJ61" s="599"/>
      <c r="AK61" s="293"/>
      <c r="AL61" s="215"/>
      <c r="AM61" s="3"/>
      <c r="AN61" s="3"/>
      <c r="AO61" s="3"/>
      <c r="AP61" s="3"/>
      <c r="AQ61" s="3"/>
      <c r="AR61" s="3"/>
      <c r="AS61" s="227"/>
      <c r="AT61" s="227"/>
      <c r="AU61" s="227"/>
      <c r="AV61" s="227"/>
      <c r="AW61" s="1"/>
      <c r="AX61" s="227"/>
      <c r="AY61" s="227"/>
      <c r="AZ61" s="1"/>
      <c r="BA61" s="227"/>
      <c r="BB61" s="227"/>
      <c r="BC61" s="227"/>
      <c r="BD61" s="1"/>
    </row>
    <row x14ac:dyDescent="0.25" r="62" customHeight="1" ht="13">
      <c r="A62" s="227"/>
      <c r="B62" s="1"/>
      <c r="C62" s="5"/>
      <c r="D62" s="593"/>
      <c r="E62" s="5"/>
      <c r="F62" s="596"/>
      <c r="G62" s="596"/>
      <c r="H62" s="677"/>
      <c r="I62" s="848"/>
      <c r="J62" s="847"/>
      <c r="K62" s="847"/>
      <c r="L62" s="215"/>
      <c r="M62" s="848"/>
      <c r="N62" s="849"/>
      <c r="O62" s="850"/>
      <c r="P62" s="600"/>
      <c r="Q62" s="806"/>
      <c r="R62" s="99">
        <f>IF(Calculations!AC62=1,"",Calculations!AC62)</f>
      </c>
      <c r="S62" s="99">
        <f>Calculations!AB62</f>
      </c>
      <c r="T62" s="807"/>
      <c r="U62" s="808"/>
      <c r="V62" s="808"/>
      <c r="W62" s="808"/>
      <c r="X62" s="808"/>
      <c r="Y62" s="808"/>
      <c r="Z62" s="808"/>
      <c r="AA62" s="69"/>
      <c r="AB62" s="809">
        <f>IF(ISTEXT(U62),0,IF(U62&lt;Year1,,IF(U62&lt;IF(AND(MONTH($Z$14)&gt;=10,MONTH($Z$14)&lt;=12),YEAR($Z$14)+1,YEAR($Z$14)),,IF(U62&gt;1,Calculations!$AF62/VLOOKUP(U62,Annual_Inputs,3,FALSE)/$AB$21*AB$21,0))))</f>
      </c>
      <c r="AC62" s="810">
        <f>IF(ISTEXT(V62),0,IF(V62&lt;Year1,,IF(V62&lt;IF(AND(MONTH($Z$14)&gt;=10,MONTH($Z$14)&lt;=12),YEAR($Z$14)+1,YEAR($Z$14)),,IF(V62&gt;1,Calculations!$AF62/VLOOKUP(V62,Annual_Inputs,3,FALSE)/$AB$21*AC$21,0))))</f>
      </c>
      <c r="AD62" s="810">
        <f>IF(ISTEXT(W62),0,IF(W62&lt;Year1,,IF(W62&lt;IF(AND(MONTH($Z$14)&gt;=10,MONTH($Z$14)&lt;=12),YEAR($Z$14)+1,YEAR($Z$14)),,IF(W62&gt;1,Calculations!$AF62/VLOOKUP(W62,Annual_Inputs,3,FALSE)/$AB$21*AD$21,0))))</f>
      </c>
      <c r="AE62" s="810">
        <f>IF(ISTEXT(X62),0,IF(X62&lt;Year1,,IF(X62&lt;IF(AND(MONTH($Z$14)&gt;=10,MONTH($Z$14)&lt;=12),YEAR($Z$14)+1,YEAR($Z$14)),,IF(X62&gt;1,Calculations!$AF62/VLOOKUP(X62,Annual_Inputs,3,FALSE)/$AB$21*AE$21,0))))</f>
      </c>
      <c r="AF62" s="810">
        <f>IF(ISTEXT(Y62),0,IF(Y62&lt;Year1,,IF(Y62&lt;IF(AND(MONTH($Z$14)&gt;=10,MONTH($Z$14)&lt;=12),YEAR($Z$14)+1,YEAR($Z$14)),,IF(Y62&gt;1,Calculations!$AF62/VLOOKUP(Y62,Annual_Inputs,3,FALSE)/$AB$21*AF$21,0))))</f>
      </c>
      <c r="AG62" s="811">
        <f>IF(ISTEXT(Z62),0,IF(Z62&lt;Year1,,IF(Z62&lt;IF(AND(MONTH($Z$14)&gt;=10,MONTH($Z$14)&lt;=12),YEAR($Z$14)+1,YEAR($Z$14)),,IF(Z62&gt;1,Calculations!$AF62/VLOOKUP(Z62,Annual_Inputs,3,FALSE)/$AB$21*AG$21,0))))</f>
      </c>
      <c r="AH62" s="812">
        <f>SUM(AB62:AG62)</f>
      </c>
      <c r="AI62" s="819"/>
      <c r="AJ62" s="599"/>
      <c r="AK62" s="293"/>
      <c r="AL62" s="215"/>
      <c r="AM62" s="3"/>
      <c r="AN62" s="3"/>
      <c r="AO62" s="3"/>
      <c r="AP62" s="3"/>
      <c r="AQ62" s="3"/>
      <c r="AR62" s="3"/>
      <c r="AS62" s="227"/>
      <c r="AT62" s="227"/>
      <c r="AU62" s="227"/>
      <c r="AV62" s="227"/>
      <c r="AW62" s="1"/>
      <c r="AX62" s="227"/>
      <c r="AY62" s="227"/>
      <c r="AZ62" s="1"/>
      <c r="BA62" s="227"/>
      <c r="BB62" s="227"/>
      <c r="BC62" s="227"/>
      <c r="BD62" s="1"/>
    </row>
    <row x14ac:dyDescent="0.25" r="63" customHeight="1" ht="13">
      <c r="A63" s="227"/>
      <c r="B63" s="1"/>
      <c r="C63" s="5"/>
      <c r="D63" s="593"/>
      <c r="E63" s="594"/>
      <c r="F63" s="596"/>
      <c r="G63" s="596"/>
      <c r="H63" s="677"/>
      <c r="I63" s="848"/>
      <c r="J63" s="847"/>
      <c r="K63" s="847"/>
      <c r="L63" s="215"/>
      <c r="M63" s="848"/>
      <c r="N63" s="849"/>
      <c r="O63" s="850"/>
      <c r="P63" s="600"/>
      <c r="Q63" s="806"/>
      <c r="R63" s="99">
        <f>IF(Calculations!AC63=1,"",Calculations!AC63)</f>
      </c>
      <c r="S63" s="99">
        <f>Calculations!AB63</f>
      </c>
      <c r="T63" s="807"/>
      <c r="U63" s="808"/>
      <c r="V63" s="808"/>
      <c r="W63" s="808"/>
      <c r="X63" s="808"/>
      <c r="Y63" s="808"/>
      <c r="Z63" s="808"/>
      <c r="AA63" s="69"/>
      <c r="AB63" s="809">
        <f>IF(ISTEXT(U63),0,IF(U63&lt;Year1,,IF(U63&lt;IF(AND(MONTH($Z$14)&gt;=10,MONTH($Z$14)&lt;=12),YEAR($Z$14)+1,YEAR($Z$14)),,IF(U63&gt;1,Calculations!$AF63/VLOOKUP(U63,Annual_Inputs,3,FALSE)/$AB$21*AB$21,0))))</f>
      </c>
      <c r="AC63" s="810">
        <f>IF(ISTEXT(V63),0,IF(V63&lt;Year1,,IF(V63&lt;IF(AND(MONTH($Z$14)&gt;=10,MONTH($Z$14)&lt;=12),YEAR($Z$14)+1,YEAR($Z$14)),,IF(V63&gt;1,Calculations!$AF63/VLOOKUP(V63,Annual_Inputs,3,FALSE)/$AB$21*AC$21,0))))</f>
      </c>
      <c r="AD63" s="810">
        <f>IF(ISTEXT(W63),0,IF(W63&lt;Year1,,IF(W63&lt;IF(AND(MONTH($Z$14)&gt;=10,MONTH($Z$14)&lt;=12),YEAR($Z$14)+1,YEAR($Z$14)),,IF(W63&gt;1,Calculations!$AF63/VLOOKUP(W63,Annual_Inputs,3,FALSE)/$AB$21*AD$21,0))))</f>
      </c>
      <c r="AE63" s="810">
        <f>IF(ISTEXT(X63),0,IF(X63&lt;Year1,,IF(X63&lt;IF(AND(MONTH($Z$14)&gt;=10,MONTH($Z$14)&lt;=12),YEAR($Z$14)+1,YEAR($Z$14)),,IF(X63&gt;1,Calculations!$AF63/VLOOKUP(X63,Annual_Inputs,3,FALSE)/$AB$21*AE$21,0))))</f>
      </c>
      <c r="AF63" s="810">
        <f>IF(ISTEXT(Y63),0,IF(Y63&lt;Year1,,IF(Y63&lt;IF(AND(MONTH($Z$14)&gt;=10,MONTH($Z$14)&lt;=12),YEAR($Z$14)+1,YEAR($Z$14)),,IF(Y63&gt;1,Calculations!$AF63/VLOOKUP(Y63,Annual_Inputs,3,FALSE)/$AB$21*AF$21,0))))</f>
      </c>
      <c r="AG63" s="811">
        <f>IF(ISTEXT(Z63),0,IF(Z63&lt;Year1,,IF(Z63&lt;IF(AND(MONTH($Z$14)&gt;=10,MONTH($Z$14)&lt;=12),YEAR($Z$14)+1,YEAR($Z$14)),,IF(Z63&gt;1,Calculations!$AF63/VLOOKUP(Z63,Annual_Inputs,3,FALSE)/$AB$21*AG$21,0))))</f>
      </c>
      <c r="AH63" s="812">
        <f>SUM(AB63:AG63)</f>
      </c>
      <c r="AI63" s="819"/>
      <c r="AJ63" s="599"/>
      <c r="AK63" s="293"/>
      <c r="AL63" s="215"/>
      <c r="AM63" s="3"/>
      <c r="AN63" s="3"/>
      <c r="AO63" s="3"/>
      <c r="AP63" s="3"/>
      <c r="AQ63" s="3"/>
      <c r="AR63" s="3"/>
      <c r="AS63" s="227"/>
      <c r="AT63" s="227"/>
      <c r="AU63" s="227"/>
      <c r="AV63" s="227"/>
      <c r="AW63" s="1"/>
      <c r="AX63" s="227"/>
      <c r="AY63" s="227"/>
      <c r="AZ63" s="1"/>
      <c r="BA63" s="227"/>
      <c r="BB63" s="227"/>
      <c r="BC63" s="227"/>
      <c r="BD63" s="1"/>
    </row>
    <row x14ac:dyDescent="0.25" r="64" customHeight="1" ht="13">
      <c r="A64" s="227"/>
      <c r="B64" s="1"/>
      <c r="C64" s="5"/>
      <c r="D64" s="601"/>
      <c r="E64" s="601"/>
      <c r="F64" s="601"/>
      <c r="G64" s="600"/>
      <c r="H64" s="677"/>
      <c r="I64" s="848"/>
      <c r="J64" s="847"/>
      <c r="K64" s="847"/>
      <c r="L64" s="215"/>
      <c r="M64" s="848"/>
      <c r="N64" s="849"/>
      <c r="O64" s="850"/>
      <c r="P64" s="600"/>
      <c r="Q64" s="806"/>
      <c r="R64" s="99">
        <f>IF(Calculations!AC64=1,"",Calculations!AC64)</f>
      </c>
      <c r="S64" s="99">
        <f>Calculations!AB64</f>
      </c>
      <c r="T64" s="807"/>
      <c r="U64" s="808"/>
      <c r="V64" s="808"/>
      <c r="W64" s="808"/>
      <c r="X64" s="808"/>
      <c r="Y64" s="808"/>
      <c r="Z64" s="808"/>
      <c r="AA64" s="69"/>
      <c r="AB64" s="809">
        <f>IF(ISTEXT(U64),0,IF(U64&lt;Year1,,IF(U64&lt;IF(AND(MONTH($Z$14)&gt;=10,MONTH($Z$14)&lt;=12),YEAR($Z$14)+1,YEAR($Z$14)),,IF(U64&gt;1,Calculations!$AF64/VLOOKUP(U64,Annual_Inputs,3,FALSE)/$AB$21*AB$21,0))))</f>
      </c>
      <c r="AC64" s="810">
        <f>IF(ISTEXT(V64),0,IF(V64&lt;Year1,,IF(V64&lt;IF(AND(MONTH($Z$14)&gt;=10,MONTH($Z$14)&lt;=12),YEAR($Z$14)+1,YEAR($Z$14)),,IF(V64&gt;1,Calculations!$AF64/VLOOKUP(V64,Annual_Inputs,3,FALSE)/$AB$21*AC$21,0))))</f>
      </c>
      <c r="AD64" s="810">
        <f>IF(ISTEXT(W64),0,IF(W64&lt;Year1,,IF(W64&lt;IF(AND(MONTH($Z$14)&gt;=10,MONTH($Z$14)&lt;=12),YEAR($Z$14)+1,YEAR($Z$14)),,IF(W64&gt;1,Calculations!$AF64/VLOOKUP(W64,Annual_Inputs,3,FALSE)/$AB$21*AD$21,0))))</f>
      </c>
      <c r="AE64" s="810">
        <f>IF(ISTEXT(X64),0,IF(X64&lt;Year1,,IF(X64&lt;IF(AND(MONTH($Z$14)&gt;=10,MONTH($Z$14)&lt;=12),YEAR($Z$14)+1,YEAR($Z$14)),,IF(X64&gt;1,Calculations!$AF64/VLOOKUP(X64,Annual_Inputs,3,FALSE)/$AB$21*AE$21,0))))</f>
      </c>
      <c r="AF64" s="810">
        <f>IF(ISTEXT(Y64),0,IF(Y64&lt;Year1,,IF(Y64&lt;IF(AND(MONTH($Z$14)&gt;=10,MONTH($Z$14)&lt;=12),YEAR($Z$14)+1,YEAR($Z$14)),,IF(Y64&gt;1,Calculations!$AF64/VLOOKUP(Y64,Annual_Inputs,3,FALSE)/$AB$21*AF$21,0))))</f>
      </c>
      <c r="AG64" s="811">
        <f>IF(ISTEXT(Z64),0,IF(Z64&lt;Year1,,IF(Z64&lt;IF(AND(MONTH($Z$14)&gt;=10,MONTH($Z$14)&lt;=12),YEAR($Z$14)+1,YEAR($Z$14)),,IF(Z64&gt;1,Calculations!$AF64/VLOOKUP(Z64,Annual_Inputs,3,FALSE)/$AB$21*AG$21,0))))</f>
      </c>
      <c r="AH64" s="812">
        <f>SUM(AB64:AG64)</f>
      </c>
      <c r="AI64" s="819"/>
      <c r="AJ64" s="599"/>
      <c r="AK64" s="293"/>
      <c r="AL64" s="215"/>
      <c r="AM64" s="3"/>
      <c r="AN64" s="3"/>
      <c r="AO64" s="3"/>
      <c r="AP64" s="3"/>
      <c r="AQ64" s="3"/>
      <c r="AR64" s="3"/>
      <c r="AS64" s="227"/>
      <c r="AT64" s="227"/>
      <c r="AU64" s="227"/>
      <c r="AV64" s="227"/>
      <c r="AW64" s="1"/>
      <c r="AX64" s="227"/>
      <c r="AY64" s="227"/>
      <c r="AZ64" s="1"/>
      <c r="BA64" s="227"/>
      <c r="BB64" s="227"/>
      <c r="BC64" s="227"/>
      <c r="BD64" s="1"/>
    </row>
    <row x14ac:dyDescent="0.25" r="65" customHeight="1" ht="13">
      <c r="A65" s="227"/>
      <c r="B65" s="1"/>
      <c r="C65" s="5"/>
      <c r="D65" s="601"/>
      <c r="E65" s="601"/>
      <c r="F65" s="601"/>
      <c r="G65" s="600"/>
      <c r="H65" s="677"/>
      <c r="I65" s="848"/>
      <c r="J65" s="847"/>
      <c r="K65" s="847"/>
      <c r="L65" s="215"/>
      <c r="M65" s="848"/>
      <c r="N65" s="849"/>
      <c r="O65" s="850"/>
      <c r="P65" s="600"/>
      <c r="Q65" s="806"/>
      <c r="R65" s="99">
        <f>IF(Calculations!AC65=1,"",Calculations!AC65)</f>
      </c>
      <c r="S65" s="99">
        <f>Calculations!AB65</f>
      </c>
      <c r="T65" s="807"/>
      <c r="U65" s="808"/>
      <c r="V65" s="808"/>
      <c r="W65" s="808"/>
      <c r="X65" s="808"/>
      <c r="Y65" s="808"/>
      <c r="Z65" s="808"/>
      <c r="AA65" s="69"/>
      <c r="AB65" s="809">
        <f>IF(ISTEXT(U65),0,IF(U65&lt;Year1,,IF(U65&lt;IF(AND(MONTH($Z$14)&gt;=10,MONTH($Z$14)&lt;=12),YEAR($Z$14)+1,YEAR($Z$14)),,IF(U65&gt;1,Calculations!$AF65/VLOOKUP(U65,Annual_Inputs,3,FALSE)/$AB$21*AB$21,0))))</f>
      </c>
      <c r="AC65" s="810">
        <f>IF(ISTEXT(V65),0,IF(V65&lt;Year1,,IF(V65&lt;IF(AND(MONTH($Z$14)&gt;=10,MONTH($Z$14)&lt;=12),YEAR($Z$14)+1,YEAR($Z$14)),,IF(V65&gt;1,Calculations!$AF65/VLOOKUP(V65,Annual_Inputs,3,FALSE)/$AB$21*AC$21,0))))</f>
      </c>
      <c r="AD65" s="810">
        <f>IF(ISTEXT(W65),0,IF(W65&lt;Year1,,IF(W65&lt;IF(AND(MONTH($Z$14)&gt;=10,MONTH($Z$14)&lt;=12),YEAR($Z$14)+1,YEAR($Z$14)),,IF(W65&gt;1,Calculations!$AF65/VLOOKUP(W65,Annual_Inputs,3,FALSE)/$AB$21*AD$21,0))))</f>
      </c>
      <c r="AE65" s="810">
        <f>IF(ISTEXT(X65),0,IF(X65&lt;Year1,,IF(X65&lt;IF(AND(MONTH($Z$14)&gt;=10,MONTH($Z$14)&lt;=12),YEAR($Z$14)+1,YEAR($Z$14)),,IF(X65&gt;1,Calculations!$AF65/VLOOKUP(X65,Annual_Inputs,3,FALSE)/$AB$21*AE$21,0))))</f>
      </c>
      <c r="AF65" s="810">
        <f>IF(ISTEXT(Y65),0,IF(Y65&lt;Year1,,IF(Y65&lt;IF(AND(MONTH($Z$14)&gt;=10,MONTH($Z$14)&lt;=12),YEAR($Z$14)+1,YEAR($Z$14)),,IF(Y65&gt;1,Calculations!$AF65/VLOOKUP(Y65,Annual_Inputs,3,FALSE)/$AB$21*AF$21,0))))</f>
      </c>
      <c r="AG65" s="811">
        <f>IF(ISTEXT(Z65),0,IF(Z65&lt;Year1,,IF(Z65&lt;IF(AND(MONTH($Z$14)&gt;=10,MONTH($Z$14)&lt;=12),YEAR($Z$14)+1,YEAR($Z$14)),,IF(Z65&gt;1,Calculations!$AF65/VLOOKUP(Z65,Annual_Inputs,3,FALSE)/$AB$21*AG$21,0))))</f>
      </c>
      <c r="AH65" s="812">
        <f>SUM(AB65:AG65)</f>
      </c>
      <c r="AI65" s="819"/>
      <c r="AJ65" s="599"/>
      <c r="AK65" s="293"/>
      <c r="AL65" s="215"/>
      <c r="AM65" s="3"/>
      <c r="AN65" s="3"/>
      <c r="AO65" s="3"/>
      <c r="AP65" s="3"/>
      <c r="AQ65" s="3"/>
      <c r="AR65" s="3"/>
      <c r="AS65" s="227"/>
      <c r="AT65" s="227"/>
      <c r="AU65" s="227"/>
      <c r="AV65" s="227"/>
      <c r="AW65" s="1"/>
      <c r="AX65" s="227"/>
      <c r="AY65" s="227"/>
      <c r="AZ65" s="1"/>
      <c r="BA65" s="227"/>
      <c r="BB65" s="227"/>
      <c r="BC65" s="227"/>
      <c r="BD65" s="1"/>
    </row>
    <row x14ac:dyDescent="0.25" r="66" customHeight="1" ht="13">
      <c r="A66" s="227"/>
      <c r="B66" s="1"/>
      <c r="C66" s="5"/>
      <c r="D66" s="601"/>
      <c r="E66" s="601"/>
      <c r="F66" s="601"/>
      <c r="G66" s="600"/>
      <c r="H66" s="677"/>
      <c r="I66" s="677"/>
      <c r="J66" s="847"/>
      <c r="K66" s="847"/>
      <c r="L66" s="215"/>
      <c r="M66" s="848"/>
      <c r="N66" s="849"/>
      <c r="O66" s="850"/>
      <c r="P66" s="600"/>
      <c r="Q66" s="806"/>
      <c r="R66" s="99">
        <f>IF(Calculations!AC66=1,"",Calculations!AC66)</f>
      </c>
      <c r="S66" s="99">
        <f>Calculations!AB66</f>
      </c>
      <c r="T66" s="807"/>
      <c r="U66" s="808"/>
      <c r="V66" s="808"/>
      <c r="W66" s="808"/>
      <c r="X66" s="808"/>
      <c r="Y66" s="808"/>
      <c r="Z66" s="808"/>
      <c r="AA66" s="69"/>
      <c r="AB66" s="809">
        <f>IF(ISTEXT(U66),0,IF(U66&lt;Year1,,IF(U66&lt;IF(AND(MONTH($Z$14)&gt;=10,MONTH($Z$14)&lt;=12),YEAR($Z$14)+1,YEAR($Z$14)),,IF(U66&gt;1,Calculations!$AF66/VLOOKUP(U66,Annual_Inputs,3,FALSE)/$AB$21*AB$21,0))))</f>
      </c>
      <c r="AC66" s="810">
        <f>IF(ISTEXT(V66),0,IF(V66&lt;Year1,,IF(V66&lt;IF(AND(MONTH($Z$14)&gt;=10,MONTH($Z$14)&lt;=12),YEAR($Z$14)+1,YEAR($Z$14)),,IF(V66&gt;1,Calculations!$AF66/VLOOKUP(V66,Annual_Inputs,3,FALSE)/$AB$21*AC$21,0))))</f>
      </c>
      <c r="AD66" s="810">
        <f>IF(ISTEXT(W66),0,IF(W66&lt;Year1,,IF(W66&lt;IF(AND(MONTH($Z$14)&gt;=10,MONTH($Z$14)&lt;=12),YEAR($Z$14)+1,YEAR($Z$14)),,IF(W66&gt;1,Calculations!$AF66/VLOOKUP(W66,Annual_Inputs,3,FALSE)/$AB$21*AD$21,0))))</f>
      </c>
      <c r="AE66" s="810">
        <f>IF(ISTEXT(X66),0,IF(X66&lt;Year1,,IF(X66&lt;IF(AND(MONTH($Z$14)&gt;=10,MONTH($Z$14)&lt;=12),YEAR($Z$14)+1,YEAR($Z$14)),,IF(X66&gt;1,Calculations!$AF66/VLOOKUP(X66,Annual_Inputs,3,FALSE)/$AB$21*AE$21,0))))</f>
      </c>
      <c r="AF66" s="810">
        <f>IF(ISTEXT(Y66),0,IF(Y66&lt;Year1,,IF(Y66&lt;IF(AND(MONTH($Z$14)&gt;=10,MONTH($Z$14)&lt;=12),YEAR($Z$14)+1,YEAR($Z$14)),,IF(Y66&gt;1,Calculations!$AF66/VLOOKUP(Y66,Annual_Inputs,3,FALSE)/$AB$21*AF$21,0))))</f>
      </c>
      <c r="AG66" s="811">
        <f>IF(ISTEXT(Z66),0,IF(Z66&lt;Year1,,IF(Z66&lt;IF(AND(MONTH($Z$14)&gt;=10,MONTH($Z$14)&lt;=12),YEAR($Z$14)+1,YEAR($Z$14)),,IF(Z66&gt;1,Calculations!$AF66/VLOOKUP(Z66,Annual_Inputs,3,FALSE)/$AB$21*AG$21,0))))</f>
      </c>
      <c r="AH66" s="812">
        <f>SUM(AB66:AG66)</f>
      </c>
      <c r="AI66" s="819"/>
      <c r="AJ66" s="599"/>
      <c r="AK66" s="293"/>
      <c r="AL66" s="215"/>
      <c r="AM66" s="3"/>
      <c r="AN66" s="3"/>
      <c r="AO66" s="3"/>
      <c r="AP66" s="3"/>
      <c r="AQ66" s="3"/>
      <c r="AR66" s="3"/>
      <c r="AS66" s="227"/>
      <c r="AT66" s="227"/>
      <c r="AU66" s="227"/>
      <c r="AV66" s="227"/>
      <c r="AW66" s="1"/>
      <c r="AX66" s="227"/>
      <c r="AY66" s="227"/>
      <c r="AZ66" s="1"/>
      <c r="BA66" s="227"/>
      <c r="BB66" s="227"/>
      <c r="BC66" s="227"/>
      <c r="BD66" s="1"/>
    </row>
    <row x14ac:dyDescent="0.25" r="67" customHeight="1" ht="13">
      <c r="A67" s="227"/>
      <c r="B67" s="1"/>
      <c r="C67" s="5"/>
      <c r="D67" s="601"/>
      <c r="E67" s="601"/>
      <c r="F67" s="601"/>
      <c r="G67" s="600"/>
      <c r="H67" s="677"/>
      <c r="I67" s="677"/>
      <c r="J67" s="847"/>
      <c r="K67" s="847"/>
      <c r="L67" s="215"/>
      <c r="M67" s="848"/>
      <c r="N67" s="849"/>
      <c r="O67" s="850"/>
      <c r="P67" s="600"/>
      <c r="Q67" s="806"/>
      <c r="R67" s="99">
        <f>IF(Calculations!AC67=1,"",Calculations!AC67)</f>
      </c>
      <c r="S67" s="99">
        <f>Calculations!AB67</f>
      </c>
      <c r="T67" s="807"/>
      <c r="U67" s="808"/>
      <c r="V67" s="808"/>
      <c r="W67" s="808"/>
      <c r="X67" s="808"/>
      <c r="Y67" s="808"/>
      <c r="Z67" s="808"/>
      <c r="AA67" s="69"/>
      <c r="AB67" s="809">
        <f>IF(ISTEXT(U67),0,IF(U67&lt;Year1,,IF(U67&lt;IF(AND(MONTH($Z$14)&gt;=10,MONTH($Z$14)&lt;=12),YEAR($Z$14)+1,YEAR($Z$14)),,IF(U67&gt;1,Calculations!$AF67/VLOOKUP(U67,Annual_Inputs,3,FALSE)/$AB$21*AB$21,0))))</f>
      </c>
      <c r="AC67" s="810">
        <f>IF(ISTEXT(V67),0,IF(V67&lt;Year1,,IF(V67&lt;IF(AND(MONTH($Z$14)&gt;=10,MONTH($Z$14)&lt;=12),YEAR($Z$14)+1,YEAR($Z$14)),,IF(V67&gt;1,Calculations!$AF67/VLOOKUP(V67,Annual_Inputs,3,FALSE)/$AB$21*AC$21,0))))</f>
      </c>
      <c r="AD67" s="810">
        <f>IF(ISTEXT(W67),0,IF(W67&lt;Year1,,IF(W67&lt;IF(AND(MONTH($Z$14)&gt;=10,MONTH($Z$14)&lt;=12),YEAR($Z$14)+1,YEAR($Z$14)),,IF(W67&gt;1,Calculations!$AF67/VLOOKUP(W67,Annual_Inputs,3,FALSE)/$AB$21*AD$21,0))))</f>
      </c>
      <c r="AE67" s="810">
        <f>IF(ISTEXT(X67),0,IF(X67&lt;Year1,,IF(X67&lt;IF(AND(MONTH($Z$14)&gt;=10,MONTH($Z$14)&lt;=12),YEAR($Z$14)+1,YEAR($Z$14)),,IF(X67&gt;1,Calculations!$AF67/VLOOKUP(X67,Annual_Inputs,3,FALSE)/$AB$21*AE$21,0))))</f>
      </c>
      <c r="AF67" s="810">
        <f>IF(ISTEXT(Y67),0,IF(Y67&lt;Year1,,IF(Y67&lt;IF(AND(MONTH($Z$14)&gt;=10,MONTH($Z$14)&lt;=12),YEAR($Z$14)+1,YEAR($Z$14)),,IF(Y67&gt;1,Calculations!$AF67/VLOOKUP(Y67,Annual_Inputs,3,FALSE)/$AB$21*AF$21,0))))</f>
      </c>
      <c r="AG67" s="811">
        <f>IF(ISTEXT(Z67),0,IF(Z67&lt;Year1,,IF(Z67&lt;IF(AND(MONTH($Z$14)&gt;=10,MONTH($Z$14)&lt;=12),YEAR($Z$14)+1,YEAR($Z$14)),,IF(Z67&gt;1,Calculations!$AF67/VLOOKUP(Z67,Annual_Inputs,3,FALSE)/$AB$21*AG$21,0))))</f>
      </c>
      <c r="AH67" s="812">
        <f>SUM(AB67:AG67)</f>
      </c>
      <c r="AI67" s="819"/>
      <c r="AJ67" s="599"/>
      <c r="AK67" s="293"/>
      <c r="AL67" s="215"/>
      <c r="AM67" s="3"/>
      <c r="AN67" s="3"/>
      <c r="AO67" s="3"/>
      <c r="AP67" s="3"/>
      <c r="AQ67" s="3"/>
      <c r="AR67" s="3"/>
      <c r="AS67" s="227"/>
      <c r="AT67" s="227"/>
      <c r="AU67" s="227"/>
      <c r="AV67" s="227"/>
      <c r="AW67" s="1"/>
      <c r="AX67" s="227"/>
      <c r="AY67" s="227"/>
      <c r="AZ67" s="1"/>
      <c r="BA67" s="227"/>
      <c r="BB67" s="227"/>
      <c r="BC67" s="227"/>
      <c r="BD67" s="1"/>
    </row>
    <row x14ac:dyDescent="0.25" r="68" customHeight="1" ht="13">
      <c r="A68" s="227"/>
      <c r="B68" s="1"/>
      <c r="C68" s="5"/>
      <c r="D68" s="601"/>
      <c r="E68" s="601"/>
      <c r="F68" s="601"/>
      <c r="G68" s="600"/>
      <c r="H68" s="677"/>
      <c r="I68" s="677"/>
      <c r="J68" s="847"/>
      <c r="K68" s="847"/>
      <c r="L68" s="215"/>
      <c r="M68" s="848"/>
      <c r="N68" s="849"/>
      <c r="O68" s="850"/>
      <c r="P68" s="600"/>
      <c r="Q68" s="806"/>
      <c r="R68" s="99">
        <f>IF(Calculations!AC68=1,"",Calculations!AC68)</f>
      </c>
      <c r="S68" s="99">
        <f>Calculations!AB68</f>
      </c>
      <c r="T68" s="807"/>
      <c r="U68" s="808"/>
      <c r="V68" s="808"/>
      <c r="W68" s="808"/>
      <c r="X68" s="808"/>
      <c r="Y68" s="808"/>
      <c r="Z68" s="808"/>
      <c r="AA68" s="69"/>
      <c r="AB68" s="809">
        <f>IF(ISTEXT(U68),0,IF(U68&lt;Year1,,IF(U68&lt;IF(AND(MONTH($Z$14)&gt;=10,MONTH($Z$14)&lt;=12),YEAR($Z$14)+1,YEAR($Z$14)),,IF(U68&gt;1,Calculations!$AF68/VLOOKUP(U68,Annual_Inputs,3,FALSE)/$AB$21*AB$21,0))))</f>
      </c>
      <c r="AC68" s="810">
        <f>IF(ISTEXT(V68),0,IF(V68&lt;Year1,,IF(V68&lt;IF(AND(MONTH($Z$14)&gt;=10,MONTH($Z$14)&lt;=12),YEAR($Z$14)+1,YEAR($Z$14)),,IF(V68&gt;1,Calculations!$AF68/VLOOKUP(V68,Annual_Inputs,3,FALSE)/$AB$21*AC$21,0))))</f>
      </c>
      <c r="AD68" s="810">
        <f>IF(ISTEXT(W68),0,IF(W68&lt;Year1,,IF(W68&lt;IF(AND(MONTH($Z$14)&gt;=10,MONTH($Z$14)&lt;=12),YEAR($Z$14)+1,YEAR($Z$14)),,IF(W68&gt;1,Calculations!$AF68/VLOOKUP(W68,Annual_Inputs,3,FALSE)/$AB$21*AD$21,0))))</f>
      </c>
      <c r="AE68" s="810">
        <f>IF(ISTEXT(X68),0,IF(X68&lt;Year1,,IF(X68&lt;IF(AND(MONTH($Z$14)&gt;=10,MONTH($Z$14)&lt;=12),YEAR($Z$14)+1,YEAR($Z$14)),,IF(X68&gt;1,Calculations!$AF68/VLOOKUP(X68,Annual_Inputs,3,FALSE)/$AB$21*AE$21,0))))</f>
      </c>
      <c r="AF68" s="810">
        <f>IF(ISTEXT(Y68),0,IF(Y68&lt;Year1,,IF(Y68&lt;IF(AND(MONTH($Z$14)&gt;=10,MONTH($Z$14)&lt;=12),YEAR($Z$14)+1,YEAR($Z$14)),,IF(Y68&gt;1,Calculations!$AF68/VLOOKUP(Y68,Annual_Inputs,3,FALSE)/$AB$21*AF$21,0))))</f>
      </c>
      <c r="AG68" s="811">
        <f>IF(ISTEXT(Z68),0,IF(Z68&lt;Year1,,IF(Z68&lt;IF(AND(MONTH($Z$14)&gt;=10,MONTH($Z$14)&lt;=12),YEAR($Z$14)+1,YEAR($Z$14)),,IF(Z68&gt;1,Calculations!$AF68/VLOOKUP(Z68,Annual_Inputs,3,FALSE)/$AB$21*AG$21,0))))</f>
      </c>
      <c r="AH68" s="812">
        <f>SUM(AB68:AG68)</f>
      </c>
      <c r="AI68" s="819"/>
      <c r="AJ68" s="599"/>
      <c r="AK68" s="293"/>
      <c r="AL68" s="215"/>
      <c r="AM68" s="3"/>
      <c r="AN68" s="3"/>
      <c r="AO68" s="3"/>
      <c r="AP68" s="3"/>
      <c r="AQ68" s="3"/>
      <c r="AR68" s="3"/>
      <c r="AS68" s="227"/>
      <c r="AT68" s="227"/>
      <c r="AU68" s="227"/>
      <c r="AV68" s="227"/>
      <c r="AW68" s="1"/>
      <c r="AX68" s="227"/>
      <c r="AY68" s="227"/>
      <c r="AZ68" s="1"/>
      <c r="BA68" s="227"/>
      <c r="BB68" s="227"/>
      <c r="BC68" s="227"/>
      <c r="BD68" s="1"/>
    </row>
    <row x14ac:dyDescent="0.25" r="69" customHeight="1" ht="13">
      <c r="A69" s="227"/>
      <c r="B69" s="1"/>
      <c r="C69" s="5"/>
      <c r="D69" s="601"/>
      <c r="E69" s="601"/>
      <c r="F69" s="601"/>
      <c r="G69" s="600"/>
      <c r="H69" s="677"/>
      <c r="I69" s="677"/>
      <c r="J69" s="847"/>
      <c r="K69" s="847"/>
      <c r="L69" s="215"/>
      <c r="M69" s="848"/>
      <c r="N69" s="849"/>
      <c r="O69" s="850"/>
      <c r="P69" s="600"/>
      <c r="Q69" s="806"/>
      <c r="R69" s="99">
        <f>IF(Calculations!AC69=1,"",Calculations!AC69)</f>
      </c>
      <c r="S69" s="99">
        <f>Calculations!AB69</f>
      </c>
      <c r="T69" s="807"/>
      <c r="U69" s="808"/>
      <c r="V69" s="808"/>
      <c r="W69" s="808"/>
      <c r="X69" s="808"/>
      <c r="Y69" s="808"/>
      <c r="Z69" s="808"/>
      <c r="AA69" s="69"/>
      <c r="AB69" s="809">
        <f>IF(ISTEXT(U69),0,IF(U69&lt;Year1,,IF(U69&lt;IF(AND(MONTH($Z$14)&gt;=10,MONTH($Z$14)&lt;=12),YEAR($Z$14)+1,YEAR($Z$14)),,IF(U69&gt;1,Calculations!$AF69/VLOOKUP(U69,Annual_Inputs,3,FALSE)/$AB$21*AB$21,0))))</f>
      </c>
      <c r="AC69" s="810">
        <f>IF(ISTEXT(V69),0,IF(V69&lt;Year1,,IF(V69&lt;IF(AND(MONTH($Z$14)&gt;=10,MONTH($Z$14)&lt;=12),YEAR($Z$14)+1,YEAR($Z$14)),,IF(V69&gt;1,Calculations!$AF69/VLOOKUP(V69,Annual_Inputs,3,FALSE)/$AB$21*AC$21,0))))</f>
      </c>
      <c r="AD69" s="810">
        <f>IF(ISTEXT(W69),0,IF(W69&lt;Year1,,IF(W69&lt;IF(AND(MONTH($Z$14)&gt;=10,MONTH($Z$14)&lt;=12),YEAR($Z$14)+1,YEAR($Z$14)),,IF(W69&gt;1,Calculations!$AF69/VLOOKUP(W69,Annual_Inputs,3,FALSE)/$AB$21*AD$21,0))))</f>
      </c>
      <c r="AE69" s="810">
        <f>IF(ISTEXT(X69),0,IF(X69&lt;Year1,,IF(X69&lt;IF(AND(MONTH($Z$14)&gt;=10,MONTH($Z$14)&lt;=12),YEAR($Z$14)+1,YEAR($Z$14)),,IF(X69&gt;1,Calculations!$AF69/VLOOKUP(X69,Annual_Inputs,3,FALSE)/$AB$21*AE$21,0))))</f>
      </c>
      <c r="AF69" s="810">
        <f>IF(ISTEXT(Y69),0,IF(Y69&lt;Year1,,IF(Y69&lt;IF(AND(MONTH($Z$14)&gt;=10,MONTH($Z$14)&lt;=12),YEAR($Z$14)+1,YEAR($Z$14)),,IF(Y69&gt;1,Calculations!$AF69/VLOOKUP(Y69,Annual_Inputs,3,FALSE)/$AB$21*AF$21,0))))</f>
      </c>
      <c r="AG69" s="811">
        <f>IF(ISTEXT(Z69),0,IF(Z69&lt;Year1,,IF(Z69&lt;IF(AND(MONTH($Z$14)&gt;=10,MONTH($Z$14)&lt;=12),YEAR($Z$14)+1,YEAR($Z$14)),,IF(Z69&gt;1,Calculations!$AF69/VLOOKUP(Z69,Annual_Inputs,3,FALSE)/$AB$21*AG$21,0))))</f>
      </c>
      <c r="AH69" s="812">
        <f>SUM(AB69:AG69)</f>
      </c>
      <c r="AI69" s="819"/>
      <c r="AJ69" s="599"/>
      <c r="AK69" s="293"/>
      <c r="AL69" s="215"/>
      <c r="AM69" s="3"/>
      <c r="AN69" s="3"/>
      <c r="AO69" s="3"/>
      <c r="AP69" s="3"/>
      <c r="AQ69" s="3"/>
      <c r="AR69" s="3"/>
      <c r="AS69" s="227"/>
      <c r="AT69" s="227"/>
      <c r="AU69" s="227"/>
      <c r="AV69" s="227"/>
      <c r="AW69" s="1"/>
      <c r="AX69" s="227"/>
      <c r="AY69" s="227"/>
      <c r="AZ69" s="1"/>
      <c r="BA69" s="227"/>
      <c r="BB69" s="227"/>
      <c r="BC69" s="227"/>
      <c r="BD69" s="1"/>
    </row>
    <row x14ac:dyDescent="0.25" r="70" customHeight="1" ht="13">
      <c r="A70" s="227"/>
      <c r="B70" s="1"/>
      <c r="C70" s="5"/>
      <c r="D70" s="601"/>
      <c r="E70" s="601"/>
      <c r="F70" s="601"/>
      <c r="G70" s="600"/>
      <c r="H70" s="677"/>
      <c r="I70" s="677"/>
      <c r="J70" s="847"/>
      <c r="K70" s="847"/>
      <c r="L70" s="215"/>
      <c r="M70" s="848"/>
      <c r="N70" s="849"/>
      <c r="O70" s="850"/>
      <c r="P70" s="600"/>
      <c r="Q70" s="806"/>
      <c r="R70" s="99">
        <f>IF(Calculations!AC70=1,"",Calculations!AC70)</f>
      </c>
      <c r="S70" s="99">
        <f>Calculations!AB70</f>
      </c>
      <c r="T70" s="807"/>
      <c r="U70" s="808"/>
      <c r="V70" s="808"/>
      <c r="W70" s="808"/>
      <c r="X70" s="808"/>
      <c r="Y70" s="808"/>
      <c r="Z70" s="808"/>
      <c r="AA70" s="69"/>
      <c r="AB70" s="809">
        <f>IF(ISTEXT(U70),0,IF(U70&lt;Year1,,IF(U70&lt;IF(AND(MONTH($Z$14)&gt;=10,MONTH($Z$14)&lt;=12),YEAR($Z$14)+1,YEAR($Z$14)),,IF(U70&gt;1,Calculations!$AF70/VLOOKUP(U70,Annual_Inputs,3,FALSE)/$AB$21*AB$21,0))))</f>
      </c>
      <c r="AC70" s="810">
        <f>IF(ISTEXT(V70),0,IF(V70&lt;Year1,,IF(V70&lt;IF(AND(MONTH($Z$14)&gt;=10,MONTH($Z$14)&lt;=12),YEAR($Z$14)+1,YEAR($Z$14)),,IF(V70&gt;1,Calculations!$AF70/VLOOKUP(V70,Annual_Inputs,3,FALSE)/$AB$21*AC$21,0))))</f>
      </c>
      <c r="AD70" s="810">
        <f>IF(ISTEXT(W70),0,IF(W70&lt;Year1,,IF(W70&lt;IF(AND(MONTH($Z$14)&gt;=10,MONTH($Z$14)&lt;=12),YEAR($Z$14)+1,YEAR($Z$14)),,IF(W70&gt;1,Calculations!$AF70/VLOOKUP(W70,Annual_Inputs,3,FALSE)/$AB$21*AD$21,0))))</f>
      </c>
      <c r="AE70" s="810">
        <f>IF(ISTEXT(X70),0,IF(X70&lt;Year1,,IF(X70&lt;IF(AND(MONTH($Z$14)&gt;=10,MONTH($Z$14)&lt;=12),YEAR($Z$14)+1,YEAR($Z$14)),,IF(X70&gt;1,Calculations!$AF70/VLOOKUP(X70,Annual_Inputs,3,FALSE)/$AB$21*AE$21,0))))</f>
      </c>
      <c r="AF70" s="810">
        <f>IF(ISTEXT(Y70),0,IF(Y70&lt;Year1,,IF(Y70&lt;IF(AND(MONTH($Z$14)&gt;=10,MONTH($Z$14)&lt;=12),YEAR($Z$14)+1,YEAR($Z$14)),,IF(Y70&gt;1,Calculations!$AF70/VLOOKUP(Y70,Annual_Inputs,3,FALSE)/$AB$21*AF$21,0))))</f>
      </c>
      <c r="AG70" s="811">
        <f>IF(ISTEXT(Z70),0,IF(Z70&lt;Year1,,IF(Z70&lt;IF(AND(MONTH($Z$14)&gt;=10,MONTH($Z$14)&lt;=12),YEAR($Z$14)+1,YEAR($Z$14)),,IF(Z70&gt;1,Calculations!$AF70/VLOOKUP(Z70,Annual_Inputs,3,FALSE)/$AB$21*AG$21,0))))</f>
      </c>
      <c r="AH70" s="812">
        <f>SUM(AB70:AG70)</f>
      </c>
      <c r="AI70" s="819"/>
      <c r="AJ70" s="599"/>
      <c r="AK70" s="293"/>
      <c r="AL70" s="215"/>
      <c r="AM70" s="3"/>
      <c r="AN70" s="3"/>
      <c r="AO70" s="3"/>
      <c r="AP70" s="3"/>
      <c r="AQ70" s="3"/>
      <c r="AR70" s="3"/>
      <c r="AS70" s="227"/>
      <c r="AT70" s="227"/>
      <c r="AU70" s="227"/>
      <c r="AV70" s="227"/>
      <c r="AW70" s="1"/>
      <c r="AX70" s="227"/>
      <c r="AY70" s="227"/>
      <c r="AZ70" s="1"/>
      <c r="BA70" s="227"/>
      <c r="BB70" s="227"/>
      <c r="BC70" s="227"/>
      <c r="BD70" s="1"/>
    </row>
    <row x14ac:dyDescent="0.25" r="71" customHeight="1" ht="13">
      <c r="A71" s="227"/>
      <c r="B71" s="1"/>
      <c r="C71" s="5"/>
      <c r="D71" s="601"/>
      <c r="E71" s="601"/>
      <c r="F71" s="601"/>
      <c r="G71" s="600"/>
      <c r="H71" s="677"/>
      <c r="I71" s="677"/>
      <c r="J71" s="847"/>
      <c r="K71" s="847"/>
      <c r="L71" s="215"/>
      <c r="M71" s="848"/>
      <c r="N71" s="849"/>
      <c r="O71" s="850"/>
      <c r="P71" s="600"/>
      <c r="Q71" s="806"/>
      <c r="R71" s="99">
        <f>IF(Calculations!AC71=1,"",Calculations!AC71)</f>
      </c>
      <c r="S71" s="99">
        <f>Calculations!AB71</f>
      </c>
      <c r="T71" s="807"/>
      <c r="U71" s="808"/>
      <c r="V71" s="808"/>
      <c r="W71" s="808"/>
      <c r="X71" s="808"/>
      <c r="Y71" s="808"/>
      <c r="Z71" s="808"/>
      <c r="AA71" s="69"/>
      <c r="AB71" s="809">
        <f>IF(ISTEXT(U71),0,IF(U71&lt;Year1,,IF(U71&lt;IF(AND(MONTH($Z$14)&gt;=10,MONTH($Z$14)&lt;=12),YEAR($Z$14)+1,YEAR($Z$14)),,IF(U71&gt;1,Calculations!$AF71/VLOOKUP(U71,Annual_Inputs,3,FALSE)/$AB$21*AB$21,0))))</f>
      </c>
      <c r="AC71" s="810">
        <f>IF(ISTEXT(V71),0,IF(V71&lt;Year1,,IF(V71&lt;IF(AND(MONTH($Z$14)&gt;=10,MONTH($Z$14)&lt;=12),YEAR($Z$14)+1,YEAR($Z$14)),,IF(V71&gt;1,Calculations!$AF71/VLOOKUP(V71,Annual_Inputs,3,FALSE)/$AB$21*AC$21,0))))</f>
      </c>
      <c r="AD71" s="810">
        <f>IF(ISTEXT(W71),0,IF(W71&lt;Year1,,IF(W71&lt;IF(AND(MONTH($Z$14)&gt;=10,MONTH($Z$14)&lt;=12),YEAR($Z$14)+1,YEAR($Z$14)),,IF(W71&gt;1,Calculations!$AF71/VLOOKUP(W71,Annual_Inputs,3,FALSE)/$AB$21*AD$21,0))))</f>
      </c>
      <c r="AE71" s="810">
        <f>IF(ISTEXT(X71),0,IF(X71&lt;Year1,,IF(X71&lt;IF(AND(MONTH($Z$14)&gt;=10,MONTH($Z$14)&lt;=12),YEAR($Z$14)+1,YEAR($Z$14)),,IF(X71&gt;1,Calculations!$AF71/VLOOKUP(X71,Annual_Inputs,3,FALSE)/$AB$21*AE$21,0))))</f>
      </c>
      <c r="AF71" s="810">
        <f>IF(ISTEXT(Y71),0,IF(Y71&lt;Year1,,IF(Y71&lt;IF(AND(MONTH($Z$14)&gt;=10,MONTH($Z$14)&lt;=12),YEAR($Z$14)+1,YEAR($Z$14)),,IF(Y71&gt;1,Calculations!$AF71/VLOOKUP(Y71,Annual_Inputs,3,FALSE)/$AB$21*AF$21,0))))</f>
      </c>
      <c r="AG71" s="811">
        <f>IF(ISTEXT(Z71),0,IF(Z71&lt;Year1,,IF(Z71&lt;IF(AND(MONTH($Z$14)&gt;=10,MONTH($Z$14)&lt;=12),YEAR($Z$14)+1,YEAR($Z$14)),,IF(Z71&gt;1,Calculations!$AF71/VLOOKUP(Z71,Annual_Inputs,3,FALSE)/$AB$21*AG$21,0))))</f>
      </c>
      <c r="AH71" s="812">
        <f>SUM(AB71:AG71)</f>
      </c>
      <c r="AI71" s="819"/>
      <c r="AJ71" s="599"/>
      <c r="AK71" s="293"/>
      <c r="AL71" s="215"/>
      <c r="AM71" s="3"/>
      <c r="AN71" s="3"/>
      <c r="AO71" s="3"/>
      <c r="AP71" s="3"/>
      <c r="AQ71" s="3"/>
      <c r="AR71" s="3"/>
      <c r="AS71" s="227"/>
      <c r="AT71" s="227"/>
      <c r="AU71" s="227"/>
      <c r="AV71" s="227"/>
      <c r="AW71" s="1"/>
      <c r="AX71" s="227"/>
      <c r="AY71" s="227"/>
      <c r="AZ71" s="1"/>
      <c r="BA71" s="227"/>
      <c r="BB71" s="227"/>
      <c r="BC71" s="227"/>
      <c r="BD71" s="1"/>
    </row>
    <row x14ac:dyDescent="0.25" r="72" customHeight="1" ht="13">
      <c r="A72" s="227"/>
      <c r="B72" s="1"/>
      <c r="C72" s="5"/>
      <c r="D72" s="601"/>
      <c r="E72" s="601"/>
      <c r="F72" s="601"/>
      <c r="G72" s="600"/>
      <c r="H72" s="677"/>
      <c r="I72" s="677"/>
      <c r="J72" s="847"/>
      <c r="K72" s="847"/>
      <c r="L72" s="215"/>
      <c r="M72" s="848"/>
      <c r="N72" s="849"/>
      <c r="O72" s="850"/>
      <c r="P72" s="600"/>
      <c r="Q72" s="806"/>
      <c r="R72" s="99">
        <f>IF(Calculations!AC72=1,"",Calculations!AC72)</f>
      </c>
      <c r="S72" s="99">
        <f>Calculations!AB72</f>
      </c>
      <c r="T72" s="807"/>
      <c r="U72" s="808"/>
      <c r="V72" s="808"/>
      <c r="W72" s="808"/>
      <c r="X72" s="808"/>
      <c r="Y72" s="808"/>
      <c r="Z72" s="808"/>
      <c r="AA72" s="69"/>
      <c r="AB72" s="809">
        <f>IF(ISTEXT(U72),0,IF(U72&lt;Year1,,IF(U72&lt;IF(AND(MONTH($Z$14)&gt;=10,MONTH($Z$14)&lt;=12),YEAR($Z$14)+1,YEAR($Z$14)),,IF(U72&gt;1,Calculations!$AF72/VLOOKUP(U72,Annual_Inputs,3,FALSE)/$AB$21*AB$21,0))))</f>
      </c>
      <c r="AC72" s="810">
        <f>IF(ISTEXT(V72),0,IF(V72&lt;Year1,,IF(V72&lt;IF(AND(MONTH($Z$14)&gt;=10,MONTH($Z$14)&lt;=12),YEAR($Z$14)+1,YEAR($Z$14)),,IF(V72&gt;1,Calculations!$AF72/VLOOKUP(V72,Annual_Inputs,3,FALSE)/$AB$21*AC$21,0))))</f>
      </c>
      <c r="AD72" s="810">
        <f>IF(ISTEXT(W72),0,IF(W72&lt;Year1,,IF(W72&lt;IF(AND(MONTH($Z$14)&gt;=10,MONTH($Z$14)&lt;=12),YEAR($Z$14)+1,YEAR($Z$14)),,IF(W72&gt;1,Calculations!$AF72/VLOOKUP(W72,Annual_Inputs,3,FALSE)/$AB$21*AD$21,0))))</f>
      </c>
      <c r="AE72" s="810">
        <f>IF(ISTEXT(X72),0,IF(X72&lt;Year1,,IF(X72&lt;IF(AND(MONTH($Z$14)&gt;=10,MONTH($Z$14)&lt;=12),YEAR($Z$14)+1,YEAR($Z$14)),,IF(X72&gt;1,Calculations!$AF72/VLOOKUP(X72,Annual_Inputs,3,FALSE)/$AB$21*AE$21,0))))</f>
      </c>
      <c r="AF72" s="810">
        <f>IF(ISTEXT(Y72),0,IF(Y72&lt;Year1,,IF(Y72&lt;IF(AND(MONTH($Z$14)&gt;=10,MONTH($Z$14)&lt;=12),YEAR($Z$14)+1,YEAR($Z$14)),,IF(Y72&gt;1,Calculations!$AF72/VLOOKUP(Y72,Annual_Inputs,3,FALSE)/$AB$21*AF$21,0))))</f>
      </c>
      <c r="AG72" s="811">
        <f>IF(ISTEXT(Z72),0,IF(Z72&lt;Year1,,IF(Z72&lt;IF(AND(MONTH($Z$14)&gt;=10,MONTH($Z$14)&lt;=12),YEAR($Z$14)+1,YEAR($Z$14)),,IF(Z72&gt;1,Calculations!$AF72/VLOOKUP(Z72,Annual_Inputs,3,FALSE)/$AB$21*AG$21,0))))</f>
      </c>
      <c r="AH72" s="812">
        <f>SUM(AB72:AG72)</f>
      </c>
      <c r="AI72" s="819"/>
      <c r="AJ72" s="599"/>
      <c r="AK72" s="293"/>
      <c r="AL72" s="215"/>
      <c r="AM72" s="3"/>
      <c r="AN72" s="3"/>
      <c r="AO72" s="3"/>
      <c r="AP72" s="3"/>
      <c r="AQ72" s="3"/>
      <c r="AR72" s="3"/>
      <c r="AS72" s="227"/>
      <c r="AT72" s="227"/>
      <c r="AU72" s="227"/>
      <c r="AV72" s="227"/>
      <c r="AW72" s="1"/>
      <c r="AX72" s="227"/>
      <c r="AY72" s="227"/>
      <c r="AZ72" s="1"/>
      <c r="BA72" s="227"/>
      <c r="BB72" s="227"/>
      <c r="BC72" s="227"/>
      <c r="BD72" s="1"/>
    </row>
    <row x14ac:dyDescent="0.25" r="73" customHeight="1" ht="13">
      <c r="A73" s="227"/>
      <c r="B73" s="1"/>
      <c r="C73" s="5"/>
      <c r="D73" s="601"/>
      <c r="E73" s="601"/>
      <c r="F73" s="601"/>
      <c r="G73" s="600"/>
      <c r="H73" s="677"/>
      <c r="I73" s="677"/>
      <c r="J73" s="847"/>
      <c r="K73" s="847"/>
      <c r="L73" s="215"/>
      <c r="M73" s="848"/>
      <c r="N73" s="849"/>
      <c r="O73" s="850"/>
      <c r="P73" s="600"/>
      <c r="Q73" s="806"/>
      <c r="R73" s="99">
        <f>IF(Calculations!AC73=1,"",Calculations!AC73)</f>
      </c>
      <c r="S73" s="99">
        <f>Calculations!AB73</f>
      </c>
      <c r="T73" s="807"/>
      <c r="U73" s="808"/>
      <c r="V73" s="808"/>
      <c r="W73" s="808"/>
      <c r="X73" s="808"/>
      <c r="Y73" s="808"/>
      <c r="Z73" s="808"/>
      <c r="AA73" s="69"/>
      <c r="AB73" s="809">
        <f>IF(ISTEXT(U73),0,IF(U73&lt;Year1,,IF(U73&lt;IF(AND(MONTH($Z$14)&gt;=10,MONTH($Z$14)&lt;=12),YEAR($Z$14)+1,YEAR($Z$14)),,IF(U73&gt;1,Calculations!$AF73/VLOOKUP(U73,Annual_Inputs,3,FALSE)/$AB$21*AB$21,0))))</f>
      </c>
      <c r="AC73" s="810">
        <f>IF(ISTEXT(V73),0,IF(V73&lt;Year1,,IF(V73&lt;IF(AND(MONTH($Z$14)&gt;=10,MONTH($Z$14)&lt;=12),YEAR($Z$14)+1,YEAR($Z$14)),,IF(V73&gt;1,Calculations!$AF73/VLOOKUP(V73,Annual_Inputs,3,FALSE)/$AB$21*AC$21,0))))</f>
      </c>
      <c r="AD73" s="810">
        <f>IF(ISTEXT(W73),0,IF(W73&lt;Year1,,IF(W73&lt;IF(AND(MONTH($Z$14)&gt;=10,MONTH($Z$14)&lt;=12),YEAR($Z$14)+1,YEAR($Z$14)),,IF(W73&gt;1,Calculations!$AF73/VLOOKUP(W73,Annual_Inputs,3,FALSE)/$AB$21*AD$21,0))))</f>
      </c>
      <c r="AE73" s="810">
        <f>IF(ISTEXT(X73),0,IF(X73&lt;Year1,,IF(X73&lt;IF(AND(MONTH($Z$14)&gt;=10,MONTH($Z$14)&lt;=12),YEAR($Z$14)+1,YEAR($Z$14)),,IF(X73&gt;1,Calculations!$AF73/VLOOKUP(X73,Annual_Inputs,3,FALSE)/$AB$21*AE$21,0))))</f>
      </c>
      <c r="AF73" s="810">
        <f>IF(ISTEXT(Y73),0,IF(Y73&lt;Year1,,IF(Y73&lt;IF(AND(MONTH($Z$14)&gt;=10,MONTH($Z$14)&lt;=12),YEAR($Z$14)+1,YEAR($Z$14)),,IF(Y73&gt;1,Calculations!$AF73/VLOOKUP(Y73,Annual_Inputs,3,FALSE)/$AB$21*AF$21,0))))</f>
      </c>
      <c r="AG73" s="811">
        <f>IF(ISTEXT(Z73),0,IF(Z73&lt;Year1,,IF(Z73&lt;IF(AND(MONTH($Z$14)&gt;=10,MONTH($Z$14)&lt;=12),YEAR($Z$14)+1,YEAR($Z$14)),,IF(Z73&gt;1,Calculations!$AF73/VLOOKUP(Z73,Annual_Inputs,3,FALSE)/$AB$21*AG$21,0))))</f>
      </c>
      <c r="AH73" s="812">
        <f>SUM(AB73:AG73)</f>
      </c>
      <c r="AI73" s="819"/>
      <c r="AJ73" s="599"/>
      <c r="AK73" s="293"/>
      <c r="AL73" s="215"/>
      <c r="AM73" s="3"/>
      <c r="AN73" s="3"/>
      <c r="AO73" s="3"/>
      <c r="AP73" s="3"/>
      <c r="AQ73" s="3"/>
      <c r="AR73" s="3"/>
      <c r="AS73" s="227"/>
      <c r="AT73" s="227"/>
      <c r="AU73" s="227"/>
      <c r="AV73" s="227"/>
      <c r="AW73" s="1"/>
      <c r="AX73" s="227"/>
      <c r="AY73" s="227"/>
      <c r="AZ73" s="1"/>
      <c r="BA73" s="227"/>
      <c r="BB73" s="227"/>
      <c r="BC73" s="227"/>
      <c r="BD73" s="1"/>
    </row>
    <row x14ac:dyDescent="0.25" r="74" customHeight="1" ht="13">
      <c r="A74" s="227"/>
      <c r="B74" s="1"/>
      <c r="C74" s="5"/>
      <c r="D74" s="601"/>
      <c r="E74" s="601"/>
      <c r="F74" s="601"/>
      <c r="G74" s="600"/>
      <c r="H74" s="677"/>
      <c r="I74" s="677"/>
      <c r="J74" s="847"/>
      <c r="K74" s="847"/>
      <c r="L74" s="215"/>
      <c r="M74" s="848"/>
      <c r="N74" s="849"/>
      <c r="O74" s="850"/>
      <c r="P74" s="600"/>
      <c r="Q74" s="806"/>
      <c r="R74" s="99">
        <f>IF(Calculations!AC74=1,"",Calculations!AC74)</f>
      </c>
      <c r="S74" s="99">
        <f>Calculations!AB74</f>
      </c>
      <c r="T74" s="807"/>
      <c r="U74" s="808"/>
      <c r="V74" s="808"/>
      <c r="W74" s="808"/>
      <c r="X74" s="808"/>
      <c r="Y74" s="808"/>
      <c r="Z74" s="808"/>
      <c r="AA74" s="69"/>
      <c r="AB74" s="809">
        <f>IF(ISTEXT(U74),0,IF(U74&lt;Year1,,IF(U74&lt;IF(AND(MONTH($Z$14)&gt;=10,MONTH($Z$14)&lt;=12),YEAR($Z$14)+1,YEAR($Z$14)),,IF(U74&gt;1,Calculations!$AF74/VLOOKUP(U74,Annual_Inputs,3,FALSE)/$AB$21*AB$21,0))))</f>
      </c>
      <c r="AC74" s="810">
        <f>IF(ISTEXT(V74),0,IF(V74&lt;Year1,,IF(V74&lt;IF(AND(MONTH($Z$14)&gt;=10,MONTH($Z$14)&lt;=12),YEAR($Z$14)+1,YEAR($Z$14)),,IF(V74&gt;1,Calculations!$AF74/VLOOKUP(V74,Annual_Inputs,3,FALSE)/$AB$21*AC$21,0))))</f>
      </c>
      <c r="AD74" s="810">
        <f>IF(ISTEXT(W74),0,IF(W74&lt;Year1,,IF(W74&lt;IF(AND(MONTH($Z$14)&gt;=10,MONTH($Z$14)&lt;=12),YEAR($Z$14)+1,YEAR($Z$14)),,IF(W74&gt;1,Calculations!$AF74/VLOOKUP(W74,Annual_Inputs,3,FALSE)/$AB$21*AD$21,0))))</f>
      </c>
      <c r="AE74" s="810">
        <f>IF(ISTEXT(X74),0,IF(X74&lt;Year1,,IF(X74&lt;IF(AND(MONTH($Z$14)&gt;=10,MONTH($Z$14)&lt;=12),YEAR($Z$14)+1,YEAR($Z$14)),,IF(X74&gt;1,Calculations!$AF74/VLOOKUP(X74,Annual_Inputs,3,FALSE)/$AB$21*AE$21,0))))</f>
      </c>
      <c r="AF74" s="810">
        <f>IF(ISTEXT(Y74),0,IF(Y74&lt;Year1,,IF(Y74&lt;IF(AND(MONTH($Z$14)&gt;=10,MONTH($Z$14)&lt;=12),YEAR($Z$14)+1,YEAR($Z$14)),,IF(Y74&gt;1,Calculations!$AF74/VLOOKUP(Y74,Annual_Inputs,3,FALSE)/$AB$21*AF$21,0))))</f>
      </c>
      <c r="AG74" s="811">
        <f>IF(ISTEXT(Z74),0,IF(Z74&lt;Year1,,IF(Z74&lt;IF(AND(MONTH($Z$14)&gt;=10,MONTH($Z$14)&lt;=12),YEAR($Z$14)+1,YEAR($Z$14)),,IF(Z74&gt;1,Calculations!$AF74/VLOOKUP(Z74,Annual_Inputs,3,FALSE)/$AB$21*AG$21,0))))</f>
      </c>
      <c r="AH74" s="812">
        <f>SUM(AB74:AG74)</f>
      </c>
      <c r="AI74" s="819"/>
      <c r="AJ74" s="599"/>
      <c r="AK74" s="293"/>
      <c r="AL74" s="215"/>
      <c r="AM74" s="3"/>
      <c r="AN74" s="3"/>
      <c r="AO74" s="3"/>
      <c r="AP74" s="3"/>
      <c r="AQ74" s="3"/>
      <c r="AR74" s="3"/>
      <c r="AS74" s="227"/>
      <c r="AT74" s="227"/>
      <c r="AU74" s="227"/>
      <c r="AV74" s="227"/>
      <c r="AW74" s="1"/>
      <c r="AX74" s="227"/>
      <c r="AY74" s="227"/>
      <c r="AZ74" s="1"/>
      <c r="BA74" s="227"/>
      <c r="BB74" s="227"/>
      <c r="BC74" s="227"/>
      <c r="BD74" s="1"/>
    </row>
    <row x14ac:dyDescent="0.25" r="75" customHeight="1" ht="13">
      <c r="A75" s="227"/>
      <c r="B75" s="1"/>
      <c r="C75" s="5"/>
      <c r="D75" s="601"/>
      <c r="E75" s="601"/>
      <c r="F75" s="601"/>
      <c r="G75" s="600"/>
      <c r="H75" s="677"/>
      <c r="I75" s="677"/>
      <c r="J75" s="847"/>
      <c r="K75" s="847"/>
      <c r="L75" s="215"/>
      <c r="M75" s="848"/>
      <c r="N75" s="849"/>
      <c r="O75" s="850"/>
      <c r="P75" s="600"/>
      <c r="Q75" s="806"/>
      <c r="R75" s="99">
        <f>IF(Calculations!AC75=1,"",Calculations!AC75)</f>
      </c>
      <c r="S75" s="99">
        <f>Calculations!AB75</f>
      </c>
      <c r="T75" s="807"/>
      <c r="U75" s="808"/>
      <c r="V75" s="808"/>
      <c r="W75" s="808"/>
      <c r="X75" s="808"/>
      <c r="Y75" s="808"/>
      <c r="Z75" s="808"/>
      <c r="AA75" s="69"/>
      <c r="AB75" s="809">
        <f>IF(ISTEXT(U75),0,IF(U75&lt;Year1,,IF(U75&lt;IF(AND(MONTH($Z$14)&gt;=10,MONTH($Z$14)&lt;=12),YEAR($Z$14)+1,YEAR($Z$14)),,IF(U75&gt;1,Calculations!$AF75/VLOOKUP(U75,Annual_Inputs,3,FALSE)/$AB$21*AB$21,0))))</f>
      </c>
      <c r="AC75" s="810">
        <f>IF(ISTEXT(V75),0,IF(V75&lt;Year1,,IF(V75&lt;IF(AND(MONTH($Z$14)&gt;=10,MONTH($Z$14)&lt;=12),YEAR($Z$14)+1,YEAR($Z$14)),,IF(V75&gt;1,Calculations!$AF75/VLOOKUP(V75,Annual_Inputs,3,FALSE)/$AB$21*AC$21,0))))</f>
      </c>
      <c r="AD75" s="810">
        <f>IF(ISTEXT(W75),0,IF(W75&lt;Year1,,IF(W75&lt;IF(AND(MONTH($Z$14)&gt;=10,MONTH($Z$14)&lt;=12),YEAR($Z$14)+1,YEAR($Z$14)),,IF(W75&gt;1,Calculations!$AF75/VLOOKUP(W75,Annual_Inputs,3,FALSE)/$AB$21*AD$21,0))))</f>
      </c>
      <c r="AE75" s="810">
        <f>IF(ISTEXT(X75),0,IF(X75&lt;Year1,,IF(X75&lt;IF(AND(MONTH($Z$14)&gt;=10,MONTH($Z$14)&lt;=12),YEAR($Z$14)+1,YEAR($Z$14)),,IF(X75&gt;1,Calculations!$AF75/VLOOKUP(X75,Annual_Inputs,3,FALSE)/$AB$21*AE$21,0))))</f>
      </c>
      <c r="AF75" s="810">
        <f>IF(ISTEXT(Y75),0,IF(Y75&lt;Year1,,IF(Y75&lt;IF(AND(MONTH($Z$14)&gt;=10,MONTH($Z$14)&lt;=12),YEAR($Z$14)+1,YEAR($Z$14)),,IF(Y75&gt;1,Calculations!$AF75/VLOOKUP(Y75,Annual_Inputs,3,FALSE)/$AB$21*AF$21,0))))</f>
      </c>
      <c r="AG75" s="811">
        <f>IF(ISTEXT(Z75),0,IF(Z75&lt;Year1,,IF(Z75&lt;IF(AND(MONTH($Z$14)&gt;=10,MONTH($Z$14)&lt;=12),YEAR($Z$14)+1,YEAR($Z$14)),,IF(Z75&gt;1,Calculations!$AF75/VLOOKUP(Z75,Annual_Inputs,3,FALSE)/$AB$21*AG$21,0))))</f>
      </c>
      <c r="AH75" s="812">
        <f>SUM(AB75:AG75)</f>
      </c>
      <c r="AI75" s="819"/>
      <c r="AJ75" s="599"/>
      <c r="AK75" s="293"/>
      <c r="AL75" s="215"/>
      <c r="AM75" s="3"/>
      <c r="AN75" s="3"/>
      <c r="AO75" s="3"/>
      <c r="AP75" s="3"/>
      <c r="AQ75" s="3"/>
      <c r="AR75" s="3"/>
      <c r="AS75" s="227"/>
      <c r="AT75" s="227"/>
      <c r="AU75" s="227"/>
      <c r="AV75" s="227"/>
      <c r="AW75" s="1"/>
      <c r="AX75" s="227"/>
      <c r="AY75" s="227"/>
      <c r="AZ75" s="1"/>
      <c r="BA75" s="227"/>
      <c r="BB75" s="227"/>
      <c r="BC75" s="227"/>
      <c r="BD75" s="1"/>
    </row>
    <row x14ac:dyDescent="0.25" r="76" customHeight="1" ht="13">
      <c r="A76" s="227"/>
      <c r="B76" s="1"/>
      <c r="C76" s="5"/>
      <c r="D76" s="601"/>
      <c r="E76" s="601"/>
      <c r="F76" s="601"/>
      <c r="G76" s="600"/>
      <c r="H76" s="677"/>
      <c r="I76" s="677"/>
      <c r="J76" s="847"/>
      <c r="K76" s="847"/>
      <c r="L76" s="215"/>
      <c r="M76" s="848"/>
      <c r="N76" s="849"/>
      <c r="O76" s="850"/>
      <c r="P76" s="600"/>
      <c r="Q76" s="806"/>
      <c r="R76" s="99">
        <f>IF(Calculations!AC76=1,"",Calculations!AC76)</f>
      </c>
      <c r="S76" s="99">
        <f>Calculations!AB76</f>
      </c>
      <c r="T76" s="807"/>
      <c r="U76" s="808"/>
      <c r="V76" s="808"/>
      <c r="W76" s="808"/>
      <c r="X76" s="808"/>
      <c r="Y76" s="808"/>
      <c r="Z76" s="808"/>
      <c r="AA76" s="69"/>
      <c r="AB76" s="809">
        <f>IF(ISTEXT(U76),0,IF(U76&lt;Year1,,IF(U76&lt;IF(AND(MONTH($Z$14)&gt;=10,MONTH($Z$14)&lt;=12),YEAR($Z$14)+1,YEAR($Z$14)),,IF(U76&gt;1,Calculations!$AF76/VLOOKUP(U76,Annual_Inputs,3,FALSE)/$AB$21*AB$21,0))))</f>
      </c>
      <c r="AC76" s="810">
        <f>IF(ISTEXT(V76),0,IF(V76&lt;Year1,,IF(V76&lt;IF(AND(MONTH($Z$14)&gt;=10,MONTH($Z$14)&lt;=12),YEAR($Z$14)+1,YEAR($Z$14)),,IF(V76&gt;1,Calculations!$AF76/VLOOKUP(V76,Annual_Inputs,3,FALSE)/$AB$21*AC$21,0))))</f>
      </c>
      <c r="AD76" s="810">
        <f>IF(ISTEXT(W76),0,IF(W76&lt;Year1,,IF(W76&lt;IF(AND(MONTH($Z$14)&gt;=10,MONTH($Z$14)&lt;=12),YEAR($Z$14)+1,YEAR($Z$14)),,IF(W76&gt;1,Calculations!$AF76/VLOOKUP(W76,Annual_Inputs,3,FALSE)/$AB$21*AD$21,0))))</f>
      </c>
      <c r="AE76" s="810">
        <f>IF(ISTEXT(X76),0,IF(X76&lt;Year1,,IF(X76&lt;IF(AND(MONTH($Z$14)&gt;=10,MONTH($Z$14)&lt;=12),YEAR($Z$14)+1,YEAR($Z$14)),,IF(X76&gt;1,Calculations!$AF76/VLOOKUP(X76,Annual_Inputs,3,FALSE)/$AB$21*AE$21,0))))</f>
      </c>
      <c r="AF76" s="810">
        <f>IF(ISTEXT(Y76),0,IF(Y76&lt;Year1,,IF(Y76&lt;IF(AND(MONTH($Z$14)&gt;=10,MONTH($Z$14)&lt;=12),YEAR($Z$14)+1,YEAR($Z$14)),,IF(Y76&gt;1,Calculations!$AF76/VLOOKUP(Y76,Annual_Inputs,3,FALSE)/$AB$21*AF$21,0))))</f>
      </c>
      <c r="AG76" s="811">
        <f>IF(ISTEXT(Z76),0,IF(Z76&lt;Year1,,IF(Z76&lt;IF(AND(MONTH($Z$14)&gt;=10,MONTH($Z$14)&lt;=12),YEAR($Z$14)+1,YEAR($Z$14)),,IF(Z76&gt;1,Calculations!$AF76/VLOOKUP(Z76,Annual_Inputs,3,FALSE)/$AB$21*AG$21,0))))</f>
      </c>
      <c r="AH76" s="812">
        <f>SUM(AB76:AG76)</f>
      </c>
      <c r="AI76" s="819"/>
      <c r="AJ76" s="599"/>
      <c r="AK76" s="293"/>
      <c r="AL76" s="215"/>
      <c r="AM76" s="3"/>
      <c r="AN76" s="3"/>
      <c r="AO76" s="3"/>
      <c r="AP76" s="3"/>
      <c r="AQ76" s="3"/>
      <c r="AR76" s="3"/>
      <c r="AS76" s="227"/>
      <c r="AT76" s="227"/>
      <c r="AU76" s="227"/>
      <c r="AV76" s="227"/>
      <c r="AW76" s="1"/>
      <c r="AX76" s="227"/>
      <c r="AY76" s="227"/>
      <c r="AZ76" s="1"/>
      <c r="BA76" s="227"/>
      <c r="BB76" s="227"/>
      <c r="BC76" s="227"/>
      <c r="BD76" s="1"/>
    </row>
    <row x14ac:dyDescent="0.25" r="77" customHeight="1" ht="13">
      <c r="A77" s="227"/>
      <c r="B77" s="1"/>
      <c r="C77" s="5"/>
      <c r="D77" s="601"/>
      <c r="E77" s="601"/>
      <c r="F77" s="601"/>
      <c r="G77" s="600"/>
      <c r="H77" s="677"/>
      <c r="I77" s="677"/>
      <c r="J77" s="847"/>
      <c r="K77" s="847"/>
      <c r="L77" s="215"/>
      <c r="M77" s="848"/>
      <c r="N77" s="849"/>
      <c r="O77" s="850"/>
      <c r="P77" s="600"/>
      <c r="Q77" s="806"/>
      <c r="R77" s="99">
        <f>IF(Calculations!AC77=1,"",Calculations!AC77)</f>
      </c>
      <c r="S77" s="99">
        <f>Calculations!AB77</f>
      </c>
      <c r="T77" s="807"/>
      <c r="U77" s="808"/>
      <c r="V77" s="808"/>
      <c r="W77" s="808"/>
      <c r="X77" s="808"/>
      <c r="Y77" s="808"/>
      <c r="Z77" s="808"/>
      <c r="AA77" s="69"/>
      <c r="AB77" s="809">
        <f>IF(ISTEXT(U77),0,IF(U77&lt;Year1,,IF(U77&lt;IF(AND(MONTH($Z$14)&gt;=10,MONTH($Z$14)&lt;=12),YEAR($Z$14)+1,YEAR($Z$14)),,IF(U77&gt;1,Calculations!$AF77/VLOOKUP(U77,Annual_Inputs,3,FALSE)/$AB$21*AB$21,0))))</f>
      </c>
      <c r="AC77" s="810">
        <f>IF(ISTEXT(V77),0,IF(V77&lt;Year1,,IF(V77&lt;IF(AND(MONTH($Z$14)&gt;=10,MONTH($Z$14)&lt;=12),YEAR($Z$14)+1,YEAR($Z$14)),,IF(V77&gt;1,Calculations!$AF77/VLOOKUP(V77,Annual_Inputs,3,FALSE)/$AB$21*AC$21,0))))</f>
      </c>
      <c r="AD77" s="810">
        <f>IF(ISTEXT(W77),0,IF(W77&lt;Year1,,IF(W77&lt;IF(AND(MONTH($Z$14)&gt;=10,MONTH($Z$14)&lt;=12),YEAR($Z$14)+1,YEAR($Z$14)),,IF(W77&gt;1,Calculations!$AF77/VLOOKUP(W77,Annual_Inputs,3,FALSE)/$AB$21*AD$21,0))))</f>
      </c>
      <c r="AE77" s="810">
        <f>IF(ISTEXT(X77),0,IF(X77&lt;Year1,,IF(X77&lt;IF(AND(MONTH($Z$14)&gt;=10,MONTH($Z$14)&lt;=12),YEAR($Z$14)+1,YEAR($Z$14)),,IF(X77&gt;1,Calculations!$AF77/VLOOKUP(X77,Annual_Inputs,3,FALSE)/$AB$21*AE$21,0))))</f>
      </c>
      <c r="AF77" s="810">
        <f>IF(ISTEXT(Y77),0,IF(Y77&lt;Year1,,IF(Y77&lt;IF(AND(MONTH($Z$14)&gt;=10,MONTH($Z$14)&lt;=12),YEAR($Z$14)+1,YEAR($Z$14)),,IF(Y77&gt;1,Calculations!$AF77/VLOOKUP(Y77,Annual_Inputs,3,FALSE)/$AB$21*AF$21,0))))</f>
      </c>
      <c r="AG77" s="811">
        <f>IF(ISTEXT(Z77),0,IF(Z77&lt;Year1,,IF(Z77&lt;IF(AND(MONTH($Z$14)&gt;=10,MONTH($Z$14)&lt;=12),YEAR($Z$14)+1,YEAR($Z$14)),,IF(Z77&gt;1,Calculations!$AF77/VLOOKUP(Z77,Annual_Inputs,3,FALSE)/$AB$21*AG$21,0))))</f>
      </c>
      <c r="AH77" s="812">
        <f>SUM(AB77:AG77)</f>
      </c>
      <c r="AI77" s="819"/>
      <c r="AJ77" s="599"/>
      <c r="AK77" s="293"/>
      <c r="AL77" s="215"/>
      <c r="AM77" s="3"/>
      <c r="AN77" s="3"/>
      <c r="AO77" s="3"/>
      <c r="AP77" s="3"/>
      <c r="AQ77" s="3"/>
      <c r="AR77" s="3"/>
      <c r="AS77" s="227"/>
      <c r="AT77" s="227"/>
      <c r="AU77" s="227"/>
      <c r="AV77" s="227"/>
      <c r="AW77" s="1"/>
      <c r="AX77" s="227"/>
      <c r="AY77" s="227"/>
      <c r="AZ77" s="1"/>
      <c r="BA77" s="227"/>
      <c r="BB77" s="227"/>
      <c r="BC77" s="227"/>
      <c r="BD77" s="1"/>
    </row>
    <row x14ac:dyDescent="0.25" r="78" customHeight="1" ht="13">
      <c r="A78" s="227"/>
      <c r="B78" s="1"/>
      <c r="C78" s="5"/>
      <c r="D78" s="601"/>
      <c r="E78" s="601"/>
      <c r="F78" s="601"/>
      <c r="G78" s="600"/>
      <c r="H78" s="677"/>
      <c r="I78" s="677"/>
      <c r="J78" s="847"/>
      <c r="K78" s="847"/>
      <c r="L78" s="215"/>
      <c r="M78" s="848"/>
      <c r="N78" s="849"/>
      <c r="O78" s="850"/>
      <c r="P78" s="600"/>
      <c r="Q78" s="806"/>
      <c r="R78" s="99">
        <f>IF(Calculations!AC78=1,"",Calculations!AC78)</f>
      </c>
      <c r="S78" s="99">
        <f>Calculations!AB78</f>
      </c>
      <c r="T78" s="807"/>
      <c r="U78" s="808"/>
      <c r="V78" s="808"/>
      <c r="W78" s="808"/>
      <c r="X78" s="808"/>
      <c r="Y78" s="808"/>
      <c r="Z78" s="808"/>
      <c r="AA78" s="69"/>
      <c r="AB78" s="809">
        <f>IF(ISTEXT(U78),0,IF(U78&lt;Year1,,IF(U78&lt;IF(AND(MONTH($Z$14)&gt;=10,MONTH($Z$14)&lt;=12),YEAR($Z$14)+1,YEAR($Z$14)),,IF(U78&gt;1,Calculations!$AF78/VLOOKUP(U78,Annual_Inputs,3,FALSE)/$AB$21*AB$21,0))))</f>
      </c>
      <c r="AC78" s="810">
        <f>IF(ISTEXT(V78),0,IF(V78&lt;Year1,,IF(V78&lt;IF(AND(MONTH($Z$14)&gt;=10,MONTH($Z$14)&lt;=12),YEAR($Z$14)+1,YEAR($Z$14)),,IF(V78&gt;1,Calculations!$AF78/VLOOKUP(V78,Annual_Inputs,3,FALSE)/$AB$21*AC$21,0))))</f>
      </c>
      <c r="AD78" s="810">
        <f>IF(ISTEXT(W78),0,IF(W78&lt;Year1,,IF(W78&lt;IF(AND(MONTH($Z$14)&gt;=10,MONTH($Z$14)&lt;=12),YEAR($Z$14)+1,YEAR($Z$14)),,IF(W78&gt;1,Calculations!$AF78/VLOOKUP(W78,Annual_Inputs,3,FALSE)/$AB$21*AD$21,0))))</f>
      </c>
      <c r="AE78" s="810">
        <f>IF(ISTEXT(X78),0,IF(X78&lt;Year1,,IF(X78&lt;IF(AND(MONTH($Z$14)&gt;=10,MONTH($Z$14)&lt;=12),YEAR($Z$14)+1,YEAR($Z$14)),,IF(X78&gt;1,Calculations!$AF78/VLOOKUP(X78,Annual_Inputs,3,FALSE)/$AB$21*AE$21,0))))</f>
      </c>
      <c r="AF78" s="810">
        <f>IF(ISTEXT(Y78),0,IF(Y78&lt;Year1,,IF(Y78&lt;IF(AND(MONTH($Z$14)&gt;=10,MONTH($Z$14)&lt;=12),YEAR($Z$14)+1,YEAR($Z$14)),,IF(Y78&gt;1,Calculations!$AF78/VLOOKUP(Y78,Annual_Inputs,3,FALSE)/$AB$21*AF$21,0))))</f>
      </c>
      <c r="AG78" s="811">
        <f>IF(ISTEXT(Z78),0,IF(Z78&lt;Year1,,IF(Z78&lt;IF(AND(MONTH($Z$14)&gt;=10,MONTH($Z$14)&lt;=12),YEAR($Z$14)+1,YEAR($Z$14)),,IF(Z78&gt;1,Calculations!$AF78/VLOOKUP(Z78,Annual_Inputs,3,FALSE)/$AB$21*AG$21,0))))</f>
      </c>
      <c r="AH78" s="812">
        <f>SUM(AB78:AG78)</f>
      </c>
      <c r="AI78" s="819"/>
      <c r="AJ78" s="599"/>
      <c r="AK78" s="293"/>
      <c r="AL78" s="215"/>
      <c r="AM78" s="3"/>
      <c r="AN78" s="3"/>
      <c r="AO78" s="3"/>
      <c r="AP78" s="3"/>
      <c r="AQ78" s="3"/>
      <c r="AR78" s="3"/>
      <c r="AS78" s="227"/>
      <c r="AT78" s="227"/>
      <c r="AU78" s="227"/>
      <c r="AV78" s="227"/>
      <c r="AW78" s="1"/>
      <c r="AX78" s="227"/>
      <c r="AY78" s="227"/>
      <c r="AZ78" s="1"/>
      <c r="BA78" s="227"/>
      <c r="BB78" s="227"/>
      <c r="BC78" s="227"/>
      <c r="BD78" s="1"/>
    </row>
    <row x14ac:dyDescent="0.25" r="79" customHeight="1" ht="13">
      <c r="A79" s="227"/>
      <c r="B79" s="1"/>
      <c r="C79" s="5"/>
      <c r="D79" s="601"/>
      <c r="E79" s="601"/>
      <c r="F79" s="601"/>
      <c r="G79" s="600"/>
      <c r="H79" s="677"/>
      <c r="I79" s="677"/>
      <c r="J79" s="847"/>
      <c r="K79" s="847"/>
      <c r="L79" s="215"/>
      <c r="M79" s="848"/>
      <c r="N79" s="849"/>
      <c r="O79" s="850"/>
      <c r="P79" s="600"/>
      <c r="Q79" s="806"/>
      <c r="R79" s="99">
        <f>IF(Calculations!AC79=1,"",Calculations!AC79)</f>
      </c>
      <c r="S79" s="99">
        <f>Calculations!AB79</f>
      </c>
      <c r="T79" s="807"/>
      <c r="U79" s="808"/>
      <c r="V79" s="808"/>
      <c r="W79" s="808"/>
      <c r="X79" s="808"/>
      <c r="Y79" s="808"/>
      <c r="Z79" s="808"/>
      <c r="AA79" s="69"/>
      <c r="AB79" s="809">
        <f>IF(ISTEXT(U79),0,IF(U79&lt;Year1,,IF(U79&lt;IF(AND(MONTH($Z$14)&gt;=10,MONTH($Z$14)&lt;=12),YEAR($Z$14)+1,YEAR($Z$14)),,IF(U79&gt;1,Calculations!$AF79/VLOOKUP(U79,Annual_Inputs,3,FALSE)/$AB$21*AB$21,0))))</f>
      </c>
      <c r="AC79" s="810">
        <f>IF(ISTEXT(V79),0,IF(V79&lt;Year1,,IF(V79&lt;IF(AND(MONTH($Z$14)&gt;=10,MONTH($Z$14)&lt;=12),YEAR($Z$14)+1,YEAR($Z$14)),,IF(V79&gt;1,Calculations!$AF79/VLOOKUP(V79,Annual_Inputs,3,FALSE)/$AB$21*AC$21,0))))</f>
      </c>
      <c r="AD79" s="810">
        <f>IF(ISTEXT(W79),0,IF(W79&lt;Year1,,IF(W79&lt;IF(AND(MONTH($Z$14)&gt;=10,MONTH($Z$14)&lt;=12),YEAR($Z$14)+1,YEAR($Z$14)),,IF(W79&gt;1,Calculations!$AF79/VLOOKUP(W79,Annual_Inputs,3,FALSE)/$AB$21*AD$21,0))))</f>
      </c>
      <c r="AE79" s="810">
        <f>IF(ISTEXT(X79),0,IF(X79&lt;Year1,,IF(X79&lt;IF(AND(MONTH($Z$14)&gt;=10,MONTH($Z$14)&lt;=12),YEAR($Z$14)+1,YEAR($Z$14)),,IF(X79&gt;1,Calculations!$AF79/VLOOKUP(X79,Annual_Inputs,3,FALSE)/$AB$21*AE$21,0))))</f>
      </c>
      <c r="AF79" s="810">
        <f>IF(ISTEXT(Y79),0,IF(Y79&lt;Year1,,IF(Y79&lt;IF(AND(MONTH($Z$14)&gt;=10,MONTH($Z$14)&lt;=12),YEAR($Z$14)+1,YEAR($Z$14)),,IF(Y79&gt;1,Calculations!$AF79/VLOOKUP(Y79,Annual_Inputs,3,FALSE)/$AB$21*AF$21,0))))</f>
      </c>
      <c r="AG79" s="811">
        <f>IF(ISTEXT(Z79),0,IF(Z79&lt;Year1,,IF(Z79&lt;IF(AND(MONTH($Z$14)&gt;=10,MONTH($Z$14)&lt;=12),YEAR($Z$14)+1,YEAR($Z$14)),,IF(Z79&gt;1,Calculations!$AF79/VLOOKUP(Z79,Annual_Inputs,3,FALSE)/$AB$21*AG$21,0))))</f>
      </c>
      <c r="AH79" s="812">
        <f>SUM(AB79:AG79)</f>
      </c>
      <c r="AI79" s="819"/>
      <c r="AJ79" s="599"/>
      <c r="AK79" s="293"/>
      <c r="AL79" s="215"/>
      <c r="AM79" s="3"/>
      <c r="AN79" s="3"/>
      <c r="AO79" s="3"/>
      <c r="AP79" s="3"/>
      <c r="AQ79" s="3"/>
      <c r="AR79" s="3"/>
      <c r="AS79" s="227"/>
      <c r="AT79" s="227"/>
      <c r="AU79" s="227"/>
      <c r="AV79" s="227"/>
      <c r="AW79" s="1"/>
      <c r="AX79" s="227"/>
      <c r="AY79" s="227"/>
      <c r="AZ79" s="1"/>
      <c r="BA79" s="227"/>
      <c r="BB79" s="227"/>
      <c r="BC79" s="227"/>
      <c r="BD79" s="1"/>
    </row>
    <row x14ac:dyDescent="0.25" r="80" customHeight="1" ht="13">
      <c r="A80" s="227"/>
      <c r="B80" s="1"/>
      <c r="C80" s="5"/>
      <c r="D80" s="601"/>
      <c r="E80" s="601"/>
      <c r="F80" s="601"/>
      <c r="G80" s="600"/>
      <c r="H80" s="677"/>
      <c r="I80" s="677"/>
      <c r="J80" s="847"/>
      <c r="K80" s="847"/>
      <c r="L80" s="215"/>
      <c r="M80" s="848"/>
      <c r="N80" s="849"/>
      <c r="O80" s="850"/>
      <c r="P80" s="600"/>
      <c r="Q80" s="806"/>
      <c r="R80" s="99">
        <f>IF(Calculations!AC80=1,"",Calculations!AC80)</f>
      </c>
      <c r="S80" s="99">
        <f>Calculations!AB80</f>
      </c>
      <c r="T80" s="807"/>
      <c r="U80" s="808"/>
      <c r="V80" s="808"/>
      <c r="W80" s="808"/>
      <c r="X80" s="808"/>
      <c r="Y80" s="808"/>
      <c r="Z80" s="808"/>
      <c r="AA80" s="69"/>
      <c r="AB80" s="809">
        <f>IF(ISTEXT(U80),0,IF(U80&lt;Year1,,IF(U80&lt;IF(AND(MONTH($Z$14)&gt;=10,MONTH($Z$14)&lt;=12),YEAR($Z$14)+1,YEAR($Z$14)),,IF(U80&gt;1,Calculations!$AF80/VLOOKUP(U80,Annual_Inputs,3,FALSE)/$AB$21*AB$21,0))))</f>
      </c>
      <c r="AC80" s="810">
        <f>IF(ISTEXT(V80),0,IF(V80&lt;Year1,,IF(V80&lt;IF(AND(MONTH($Z$14)&gt;=10,MONTH($Z$14)&lt;=12),YEAR($Z$14)+1,YEAR($Z$14)),,IF(V80&gt;1,Calculations!$AF80/VLOOKUP(V80,Annual_Inputs,3,FALSE)/$AB$21*AC$21,0))))</f>
      </c>
      <c r="AD80" s="810">
        <f>IF(ISTEXT(W80),0,IF(W80&lt;Year1,,IF(W80&lt;IF(AND(MONTH($Z$14)&gt;=10,MONTH($Z$14)&lt;=12),YEAR($Z$14)+1,YEAR($Z$14)),,IF(W80&gt;1,Calculations!$AF80/VLOOKUP(W80,Annual_Inputs,3,FALSE)/$AB$21*AD$21,0))))</f>
      </c>
      <c r="AE80" s="810">
        <f>IF(ISTEXT(X80),0,IF(X80&lt;Year1,,IF(X80&lt;IF(AND(MONTH($Z$14)&gt;=10,MONTH($Z$14)&lt;=12),YEAR($Z$14)+1,YEAR($Z$14)),,IF(X80&gt;1,Calculations!$AF80/VLOOKUP(X80,Annual_Inputs,3,FALSE)/$AB$21*AE$21,0))))</f>
      </c>
      <c r="AF80" s="810">
        <f>IF(ISTEXT(Y80),0,IF(Y80&lt;Year1,,IF(Y80&lt;IF(AND(MONTH($Z$14)&gt;=10,MONTH($Z$14)&lt;=12),YEAR($Z$14)+1,YEAR($Z$14)),,IF(Y80&gt;1,Calculations!$AF80/VLOOKUP(Y80,Annual_Inputs,3,FALSE)/$AB$21*AF$21,0))))</f>
      </c>
      <c r="AG80" s="811">
        <f>IF(ISTEXT(Z80),0,IF(Z80&lt;Year1,,IF(Z80&lt;IF(AND(MONTH($Z$14)&gt;=10,MONTH($Z$14)&lt;=12),YEAR($Z$14)+1,YEAR($Z$14)),,IF(Z80&gt;1,Calculations!$AF80/VLOOKUP(Z80,Annual_Inputs,3,FALSE)/$AB$21*AG$21,0))))</f>
      </c>
      <c r="AH80" s="812">
        <f>SUM(AB80:AG80)</f>
      </c>
      <c r="AI80" s="819"/>
      <c r="AJ80" s="599"/>
      <c r="AK80" s="293"/>
      <c r="AL80" s="215"/>
      <c r="AM80" s="3"/>
      <c r="AN80" s="3"/>
      <c r="AO80" s="3"/>
      <c r="AP80" s="3"/>
      <c r="AQ80" s="3"/>
      <c r="AR80" s="3"/>
      <c r="AS80" s="227"/>
      <c r="AT80" s="227"/>
      <c r="AU80" s="227"/>
      <c r="AV80" s="227"/>
      <c r="AW80" s="1"/>
      <c r="AX80" s="227"/>
      <c r="AY80" s="227"/>
      <c r="AZ80" s="1"/>
      <c r="BA80" s="227"/>
      <c r="BB80" s="227"/>
      <c r="BC80" s="227"/>
      <c r="BD80" s="1"/>
    </row>
    <row x14ac:dyDescent="0.25" r="81" customHeight="1" ht="13">
      <c r="A81" s="227"/>
      <c r="B81" s="1"/>
      <c r="C81" s="5"/>
      <c r="D81" s="601"/>
      <c r="E81" s="601"/>
      <c r="F81" s="601"/>
      <c r="G81" s="600"/>
      <c r="H81" s="677"/>
      <c r="I81" s="677"/>
      <c r="J81" s="847"/>
      <c r="K81" s="847"/>
      <c r="L81" s="215"/>
      <c r="M81" s="848"/>
      <c r="N81" s="849"/>
      <c r="O81" s="850"/>
      <c r="P81" s="600"/>
      <c r="Q81" s="806"/>
      <c r="R81" s="99">
        <f>IF(Calculations!AC81=1,"",Calculations!AC81)</f>
      </c>
      <c r="S81" s="99">
        <f>Calculations!AB81</f>
      </c>
      <c r="T81" s="807"/>
      <c r="U81" s="808"/>
      <c r="V81" s="808"/>
      <c r="W81" s="808"/>
      <c r="X81" s="808"/>
      <c r="Y81" s="808"/>
      <c r="Z81" s="808"/>
      <c r="AA81" s="69"/>
      <c r="AB81" s="809">
        <f>IF(ISTEXT(U81),0,IF(U81&lt;Year1,,IF(U81&lt;IF(AND(MONTH($Z$14)&gt;=10,MONTH($Z$14)&lt;=12),YEAR($Z$14)+1,YEAR($Z$14)),,IF(U81&gt;1,Calculations!$AF81/VLOOKUP(U81,Annual_Inputs,3,FALSE)/$AB$21*AB$21,0))))</f>
      </c>
      <c r="AC81" s="810">
        <f>IF(ISTEXT(V81),0,IF(V81&lt;Year1,,IF(V81&lt;IF(AND(MONTH($Z$14)&gt;=10,MONTH($Z$14)&lt;=12),YEAR($Z$14)+1,YEAR($Z$14)),,IF(V81&gt;1,Calculations!$AF81/VLOOKUP(V81,Annual_Inputs,3,FALSE)/$AB$21*AC$21,0))))</f>
      </c>
      <c r="AD81" s="810">
        <f>IF(ISTEXT(W81),0,IF(W81&lt;Year1,,IF(W81&lt;IF(AND(MONTH($Z$14)&gt;=10,MONTH($Z$14)&lt;=12),YEAR($Z$14)+1,YEAR($Z$14)),,IF(W81&gt;1,Calculations!$AF81/VLOOKUP(W81,Annual_Inputs,3,FALSE)/$AB$21*AD$21,0))))</f>
      </c>
      <c r="AE81" s="810">
        <f>IF(ISTEXT(X81),0,IF(X81&lt;Year1,,IF(X81&lt;IF(AND(MONTH($Z$14)&gt;=10,MONTH($Z$14)&lt;=12),YEAR($Z$14)+1,YEAR($Z$14)),,IF(X81&gt;1,Calculations!$AF81/VLOOKUP(X81,Annual_Inputs,3,FALSE)/$AB$21*AE$21,0))))</f>
      </c>
      <c r="AF81" s="810">
        <f>IF(ISTEXT(Y81),0,IF(Y81&lt;Year1,,IF(Y81&lt;IF(AND(MONTH($Z$14)&gt;=10,MONTH($Z$14)&lt;=12),YEAR($Z$14)+1,YEAR($Z$14)),,IF(Y81&gt;1,Calculations!$AF81/VLOOKUP(Y81,Annual_Inputs,3,FALSE)/$AB$21*AF$21,0))))</f>
      </c>
      <c r="AG81" s="811">
        <f>IF(ISTEXT(Z81),0,IF(Z81&lt;Year1,,IF(Z81&lt;IF(AND(MONTH($Z$14)&gt;=10,MONTH($Z$14)&lt;=12),YEAR($Z$14)+1,YEAR($Z$14)),,IF(Z81&gt;1,Calculations!$AF81/VLOOKUP(Z81,Annual_Inputs,3,FALSE)/$AB$21*AG$21,0))))</f>
      </c>
      <c r="AH81" s="812">
        <f>SUM(AB81:AG81)</f>
      </c>
      <c r="AI81" s="819"/>
      <c r="AJ81" s="599"/>
      <c r="AK81" s="293"/>
      <c r="AL81" s="215"/>
      <c r="AM81" s="3"/>
      <c r="AN81" s="3"/>
      <c r="AO81" s="3"/>
      <c r="AP81" s="3"/>
      <c r="AQ81" s="3"/>
      <c r="AR81" s="3"/>
      <c r="AS81" s="227"/>
      <c r="AT81" s="227"/>
      <c r="AU81" s="227"/>
      <c r="AV81" s="227"/>
      <c r="AW81" s="1"/>
      <c r="AX81" s="227"/>
      <c r="AY81" s="227"/>
      <c r="AZ81" s="1"/>
      <c r="BA81" s="227"/>
      <c r="BB81" s="227"/>
      <c r="BC81" s="227"/>
      <c r="BD81" s="1"/>
    </row>
    <row x14ac:dyDescent="0.25" r="82" customHeight="1" ht="13">
      <c r="A82" s="227"/>
      <c r="B82" s="1"/>
      <c r="C82" s="5"/>
      <c r="D82" s="601"/>
      <c r="E82" s="601"/>
      <c r="F82" s="601"/>
      <c r="G82" s="600"/>
      <c r="H82" s="677"/>
      <c r="I82" s="677"/>
      <c r="J82" s="847"/>
      <c r="K82" s="847"/>
      <c r="L82" s="215"/>
      <c r="M82" s="848"/>
      <c r="N82" s="849"/>
      <c r="O82" s="850"/>
      <c r="P82" s="600"/>
      <c r="Q82" s="806"/>
      <c r="R82" s="99">
        <f>IF(Calculations!AC82=1,"",Calculations!AC82)</f>
      </c>
      <c r="S82" s="99">
        <f>Calculations!AB82</f>
      </c>
      <c r="T82" s="807"/>
      <c r="U82" s="808"/>
      <c r="V82" s="808"/>
      <c r="W82" s="808"/>
      <c r="X82" s="808"/>
      <c r="Y82" s="808"/>
      <c r="Z82" s="808"/>
      <c r="AA82" s="69"/>
      <c r="AB82" s="809">
        <f>IF(ISTEXT(U82),0,IF(U82&lt;Year1,,IF(U82&lt;IF(AND(MONTH($Z$14)&gt;=10,MONTH($Z$14)&lt;=12),YEAR($Z$14)+1,YEAR($Z$14)),,IF(U82&gt;1,Calculations!$AF82/VLOOKUP(U82,Annual_Inputs,3,FALSE)/$AB$21*AB$21,0))))</f>
      </c>
      <c r="AC82" s="810">
        <f>IF(ISTEXT(V82),0,IF(V82&lt;Year1,,IF(V82&lt;IF(AND(MONTH($Z$14)&gt;=10,MONTH($Z$14)&lt;=12),YEAR($Z$14)+1,YEAR($Z$14)),,IF(V82&gt;1,Calculations!$AF82/VLOOKUP(V82,Annual_Inputs,3,FALSE)/$AB$21*AC$21,0))))</f>
      </c>
      <c r="AD82" s="810">
        <f>IF(ISTEXT(W82),0,IF(W82&lt;Year1,,IF(W82&lt;IF(AND(MONTH($Z$14)&gt;=10,MONTH($Z$14)&lt;=12),YEAR($Z$14)+1,YEAR($Z$14)),,IF(W82&gt;1,Calculations!$AF82/VLOOKUP(W82,Annual_Inputs,3,FALSE)/$AB$21*AD$21,0))))</f>
      </c>
      <c r="AE82" s="810">
        <f>IF(ISTEXT(X82),0,IF(X82&lt;Year1,,IF(X82&lt;IF(AND(MONTH($Z$14)&gt;=10,MONTH($Z$14)&lt;=12),YEAR($Z$14)+1,YEAR($Z$14)),,IF(X82&gt;1,Calculations!$AF82/VLOOKUP(X82,Annual_Inputs,3,FALSE)/$AB$21*AE$21,0))))</f>
      </c>
      <c r="AF82" s="810">
        <f>IF(ISTEXT(Y82),0,IF(Y82&lt;Year1,,IF(Y82&lt;IF(AND(MONTH($Z$14)&gt;=10,MONTH($Z$14)&lt;=12),YEAR($Z$14)+1,YEAR($Z$14)),,IF(Y82&gt;1,Calculations!$AF82/VLOOKUP(Y82,Annual_Inputs,3,FALSE)/$AB$21*AF$21,0))))</f>
      </c>
      <c r="AG82" s="811">
        <f>IF(ISTEXT(Z82),0,IF(Z82&lt;Year1,,IF(Z82&lt;IF(AND(MONTH($Z$14)&gt;=10,MONTH($Z$14)&lt;=12),YEAR($Z$14)+1,YEAR($Z$14)),,IF(Z82&gt;1,Calculations!$AF82/VLOOKUP(Z82,Annual_Inputs,3,FALSE)/$AB$21*AG$21,0))))</f>
      </c>
      <c r="AH82" s="812">
        <f>SUM(AB82:AG82)</f>
      </c>
      <c r="AI82" s="819"/>
      <c r="AJ82" s="599"/>
      <c r="AK82" s="293"/>
      <c r="AL82" s="215"/>
      <c r="AM82" s="3"/>
      <c r="AN82" s="3"/>
      <c r="AO82" s="3"/>
      <c r="AP82" s="3"/>
      <c r="AQ82" s="3"/>
      <c r="AR82" s="3"/>
      <c r="AS82" s="227"/>
      <c r="AT82" s="227"/>
      <c r="AU82" s="227"/>
      <c r="AV82" s="227"/>
      <c r="AW82" s="1"/>
      <c r="AX82" s="227"/>
      <c r="AY82" s="227"/>
      <c r="AZ82" s="1"/>
      <c r="BA82" s="227"/>
      <c r="BB82" s="227"/>
      <c r="BC82" s="227"/>
      <c r="BD82" s="1"/>
    </row>
    <row x14ac:dyDescent="0.25" r="83" customHeight="1" ht="13">
      <c r="A83" s="227"/>
      <c r="B83" s="1"/>
      <c r="C83" s="5"/>
      <c r="D83" s="601"/>
      <c r="E83" s="601"/>
      <c r="F83" s="601"/>
      <c r="G83" s="600"/>
      <c r="H83" s="677"/>
      <c r="I83" s="677"/>
      <c r="J83" s="847"/>
      <c r="K83" s="847"/>
      <c r="L83" s="215"/>
      <c r="M83" s="848"/>
      <c r="N83" s="849"/>
      <c r="O83" s="850"/>
      <c r="P83" s="600"/>
      <c r="Q83" s="806"/>
      <c r="R83" s="99">
        <f>IF(Calculations!AC83=1,"",Calculations!AC83)</f>
      </c>
      <c r="S83" s="99">
        <f>Calculations!AB83</f>
      </c>
      <c r="T83" s="807"/>
      <c r="U83" s="808"/>
      <c r="V83" s="808"/>
      <c r="W83" s="808"/>
      <c r="X83" s="808"/>
      <c r="Y83" s="808"/>
      <c r="Z83" s="808"/>
      <c r="AA83" s="69"/>
      <c r="AB83" s="809">
        <f>IF(ISTEXT(U83),0,IF(U83&lt;Year1,,IF(U83&lt;IF(AND(MONTH($Z$14)&gt;=10,MONTH($Z$14)&lt;=12),YEAR($Z$14)+1,YEAR($Z$14)),,IF(U83&gt;1,Calculations!$AF83/VLOOKUP(U83,Annual_Inputs,3,FALSE)/$AB$21*AB$21,0))))</f>
      </c>
      <c r="AC83" s="810">
        <f>IF(ISTEXT(V83),0,IF(V83&lt;Year1,,IF(V83&lt;IF(AND(MONTH($Z$14)&gt;=10,MONTH($Z$14)&lt;=12),YEAR($Z$14)+1,YEAR($Z$14)),,IF(V83&gt;1,Calculations!$AF83/VLOOKUP(V83,Annual_Inputs,3,FALSE)/$AB$21*AC$21,0))))</f>
      </c>
      <c r="AD83" s="810">
        <f>IF(ISTEXT(W83),0,IF(W83&lt;Year1,,IF(W83&lt;IF(AND(MONTH($Z$14)&gt;=10,MONTH($Z$14)&lt;=12),YEAR($Z$14)+1,YEAR($Z$14)),,IF(W83&gt;1,Calculations!$AF83/VLOOKUP(W83,Annual_Inputs,3,FALSE)/$AB$21*AD$21,0))))</f>
      </c>
      <c r="AE83" s="810">
        <f>IF(ISTEXT(X83),0,IF(X83&lt;Year1,,IF(X83&lt;IF(AND(MONTH($Z$14)&gt;=10,MONTH($Z$14)&lt;=12),YEAR($Z$14)+1,YEAR($Z$14)),,IF(X83&gt;1,Calculations!$AF83/VLOOKUP(X83,Annual_Inputs,3,FALSE)/$AB$21*AE$21,0))))</f>
      </c>
      <c r="AF83" s="810">
        <f>IF(ISTEXT(Y83),0,IF(Y83&lt;Year1,,IF(Y83&lt;IF(AND(MONTH($Z$14)&gt;=10,MONTH($Z$14)&lt;=12),YEAR($Z$14)+1,YEAR($Z$14)),,IF(Y83&gt;1,Calculations!$AF83/VLOOKUP(Y83,Annual_Inputs,3,FALSE)/$AB$21*AF$21,0))))</f>
      </c>
      <c r="AG83" s="811">
        <f>IF(ISTEXT(Z83),0,IF(Z83&lt;Year1,,IF(Z83&lt;IF(AND(MONTH($Z$14)&gt;=10,MONTH($Z$14)&lt;=12),YEAR($Z$14)+1,YEAR($Z$14)),,IF(Z83&gt;1,Calculations!$AF83/VLOOKUP(Z83,Annual_Inputs,3,FALSE)/$AB$21*AG$21,0))))</f>
      </c>
      <c r="AH83" s="812">
        <f>SUM(AB83:AG83)</f>
      </c>
      <c r="AI83" s="819"/>
      <c r="AJ83" s="599"/>
      <c r="AK83" s="293"/>
      <c r="AL83" s="215"/>
      <c r="AM83" s="3"/>
      <c r="AN83" s="3"/>
      <c r="AO83" s="3"/>
      <c r="AP83" s="3"/>
      <c r="AQ83" s="3"/>
      <c r="AR83" s="3"/>
      <c r="AS83" s="227"/>
      <c r="AT83" s="227"/>
      <c r="AU83" s="227"/>
      <c r="AV83" s="227"/>
      <c r="AW83" s="1"/>
      <c r="AX83" s="227"/>
      <c r="AY83" s="227"/>
      <c r="AZ83" s="1"/>
      <c r="BA83" s="227"/>
      <c r="BB83" s="227"/>
      <c r="BC83" s="227"/>
      <c r="BD83" s="1"/>
    </row>
    <row x14ac:dyDescent="0.25" r="84" customHeight="1" ht="13">
      <c r="A84" s="227"/>
      <c r="B84" s="1"/>
      <c r="C84" s="5"/>
      <c r="D84" s="601"/>
      <c r="E84" s="601"/>
      <c r="F84" s="601"/>
      <c r="G84" s="600"/>
      <c r="H84" s="677"/>
      <c r="I84" s="677"/>
      <c r="J84" s="847"/>
      <c r="K84" s="847"/>
      <c r="L84" s="215"/>
      <c r="M84" s="848"/>
      <c r="N84" s="849"/>
      <c r="O84" s="850"/>
      <c r="P84" s="600"/>
      <c r="Q84" s="806"/>
      <c r="R84" s="99">
        <f>IF(Calculations!AC84=1,"",Calculations!AC84)</f>
      </c>
      <c r="S84" s="99">
        <f>Calculations!AB84</f>
      </c>
      <c r="T84" s="807"/>
      <c r="U84" s="808"/>
      <c r="V84" s="808"/>
      <c r="W84" s="808"/>
      <c r="X84" s="808"/>
      <c r="Y84" s="808"/>
      <c r="Z84" s="808"/>
      <c r="AA84" s="69"/>
      <c r="AB84" s="809">
        <f>IF(ISTEXT(U84),0,IF(U84&lt;Year1,,IF(U84&lt;IF(AND(MONTH($Z$14)&gt;=10,MONTH($Z$14)&lt;=12),YEAR($Z$14)+1,YEAR($Z$14)),,IF(U84&gt;1,Calculations!$AF84/VLOOKUP(U84,Annual_Inputs,3,FALSE)/$AB$21*AB$21,0))))</f>
      </c>
      <c r="AC84" s="810">
        <f>IF(ISTEXT(V84),0,IF(V84&lt;Year1,,IF(V84&lt;IF(AND(MONTH($Z$14)&gt;=10,MONTH($Z$14)&lt;=12),YEAR($Z$14)+1,YEAR($Z$14)),,IF(V84&gt;1,Calculations!$AF84/VLOOKUP(V84,Annual_Inputs,3,FALSE)/$AB$21*AC$21,0))))</f>
      </c>
      <c r="AD84" s="810">
        <f>IF(ISTEXT(W84),0,IF(W84&lt;Year1,,IF(W84&lt;IF(AND(MONTH($Z$14)&gt;=10,MONTH($Z$14)&lt;=12),YEAR($Z$14)+1,YEAR($Z$14)),,IF(W84&gt;1,Calculations!$AF84/VLOOKUP(W84,Annual_Inputs,3,FALSE)/$AB$21*AD$21,0))))</f>
      </c>
      <c r="AE84" s="810">
        <f>IF(ISTEXT(X84),0,IF(X84&lt;Year1,,IF(X84&lt;IF(AND(MONTH($Z$14)&gt;=10,MONTH($Z$14)&lt;=12),YEAR($Z$14)+1,YEAR($Z$14)),,IF(X84&gt;1,Calculations!$AF84/VLOOKUP(X84,Annual_Inputs,3,FALSE)/$AB$21*AE$21,0))))</f>
      </c>
      <c r="AF84" s="810">
        <f>IF(ISTEXT(Y84),0,IF(Y84&lt;Year1,,IF(Y84&lt;IF(AND(MONTH($Z$14)&gt;=10,MONTH($Z$14)&lt;=12),YEAR($Z$14)+1,YEAR($Z$14)),,IF(Y84&gt;1,Calculations!$AF84/VLOOKUP(Y84,Annual_Inputs,3,FALSE)/$AB$21*AF$21,0))))</f>
      </c>
      <c r="AG84" s="811">
        <f>IF(ISTEXT(Z84),0,IF(Z84&lt;Year1,,IF(Z84&lt;IF(AND(MONTH($Z$14)&gt;=10,MONTH($Z$14)&lt;=12),YEAR($Z$14)+1,YEAR($Z$14)),,IF(Z84&gt;1,Calculations!$AF84/VLOOKUP(Z84,Annual_Inputs,3,FALSE)/$AB$21*AG$21,0))))</f>
      </c>
      <c r="AH84" s="812">
        <f>SUM(AB84:AG84)</f>
      </c>
      <c r="AI84" s="819"/>
      <c r="AJ84" s="599"/>
      <c r="AK84" s="293"/>
      <c r="AL84" s="215"/>
      <c r="AM84" s="3"/>
      <c r="AN84" s="3"/>
      <c r="AO84" s="3"/>
      <c r="AP84" s="3"/>
      <c r="AQ84" s="3"/>
      <c r="AR84" s="3"/>
      <c r="AS84" s="227"/>
      <c r="AT84" s="227"/>
      <c r="AU84" s="227"/>
      <c r="AV84" s="227"/>
      <c r="AW84" s="1"/>
      <c r="AX84" s="227"/>
      <c r="AY84" s="227"/>
      <c r="AZ84" s="1"/>
      <c r="BA84" s="227"/>
      <c r="BB84" s="227"/>
      <c r="BC84" s="227"/>
      <c r="BD84" s="1"/>
    </row>
    <row x14ac:dyDescent="0.25" r="85" customHeight="1" ht="13">
      <c r="A85" s="227"/>
      <c r="B85" s="1"/>
      <c r="C85" s="5"/>
      <c r="D85" s="601"/>
      <c r="E85" s="601"/>
      <c r="F85" s="601"/>
      <c r="G85" s="600"/>
      <c r="H85" s="677"/>
      <c r="I85" s="677"/>
      <c r="J85" s="847"/>
      <c r="K85" s="847"/>
      <c r="L85" s="215"/>
      <c r="M85" s="848"/>
      <c r="N85" s="849"/>
      <c r="O85" s="850"/>
      <c r="P85" s="600"/>
      <c r="Q85" s="806"/>
      <c r="R85" s="99">
        <f>IF(Calculations!AC85=1,"",Calculations!AC85)</f>
      </c>
      <c r="S85" s="99">
        <f>Calculations!AB85</f>
      </c>
      <c r="T85" s="807"/>
      <c r="U85" s="808"/>
      <c r="V85" s="808"/>
      <c r="W85" s="808"/>
      <c r="X85" s="808"/>
      <c r="Y85" s="808"/>
      <c r="Z85" s="808"/>
      <c r="AA85" s="69"/>
      <c r="AB85" s="809">
        <f>IF(ISTEXT(U85),0,IF(U85&lt;Year1,,IF(U85&lt;IF(AND(MONTH($Z$14)&gt;=10,MONTH($Z$14)&lt;=12),YEAR($Z$14)+1,YEAR($Z$14)),,IF(U85&gt;1,Calculations!$AF85/VLOOKUP(U85,Annual_Inputs,3,FALSE)/$AB$21*AB$21,0))))</f>
      </c>
      <c r="AC85" s="810">
        <f>IF(ISTEXT(V85),0,IF(V85&lt;Year1,,IF(V85&lt;IF(AND(MONTH($Z$14)&gt;=10,MONTH($Z$14)&lt;=12),YEAR($Z$14)+1,YEAR($Z$14)),,IF(V85&gt;1,Calculations!$AF85/VLOOKUP(V85,Annual_Inputs,3,FALSE)/$AB$21*AC$21,0))))</f>
      </c>
      <c r="AD85" s="810">
        <f>IF(ISTEXT(W85),0,IF(W85&lt;Year1,,IF(W85&lt;IF(AND(MONTH($Z$14)&gt;=10,MONTH($Z$14)&lt;=12),YEAR($Z$14)+1,YEAR($Z$14)),,IF(W85&gt;1,Calculations!$AF85/VLOOKUP(W85,Annual_Inputs,3,FALSE)/$AB$21*AD$21,0))))</f>
      </c>
      <c r="AE85" s="810">
        <f>IF(ISTEXT(X85),0,IF(X85&lt;Year1,,IF(X85&lt;IF(AND(MONTH($Z$14)&gt;=10,MONTH($Z$14)&lt;=12),YEAR($Z$14)+1,YEAR($Z$14)),,IF(X85&gt;1,Calculations!$AF85/VLOOKUP(X85,Annual_Inputs,3,FALSE)/$AB$21*AE$21,0))))</f>
      </c>
      <c r="AF85" s="810">
        <f>IF(ISTEXT(Y85),0,IF(Y85&lt;Year1,,IF(Y85&lt;IF(AND(MONTH($Z$14)&gt;=10,MONTH($Z$14)&lt;=12),YEAR($Z$14)+1,YEAR($Z$14)),,IF(Y85&gt;1,Calculations!$AF85/VLOOKUP(Y85,Annual_Inputs,3,FALSE)/$AB$21*AF$21,0))))</f>
      </c>
      <c r="AG85" s="811">
        <f>IF(ISTEXT(Z85),0,IF(Z85&lt;Year1,,IF(Z85&lt;IF(AND(MONTH($Z$14)&gt;=10,MONTH($Z$14)&lt;=12),YEAR($Z$14)+1,YEAR($Z$14)),,IF(Z85&gt;1,Calculations!$AF85/VLOOKUP(Z85,Annual_Inputs,3,FALSE)/$AB$21*AG$21,0))))</f>
      </c>
      <c r="AH85" s="812">
        <f>SUM(AB85:AG85)</f>
      </c>
      <c r="AI85" s="819"/>
      <c r="AJ85" s="599"/>
      <c r="AK85" s="293"/>
      <c r="AL85" s="215"/>
      <c r="AM85" s="3"/>
      <c r="AN85" s="3"/>
      <c r="AO85" s="3"/>
      <c r="AP85" s="3"/>
      <c r="AQ85" s="3"/>
      <c r="AR85" s="3"/>
      <c r="AS85" s="227"/>
      <c r="AT85" s="227"/>
      <c r="AU85" s="227"/>
      <c r="AV85" s="227"/>
      <c r="AW85" s="1"/>
      <c r="AX85" s="227"/>
      <c r="AY85" s="227"/>
      <c r="AZ85" s="1"/>
      <c r="BA85" s="227"/>
      <c r="BB85" s="227"/>
      <c r="BC85" s="227"/>
      <c r="BD85" s="1"/>
    </row>
    <row x14ac:dyDescent="0.25" r="86" customHeight="1" ht="13">
      <c r="A86" s="227"/>
      <c r="B86" s="1"/>
      <c r="C86" s="5"/>
      <c r="D86" s="601"/>
      <c r="E86" s="601"/>
      <c r="F86" s="601"/>
      <c r="G86" s="600"/>
      <c r="H86" s="677"/>
      <c r="I86" s="677"/>
      <c r="J86" s="847"/>
      <c r="K86" s="847"/>
      <c r="L86" s="215"/>
      <c r="M86" s="848"/>
      <c r="N86" s="849"/>
      <c r="O86" s="850"/>
      <c r="P86" s="600"/>
      <c r="Q86" s="806"/>
      <c r="R86" s="99">
        <f>IF(Calculations!AC86=1,"",Calculations!AC86)</f>
      </c>
      <c r="S86" s="99">
        <f>Calculations!AB86</f>
      </c>
      <c r="T86" s="807"/>
      <c r="U86" s="808"/>
      <c r="V86" s="808"/>
      <c r="W86" s="808"/>
      <c r="X86" s="808"/>
      <c r="Y86" s="808"/>
      <c r="Z86" s="808"/>
      <c r="AA86" s="69"/>
      <c r="AB86" s="809">
        <f>IF(ISTEXT(U86),0,IF(U86&lt;Year1,,IF(U86&lt;IF(AND(MONTH($Z$14)&gt;=10,MONTH($Z$14)&lt;=12),YEAR($Z$14)+1,YEAR($Z$14)),,IF(U86&gt;1,Calculations!$AF86/VLOOKUP(U86,Annual_Inputs,3,FALSE)/$AB$21*AB$21,0))))</f>
      </c>
      <c r="AC86" s="810">
        <f>IF(ISTEXT(V86),0,IF(V86&lt;Year1,,IF(V86&lt;IF(AND(MONTH($Z$14)&gt;=10,MONTH($Z$14)&lt;=12),YEAR($Z$14)+1,YEAR($Z$14)),,IF(V86&gt;1,Calculations!$AF86/VLOOKUP(V86,Annual_Inputs,3,FALSE)/$AB$21*AC$21,0))))</f>
      </c>
      <c r="AD86" s="810">
        <f>IF(ISTEXT(W86),0,IF(W86&lt;Year1,,IF(W86&lt;IF(AND(MONTH($Z$14)&gt;=10,MONTH($Z$14)&lt;=12),YEAR($Z$14)+1,YEAR($Z$14)),,IF(W86&gt;1,Calculations!$AF86/VLOOKUP(W86,Annual_Inputs,3,FALSE)/$AB$21*AD$21,0))))</f>
      </c>
      <c r="AE86" s="810">
        <f>IF(ISTEXT(X86),0,IF(X86&lt;Year1,,IF(X86&lt;IF(AND(MONTH($Z$14)&gt;=10,MONTH($Z$14)&lt;=12),YEAR($Z$14)+1,YEAR($Z$14)),,IF(X86&gt;1,Calculations!$AF86/VLOOKUP(X86,Annual_Inputs,3,FALSE)/$AB$21*AE$21,0))))</f>
      </c>
      <c r="AF86" s="810">
        <f>IF(ISTEXT(Y86),0,IF(Y86&lt;Year1,,IF(Y86&lt;IF(AND(MONTH($Z$14)&gt;=10,MONTH($Z$14)&lt;=12),YEAR($Z$14)+1,YEAR($Z$14)),,IF(Y86&gt;1,Calculations!$AF86/VLOOKUP(Y86,Annual_Inputs,3,FALSE)/$AB$21*AF$21,0))))</f>
      </c>
      <c r="AG86" s="811">
        <f>IF(ISTEXT(Z86),0,IF(Z86&lt;Year1,,IF(Z86&lt;IF(AND(MONTH($Z$14)&gt;=10,MONTH($Z$14)&lt;=12),YEAR($Z$14)+1,YEAR($Z$14)),,IF(Z86&gt;1,Calculations!$AF86/VLOOKUP(Z86,Annual_Inputs,3,FALSE)/$AB$21*AG$21,0))))</f>
      </c>
      <c r="AH86" s="812">
        <f>SUM(AB86:AG86)</f>
      </c>
      <c r="AI86" s="819"/>
      <c r="AJ86" s="599"/>
      <c r="AK86" s="293"/>
      <c r="AL86" s="215"/>
      <c r="AM86" s="3"/>
      <c r="AN86" s="3"/>
      <c r="AO86" s="3"/>
      <c r="AP86" s="3"/>
      <c r="AQ86" s="3"/>
      <c r="AR86" s="3"/>
      <c r="AS86" s="227"/>
      <c r="AT86" s="227"/>
      <c r="AU86" s="227"/>
      <c r="AV86" s="227"/>
      <c r="AW86" s="1"/>
      <c r="AX86" s="227"/>
      <c r="AY86" s="227"/>
      <c r="AZ86" s="1"/>
      <c r="BA86" s="227"/>
      <c r="BB86" s="227"/>
      <c r="BC86" s="227"/>
      <c r="BD86" s="1"/>
    </row>
    <row x14ac:dyDescent="0.25" r="87" customHeight="1" ht="13">
      <c r="A87" s="227"/>
      <c r="B87" s="1"/>
      <c r="C87" s="5"/>
      <c r="D87" s="601"/>
      <c r="E87" s="601"/>
      <c r="F87" s="601"/>
      <c r="G87" s="600"/>
      <c r="H87" s="677"/>
      <c r="I87" s="677"/>
      <c r="J87" s="847"/>
      <c r="K87" s="847"/>
      <c r="L87" s="215"/>
      <c r="M87" s="848"/>
      <c r="N87" s="849"/>
      <c r="O87" s="850"/>
      <c r="P87" s="600"/>
      <c r="Q87" s="806"/>
      <c r="R87" s="99">
        <f>IF(Calculations!AC87=1,"",Calculations!AC87)</f>
      </c>
      <c r="S87" s="99">
        <f>Calculations!AB87</f>
      </c>
      <c r="T87" s="807"/>
      <c r="U87" s="808"/>
      <c r="V87" s="808"/>
      <c r="W87" s="808"/>
      <c r="X87" s="808"/>
      <c r="Y87" s="808"/>
      <c r="Z87" s="808"/>
      <c r="AA87" s="69"/>
      <c r="AB87" s="809">
        <f>IF(ISTEXT(U87),0,IF(U87&lt;Year1,,IF(U87&lt;IF(AND(MONTH($Z$14)&gt;=10,MONTH($Z$14)&lt;=12),YEAR($Z$14)+1,YEAR($Z$14)),,IF(U87&gt;1,Calculations!$AF87/VLOOKUP(U87,Annual_Inputs,3,FALSE)/$AB$21*AB$21,0))))</f>
      </c>
      <c r="AC87" s="810">
        <f>IF(ISTEXT(V87),0,IF(V87&lt;Year1,,IF(V87&lt;IF(AND(MONTH($Z$14)&gt;=10,MONTH($Z$14)&lt;=12),YEAR($Z$14)+1,YEAR($Z$14)),,IF(V87&gt;1,Calculations!$AF87/VLOOKUP(V87,Annual_Inputs,3,FALSE)/$AB$21*AC$21,0))))</f>
      </c>
      <c r="AD87" s="810">
        <f>IF(ISTEXT(W87),0,IF(W87&lt;Year1,,IF(W87&lt;IF(AND(MONTH($Z$14)&gt;=10,MONTH($Z$14)&lt;=12),YEAR($Z$14)+1,YEAR($Z$14)),,IF(W87&gt;1,Calculations!$AF87/VLOOKUP(W87,Annual_Inputs,3,FALSE)/$AB$21*AD$21,0))))</f>
      </c>
      <c r="AE87" s="810">
        <f>IF(ISTEXT(X87),0,IF(X87&lt;Year1,,IF(X87&lt;IF(AND(MONTH($Z$14)&gt;=10,MONTH($Z$14)&lt;=12),YEAR($Z$14)+1,YEAR($Z$14)),,IF(X87&gt;1,Calculations!$AF87/VLOOKUP(X87,Annual_Inputs,3,FALSE)/$AB$21*AE$21,0))))</f>
      </c>
      <c r="AF87" s="810">
        <f>IF(ISTEXT(Y87),0,IF(Y87&lt;Year1,,IF(Y87&lt;IF(AND(MONTH($Z$14)&gt;=10,MONTH($Z$14)&lt;=12),YEAR($Z$14)+1,YEAR($Z$14)),,IF(Y87&gt;1,Calculations!$AF87/VLOOKUP(Y87,Annual_Inputs,3,FALSE)/$AB$21*AF$21,0))))</f>
      </c>
      <c r="AG87" s="811">
        <f>IF(ISTEXT(Z87),0,IF(Z87&lt;Year1,,IF(Z87&lt;IF(AND(MONTH($Z$14)&gt;=10,MONTH($Z$14)&lt;=12),YEAR($Z$14)+1,YEAR($Z$14)),,IF(Z87&gt;1,Calculations!$AF87/VLOOKUP(Z87,Annual_Inputs,3,FALSE)/$AB$21*AG$21,0))))</f>
      </c>
      <c r="AH87" s="812">
        <f>SUM(AB87:AG87)</f>
      </c>
      <c r="AI87" s="819"/>
      <c r="AJ87" s="599"/>
      <c r="AK87" s="293"/>
      <c r="AL87" s="215"/>
      <c r="AM87" s="3"/>
      <c r="AN87" s="3"/>
      <c r="AO87" s="3"/>
      <c r="AP87" s="3"/>
      <c r="AQ87" s="3"/>
      <c r="AR87" s="3"/>
      <c r="AS87" s="227"/>
      <c r="AT87" s="227"/>
      <c r="AU87" s="227"/>
      <c r="AV87" s="227"/>
      <c r="AW87" s="1"/>
      <c r="AX87" s="227"/>
      <c r="AY87" s="227"/>
      <c r="AZ87" s="1"/>
      <c r="BA87" s="227"/>
      <c r="BB87" s="227"/>
      <c r="BC87" s="227"/>
      <c r="BD87" s="1"/>
    </row>
    <row x14ac:dyDescent="0.25" r="88" customHeight="1" ht="13">
      <c r="A88" s="227"/>
      <c r="B88" s="1"/>
      <c r="C88" s="5"/>
      <c r="D88" s="601"/>
      <c r="E88" s="601"/>
      <c r="F88" s="601"/>
      <c r="G88" s="600"/>
      <c r="H88" s="677"/>
      <c r="I88" s="677"/>
      <c r="J88" s="847"/>
      <c r="K88" s="847"/>
      <c r="L88" s="215"/>
      <c r="M88" s="848"/>
      <c r="N88" s="849"/>
      <c r="O88" s="850"/>
      <c r="P88" s="600"/>
      <c r="Q88" s="806"/>
      <c r="R88" s="99">
        <f>IF(Calculations!AC88=1,"",Calculations!AC88)</f>
      </c>
      <c r="S88" s="99">
        <f>Calculations!AB88</f>
      </c>
      <c r="T88" s="807"/>
      <c r="U88" s="808"/>
      <c r="V88" s="808"/>
      <c r="W88" s="808"/>
      <c r="X88" s="808"/>
      <c r="Y88" s="808"/>
      <c r="Z88" s="808"/>
      <c r="AA88" s="69"/>
      <c r="AB88" s="851">
        <f>IF(ISTEXT(U88),0,IF(U88&lt;Year1,,IF(U88&lt;IF(AND(MONTH($Z$14)&gt;=10,MONTH($Z$14)&lt;=12),YEAR($Z$14)+1,YEAR($Z$14)),,IF(U88&gt;1,Calculations!$AF88/VLOOKUP(U88,Annual_Inputs,3,FALSE)/$AB$21*AB$21,0))))</f>
      </c>
      <c r="AC88" s="852">
        <f>IF(ISTEXT(V88),0,IF(V88&lt;Year1,,IF(V88&lt;IF(AND(MONTH($Z$14)&gt;=10,MONTH($Z$14)&lt;=12),YEAR($Z$14)+1,YEAR($Z$14)),,IF(V88&gt;1,Calculations!$AF88/VLOOKUP(V88,Annual_Inputs,3,FALSE)/$AB$21*AC$21,0))))</f>
      </c>
      <c r="AD88" s="852">
        <f>IF(ISTEXT(W88),0,IF(W88&lt;Year1,,IF(W88&lt;IF(AND(MONTH($Z$14)&gt;=10,MONTH($Z$14)&lt;=12),YEAR($Z$14)+1,YEAR($Z$14)),,IF(W88&gt;1,Calculations!$AF88/VLOOKUP(W88,Annual_Inputs,3,FALSE)/$AB$21*AD$21,0))))</f>
      </c>
      <c r="AE88" s="852">
        <f>IF(ISTEXT(X88),0,IF(X88&lt;Year1,,IF(X88&lt;IF(AND(MONTH($Z$14)&gt;=10,MONTH($Z$14)&lt;=12),YEAR($Z$14)+1,YEAR($Z$14)),,IF(X88&gt;1,Calculations!$AF88/VLOOKUP(X88,Annual_Inputs,3,FALSE)/$AB$21*AE$21,0))))</f>
      </c>
      <c r="AF88" s="852">
        <f>IF(ISTEXT(Y88),0,IF(Y88&lt;Year1,,IF(Y88&lt;IF(AND(MONTH($Z$14)&gt;=10,MONTH($Z$14)&lt;=12),YEAR($Z$14)+1,YEAR($Z$14)),,IF(Y88&gt;1,Calculations!$AF88/VLOOKUP(Y88,Annual_Inputs,3,FALSE)/$AB$21*AF$21,0))))</f>
      </c>
      <c r="AG88" s="853">
        <f>IF(ISTEXT(Z88),0,IF(Z88&lt;Year1,,IF(Z88&lt;IF(AND(MONTH($Z$14)&gt;=10,MONTH($Z$14)&lt;=12),YEAR($Z$14)+1,YEAR($Z$14)),,IF(Z88&gt;1,Calculations!$AF88/VLOOKUP(Z88,Annual_Inputs,3,FALSE)/$AB$21*AG$21,0))))</f>
      </c>
      <c r="AH88" s="854">
        <f>SUM(AB88:AG88)</f>
      </c>
      <c r="AI88" s="819"/>
      <c r="AJ88" s="599"/>
      <c r="AK88" s="293"/>
      <c r="AL88" s="215"/>
      <c r="AM88" s="3"/>
      <c r="AN88" s="3"/>
      <c r="AO88" s="3"/>
      <c r="AP88" s="3"/>
      <c r="AQ88" s="3"/>
      <c r="AR88" s="3"/>
      <c r="AS88" s="227"/>
      <c r="AT88" s="227"/>
      <c r="AU88" s="227"/>
      <c r="AV88" s="227"/>
      <c r="AW88" s="1"/>
      <c r="AX88" s="227"/>
      <c r="AY88" s="227"/>
      <c r="AZ88" s="1"/>
      <c r="BA88" s="227"/>
      <c r="BB88" s="227"/>
      <c r="BC88" s="227"/>
      <c r="BD88" s="1"/>
    </row>
    <row x14ac:dyDescent="0.25" r="89" customHeight="1" ht="13">
      <c r="A89" s="227"/>
      <c r="B89" s="1"/>
      <c r="C89" s="5"/>
      <c r="D89" s="601"/>
      <c r="E89" s="601"/>
      <c r="F89" s="601"/>
      <c r="G89" s="600"/>
      <c r="H89" s="3"/>
      <c r="I89" s="3"/>
      <c r="J89" s="1"/>
      <c r="K89" s="1"/>
      <c r="L89" s="2"/>
      <c r="M89" s="3"/>
      <c r="N89" s="333"/>
      <c r="O89" s="6"/>
      <c r="P89" s="600"/>
      <c r="Q89" s="651" t="s">
        <v>307</v>
      </c>
      <c r="R89" s="855"/>
      <c r="S89" s="855"/>
      <c r="T89" s="856"/>
      <c r="U89" s="855"/>
      <c r="V89" s="855"/>
      <c r="W89" s="855"/>
      <c r="X89" s="855"/>
      <c r="Y89" s="855"/>
      <c r="Z89" s="652"/>
      <c r="AA89" s="69"/>
      <c r="AB89" s="857" t="s">
        <v>346</v>
      </c>
      <c r="AC89" s="858"/>
      <c r="AD89" s="858"/>
      <c r="AE89" s="858"/>
      <c r="AF89" s="858"/>
      <c r="AG89" s="858"/>
      <c r="AH89" s="859"/>
      <c r="AI89" s="819"/>
      <c r="AJ89" s="599"/>
      <c r="AK89" s="293"/>
      <c r="AL89" s="215"/>
      <c r="AM89" s="3"/>
      <c r="AN89" s="3"/>
      <c r="AO89" s="3"/>
      <c r="AP89" s="3"/>
      <c r="AQ89" s="3"/>
      <c r="AR89" s="3"/>
      <c r="AS89" s="227"/>
      <c r="AT89" s="227"/>
      <c r="AU89" s="227"/>
      <c r="AV89" s="227"/>
      <c r="AW89" s="1"/>
      <c r="AX89" s="227"/>
      <c r="AY89" s="227"/>
      <c r="AZ89" s="1"/>
      <c r="BA89" s="227"/>
      <c r="BB89" s="227"/>
      <c r="BC89" s="227"/>
      <c r="BD89" s="1"/>
    </row>
    <row x14ac:dyDescent="0.25" r="90" customHeight="1" ht="13">
      <c r="A90" s="227"/>
      <c r="B90" s="1"/>
      <c r="C90" s="5"/>
      <c r="D90" s="601"/>
      <c r="E90" s="601"/>
      <c r="F90" s="601"/>
      <c r="G90" s="600"/>
      <c r="H90" s="3"/>
      <c r="I90" s="3"/>
      <c r="J90" s="1"/>
      <c r="K90" s="1"/>
      <c r="L90" s="2"/>
      <c r="M90" s="3"/>
      <c r="N90" s="333"/>
      <c r="O90" s="6"/>
      <c r="P90" s="600"/>
      <c r="Q90" s="860" t="s">
        <v>347</v>
      </c>
      <c r="R90" s="861"/>
      <c r="S90" s="861"/>
      <c r="T90" s="862"/>
      <c r="U90" s="861"/>
      <c r="V90" s="861"/>
      <c r="W90" s="861"/>
      <c r="X90" s="863"/>
      <c r="Y90" s="864" t="s">
        <v>348</v>
      </c>
      <c r="Z90" s="865" t="s">
        <v>349</v>
      </c>
      <c r="AA90" s="69"/>
      <c r="AB90" s="866"/>
      <c r="AC90" s="867"/>
      <c r="AD90" s="867"/>
      <c r="AE90" s="867"/>
      <c r="AF90" s="867"/>
      <c r="AG90" s="867"/>
      <c r="AH90" s="868"/>
      <c r="AI90" s="819"/>
      <c r="AJ90" s="599"/>
      <c r="AK90" s="293"/>
      <c r="AL90" s="215"/>
      <c r="AM90" s="3"/>
      <c r="AN90" s="3"/>
      <c r="AO90" s="3"/>
      <c r="AP90" s="3"/>
      <c r="AQ90" s="3"/>
      <c r="AR90" s="3"/>
      <c r="AS90" s="227"/>
      <c r="AT90" s="227"/>
      <c r="AU90" s="227"/>
      <c r="AV90" s="227"/>
      <c r="AW90" s="1"/>
      <c r="AX90" s="227"/>
      <c r="AY90" s="227"/>
      <c r="AZ90" s="1"/>
      <c r="BA90" s="227"/>
      <c r="BB90" s="227"/>
      <c r="BC90" s="227"/>
      <c r="BD90" s="1"/>
    </row>
    <row x14ac:dyDescent="0.25" r="91" customHeight="1" ht="13">
      <c r="A91" s="227"/>
      <c r="B91" s="1"/>
      <c r="C91" s="5"/>
      <c r="D91" s="601"/>
      <c r="E91" s="601"/>
      <c r="F91" s="601"/>
      <c r="G91" s="600"/>
      <c r="H91" s="3"/>
      <c r="I91" s="3"/>
      <c r="J91" s="1"/>
      <c r="K91" s="1"/>
      <c r="L91" s="2"/>
      <c r="M91" s="3"/>
      <c r="N91" s="333"/>
      <c r="O91" s="6"/>
      <c r="P91" s="600"/>
      <c r="Q91" s="869"/>
      <c r="R91" s="870"/>
      <c r="S91" s="870"/>
      <c r="T91" s="871"/>
      <c r="U91" s="870"/>
      <c r="V91" s="870"/>
      <c r="W91" s="870"/>
      <c r="X91" s="872"/>
      <c r="Y91" s="873"/>
      <c r="Z91" s="874"/>
      <c r="AA91" s="69"/>
      <c r="AB91" s="866"/>
      <c r="AC91" s="867"/>
      <c r="AD91" s="867"/>
      <c r="AE91" s="867"/>
      <c r="AF91" s="867"/>
      <c r="AG91" s="867"/>
      <c r="AH91" s="868"/>
      <c r="AI91" s="819"/>
      <c r="AJ91" s="599"/>
      <c r="AK91" s="293"/>
      <c r="AL91" s="215"/>
      <c r="AM91" s="3"/>
      <c r="AN91" s="3"/>
      <c r="AO91" s="3"/>
      <c r="AP91" s="3"/>
      <c r="AQ91" s="3"/>
      <c r="AR91" s="3"/>
      <c r="AS91" s="227"/>
      <c r="AT91" s="227"/>
      <c r="AU91" s="227"/>
      <c r="AV91" s="227"/>
      <c r="AW91" s="1"/>
      <c r="AX91" s="227"/>
      <c r="AY91" s="227"/>
      <c r="AZ91" s="1"/>
      <c r="BA91" s="227"/>
      <c r="BB91" s="227"/>
      <c r="BC91" s="227"/>
      <c r="BD91" s="1"/>
    </row>
    <row x14ac:dyDescent="0.25" r="92" customHeight="1" ht="13">
      <c r="A92" s="227"/>
      <c r="B92" s="1"/>
      <c r="C92" s="5"/>
      <c r="D92" s="601"/>
      <c r="E92" s="601"/>
      <c r="F92" s="601"/>
      <c r="G92" s="600"/>
      <c r="H92" s="3"/>
      <c r="I92" s="3"/>
      <c r="J92" s="1"/>
      <c r="K92" s="1"/>
      <c r="L92" s="2"/>
      <c r="M92" s="3"/>
      <c r="N92" s="333"/>
      <c r="O92" s="6"/>
      <c r="P92" s="600"/>
      <c r="Q92" s="875"/>
      <c r="R92" s="876"/>
      <c r="S92" s="876"/>
      <c r="T92" s="877"/>
      <c r="U92" s="876"/>
      <c r="V92" s="876"/>
      <c r="W92" s="876"/>
      <c r="X92" s="878"/>
      <c r="Y92" s="879"/>
      <c r="Z92" s="880"/>
      <c r="AA92" s="69"/>
      <c r="AB92" s="881"/>
      <c r="AC92" s="882"/>
      <c r="AD92" s="882"/>
      <c r="AE92" s="882"/>
      <c r="AF92" s="882"/>
      <c r="AG92" s="882"/>
      <c r="AH92" s="883"/>
      <c r="AI92" s="819"/>
      <c r="AJ92" s="599"/>
      <c r="AK92" s="293"/>
      <c r="AL92" s="215"/>
      <c r="AM92" s="3"/>
      <c r="AN92" s="3"/>
      <c r="AO92" s="3"/>
      <c r="AP92" s="3"/>
      <c r="AQ92" s="3"/>
      <c r="AR92" s="3"/>
      <c r="AS92" s="227"/>
      <c r="AT92" s="227"/>
      <c r="AU92" s="227"/>
      <c r="AV92" s="227"/>
      <c r="AW92" s="1"/>
      <c r="AX92" s="227"/>
      <c r="AY92" s="227"/>
      <c r="AZ92" s="1"/>
      <c r="BA92" s="227"/>
      <c r="BB92" s="227"/>
      <c r="BC92" s="227"/>
      <c r="BD92" s="1"/>
    </row>
    <row x14ac:dyDescent="0.25" r="93" customHeight="1" ht="13">
      <c r="A93" s="227"/>
      <c r="B93" s="1"/>
      <c r="C93" s="5"/>
      <c r="D93" s="593"/>
      <c r="E93" s="594"/>
      <c r="F93" s="595"/>
      <c r="G93" s="596"/>
      <c r="H93" s="3"/>
      <c r="I93" s="3"/>
      <c r="J93" s="1"/>
      <c r="K93" s="1"/>
      <c r="L93" s="2"/>
      <c r="M93" s="3"/>
      <c r="N93" s="333"/>
      <c r="O93" s="6"/>
      <c r="P93" s="600"/>
      <c r="Q93" s="884"/>
      <c r="R93" s="885"/>
      <c r="S93" s="885"/>
      <c r="T93" s="886"/>
      <c r="U93" s="885"/>
      <c r="V93" s="885"/>
      <c r="W93" s="885"/>
      <c r="X93" s="887"/>
      <c r="Y93" s="888"/>
      <c r="Z93" s="808"/>
      <c r="AA93" s="69"/>
      <c r="AB93" s="889"/>
      <c r="AC93" s="890"/>
      <c r="AD93" s="890"/>
      <c r="AE93" s="890"/>
      <c r="AF93" s="890"/>
      <c r="AG93" s="891"/>
      <c r="AH93" s="892">
        <f>IF(Z93&lt;Year1,,IF(Z93&lt;IF(AND(MONTH($Z$14)&gt;=10,MONTH($Z$14)&lt;=12),YEAR($Z$14)+1,YEAR($Z$14)),,IF(Z93&gt;1,Y93,0)))</f>
      </c>
      <c r="AI93" s="597"/>
      <c r="AJ93" s="599"/>
      <c r="AK93" s="293"/>
      <c r="AL93" s="215"/>
      <c r="AM93" s="3"/>
      <c r="AN93" s="3"/>
      <c r="AO93" s="3"/>
      <c r="AP93" s="3"/>
      <c r="AQ93" s="3"/>
      <c r="AR93" s="3"/>
      <c r="AS93" s="227"/>
      <c r="AT93" s="227"/>
      <c r="AU93" s="227"/>
      <c r="AV93" s="227"/>
      <c r="AW93" s="1"/>
      <c r="AX93" s="227"/>
      <c r="AY93" s="227"/>
      <c r="AZ93" s="1"/>
      <c r="BA93" s="227"/>
      <c r="BB93" s="227"/>
      <c r="BC93" s="227"/>
      <c r="BD93" s="1"/>
    </row>
    <row x14ac:dyDescent="0.25" r="94" customHeight="1" ht="13">
      <c r="A94" s="227"/>
      <c r="B94" s="1"/>
      <c r="C94" s="5"/>
      <c r="D94" s="593"/>
      <c r="E94" s="594"/>
      <c r="F94" s="595"/>
      <c r="G94" s="596"/>
      <c r="H94" s="3"/>
      <c r="I94" s="3"/>
      <c r="J94" s="1"/>
      <c r="K94" s="1"/>
      <c r="L94" s="2"/>
      <c r="M94" s="3"/>
      <c r="N94" s="333"/>
      <c r="O94" s="6"/>
      <c r="P94" s="600"/>
      <c r="Q94" s="893"/>
      <c r="R94" s="894"/>
      <c r="S94" s="894"/>
      <c r="T94" s="895"/>
      <c r="U94" s="894"/>
      <c r="V94" s="894"/>
      <c r="W94" s="894"/>
      <c r="X94" s="896"/>
      <c r="Y94" s="897"/>
      <c r="Z94" s="808"/>
      <c r="AA94" s="69"/>
      <c r="AB94" s="898"/>
      <c r="AC94" s="899"/>
      <c r="AD94" s="899"/>
      <c r="AE94" s="899"/>
      <c r="AF94" s="899"/>
      <c r="AG94" s="900"/>
      <c r="AH94" s="892">
        <f>IF(Z94&lt;R2,,IF(Z94&lt;IF(AND(MONTH($Z$14)&gt;=10,MONTH($Z$14)&lt;=12),YEAR($Z$14)+1,YEAR($Z$14)),,IF(Z94&gt;1,Y94,0)))</f>
      </c>
      <c r="AI94" s="597"/>
      <c r="AJ94" s="599"/>
      <c r="AK94" s="293"/>
      <c r="AL94" s="215"/>
      <c r="AM94" s="3"/>
      <c r="AN94" s="3"/>
      <c r="AO94" s="3"/>
      <c r="AP94" s="3"/>
      <c r="AQ94" s="3"/>
      <c r="AR94" s="3"/>
      <c r="AS94" s="227"/>
      <c r="AT94" s="227"/>
      <c r="AU94" s="227"/>
      <c r="AV94" s="227"/>
      <c r="AW94" s="1"/>
      <c r="AX94" s="227"/>
      <c r="AY94" s="227"/>
      <c r="AZ94" s="1"/>
      <c r="BA94" s="227"/>
      <c r="BB94" s="227"/>
      <c r="BC94" s="227"/>
      <c r="BD94" s="1"/>
    </row>
    <row x14ac:dyDescent="0.25" r="95" customHeight="1" ht="13">
      <c r="A95" s="227"/>
      <c r="B95" s="1"/>
      <c r="C95" s="5"/>
      <c r="D95" s="593"/>
      <c r="E95" s="594"/>
      <c r="F95" s="595"/>
      <c r="G95" s="596"/>
      <c r="H95" s="3"/>
      <c r="I95" s="3"/>
      <c r="J95" s="1"/>
      <c r="K95" s="1"/>
      <c r="L95" s="2"/>
      <c r="M95" s="3"/>
      <c r="N95" s="333"/>
      <c r="O95" s="6"/>
      <c r="P95" s="600"/>
      <c r="Q95" s="893"/>
      <c r="R95" s="894"/>
      <c r="S95" s="894"/>
      <c r="T95" s="895"/>
      <c r="U95" s="894"/>
      <c r="V95" s="894"/>
      <c r="W95" s="894"/>
      <c r="X95" s="896"/>
      <c r="Y95" s="897"/>
      <c r="Z95" s="808"/>
      <c r="AA95" s="69"/>
      <c r="AB95" s="898"/>
      <c r="AC95" s="899"/>
      <c r="AD95" s="899"/>
      <c r="AE95" s="899"/>
      <c r="AF95" s="899"/>
      <c r="AG95" s="900"/>
      <c r="AH95" s="892">
        <f>IF(Z95&lt;R3,,IF(Z95&lt;IF(AND(MONTH($Z$14)&gt;=10,MONTH($Z$14)&lt;=12),YEAR($Z$14)+1,YEAR($Z$14)),,IF(Z95&gt;1,Y95,0)))</f>
      </c>
      <c r="AI95" s="597"/>
      <c r="AJ95" s="599"/>
      <c r="AK95" s="293"/>
      <c r="AL95" s="215"/>
      <c r="AM95" s="3"/>
      <c r="AN95" s="3"/>
      <c r="AO95" s="3"/>
      <c r="AP95" s="3"/>
      <c r="AQ95" s="3"/>
      <c r="AR95" s="3"/>
      <c r="AS95" s="227"/>
      <c r="AT95" s="227"/>
      <c r="AU95" s="227"/>
      <c r="AV95" s="227"/>
      <c r="AW95" s="1"/>
      <c r="AX95" s="227"/>
      <c r="AY95" s="227"/>
      <c r="AZ95" s="1"/>
      <c r="BA95" s="227"/>
      <c r="BB95" s="227"/>
      <c r="BC95" s="227"/>
      <c r="BD95" s="1"/>
    </row>
    <row x14ac:dyDescent="0.25" r="96" customHeight="1" ht="13">
      <c r="A96" s="227"/>
      <c r="B96" s="1"/>
      <c r="C96" s="5"/>
      <c r="D96" s="593"/>
      <c r="E96" s="594"/>
      <c r="F96" s="595"/>
      <c r="G96" s="596"/>
      <c r="H96" s="3"/>
      <c r="I96" s="3"/>
      <c r="J96" s="1"/>
      <c r="K96" s="1"/>
      <c r="L96" s="2"/>
      <c r="M96" s="3"/>
      <c r="N96" s="333"/>
      <c r="O96" s="6"/>
      <c r="P96" s="7"/>
      <c r="Q96" s="893"/>
      <c r="R96" s="894"/>
      <c r="S96" s="894"/>
      <c r="T96" s="895"/>
      <c r="U96" s="894"/>
      <c r="V96" s="894"/>
      <c r="W96" s="894"/>
      <c r="X96" s="896"/>
      <c r="Y96" s="897"/>
      <c r="Z96" s="808"/>
      <c r="AA96" s="69"/>
      <c r="AB96" s="898"/>
      <c r="AC96" s="899"/>
      <c r="AD96" s="899"/>
      <c r="AE96" s="899"/>
      <c r="AF96" s="899"/>
      <c r="AG96" s="900"/>
      <c r="AH96" s="892">
        <f>IF(Z96&lt;R4,,IF(Z96&lt;IF(AND(MONTH($Z$14)&gt;=10,MONTH($Z$14)&lt;=12),YEAR($Z$14)+1,YEAR($Z$14)),,IF(Z96&gt;1,Y96,0)))</f>
      </c>
      <c r="AI96" s="1"/>
      <c r="AJ96" s="6"/>
      <c r="AK96" s="3"/>
      <c r="AL96" s="2"/>
      <c r="AM96" s="3"/>
      <c r="AN96" s="3"/>
      <c r="AO96" s="3"/>
      <c r="AP96" s="3"/>
      <c r="AQ96" s="3"/>
      <c r="AR96" s="3"/>
      <c r="AS96" s="227"/>
      <c r="AT96" s="227"/>
      <c r="AU96" s="227"/>
      <c r="AV96" s="227"/>
      <c r="AW96" s="1"/>
      <c r="AX96" s="227"/>
      <c r="AY96" s="227"/>
      <c r="AZ96" s="1"/>
      <c r="BA96" s="227"/>
      <c r="BB96" s="227"/>
      <c r="BC96" s="227"/>
      <c r="BD96" s="1"/>
    </row>
    <row x14ac:dyDescent="0.25" r="97" customHeight="1" ht="13">
      <c r="A97" s="227"/>
      <c r="B97" s="1"/>
      <c r="C97" s="5"/>
      <c r="D97" s="593"/>
      <c r="E97" s="594"/>
      <c r="F97" s="595"/>
      <c r="G97" s="596"/>
      <c r="H97" s="3"/>
      <c r="I97" s="3"/>
      <c r="J97" s="1"/>
      <c r="K97" s="1"/>
      <c r="L97" s="2"/>
      <c r="M97" s="3"/>
      <c r="N97" s="333"/>
      <c r="O97" s="6"/>
      <c r="P97" s="7"/>
      <c r="Q97" s="893"/>
      <c r="R97" s="894"/>
      <c r="S97" s="894"/>
      <c r="T97" s="895"/>
      <c r="U97" s="894"/>
      <c r="V97" s="894"/>
      <c r="W97" s="894"/>
      <c r="X97" s="896"/>
      <c r="Y97" s="897"/>
      <c r="Z97" s="808"/>
      <c r="AA97" s="69"/>
      <c r="AB97" s="898"/>
      <c r="AC97" s="899"/>
      <c r="AD97" s="899"/>
      <c r="AE97" s="899"/>
      <c r="AF97" s="899"/>
      <c r="AG97" s="900"/>
      <c r="AH97" s="892">
        <f>IF(Z97&lt;R5,,IF(Z97&lt;IF(AND(MONTH($Z$14)&gt;=10,MONTH($Z$14)&lt;=12),YEAR($Z$14)+1,YEAR($Z$14)),,IF(Z97&gt;1,Y97,0)))</f>
      </c>
      <c r="AI97" s="1"/>
      <c r="AJ97" s="6"/>
      <c r="AK97" s="3"/>
      <c r="AL97" s="2"/>
      <c r="AM97" s="3"/>
      <c r="AN97" s="3"/>
      <c r="AO97" s="3"/>
      <c r="AP97" s="3"/>
      <c r="AQ97" s="3"/>
      <c r="AR97" s="3"/>
      <c r="AS97" s="227"/>
      <c r="AT97" s="227"/>
      <c r="AU97" s="227"/>
      <c r="AV97" s="227"/>
      <c r="AW97" s="1"/>
      <c r="AX97" s="227"/>
      <c r="AY97" s="227"/>
      <c r="AZ97" s="1"/>
      <c r="BA97" s="227"/>
      <c r="BB97" s="227"/>
      <c r="BC97" s="227"/>
      <c r="BD97" s="1"/>
    </row>
    <row x14ac:dyDescent="0.25" r="98" customHeight="1" ht="13">
      <c r="A98" s="227"/>
      <c r="B98" s="1"/>
      <c r="C98" s="5"/>
      <c r="D98" s="593"/>
      <c r="E98" s="594"/>
      <c r="F98" s="595"/>
      <c r="G98" s="596"/>
      <c r="H98" s="3"/>
      <c r="I98" s="3"/>
      <c r="J98" s="1"/>
      <c r="K98" s="1"/>
      <c r="L98" s="2"/>
      <c r="M98" s="3"/>
      <c r="N98" s="333"/>
      <c r="O98" s="6"/>
      <c r="P98" s="7"/>
      <c r="Q98" s="901" t="s">
        <v>350</v>
      </c>
      <c r="R98" s="902"/>
      <c r="S98" s="902"/>
      <c r="T98" s="903"/>
      <c r="U98" s="902"/>
      <c r="V98" s="902"/>
      <c r="W98" s="902"/>
      <c r="X98" s="902"/>
      <c r="Y98" s="902"/>
      <c r="Z98" s="904"/>
      <c r="AA98" s="69"/>
      <c r="AB98" s="905" t="s">
        <v>351</v>
      </c>
      <c r="AC98" s="906"/>
      <c r="AD98" s="906"/>
      <c r="AE98" s="906"/>
      <c r="AF98" s="906"/>
      <c r="AG98" s="907"/>
      <c r="AH98" s="908">
        <f>SUM(AH23:AH97)</f>
      </c>
      <c r="AI98" s="1"/>
      <c r="AJ98" s="6"/>
      <c r="AK98" s="3"/>
      <c r="AL98" s="2"/>
      <c r="AM98" s="3"/>
      <c r="AN98" s="3"/>
      <c r="AO98" s="3"/>
      <c r="AP98" s="3"/>
      <c r="AQ98" s="3"/>
      <c r="AR98" s="3"/>
      <c r="AS98" s="227"/>
      <c r="AT98" s="227"/>
      <c r="AU98" s="227"/>
      <c r="AV98" s="227"/>
      <c r="AW98" s="1"/>
      <c r="AX98" s="227"/>
      <c r="AY98" s="227"/>
      <c r="AZ98" s="1"/>
      <c r="BA98" s="227"/>
      <c r="BB98" s="227"/>
      <c r="BC98" s="227"/>
      <c r="BD98" s="1"/>
    </row>
    <row x14ac:dyDescent="0.25" r="99" customHeight="1" ht="13">
      <c r="A99" s="227"/>
      <c r="B99" s="1"/>
      <c r="C99" s="5"/>
      <c r="D99" s="593"/>
      <c r="E99" s="594"/>
      <c r="F99" s="595"/>
      <c r="G99" s="596"/>
      <c r="H99" s="3"/>
      <c r="I99" s="3"/>
      <c r="J99" s="1"/>
      <c r="K99" s="1"/>
      <c r="L99" s="2"/>
      <c r="M99" s="3"/>
      <c r="N99" s="333"/>
      <c r="O99" s="6"/>
      <c r="P99" s="7"/>
      <c r="Q99" s="909"/>
      <c r="R99" s="910"/>
      <c r="S99" s="910"/>
      <c r="T99" s="911"/>
      <c r="U99" s="910"/>
      <c r="V99" s="910"/>
      <c r="W99" s="910"/>
      <c r="X99" s="910"/>
      <c r="Y99" s="910"/>
      <c r="Z99" s="912"/>
      <c r="AA99" s="69"/>
      <c r="AB99" s="913" t="s">
        <v>352</v>
      </c>
      <c r="AC99" s="914"/>
      <c r="AD99" s="914"/>
      <c r="AE99" s="914"/>
      <c r="AF99" s="914"/>
      <c r="AG99" s="915"/>
      <c r="AH99" s="916">
        <f>IF(ISERROR(ROUND(IF(AH98&gt;1,AH98/D40,),1)),0,ROUND(IF(AH98&gt;1,AH98/D40,),1))</f>
      </c>
      <c r="AI99" s="1"/>
      <c r="AJ99" s="6"/>
      <c r="AK99" s="3"/>
      <c r="AL99" s="2"/>
      <c r="AM99" s="3"/>
      <c r="AN99" s="3"/>
      <c r="AO99" s="3"/>
      <c r="AP99" s="3"/>
      <c r="AQ99" s="3"/>
      <c r="AR99" s="3"/>
      <c r="AS99" s="227"/>
      <c r="AT99" s="227"/>
      <c r="AU99" s="227"/>
      <c r="AV99" s="227"/>
      <c r="AW99" s="1"/>
      <c r="AX99" s="227"/>
      <c r="AY99" s="227"/>
      <c r="AZ99" s="1"/>
      <c r="BA99" s="227"/>
      <c r="BB99" s="227"/>
      <c r="BC99" s="227"/>
      <c r="BD99" s="1"/>
    </row>
    <row x14ac:dyDescent="0.25" r="100" customHeight="1" ht="13">
      <c r="A100" s="227"/>
      <c r="B100" s="1"/>
      <c r="C100" s="5"/>
      <c r="D100" s="593"/>
      <c r="E100" s="594"/>
      <c r="F100" s="595"/>
      <c r="G100" s="596"/>
      <c r="H100" s="3"/>
      <c r="I100" s="3"/>
      <c r="J100" s="1"/>
      <c r="K100" s="1"/>
      <c r="L100" s="2"/>
      <c r="M100" s="3"/>
      <c r="N100" s="333"/>
      <c r="O100" s="6"/>
      <c r="P100" s="7"/>
      <c r="Q100" s="917"/>
      <c r="R100" s="918"/>
      <c r="S100" s="918"/>
      <c r="T100" s="919"/>
      <c r="U100" s="918"/>
      <c r="V100" s="918"/>
      <c r="W100" s="918"/>
      <c r="X100" s="918"/>
      <c r="Y100" s="918"/>
      <c r="Z100" s="920"/>
      <c r="AA100" s="69"/>
      <c r="AB100" s="5"/>
      <c r="AC100" s="5"/>
      <c r="AD100" s="5"/>
      <c r="AE100" s="5"/>
      <c r="AF100" s="5"/>
      <c r="AG100" s="5"/>
      <c r="AH100" s="5"/>
      <c r="AI100" s="1"/>
      <c r="AJ100" s="6"/>
      <c r="AK100" s="3"/>
      <c r="AL100" s="2"/>
      <c r="AM100" s="3"/>
      <c r="AN100" s="3"/>
      <c r="AO100" s="3"/>
      <c r="AP100" s="3"/>
      <c r="AQ100" s="3"/>
      <c r="AR100" s="3"/>
      <c r="AS100" s="227"/>
      <c r="AT100" s="227"/>
      <c r="AU100" s="227"/>
      <c r="AV100" s="227"/>
      <c r="AW100" s="1"/>
      <c r="AX100" s="227"/>
      <c r="AY100" s="227"/>
      <c r="AZ100" s="1"/>
      <c r="BA100" s="227"/>
      <c r="BB100" s="227"/>
      <c r="BC100" s="227"/>
      <c r="BD100" s="1"/>
    </row>
    <row x14ac:dyDescent="0.25" r="101" customHeight="1" ht="13">
      <c r="A101" s="227"/>
      <c r="B101" s="1"/>
      <c r="C101" s="5"/>
      <c r="D101" s="593"/>
      <c r="E101" s="594"/>
      <c r="F101" s="595"/>
      <c r="G101" s="596"/>
      <c r="H101" s="3"/>
      <c r="I101" s="3"/>
      <c r="J101" s="1"/>
      <c r="K101" s="1"/>
      <c r="L101" s="2"/>
      <c r="M101" s="3"/>
      <c r="N101" s="333"/>
      <c r="O101" s="6"/>
      <c r="P101" s="7"/>
      <c r="Q101" s="917"/>
      <c r="R101" s="918"/>
      <c r="S101" s="918"/>
      <c r="T101" s="919"/>
      <c r="U101" s="918"/>
      <c r="V101" s="918"/>
      <c r="W101" s="918"/>
      <c r="X101" s="918"/>
      <c r="Y101" s="918"/>
      <c r="Z101" s="920"/>
      <c r="AA101" s="2"/>
      <c r="AB101" s="5"/>
      <c r="AC101" s="5"/>
      <c r="AD101" s="5"/>
      <c r="AE101" s="5"/>
      <c r="AF101" s="5"/>
      <c r="AG101" s="5"/>
      <c r="AH101" s="215"/>
      <c r="AI101" s="1"/>
      <c r="AJ101" s="6"/>
      <c r="AK101" s="3"/>
      <c r="AL101" s="2"/>
      <c r="AM101" s="3"/>
      <c r="AN101" s="3"/>
      <c r="AO101" s="3"/>
      <c r="AP101" s="3"/>
      <c r="AQ101" s="3"/>
      <c r="AR101" s="3"/>
      <c r="AS101" s="227"/>
      <c r="AT101" s="227"/>
      <c r="AU101" s="227"/>
      <c r="AV101" s="227"/>
      <c r="AW101" s="1"/>
      <c r="AX101" s="227"/>
      <c r="AY101" s="227"/>
      <c r="AZ101" s="1"/>
      <c r="BA101" s="227"/>
      <c r="BB101" s="227"/>
      <c r="BC101" s="227"/>
      <c r="BD101" s="1"/>
    </row>
    <row x14ac:dyDescent="0.25" r="102" customHeight="1" ht="13">
      <c r="A102" s="227"/>
      <c r="B102" s="1"/>
      <c r="C102" s="5"/>
      <c r="D102" s="593"/>
      <c r="E102" s="594"/>
      <c r="F102" s="595"/>
      <c r="G102" s="596"/>
      <c r="H102" s="3"/>
      <c r="I102" s="3"/>
      <c r="J102" s="1"/>
      <c r="K102" s="1"/>
      <c r="L102" s="2"/>
      <c r="M102" s="3"/>
      <c r="N102" s="333"/>
      <c r="O102" s="6"/>
      <c r="P102" s="7"/>
      <c r="Q102" s="917"/>
      <c r="R102" s="918"/>
      <c r="S102" s="918"/>
      <c r="T102" s="919"/>
      <c r="U102" s="918"/>
      <c r="V102" s="918"/>
      <c r="W102" s="918"/>
      <c r="X102" s="918"/>
      <c r="Y102" s="918"/>
      <c r="Z102" s="920"/>
      <c r="AA102" s="2"/>
      <c r="AB102" s="5"/>
      <c r="AC102" s="5"/>
      <c r="AD102" s="5"/>
      <c r="AE102" s="5"/>
      <c r="AF102" s="5"/>
      <c r="AG102" s="5"/>
      <c r="AH102" s="5"/>
      <c r="AI102" s="1"/>
      <c r="AJ102" s="6"/>
      <c r="AK102" s="3"/>
      <c r="AL102" s="2"/>
      <c r="AM102" s="3"/>
      <c r="AN102" s="3"/>
      <c r="AO102" s="3"/>
      <c r="AP102" s="3"/>
      <c r="AQ102" s="3"/>
      <c r="AR102" s="3"/>
      <c r="AS102" s="227"/>
      <c r="AT102" s="227"/>
      <c r="AU102" s="227"/>
      <c r="AV102" s="227"/>
      <c r="AW102" s="1"/>
      <c r="AX102" s="227"/>
      <c r="AY102" s="227"/>
      <c r="AZ102" s="1"/>
      <c r="BA102" s="227"/>
      <c r="BB102" s="227"/>
      <c r="BC102" s="227"/>
      <c r="BD102" s="1"/>
    </row>
    <row x14ac:dyDescent="0.25" r="103" customHeight="1" ht="13">
      <c r="A103" s="227"/>
      <c r="B103" s="1"/>
      <c r="C103" s="5"/>
      <c r="D103" s="593"/>
      <c r="E103" s="594"/>
      <c r="F103" s="595"/>
      <c r="G103" s="596"/>
      <c r="H103" s="3"/>
      <c r="I103" s="3"/>
      <c r="J103" s="1"/>
      <c r="K103" s="1"/>
      <c r="L103" s="2"/>
      <c r="M103" s="3"/>
      <c r="N103" s="333"/>
      <c r="O103" s="6"/>
      <c r="P103" s="7"/>
      <c r="Q103" s="917"/>
      <c r="R103" s="918"/>
      <c r="S103" s="918"/>
      <c r="T103" s="919"/>
      <c r="U103" s="918"/>
      <c r="V103" s="918"/>
      <c r="W103" s="918"/>
      <c r="X103" s="918"/>
      <c r="Y103" s="918"/>
      <c r="Z103" s="920"/>
      <c r="AA103" s="2"/>
      <c r="AB103" s="5"/>
      <c r="AC103" s="5"/>
      <c r="AD103" s="5"/>
      <c r="AE103" s="5"/>
      <c r="AF103" s="5"/>
      <c r="AG103" s="5"/>
      <c r="AH103" s="5"/>
      <c r="AI103" s="1"/>
      <c r="AJ103" s="6"/>
      <c r="AK103" s="3"/>
      <c r="AL103" s="2"/>
      <c r="AM103" s="3"/>
      <c r="AN103" s="3"/>
      <c r="AO103" s="3"/>
      <c r="AP103" s="3"/>
      <c r="AQ103" s="3"/>
      <c r="AR103" s="3"/>
      <c r="AS103" s="227"/>
      <c r="AT103" s="227"/>
      <c r="AU103" s="227"/>
      <c r="AV103" s="227"/>
      <c r="AW103" s="1"/>
      <c r="AX103" s="227"/>
      <c r="AY103" s="227"/>
      <c r="AZ103" s="1"/>
      <c r="BA103" s="227"/>
      <c r="BB103" s="227"/>
      <c r="BC103" s="227"/>
      <c r="BD103" s="1"/>
    </row>
    <row x14ac:dyDescent="0.25" r="104" customHeight="1" ht="13">
      <c r="A104" s="227"/>
      <c r="B104" s="1"/>
      <c r="C104" s="5"/>
      <c r="D104" s="593"/>
      <c r="E104" s="594"/>
      <c r="F104" s="595"/>
      <c r="G104" s="596"/>
      <c r="H104" s="3"/>
      <c r="I104" s="3"/>
      <c r="J104" s="1"/>
      <c r="K104" s="1"/>
      <c r="L104" s="2"/>
      <c r="M104" s="3"/>
      <c r="N104" s="333"/>
      <c r="O104" s="6"/>
      <c r="P104" s="7"/>
      <c r="Q104" s="917"/>
      <c r="R104" s="918"/>
      <c r="S104" s="918"/>
      <c r="T104" s="919"/>
      <c r="U104" s="918"/>
      <c r="V104" s="918"/>
      <c r="W104" s="918"/>
      <c r="X104" s="918"/>
      <c r="Y104" s="918"/>
      <c r="Z104" s="920"/>
      <c r="AA104" s="2"/>
      <c r="AB104" s="5"/>
      <c r="AC104" s="5"/>
      <c r="AD104" s="5"/>
      <c r="AE104" s="5"/>
      <c r="AF104" s="5"/>
      <c r="AG104" s="5"/>
      <c r="AH104" s="5"/>
      <c r="AI104" s="1"/>
      <c r="AJ104" s="6"/>
      <c r="AK104" s="3"/>
      <c r="AL104" s="2"/>
      <c r="AM104" s="3"/>
      <c r="AN104" s="3"/>
      <c r="AO104" s="3"/>
      <c r="AP104" s="3"/>
      <c r="AQ104" s="3"/>
      <c r="AR104" s="3"/>
      <c r="AS104" s="227"/>
      <c r="AT104" s="227"/>
      <c r="AU104" s="227"/>
      <c r="AV104" s="227"/>
      <c r="AW104" s="1"/>
      <c r="AX104" s="227"/>
      <c r="AY104" s="227"/>
      <c r="AZ104" s="1"/>
      <c r="BA104" s="227"/>
      <c r="BB104" s="227"/>
      <c r="BC104" s="227"/>
      <c r="BD104" s="1"/>
    </row>
    <row x14ac:dyDescent="0.25" r="105" customHeight="1" ht="13">
      <c r="A105" s="227"/>
      <c r="B105" s="1"/>
      <c r="C105" s="5"/>
      <c r="D105" s="593"/>
      <c r="E105" s="594"/>
      <c r="F105" s="595"/>
      <c r="G105" s="596"/>
      <c r="H105" s="3"/>
      <c r="I105" s="3"/>
      <c r="J105" s="1"/>
      <c r="K105" s="1"/>
      <c r="L105" s="2"/>
      <c r="M105" s="3"/>
      <c r="N105" s="333"/>
      <c r="O105" s="6"/>
      <c r="P105" s="7"/>
      <c r="Q105" s="917"/>
      <c r="R105" s="918"/>
      <c r="S105" s="918"/>
      <c r="T105" s="919"/>
      <c r="U105" s="918"/>
      <c r="V105" s="918"/>
      <c r="W105" s="918"/>
      <c r="X105" s="918"/>
      <c r="Y105" s="918"/>
      <c r="Z105" s="920"/>
      <c r="AA105" s="2"/>
      <c r="AB105" s="5"/>
      <c r="AC105" s="5"/>
      <c r="AD105" s="5"/>
      <c r="AE105" s="5"/>
      <c r="AF105" s="5"/>
      <c r="AG105" s="5"/>
      <c r="AH105" s="5"/>
      <c r="AI105" s="1"/>
      <c r="AJ105" s="6"/>
      <c r="AK105" s="3"/>
      <c r="AL105" s="2"/>
      <c r="AM105" s="3"/>
      <c r="AN105" s="3"/>
      <c r="AO105" s="3"/>
      <c r="AP105" s="3"/>
      <c r="AQ105" s="3"/>
      <c r="AR105" s="3"/>
      <c r="AS105" s="227"/>
      <c r="AT105" s="227"/>
      <c r="AU105" s="227"/>
      <c r="AV105" s="227"/>
      <c r="AW105" s="1"/>
      <c r="AX105" s="227"/>
      <c r="AY105" s="227"/>
      <c r="AZ105" s="1"/>
      <c r="BA105" s="227"/>
      <c r="BB105" s="227"/>
      <c r="BC105" s="227"/>
      <c r="BD105" s="1"/>
    </row>
    <row x14ac:dyDescent="0.25" r="106" customHeight="1" ht="13">
      <c r="A106" s="227"/>
      <c r="B106" s="1"/>
      <c r="C106" s="5"/>
      <c r="D106" s="593"/>
      <c r="E106" s="594"/>
      <c r="F106" s="595"/>
      <c r="G106" s="596"/>
      <c r="H106" s="3"/>
      <c r="I106" s="3"/>
      <c r="J106" s="1"/>
      <c r="K106" s="1"/>
      <c r="L106" s="2"/>
      <c r="M106" s="3"/>
      <c r="N106" s="333"/>
      <c r="O106" s="6"/>
      <c r="P106" s="7"/>
      <c r="Q106" s="917"/>
      <c r="R106" s="918"/>
      <c r="S106" s="918"/>
      <c r="T106" s="919"/>
      <c r="U106" s="918"/>
      <c r="V106" s="918"/>
      <c r="W106" s="918"/>
      <c r="X106" s="918"/>
      <c r="Y106" s="918"/>
      <c r="Z106" s="920"/>
      <c r="AA106" s="2"/>
      <c r="AB106" s="5"/>
      <c r="AC106" s="5"/>
      <c r="AD106" s="5"/>
      <c r="AE106" s="5"/>
      <c r="AF106" s="5"/>
      <c r="AG106" s="5"/>
      <c r="AH106" s="5"/>
      <c r="AI106" s="1"/>
      <c r="AJ106" s="6"/>
      <c r="AK106" s="3"/>
      <c r="AL106" s="2"/>
      <c r="AM106" s="3"/>
      <c r="AN106" s="3"/>
      <c r="AO106" s="3"/>
      <c r="AP106" s="3"/>
      <c r="AQ106" s="3"/>
      <c r="AR106" s="3"/>
      <c r="AS106" s="227"/>
      <c r="AT106" s="227"/>
      <c r="AU106" s="227"/>
      <c r="AV106" s="227"/>
      <c r="AW106" s="1"/>
      <c r="AX106" s="227"/>
      <c r="AY106" s="227"/>
      <c r="AZ106" s="1"/>
      <c r="BA106" s="227"/>
      <c r="BB106" s="227"/>
      <c r="BC106" s="227"/>
      <c r="BD106" s="1"/>
    </row>
    <row x14ac:dyDescent="0.25" r="107" customHeight="1" ht="13">
      <c r="A107" s="227"/>
      <c r="B107" s="1"/>
      <c r="C107" s="5"/>
      <c r="D107" s="593"/>
      <c r="E107" s="594"/>
      <c r="F107" s="595"/>
      <c r="G107" s="596"/>
      <c r="H107" s="3"/>
      <c r="I107" s="3"/>
      <c r="J107" s="1"/>
      <c r="K107" s="1"/>
      <c r="L107" s="2"/>
      <c r="M107" s="3"/>
      <c r="N107" s="333"/>
      <c r="O107" s="6"/>
      <c r="P107" s="7"/>
      <c r="Q107" s="917"/>
      <c r="R107" s="918"/>
      <c r="S107" s="918"/>
      <c r="T107" s="919"/>
      <c r="U107" s="918"/>
      <c r="V107" s="918"/>
      <c r="W107" s="918"/>
      <c r="X107" s="918"/>
      <c r="Y107" s="918"/>
      <c r="Z107" s="920"/>
      <c r="AA107" s="2"/>
      <c r="AB107" s="5"/>
      <c r="AC107" s="5"/>
      <c r="AD107" s="5"/>
      <c r="AE107" s="5"/>
      <c r="AF107" s="5"/>
      <c r="AG107" s="5"/>
      <c r="AH107" s="5"/>
      <c r="AI107" s="1"/>
      <c r="AJ107" s="6"/>
      <c r="AK107" s="3"/>
      <c r="AL107" s="2"/>
      <c r="AM107" s="3"/>
      <c r="AN107" s="3"/>
      <c r="AO107" s="3"/>
      <c r="AP107" s="3"/>
      <c r="AQ107" s="3"/>
      <c r="AR107" s="3"/>
      <c r="AS107" s="227"/>
      <c r="AT107" s="227"/>
      <c r="AU107" s="227"/>
      <c r="AV107" s="227"/>
      <c r="AW107" s="1"/>
      <c r="AX107" s="227"/>
      <c r="AY107" s="227"/>
      <c r="AZ107" s="1"/>
      <c r="BA107" s="227"/>
      <c r="BB107" s="227"/>
      <c r="BC107" s="227"/>
      <c r="BD107" s="1"/>
    </row>
    <row x14ac:dyDescent="0.25" r="108" customHeight="1" ht="13">
      <c r="A108" s="227"/>
      <c r="B108" s="1"/>
      <c r="C108" s="5"/>
      <c r="D108" s="593"/>
      <c r="E108" s="594"/>
      <c r="F108" s="595"/>
      <c r="G108" s="596"/>
      <c r="H108" s="3"/>
      <c r="I108" s="3"/>
      <c r="J108" s="1"/>
      <c r="K108" s="1"/>
      <c r="L108" s="2"/>
      <c r="M108" s="3"/>
      <c r="N108" s="333"/>
      <c r="O108" s="6"/>
      <c r="P108" s="7"/>
      <c r="Q108" s="917"/>
      <c r="R108" s="918"/>
      <c r="S108" s="918"/>
      <c r="T108" s="919"/>
      <c r="U108" s="918"/>
      <c r="V108" s="918"/>
      <c r="W108" s="918"/>
      <c r="X108" s="918"/>
      <c r="Y108" s="918"/>
      <c r="Z108" s="920"/>
      <c r="AA108" s="2"/>
      <c r="AB108" s="5"/>
      <c r="AC108" s="5"/>
      <c r="AD108" s="5"/>
      <c r="AE108" s="5"/>
      <c r="AF108" s="5"/>
      <c r="AG108" s="5"/>
      <c r="AH108" s="5"/>
      <c r="AI108" s="1"/>
      <c r="AJ108" s="6"/>
      <c r="AK108" s="3"/>
      <c r="AL108" s="2"/>
      <c r="AM108" s="3"/>
      <c r="AN108" s="3"/>
      <c r="AO108" s="3"/>
      <c r="AP108" s="3"/>
      <c r="AQ108" s="3"/>
      <c r="AR108" s="3"/>
      <c r="AS108" s="227"/>
      <c r="AT108" s="227"/>
      <c r="AU108" s="227"/>
      <c r="AV108" s="227"/>
      <c r="AW108" s="1"/>
      <c r="AX108" s="227"/>
      <c r="AY108" s="227"/>
      <c r="AZ108" s="1"/>
      <c r="BA108" s="227"/>
      <c r="BB108" s="227"/>
      <c r="BC108" s="227"/>
      <c r="BD108" s="1"/>
    </row>
    <row x14ac:dyDescent="0.25" r="109" customHeight="1" ht="13">
      <c r="A109" s="227"/>
      <c r="B109" s="1"/>
      <c r="C109" s="5"/>
      <c r="D109" s="593"/>
      <c r="E109" s="594"/>
      <c r="F109" s="595"/>
      <c r="G109" s="596"/>
      <c r="H109" s="3"/>
      <c r="I109" s="3"/>
      <c r="J109" s="1"/>
      <c r="K109" s="1"/>
      <c r="L109" s="2"/>
      <c r="M109" s="3"/>
      <c r="N109" s="333"/>
      <c r="O109" s="6"/>
      <c r="P109" s="7"/>
      <c r="Q109" s="917"/>
      <c r="R109" s="918"/>
      <c r="S109" s="918"/>
      <c r="T109" s="919"/>
      <c r="U109" s="918"/>
      <c r="V109" s="918"/>
      <c r="W109" s="918"/>
      <c r="X109" s="918"/>
      <c r="Y109" s="918"/>
      <c r="Z109" s="920"/>
      <c r="AA109" s="2"/>
      <c r="AB109" s="5"/>
      <c r="AC109" s="5"/>
      <c r="AD109" s="5"/>
      <c r="AE109" s="5"/>
      <c r="AF109" s="5"/>
      <c r="AG109" s="5"/>
      <c r="AH109" s="5"/>
      <c r="AI109" s="1"/>
      <c r="AJ109" s="6"/>
      <c r="AK109" s="3"/>
      <c r="AL109" s="2"/>
      <c r="AM109" s="3"/>
      <c r="AN109" s="3"/>
      <c r="AO109" s="3"/>
      <c r="AP109" s="3"/>
      <c r="AQ109" s="3"/>
      <c r="AR109" s="3"/>
      <c r="AS109" s="227"/>
      <c r="AT109" s="227"/>
      <c r="AU109" s="227"/>
      <c r="AV109" s="227"/>
      <c r="AW109" s="1"/>
      <c r="AX109" s="227"/>
      <c r="AY109" s="227"/>
      <c r="AZ109" s="1"/>
      <c r="BA109" s="227"/>
      <c r="BB109" s="227"/>
      <c r="BC109" s="227"/>
      <c r="BD109" s="1"/>
    </row>
    <row x14ac:dyDescent="0.25" r="110" customHeight="1" ht="13">
      <c r="A110" s="227"/>
      <c r="B110" s="1"/>
      <c r="C110" s="5"/>
      <c r="D110" s="593"/>
      <c r="E110" s="594"/>
      <c r="F110" s="595"/>
      <c r="G110" s="596"/>
      <c r="H110" s="3"/>
      <c r="I110" s="3"/>
      <c r="J110" s="1"/>
      <c r="K110" s="1"/>
      <c r="L110" s="2"/>
      <c r="M110" s="3"/>
      <c r="N110" s="333"/>
      <c r="O110" s="6"/>
      <c r="P110" s="7"/>
      <c r="Q110" s="917"/>
      <c r="R110" s="918"/>
      <c r="S110" s="918"/>
      <c r="T110" s="919"/>
      <c r="U110" s="918"/>
      <c r="V110" s="918"/>
      <c r="W110" s="918"/>
      <c r="X110" s="918"/>
      <c r="Y110" s="918"/>
      <c r="Z110" s="920"/>
      <c r="AA110" s="2"/>
      <c r="AB110" s="5"/>
      <c r="AC110" s="5"/>
      <c r="AD110" s="5"/>
      <c r="AE110" s="5"/>
      <c r="AF110" s="5"/>
      <c r="AG110" s="5"/>
      <c r="AH110" s="5"/>
      <c r="AI110" s="1"/>
      <c r="AJ110" s="6"/>
      <c r="AK110" s="3"/>
      <c r="AL110" s="2"/>
      <c r="AM110" s="3"/>
      <c r="AN110" s="3"/>
      <c r="AO110" s="3"/>
      <c r="AP110" s="3"/>
      <c r="AQ110" s="3"/>
      <c r="AR110" s="3"/>
      <c r="AS110" s="227"/>
      <c r="AT110" s="227"/>
      <c r="AU110" s="227"/>
      <c r="AV110" s="227"/>
      <c r="AW110" s="1"/>
      <c r="AX110" s="227"/>
      <c r="AY110" s="227"/>
      <c r="AZ110" s="1"/>
      <c r="BA110" s="227"/>
      <c r="BB110" s="227"/>
      <c r="BC110" s="227"/>
      <c r="BD110" s="1"/>
    </row>
    <row x14ac:dyDescent="0.25" r="111" customHeight="1" ht="13" customFormat="1" s="230">
      <c r="A111" s="229"/>
      <c r="B111" s="229"/>
      <c r="C111" s="580"/>
      <c r="D111" s="580"/>
      <c r="E111" s="580"/>
      <c r="F111" s="580"/>
      <c r="G111" s="921"/>
      <c r="H111" s="577"/>
      <c r="I111" s="577"/>
      <c r="J111" s="229"/>
      <c r="K111" s="229"/>
      <c r="L111" s="8"/>
      <c r="M111" s="577"/>
      <c r="N111" s="578"/>
      <c r="O111" s="579"/>
      <c r="P111" s="921"/>
      <c r="Q111" s="917"/>
      <c r="R111" s="918"/>
      <c r="S111" s="918"/>
      <c r="T111" s="919"/>
      <c r="U111" s="918"/>
      <c r="V111" s="918"/>
      <c r="W111" s="918"/>
      <c r="X111" s="918"/>
      <c r="Y111" s="918"/>
      <c r="Z111" s="920"/>
      <c r="AA111" s="8"/>
      <c r="AB111" s="580"/>
      <c r="AC111" s="580"/>
      <c r="AD111" s="580"/>
      <c r="AE111" s="580"/>
      <c r="AF111" s="580"/>
      <c r="AG111" s="580"/>
      <c r="AH111" s="580"/>
      <c r="AI111" s="229"/>
      <c r="AJ111" s="579"/>
      <c r="AK111" s="577"/>
      <c r="AL111" s="8"/>
      <c r="AM111" s="577"/>
      <c r="AN111" s="577"/>
      <c r="AO111" s="577"/>
      <c r="AP111" s="577"/>
      <c r="AQ111" s="577"/>
      <c r="AR111" s="577"/>
      <c r="AS111" s="229"/>
      <c r="AT111" s="229"/>
      <c r="AU111" s="229"/>
      <c r="AV111" s="229"/>
      <c r="AW111" s="229"/>
      <c r="AX111" s="229"/>
      <c r="AY111" s="229"/>
      <c r="AZ111" s="229"/>
      <c r="BA111" s="229"/>
      <c r="BB111" s="229"/>
      <c r="BC111" s="229"/>
      <c r="BD111" s="229"/>
    </row>
    <row x14ac:dyDescent="0.25" r="112" customHeight="1" ht="13" customFormat="1" s="230">
      <c r="A112" s="229"/>
      <c r="B112" s="229"/>
      <c r="C112" s="580"/>
      <c r="D112" s="580"/>
      <c r="E112" s="580"/>
      <c r="F112" s="580"/>
      <c r="G112" s="921"/>
      <c r="H112" s="577"/>
      <c r="I112" s="577"/>
      <c r="J112" s="229"/>
      <c r="K112" s="229"/>
      <c r="L112" s="8"/>
      <c r="M112" s="577"/>
      <c r="N112" s="578"/>
      <c r="O112" s="579"/>
      <c r="P112" s="921"/>
      <c r="Q112" s="917"/>
      <c r="R112" s="918"/>
      <c r="S112" s="918"/>
      <c r="T112" s="919"/>
      <c r="U112" s="918"/>
      <c r="V112" s="918"/>
      <c r="W112" s="918"/>
      <c r="X112" s="918"/>
      <c r="Y112" s="918"/>
      <c r="Z112" s="920"/>
      <c r="AA112" s="8"/>
      <c r="AB112" s="580"/>
      <c r="AC112" s="580"/>
      <c r="AD112" s="580"/>
      <c r="AE112" s="580"/>
      <c r="AF112" s="580"/>
      <c r="AG112" s="580"/>
      <c r="AH112" s="580"/>
      <c r="AI112" s="229"/>
      <c r="AJ112" s="579"/>
      <c r="AK112" s="577"/>
      <c r="AL112" s="8"/>
      <c r="AM112" s="577"/>
      <c r="AN112" s="577"/>
      <c r="AO112" s="577"/>
      <c r="AP112" s="577"/>
      <c r="AQ112" s="577"/>
      <c r="AR112" s="577"/>
      <c r="AS112" s="229"/>
      <c r="AT112" s="229"/>
      <c r="AU112" s="229"/>
      <c r="AV112" s="229"/>
      <c r="AW112" s="229"/>
      <c r="AX112" s="229"/>
      <c r="AY112" s="229"/>
      <c r="AZ112" s="229"/>
      <c r="BA112" s="229"/>
      <c r="BB112" s="229"/>
      <c r="BC112" s="229"/>
      <c r="BD112" s="229"/>
    </row>
    <row x14ac:dyDescent="0.25" r="113" customHeight="1" ht="13" customFormat="1" s="230">
      <c r="A113" s="229"/>
      <c r="B113" s="229"/>
      <c r="C113" s="580"/>
      <c r="D113" s="580"/>
      <c r="E113" s="580"/>
      <c r="F113" s="580"/>
      <c r="G113" s="921"/>
      <c r="H113" s="577"/>
      <c r="I113" s="577"/>
      <c r="J113" s="229"/>
      <c r="K113" s="229"/>
      <c r="L113" s="8"/>
      <c r="M113" s="577"/>
      <c r="N113" s="578"/>
      <c r="O113" s="579"/>
      <c r="P113" s="921"/>
      <c r="Q113" s="917"/>
      <c r="R113" s="918"/>
      <c r="S113" s="918"/>
      <c r="T113" s="919"/>
      <c r="U113" s="918"/>
      <c r="V113" s="918"/>
      <c r="W113" s="918"/>
      <c r="X113" s="918"/>
      <c r="Y113" s="918"/>
      <c r="Z113" s="920"/>
      <c r="AA113" s="8"/>
      <c r="AB113" s="580"/>
      <c r="AC113" s="580"/>
      <c r="AD113" s="580"/>
      <c r="AE113" s="580"/>
      <c r="AF113" s="580"/>
      <c r="AG113" s="580"/>
      <c r="AH113" s="580"/>
      <c r="AI113" s="229"/>
      <c r="AJ113" s="579"/>
      <c r="AK113" s="577"/>
      <c r="AL113" s="8"/>
      <c r="AM113" s="577"/>
      <c r="AN113" s="577"/>
      <c r="AO113" s="577"/>
      <c r="AP113" s="577"/>
      <c r="AQ113" s="577"/>
      <c r="AR113" s="577"/>
      <c r="AS113" s="229"/>
      <c r="AT113" s="229"/>
      <c r="AU113" s="229"/>
      <c r="AV113" s="229"/>
      <c r="AW113" s="229"/>
      <c r="AX113" s="229"/>
      <c r="AY113" s="229"/>
      <c r="AZ113" s="229"/>
      <c r="BA113" s="229"/>
      <c r="BB113" s="229"/>
      <c r="BC113" s="229"/>
      <c r="BD113" s="229"/>
    </row>
    <row x14ac:dyDescent="0.25" r="114" customHeight="1" ht="13" customFormat="1" s="230">
      <c r="A114" s="229"/>
      <c r="B114" s="229"/>
      <c r="C114" s="580"/>
      <c r="D114" s="580"/>
      <c r="E114" s="580"/>
      <c r="F114" s="580"/>
      <c r="G114" s="921"/>
      <c r="H114" s="577"/>
      <c r="I114" s="577"/>
      <c r="J114" s="229"/>
      <c r="K114" s="229"/>
      <c r="L114" s="8"/>
      <c r="M114" s="577"/>
      <c r="N114" s="578"/>
      <c r="O114" s="579"/>
      <c r="P114" s="921"/>
      <c r="Q114" s="917"/>
      <c r="R114" s="918"/>
      <c r="S114" s="918"/>
      <c r="T114" s="919"/>
      <c r="U114" s="918"/>
      <c r="V114" s="918"/>
      <c r="W114" s="918"/>
      <c r="X114" s="918"/>
      <c r="Y114" s="918"/>
      <c r="Z114" s="920"/>
      <c r="AA114" s="8"/>
      <c r="AB114" s="580"/>
      <c r="AC114" s="580"/>
      <c r="AD114" s="580"/>
      <c r="AE114" s="580"/>
      <c r="AF114" s="580"/>
      <c r="AG114" s="580"/>
      <c r="AH114" s="580"/>
      <c r="AI114" s="229"/>
      <c r="AJ114" s="579"/>
      <c r="AK114" s="577"/>
      <c r="AL114" s="8"/>
      <c r="AM114" s="577"/>
      <c r="AN114" s="577"/>
      <c r="AO114" s="577"/>
      <c r="AP114" s="577"/>
      <c r="AQ114" s="577"/>
      <c r="AR114" s="577"/>
      <c r="AS114" s="229"/>
      <c r="AT114" s="229"/>
      <c r="AU114" s="229"/>
      <c r="AV114" s="229"/>
      <c r="AW114" s="229"/>
      <c r="AX114" s="229"/>
      <c r="AY114" s="229"/>
      <c r="AZ114" s="229"/>
      <c r="BA114" s="229"/>
      <c r="BB114" s="229"/>
      <c r="BC114" s="229"/>
      <c r="BD114" s="229"/>
    </row>
    <row x14ac:dyDescent="0.25" r="115" customHeight="1" ht="13" customFormat="1" s="230">
      <c r="A115" s="229"/>
      <c r="B115" s="229"/>
      <c r="C115" s="580"/>
      <c r="D115" s="580"/>
      <c r="E115" s="580"/>
      <c r="F115" s="580"/>
      <c r="G115" s="921"/>
      <c r="H115" s="577"/>
      <c r="I115" s="577"/>
      <c r="J115" s="229"/>
      <c r="K115" s="229"/>
      <c r="L115" s="8"/>
      <c r="M115" s="577"/>
      <c r="N115" s="578"/>
      <c r="O115" s="579"/>
      <c r="P115" s="921"/>
      <c r="Q115" s="917"/>
      <c r="R115" s="918"/>
      <c r="S115" s="918"/>
      <c r="T115" s="919"/>
      <c r="U115" s="918"/>
      <c r="V115" s="918"/>
      <c r="W115" s="918"/>
      <c r="X115" s="918"/>
      <c r="Y115" s="918"/>
      <c r="Z115" s="920"/>
      <c r="AA115" s="8"/>
      <c r="AB115" s="580"/>
      <c r="AC115" s="580"/>
      <c r="AD115" s="580"/>
      <c r="AE115" s="580"/>
      <c r="AF115" s="580"/>
      <c r="AG115" s="580"/>
      <c r="AH115" s="580"/>
      <c r="AI115" s="229"/>
      <c r="AJ115" s="579"/>
      <c r="AK115" s="577"/>
      <c r="AL115" s="8"/>
      <c r="AM115" s="577"/>
      <c r="AN115" s="577"/>
      <c r="AO115" s="577"/>
      <c r="AP115" s="577"/>
      <c r="AQ115" s="577"/>
      <c r="AR115" s="577"/>
      <c r="AS115" s="229"/>
      <c r="AT115" s="229"/>
      <c r="AU115" s="229"/>
      <c r="AV115" s="229"/>
      <c r="AW115" s="229"/>
      <c r="AX115" s="229"/>
      <c r="AY115" s="229"/>
      <c r="AZ115" s="229"/>
      <c r="BA115" s="229"/>
      <c r="BB115" s="229"/>
      <c r="BC115" s="229"/>
      <c r="BD115" s="229"/>
    </row>
    <row x14ac:dyDescent="0.25" r="116" customHeight="1" ht="13" customFormat="1" s="230">
      <c r="A116" s="229"/>
      <c r="B116" s="229"/>
      <c r="C116" s="580"/>
      <c r="D116" s="580"/>
      <c r="E116" s="580"/>
      <c r="F116" s="580"/>
      <c r="G116" s="921"/>
      <c r="H116" s="577"/>
      <c r="I116" s="577"/>
      <c r="J116" s="229"/>
      <c r="K116" s="229"/>
      <c r="L116" s="8"/>
      <c r="M116" s="577"/>
      <c r="N116" s="578"/>
      <c r="O116" s="579"/>
      <c r="P116" s="921"/>
      <c r="Q116" s="917"/>
      <c r="R116" s="918"/>
      <c r="S116" s="918"/>
      <c r="T116" s="919"/>
      <c r="U116" s="918"/>
      <c r="V116" s="918"/>
      <c r="W116" s="918"/>
      <c r="X116" s="918"/>
      <c r="Y116" s="918"/>
      <c r="Z116" s="920"/>
      <c r="AA116" s="8"/>
      <c r="AB116" s="580"/>
      <c r="AC116" s="580"/>
      <c r="AD116" s="580"/>
      <c r="AE116" s="580"/>
      <c r="AF116" s="580"/>
      <c r="AG116" s="580"/>
      <c r="AH116" s="580"/>
      <c r="AI116" s="229"/>
      <c r="AJ116" s="579"/>
      <c r="AK116" s="577"/>
      <c r="AL116" s="8"/>
      <c r="AM116" s="577"/>
      <c r="AN116" s="577"/>
      <c r="AO116" s="577"/>
      <c r="AP116" s="577"/>
      <c r="AQ116" s="577"/>
      <c r="AR116" s="577"/>
      <c r="AS116" s="229"/>
      <c r="AT116" s="229"/>
      <c r="AU116" s="229"/>
      <c r="AV116" s="229"/>
      <c r="AW116" s="229"/>
      <c r="AX116" s="229"/>
      <c r="AY116" s="229"/>
      <c r="AZ116" s="229"/>
      <c r="BA116" s="229"/>
      <c r="BB116" s="229"/>
      <c r="BC116" s="229"/>
      <c r="BD116" s="229"/>
    </row>
    <row x14ac:dyDescent="0.25" r="117" customHeight="1" ht="13" customFormat="1" s="230">
      <c r="A117" s="229"/>
      <c r="B117" s="229"/>
      <c r="C117" s="580"/>
      <c r="D117" s="580"/>
      <c r="E117" s="580"/>
      <c r="F117" s="580"/>
      <c r="G117" s="921"/>
      <c r="H117" s="577"/>
      <c r="I117" s="577"/>
      <c r="J117" s="229"/>
      <c r="K117" s="229"/>
      <c r="L117" s="8"/>
      <c r="M117" s="577"/>
      <c r="N117" s="578"/>
      <c r="O117" s="579"/>
      <c r="P117" s="921"/>
      <c r="Q117" s="917"/>
      <c r="R117" s="918"/>
      <c r="S117" s="918"/>
      <c r="T117" s="919"/>
      <c r="U117" s="918"/>
      <c r="V117" s="918"/>
      <c r="W117" s="918"/>
      <c r="X117" s="918"/>
      <c r="Y117" s="918"/>
      <c r="Z117" s="920"/>
      <c r="AA117" s="8"/>
      <c r="AB117" s="580"/>
      <c r="AC117" s="580"/>
      <c r="AD117" s="580"/>
      <c r="AE117" s="580"/>
      <c r="AF117" s="580"/>
      <c r="AG117" s="580"/>
      <c r="AH117" s="580"/>
      <c r="AI117" s="229"/>
      <c r="AJ117" s="579"/>
      <c r="AK117" s="577"/>
      <c r="AL117" s="8"/>
      <c r="AM117" s="577"/>
      <c r="AN117" s="577"/>
      <c r="AO117" s="577"/>
      <c r="AP117" s="577"/>
      <c r="AQ117" s="577"/>
      <c r="AR117" s="577"/>
      <c r="AS117" s="229"/>
      <c r="AT117" s="229"/>
      <c r="AU117" s="229"/>
      <c r="AV117" s="229"/>
      <c r="AW117" s="229"/>
      <c r="AX117" s="229"/>
      <c r="AY117" s="229"/>
      <c r="AZ117" s="229"/>
      <c r="BA117" s="229"/>
      <c r="BB117" s="229"/>
      <c r="BC117" s="229"/>
      <c r="BD117" s="229"/>
    </row>
    <row x14ac:dyDescent="0.25" r="118" customHeight="1" ht="13" customFormat="1" s="230">
      <c r="A118" s="229"/>
      <c r="B118" s="229"/>
      <c r="C118" s="580"/>
      <c r="D118" s="580"/>
      <c r="E118" s="580"/>
      <c r="F118" s="580"/>
      <c r="G118" s="921"/>
      <c r="H118" s="577"/>
      <c r="I118" s="577"/>
      <c r="J118" s="229"/>
      <c r="K118" s="229"/>
      <c r="L118" s="8"/>
      <c r="M118" s="577"/>
      <c r="N118" s="578"/>
      <c r="O118" s="579"/>
      <c r="P118" s="921"/>
      <c r="Q118" s="917"/>
      <c r="R118" s="918"/>
      <c r="S118" s="918"/>
      <c r="T118" s="919"/>
      <c r="U118" s="918"/>
      <c r="V118" s="918"/>
      <c r="W118" s="918"/>
      <c r="X118" s="918"/>
      <c r="Y118" s="918"/>
      <c r="Z118" s="920"/>
      <c r="AA118" s="8"/>
      <c r="AB118" s="580"/>
      <c r="AC118" s="580"/>
      <c r="AD118" s="580"/>
      <c r="AE118" s="580"/>
      <c r="AF118" s="580"/>
      <c r="AG118" s="580"/>
      <c r="AH118" s="580"/>
      <c r="AI118" s="229"/>
      <c r="AJ118" s="579"/>
      <c r="AK118" s="577"/>
      <c r="AL118" s="8"/>
      <c r="AM118" s="577"/>
      <c r="AN118" s="577"/>
      <c r="AO118" s="577"/>
      <c r="AP118" s="577"/>
      <c r="AQ118" s="577"/>
      <c r="AR118" s="577"/>
      <c r="AS118" s="229"/>
      <c r="AT118" s="229"/>
      <c r="AU118" s="229"/>
      <c r="AV118" s="229"/>
      <c r="AW118" s="229"/>
      <c r="AX118" s="229"/>
      <c r="AY118" s="229"/>
      <c r="AZ118" s="229"/>
      <c r="BA118" s="229"/>
      <c r="BB118" s="229"/>
      <c r="BC118" s="229"/>
      <c r="BD118" s="229"/>
    </row>
    <row x14ac:dyDescent="0.25" r="119" customHeight="1" ht="13" customFormat="1" s="230">
      <c r="A119" s="229"/>
      <c r="B119" s="229"/>
      <c r="C119" s="580"/>
      <c r="D119" s="580"/>
      <c r="E119" s="580"/>
      <c r="F119" s="580"/>
      <c r="G119" s="921"/>
      <c r="H119" s="577"/>
      <c r="I119" s="577"/>
      <c r="J119" s="229"/>
      <c r="K119" s="229"/>
      <c r="L119" s="8"/>
      <c r="M119" s="577"/>
      <c r="N119" s="578"/>
      <c r="O119" s="579"/>
      <c r="P119" s="921"/>
      <c r="Q119" s="917"/>
      <c r="R119" s="918"/>
      <c r="S119" s="918"/>
      <c r="T119" s="919"/>
      <c r="U119" s="918"/>
      <c r="V119" s="918"/>
      <c r="W119" s="918"/>
      <c r="X119" s="918"/>
      <c r="Y119" s="918"/>
      <c r="Z119" s="920"/>
      <c r="AA119" s="8"/>
      <c r="AB119" s="580"/>
      <c r="AC119" s="580"/>
      <c r="AD119" s="580"/>
      <c r="AE119" s="580"/>
      <c r="AF119" s="580"/>
      <c r="AG119" s="580"/>
      <c r="AH119" s="580"/>
      <c r="AI119" s="229"/>
      <c r="AJ119" s="579"/>
      <c r="AK119" s="577"/>
      <c r="AL119" s="8"/>
      <c r="AM119" s="577"/>
      <c r="AN119" s="577"/>
      <c r="AO119" s="577"/>
      <c r="AP119" s="577"/>
      <c r="AQ119" s="577"/>
      <c r="AR119" s="577"/>
      <c r="AS119" s="229"/>
      <c r="AT119" s="229"/>
      <c r="AU119" s="229"/>
      <c r="AV119" s="229"/>
      <c r="AW119" s="229"/>
      <c r="AX119" s="229"/>
      <c r="AY119" s="229"/>
      <c r="AZ119" s="229"/>
      <c r="BA119" s="229"/>
      <c r="BB119" s="229"/>
      <c r="BC119" s="229"/>
      <c r="BD119" s="229"/>
    </row>
    <row x14ac:dyDescent="0.25" r="120" customHeight="1" ht="13" customFormat="1" s="230">
      <c r="A120" s="229"/>
      <c r="B120" s="229"/>
      <c r="C120" s="580"/>
      <c r="D120" s="580"/>
      <c r="E120" s="580"/>
      <c r="F120" s="580"/>
      <c r="G120" s="921"/>
      <c r="H120" s="577"/>
      <c r="I120" s="577"/>
      <c r="J120" s="229"/>
      <c r="K120" s="229"/>
      <c r="L120" s="8"/>
      <c r="M120" s="577"/>
      <c r="N120" s="578"/>
      <c r="O120" s="579"/>
      <c r="P120" s="921"/>
      <c r="Q120" s="917"/>
      <c r="R120" s="918"/>
      <c r="S120" s="918"/>
      <c r="T120" s="919"/>
      <c r="U120" s="918"/>
      <c r="V120" s="918"/>
      <c r="W120" s="918"/>
      <c r="X120" s="918"/>
      <c r="Y120" s="918"/>
      <c r="Z120" s="920"/>
      <c r="AA120" s="8"/>
      <c r="AB120" s="580"/>
      <c r="AC120" s="580"/>
      <c r="AD120" s="580"/>
      <c r="AE120" s="580"/>
      <c r="AF120" s="580"/>
      <c r="AG120" s="580"/>
      <c r="AH120" s="580"/>
      <c r="AI120" s="229"/>
      <c r="AJ120" s="579"/>
      <c r="AK120" s="577"/>
      <c r="AL120" s="8"/>
      <c r="AM120" s="577"/>
      <c r="AN120" s="577"/>
      <c r="AO120" s="577"/>
      <c r="AP120" s="577"/>
      <c r="AQ120" s="577"/>
      <c r="AR120" s="577"/>
      <c r="AS120" s="229"/>
      <c r="AT120" s="229"/>
      <c r="AU120" s="229"/>
      <c r="AV120" s="229"/>
      <c r="AW120" s="229"/>
      <c r="AX120" s="229"/>
      <c r="AY120" s="229"/>
      <c r="AZ120" s="229"/>
      <c r="BA120" s="229"/>
      <c r="BB120" s="229"/>
      <c r="BC120" s="229"/>
      <c r="BD120" s="229"/>
    </row>
    <row x14ac:dyDescent="0.25" r="121" customHeight="1" ht="13" customFormat="1" s="230">
      <c r="A121" s="229"/>
      <c r="B121" s="229"/>
      <c r="C121" s="580"/>
      <c r="D121" s="580"/>
      <c r="E121" s="580"/>
      <c r="F121" s="580"/>
      <c r="G121" s="921"/>
      <c r="H121" s="577"/>
      <c r="I121" s="577"/>
      <c r="J121" s="229"/>
      <c r="K121" s="229"/>
      <c r="L121" s="8"/>
      <c r="M121" s="577"/>
      <c r="N121" s="578"/>
      <c r="O121" s="579"/>
      <c r="P121" s="921"/>
      <c r="Q121" s="917"/>
      <c r="R121" s="918"/>
      <c r="S121" s="918"/>
      <c r="T121" s="919"/>
      <c r="U121" s="918"/>
      <c r="V121" s="918"/>
      <c r="W121" s="918"/>
      <c r="X121" s="918"/>
      <c r="Y121" s="918"/>
      <c r="Z121" s="920"/>
      <c r="AA121" s="8"/>
      <c r="AB121" s="580"/>
      <c r="AC121" s="580"/>
      <c r="AD121" s="580"/>
      <c r="AE121" s="580"/>
      <c r="AF121" s="580"/>
      <c r="AG121" s="580"/>
      <c r="AH121" s="580"/>
      <c r="AI121" s="229"/>
      <c r="AJ121" s="579"/>
      <c r="AK121" s="577"/>
      <c r="AL121" s="8"/>
      <c r="AM121" s="577"/>
      <c r="AN121" s="577"/>
      <c r="AO121" s="577"/>
      <c r="AP121" s="577"/>
      <c r="AQ121" s="577"/>
      <c r="AR121" s="577"/>
      <c r="AS121" s="229"/>
      <c r="AT121" s="229"/>
      <c r="AU121" s="229"/>
      <c r="AV121" s="229"/>
      <c r="AW121" s="229"/>
      <c r="AX121" s="229"/>
      <c r="AY121" s="229"/>
      <c r="AZ121" s="229"/>
      <c r="BA121" s="229"/>
      <c r="BB121" s="229"/>
      <c r="BC121" s="229"/>
      <c r="BD121" s="229"/>
    </row>
    <row x14ac:dyDescent="0.25" r="122" customHeight="1" ht="13" customFormat="1" s="230">
      <c r="A122" s="229"/>
      <c r="B122" s="229"/>
      <c r="C122" s="580"/>
      <c r="D122" s="580"/>
      <c r="E122" s="580"/>
      <c r="F122" s="580"/>
      <c r="G122" s="921"/>
      <c r="H122" s="577"/>
      <c r="I122" s="577"/>
      <c r="J122" s="229"/>
      <c r="K122" s="229"/>
      <c r="L122" s="8"/>
      <c r="M122" s="577"/>
      <c r="N122" s="578"/>
      <c r="O122" s="579"/>
      <c r="P122" s="921"/>
      <c r="Q122" s="917"/>
      <c r="R122" s="918"/>
      <c r="S122" s="918"/>
      <c r="T122" s="919"/>
      <c r="U122" s="918"/>
      <c r="V122" s="918"/>
      <c r="W122" s="918"/>
      <c r="X122" s="918"/>
      <c r="Y122" s="918"/>
      <c r="Z122" s="920"/>
      <c r="AA122" s="8"/>
      <c r="AB122" s="580"/>
      <c r="AC122" s="580"/>
      <c r="AD122" s="580"/>
      <c r="AE122" s="580"/>
      <c r="AF122" s="580"/>
      <c r="AG122" s="580"/>
      <c r="AH122" s="580"/>
      <c r="AI122" s="229"/>
      <c r="AJ122" s="579"/>
      <c r="AK122" s="577"/>
      <c r="AL122" s="8"/>
      <c r="AM122" s="577"/>
      <c r="AN122" s="577"/>
      <c r="AO122" s="577"/>
      <c r="AP122" s="577"/>
      <c r="AQ122" s="577"/>
      <c r="AR122" s="577"/>
      <c r="AS122" s="229"/>
      <c r="AT122" s="229"/>
      <c r="AU122" s="229"/>
      <c r="AV122" s="229"/>
      <c r="AW122" s="229"/>
      <c r="AX122" s="229"/>
      <c r="AY122" s="229"/>
      <c r="AZ122" s="229"/>
      <c r="BA122" s="229"/>
      <c r="BB122" s="229"/>
      <c r="BC122" s="229"/>
      <c r="BD122" s="229"/>
    </row>
    <row x14ac:dyDescent="0.25" r="123" customHeight="1" ht="13" customFormat="1" s="230">
      <c r="A123" s="229"/>
      <c r="B123" s="229"/>
      <c r="C123" s="580"/>
      <c r="D123" s="580"/>
      <c r="E123" s="580"/>
      <c r="F123" s="580"/>
      <c r="G123" s="921"/>
      <c r="H123" s="577"/>
      <c r="I123" s="577"/>
      <c r="J123" s="229"/>
      <c r="K123" s="229"/>
      <c r="L123" s="8"/>
      <c r="M123" s="577"/>
      <c r="N123" s="578"/>
      <c r="O123" s="579"/>
      <c r="P123" s="921"/>
      <c r="Q123" s="917"/>
      <c r="R123" s="918"/>
      <c r="S123" s="918"/>
      <c r="T123" s="919"/>
      <c r="U123" s="918"/>
      <c r="V123" s="918"/>
      <c r="W123" s="918"/>
      <c r="X123" s="918"/>
      <c r="Y123" s="918"/>
      <c r="Z123" s="920"/>
      <c r="AA123" s="8"/>
      <c r="AB123" s="580"/>
      <c r="AC123" s="580"/>
      <c r="AD123" s="580"/>
      <c r="AE123" s="580"/>
      <c r="AF123" s="580"/>
      <c r="AG123" s="580"/>
      <c r="AH123" s="580"/>
      <c r="AI123" s="229"/>
      <c r="AJ123" s="579"/>
      <c r="AK123" s="577"/>
      <c r="AL123" s="8"/>
      <c r="AM123" s="577"/>
      <c r="AN123" s="577"/>
      <c r="AO123" s="577"/>
      <c r="AP123" s="577"/>
      <c r="AQ123" s="577"/>
      <c r="AR123" s="577"/>
      <c r="AS123" s="229"/>
      <c r="AT123" s="229"/>
      <c r="AU123" s="229"/>
      <c r="AV123" s="229"/>
      <c r="AW123" s="229"/>
      <c r="AX123" s="229"/>
      <c r="AY123" s="229"/>
      <c r="AZ123" s="229"/>
      <c r="BA123" s="229"/>
      <c r="BB123" s="229"/>
      <c r="BC123" s="229"/>
      <c r="BD123" s="229"/>
    </row>
    <row x14ac:dyDescent="0.25" r="124" customHeight="1" ht="13" customFormat="1" s="230">
      <c r="A124" s="229"/>
      <c r="B124" s="229"/>
      <c r="C124" s="580"/>
      <c r="D124" s="580"/>
      <c r="E124" s="580"/>
      <c r="F124" s="580"/>
      <c r="G124" s="921"/>
      <c r="H124" s="577"/>
      <c r="I124" s="577"/>
      <c r="J124" s="229"/>
      <c r="K124" s="229"/>
      <c r="L124" s="8"/>
      <c r="M124" s="577"/>
      <c r="N124" s="578"/>
      <c r="O124" s="579"/>
      <c r="P124" s="921"/>
      <c r="Q124" s="917"/>
      <c r="R124" s="918"/>
      <c r="S124" s="918"/>
      <c r="T124" s="919"/>
      <c r="U124" s="918"/>
      <c r="V124" s="918"/>
      <c r="W124" s="918"/>
      <c r="X124" s="918"/>
      <c r="Y124" s="918"/>
      <c r="Z124" s="920"/>
      <c r="AA124" s="8"/>
      <c r="AB124" s="580"/>
      <c r="AC124" s="580"/>
      <c r="AD124" s="580"/>
      <c r="AE124" s="580"/>
      <c r="AF124" s="580"/>
      <c r="AG124" s="580"/>
      <c r="AH124" s="580"/>
      <c r="AI124" s="229"/>
      <c r="AJ124" s="579"/>
      <c r="AK124" s="577"/>
      <c r="AL124" s="8"/>
      <c r="AM124" s="577"/>
      <c r="AN124" s="577"/>
      <c r="AO124" s="577"/>
      <c r="AP124" s="577"/>
      <c r="AQ124" s="577"/>
      <c r="AR124" s="577"/>
      <c r="AS124" s="229"/>
      <c r="AT124" s="229"/>
      <c r="AU124" s="229"/>
      <c r="AV124" s="229"/>
      <c r="AW124" s="229"/>
      <c r="AX124" s="229"/>
      <c r="AY124" s="229"/>
      <c r="AZ124" s="229"/>
      <c r="BA124" s="229"/>
      <c r="BB124" s="229"/>
      <c r="BC124" s="229"/>
      <c r="BD124" s="229"/>
    </row>
    <row x14ac:dyDescent="0.25" r="125" customHeight="1" ht="13" customFormat="1" s="230">
      <c r="A125" s="229"/>
      <c r="B125" s="229"/>
      <c r="C125" s="580"/>
      <c r="D125" s="580"/>
      <c r="E125" s="580"/>
      <c r="F125" s="580"/>
      <c r="G125" s="921"/>
      <c r="H125" s="577"/>
      <c r="I125" s="577"/>
      <c r="J125" s="229"/>
      <c r="K125" s="229"/>
      <c r="L125" s="8"/>
      <c r="M125" s="577"/>
      <c r="N125" s="578"/>
      <c r="O125" s="579"/>
      <c r="P125" s="921"/>
      <c r="Q125" s="917"/>
      <c r="R125" s="918"/>
      <c r="S125" s="918"/>
      <c r="T125" s="919"/>
      <c r="U125" s="918"/>
      <c r="V125" s="918"/>
      <c r="W125" s="918"/>
      <c r="X125" s="918"/>
      <c r="Y125" s="918"/>
      <c r="Z125" s="920"/>
      <c r="AA125" s="8"/>
      <c r="AB125" s="580"/>
      <c r="AC125" s="580"/>
      <c r="AD125" s="580"/>
      <c r="AE125" s="580"/>
      <c r="AF125" s="580"/>
      <c r="AG125" s="580"/>
      <c r="AH125" s="580"/>
      <c r="AI125" s="229"/>
      <c r="AJ125" s="579"/>
      <c r="AK125" s="577"/>
      <c r="AL125" s="8"/>
      <c r="AM125" s="577"/>
      <c r="AN125" s="577"/>
      <c r="AO125" s="577"/>
      <c r="AP125" s="577"/>
      <c r="AQ125" s="577"/>
      <c r="AR125" s="577"/>
      <c r="AS125" s="229"/>
      <c r="AT125" s="229"/>
      <c r="AU125" s="229"/>
      <c r="AV125" s="229"/>
      <c r="AW125" s="229"/>
      <c r="AX125" s="229"/>
      <c r="AY125" s="229"/>
      <c r="AZ125" s="229"/>
      <c r="BA125" s="229"/>
      <c r="BB125" s="229"/>
      <c r="BC125" s="229"/>
      <c r="BD125" s="229"/>
    </row>
    <row x14ac:dyDescent="0.25" r="126" customHeight="1" ht="13" customFormat="1" s="230">
      <c r="A126" s="229"/>
      <c r="B126" s="229"/>
      <c r="C126" s="580"/>
      <c r="D126" s="580"/>
      <c r="E126" s="580"/>
      <c r="F126" s="580"/>
      <c r="G126" s="921"/>
      <c r="H126" s="577"/>
      <c r="I126" s="577"/>
      <c r="J126" s="229"/>
      <c r="K126" s="229"/>
      <c r="L126" s="8"/>
      <c r="M126" s="577"/>
      <c r="N126" s="578"/>
      <c r="O126" s="579"/>
      <c r="P126" s="921"/>
      <c r="Q126" s="917"/>
      <c r="R126" s="918"/>
      <c r="S126" s="918"/>
      <c r="T126" s="919"/>
      <c r="U126" s="918"/>
      <c r="V126" s="918"/>
      <c r="W126" s="918"/>
      <c r="X126" s="918"/>
      <c r="Y126" s="918"/>
      <c r="Z126" s="920"/>
      <c r="AA126" s="8"/>
      <c r="AB126" s="580"/>
      <c r="AC126" s="580"/>
      <c r="AD126" s="580"/>
      <c r="AE126" s="580"/>
      <c r="AF126" s="580"/>
      <c r="AG126" s="580"/>
      <c r="AH126" s="580"/>
      <c r="AI126" s="229"/>
      <c r="AJ126" s="579"/>
      <c r="AK126" s="577"/>
      <c r="AL126" s="8"/>
      <c r="AM126" s="577"/>
      <c r="AN126" s="577"/>
      <c r="AO126" s="577"/>
      <c r="AP126" s="577"/>
      <c r="AQ126" s="577"/>
      <c r="AR126" s="577"/>
      <c r="AS126" s="229"/>
      <c r="AT126" s="229"/>
      <c r="AU126" s="229"/>
      <c r="AV126" s="229"/>
      <c r="AW126" s="229"/>
      <c r="AX126" s="229"/>
      <c r="AY126" s="229"/>
      <c r="AZ126" s="229"/>
      <c r="BA126" s="229"/>
      <c r="BB126" s="229"/>
      <c r="BC126" s="229"/>
      <c r="BD126" s="229"/>
    </row>
    <row x14ac:dyDescent="0.25" r="127" customHeight="1" ht="13" customFormat="1" s="230">
      <c r="A127" s="229"/>
      <c r="B127" s="229"/>
      <c r="C127" s="580"/>
      <c r="D127" s="580"/>
      <c r="E127" s="580"/>
      <c r="F127" s="580"/>
      <c r="G127" s="921"/>
      <c r="H127" s="577"/>
      <c r="I127" s="577"/>
      <c r="J127" s="229"/>
      <c r="K127" s="229"/>
      <c r="L127" s="8"/>
      <c r="M127" s="577"/>
      <c r="N127" s="578"/>
      <c r="O127" s="579"/>
      <c r="P127" s="921"/>
      <c r="Q127" s="917"/>
      <c r="R127" s="918"/>
      <c r="S127" s="918"/>
      <c r="T127" s="919"/>
      <c r="U127" s="918"/>
      <c r="V127" s="918"/>
      <c r="W127" s="918"/>
      <c r="X127" s="918"/>
      <c r="Y127" s="918"/>
      <c r="Z127" s="920"/>
      <c r="AA127" s="8"/>
      <c r="AB127" s="580"/>
      <c r="AC127" s="580"/>
      <c r="AD127" s="580"/>
      <c r="AE127" s="580"/>
      <c r="AF127" s="580"/>
      <c r="AG127" s="580"/>
      <c r="AH127" s="580"/>
      <c r="AI127" s="229"/>
      <c r="AJ127" s="579"/>
      <c r="AK127" s="577"/>
      <c r="AL127" s="8"/>
      <c r="AM127" s="577"/>
      <c r="AN127" s="577"/>
      <c r="AO127" s="577"/>
      <c r="AP127" s="577"/>
      <c r="AQ127" s="577"/>
      <c r="AR127" s="577"/>
      <c r="AS127" s="229"/>
      <c r="AT127" s="229"/>
      <c r="AU127" s="229"/>
      <c r="AV127" s="229"/>
      <c r="AW127" s="229"/>
      <c r="AX127" s="229"/>
      <c r="AY127" s="229"/>
      <c r="AZ127" s="229"/>
      <c r="BA127" s="229"/>
      <c r="BB127" s="229"/>
      <c r="BC127" s="229"/>
      <c r="BD127" s="229"/>
    </row>
    <row x14ac:dyDescent="0.25" r="128" customHeight="1" ht="13" customFormat="1" s="230">
      <c r="A128" s="229"/>
      <c r="B128" s="229"/>
      <c r="C128" s="580"/>
      <c r="D128" s="580"/>
      <c r="E128" s="580"/>
      <c r="F128" s="580"/>
      <c r="G128" s="921"/>
      <c r="H128" s="577"/>
      <c r="I128" s="577"/>
      <c r="J128" s="229"/>
      <c r="K128" s="229"/>
      <c r="L128" s="8"/>
      <c r="M128" s="577"/>
      <c r="N128" s="578"/>
      <c r="O128" s="579"/>
      <c r="P128" s="921"/>
      <c r="Q128" s="922"/>
      <c r="R128" s="923"/>
      <c r="S128" s="923"/>
      <c r="T128" s="924"/>
      <c r="U128" s="923"/>
      <c r="V128" s="923"/>
      <c r="W128" s="923"/>
      <c r="X128" s="923"/>
      <c r="Y128" s="923"/>
      <c r="Z128" s="925"/>
      <c r="AA128" s="8"/>
      <c r="AB128" s="580"/>
      <c r="AC128" s="580"/>
      <c r="AD128" s="580"/>
      <c r="AE128" s="580"/>
      <c r="AF128" s="580"/>
      <c r="AG128" s="580"/>
      <c r="AH128" s="580"/>
      <c r="AI128" s="229"/>
      <c r="AJ128" s="579"/>
      <c r="AK128" s="577"/>
      <c r="AL128" s="8"/>
      <c r="AM128" s="577"/>
      <c r="AN128" s="577"/>
      <c r="AO128" s="577"/>
      <c r="AP128" s="577"/>
      <c r="AQ128" s="577"/>
      <c r="AR128" s="577"/>
      <c r="AS128" s="229"/>
      <c r="AT128" s="229"/>
      <c r="AU128" s="229"/>
      <c r="AV128" s="229"/>
      <c r="AW128" s="229"/>
      <c r="AX128" s="229"/>
      <c r="AY128" s="229"/>
      <c r="AZ128" s="229"/>
      <c r="BA128" s="229"/>
      <c r="BB128" s="229"/>
      <c r="BC128" s="229"/>
      <c r="BD128" s="229"/>
    </row>
    <row x14ac:dyDescent="0.25" r="129" customHeight="1" ht="17.25">
      <c r="A129" s="227"/>
      <c r="B129" s="1"/>
      <c r="C129" s="5"/>
      <c r="D129" s="5"/>
      <c r="E129" s="5"/>
      <c r="F129" s="5"/>
      <c r="G129" s="7"/>
      <c r="H129" s="3"/>
      <c r="I129" s="3"/>
      <c r="J129" s="1"/>
      <c r="K129" s="1"/>
      <c r="L129" s="2"/>
      <c r="M129" s="3"/>
      <c r="N129" s="333"/>
      <c r="O129" s="6"/>
      <c r="P129" s="7"/>
      <c r="Q129" s="3"/>
      <c r="R129" s="3"/>
      <c r="S129" s="3"/>
      <c r="T129" s="2"/>
      <c r="U129" s="3"/>
      <c r="V129" s="3"/>
      <c r="W129" s="3"/>
      <c r="X129" s="3"/>
      <c r="Y129" s="3"/>
      <c r="Z129" s="3"/>
      <c r="AA129" s="2"/>
      <c r="AB129" s="5"/>
      <c r="AC129" s="5"/>
      <c r="AD129" s="5"/>
      <c r="AE129" s="5"/>
      <c r="AF129" s="5"/>
      <c r="AG129" s="5"/>
      <c r="AH129" s="5"/>
      <c r="AI129" s="1"/>
      <c r="AJ129" s="6"/>
      <c r="AK129" s="3"/>
      <c r="AL129" s="2"/>
      <c r="AM129" s="3"/>
      <c r="AN129" s="3"/>
      <c r="AO129" s="3"/>
      <c r="AP129" s="3"/>
      <c r="AQ129" s="3"/>
      <c r="AR129" s="3"/>
      <c r="AS129" s="227"/>
      <c r="AT129" s="227"/>
      <c r="AU129" s="227"/>
      <c r="AV129" s="227"/>
      <c r="AW129" s="1"/>
      <c r="AX129" s="227"/>
      <c r="AY129" s="227"/>
      <c r="AZ129" s="1"/>
      <c r="BA129" s="227"/>
      <c r="BB129" s="227"/>
      <c r="BC129" s="227"/>
      <c r="BD129" s="1"/>
    </row>
    <row x14ac:dyDescent="0.25" r="130" customHeight="1" ht="17.25">
      <c r="A130" s="227"/>
      <c r="B130" s="1"/>
      <c r="C130" s="5"/>
      <c r="D130" s="5"/>
      <c r="E130" s="5"/>
      <c r="F130" s="5"/>
      <c r="G130" s="7"/>
      <c r="H130" s="3"/>
      <c r="I130" s="3"/>
      <c r="J130" s="1"/>
      <c r="K130" s="1"/>
      <c r="L130" s="2"/>
      <c r="M130" s="3"/>
      <c r="N130" s="333"/>
      <c r="O130" s="6"/>
      <c r="P130" s="7"/>
      <c r="Q130" s="3"/>
      <c r="R130" s="3"/>
      <c r="S130" s="3"/>
      <c r="T130" s="2"/>
      <c r="U130" s="3"/>
      <c r="V130" s="3"/>
      <c r="W130" s="3"/>
      <c r="X130" s="3"/>
      <c r="Y130" s="3"/>
      <c r="Z130" s="3"/>
      <c r="AA130" s="2"/>
      <c r="AB130" s="5"/>
      <c r="AC130" s="5"/>
      <c r="AD130" s="5"/>
      <c r="AE130" s="5"/>
      <c r="AF130" s="5"/>
      <c r="AG130" s="5"/>
      <c r="AH130" s="5"/>
      <c r="AI130" s="1"/>
      <c r="AJ130" s="6"/>
      <c r="AK130" s="3"/>
      <c r="AL130" s="2"/>
      <c r="AM130" s="3"/>
      <c r="AN130" s="3"/>
      <c r="AO130" s="3"/>
      <c r="AP130" s="3"/>
      <c r="AQ130" s="3"/>
      <c r="AR130" s="3"/>
      <c r="AS130" s="227"/>
      <c r="AT130" s="227"/>
      <c r="AU130" s="227"/>
      <c r="AV130" s="227"/>
      <c r="AW130" s="1"/>
      <c r="AX130" s="227"/>
      <c r="AY130" s="227"/>
      <c r="AZ130" s="1"/>
      <c r="BA130" s="227"/>
      <c r="BB130" s="227"/>
      <c r="BC130" s="227"/>
      <c r="BD130" s="1"/>
    </row>
    <row x14ac:dyDescent="0.25" r="131" customHeight="1" ht="18" customFormat="1" s="230" hidden="1">
      <c r="A131" s="229"/>
      <c r="B131" s="229"/>
      <c r="C131" s="580"/>
      <c r="D131" s="580"/>
      <c r="E131" s="580"/>
      <c r="F131" s="580"/>
      <c r="G131" s="921"/>
      <c r="H131" s="926" t="s">
        <v>353</v>
      </c>
      <c r="I131" s="927"/>
      <c r="J131" s="928"/>
      <c r="K131" s="928"/>
      <c r="L131" s="929"/>
      <c r="M131" s="927"/>
      <c r="N131" s="930"/>
      <c r="O131" s="931"/>
      <c r="P131" s="921"/>
      <c r="Q131" s="577"/>
      <c r="R131" s="577"/>
      <c r="S131" s="577"/>
      <c r="T131" s="8"/>
      <c r="U131" s="577"/>
      <c r="V131" s="577"/>
      <c r="W131" s="577"/>
      <c r="X131" s="577"/>
      <c r="Y131" s="577"/>
      <c r="Z131" s="577"/>
      <c r="AA131" s="8"/>
      <c r="AB131" s="580"/>
      <c r="AC131" s="580"/>
      <c r="AD131" s="580"/>
      <c r="AE131" s="580"/>
      <c r="AF131" s="580"/>
      <c r="AG131" s="580"/>
      <c r="AH131" s="580"/>
      <c r="AI131" s="229"/>
      <c r="AJ131" s="579"/>
      <c r="AK131" s="577"/>
      <c r="AL131" s="8"/>
      <c r="AM131" s="577"/>
      <c r="AN131" s="577"/>
      <c r="AO131" s="577"/>
      <c r="AP131" s="577"/>
      <c r="AQ131" s="577"/>
      <c r="AR131" s="577"/>
      <c r="AS131" s="229"/>
      <c r="AT131" s="229"/>
      <c r="AU131" s="229"/>
      <c r="AV131" s="229"/>
      <c r="AW131" s="229"/>
      <c r="AX131" s="229"/>
      <c r="AY131" s="229"/>
      <c r="AZ131" s="229"/>
      <c r="BA131" s="229"/>
      <c r="BB131" s="229"/>
      <c r="BC131" s="229"/>
      <c r="BD131" s="229"/>
    </row>
    <row x14ac:dyDescent="0.25" r="132" customHeight="1" ht="18" customFormat="1" s="230" hidden="1">
      <c r="A132" s="229"/>
      <c r="B132" s="229"/>
      <c r="C132" s="580"/>
      <c r="D132" s="580"/>
      <c r="E132" s="580"/>
      <c r="F132" s="580"/>
      <c r="G132" s="921"/>
      <c r="H132" s="932"/>
      <c r="I132" s="933"/>
      <c r="J132" s="934"/>
      <c r="K132" s="934"/>
      <c r="L132" s="935"/>
      <c r="M132" s="933"/>
      <c r="N132" s="936"/>
      <c r="O132" s="937"/>
      <c r="P132" s="921"/>
      <c r="Q132" s="577"/>
      <c r="R132" s="577"/>
      <c r="S132" s="577"/>
      <c r="T132" s="8"/>
      <c r="U132" s="577"/>
      <c r="V132" s="577"/>
      <c r="W132" s="577"/>
      <c r="X132" s="577"/>
      <c r="Y132" s="577"/>
      <c r="Z132" s="577"/>
      <c r="AA132" s="8"/>
      <c r="AB132" s="580"/>
      <c r="AC132" s="580"/>
      <c r="AD132" s="580"/>
      <c r="AE132" s="580"/>
      <c r="AF132" s="580"/>
      <c r="AG132" s="580"/>
      <c r="AH132" s="580"/>
      <c r="AI132" s="229"/>
      <c r="AJ132" s="579"/>
      <c r="AK132" s="577"/>
      <c r="AL132" s="8"/>
      <c r="AM132" s="577"/>
      <c r="AN132" s="577"/>
      <c r="AO132" s="577"/>
      <c r="AP132" s="577"/>
      <c r="AQ132" s="577"/>
      <c r="AR132" s="577"/>
      <c r="AS132" s="229"/>
      <c r="AT132" s="229"/>
      <c r="AU132" s="229"/>
      <c r="AV132" s="229"/>
      <c r="AW132" s="229"/>
      <c r="AX132" s="229"/>
      <c r="AY132" s="229"/>
      <c r="AZ132" s="229"/>
      <c r="BA132" s="229"/>
      <c r="BB132" s="229"/>
      <c r="BC132" s="229"/>
      <c r="BD132" s="229"/>
    </row>
    <row x14ac:dyDescent="0.25" r="133" customHeight="1" ht="18" hidden="1">
      <c r="A133" s="227"/>
      <c r="B133" s="1"/>
      <c r="C133" s="5"/>
      <c r="D133" s="5"/>
      <c r="E133" s="5"/>
      <c r="F133" s="5"/>
      <c r="G133" s="7"/>
      <c r="H133" s="938"/>
      <c r="I133" s="939" t="s">
        <v>354</v>
      </c>
      <c r="J133" s="940"/>
      <c r="K133" s="940"/>
      <c r="L133" s="941"/>
      <c r="M133" s="942"/>
      <c r="N133" s="943"/>
      <c r="O133" s="944"/>
      <c r="P133" s="7"/>
      <c r="Q133" s="3"/>
      <c r="R133" s="3"/>
      <c r="S133" s="3"/>
      <c r="T133" s="2"/>
      <c r="U133" s="3"/>
      <c r="V133" s="3"/>
      <c r="W133" s="3"/>
      <c r="X133" s="3"/>
      <c r="Y133" s="3"/>
      <c r="Z133" s="3"/>
      <c r="AA133" s="2"/>
      <c r="AB133" s="5"/>
      <c r="AC133" s="5"/>
      <c r="AD133" s="5"/>
      <c r="AE133" s="5"/>
      <c r="AF133" s="5"/>
      <c r="AG133" s="5"/>
      <c r="AH133" s="5"/>
      <c r="AI133" s="1"/>
      <c r="AJ133" s="6"/>
      <c r="AK133" s="3"/>
      <c r="AL133" s="2"/>
      <c r="AM133" s="3"/>
      <c r="AN133" s="3"/>
      <c r="AO133" s="3"/>
      <c r="AP133" s="3"/>
      <c r="AQ133" s="3"/>
      <c r="AR133" s="3"/>
      <c r="AS133" s="227"/>
      <c r="AT133" s="227"/>
      <c r="AU133" s="227"/>
      <c r="AV133" s="227"/>
      <c r="AW133" s="1"/>
      <c r="AX133" s="227"/>
      <c r="AY133" s="227"/>
      <c r="AZ133" s="1"/>
      <c r="BA133" s="227"/>
      <c r="BB133" s="227"/>
      <c r="BC133" s="227"/>
      <c r="BD133" s="1"/>
    </row>
    <row x14ac:dyDescent="0.25" r="134" customHeight="1" ht="18" hidden="1">
      <c r="A134" s="227"/>
      <c r="B134" s="1"/>
      <c r="C134" s="5"/>
      <c r="D134" s="5"/>
      <c r="E134" s="5"/>
      <c r="F134" s="5"/>
      <c r="G134" s="7"/>
      <c r="H134" s="945"/>
      <c r="I134" s="946"/>
      <c r="J134" s="947"/>
      <c r="K134" s="947"/>
      <c r="L134" s="948"/>
      <c r="M134" s="949"/>
      <c r="N134" s="950"/>
      <c r="O134" s="951"/>
      <c r="P134" s="7"/>
      <c r="Q134" s="3"/>
      <c r="R134" s="3"/>
      <c r="S134" s="3"/>
      <c r="T134" s="2"/>
      <c r="U134" s="3"/>
      <c r="V134" s="3"/>
      <c r="W134" s="3"/>
      <c r="X134" s="3"/>
      <c r="Y134" s="3"/>
      <c r="Z134" s="3"/>
      <c r="AA134" s="2"/>
      <c r="AB134" s="5"/>
      <c r="AC134" s="5"/>
      <c r="AD134" s="5"/>
      <c r="AE134" s="5"/>
      <c r="AF134" s="5"/>
      <c r="AG134" s="5"/>
      <c r="AH134" s="5"/>
      <c r="AI134" s="1"/>
      <c r="AJ134" s="6"/>
      <c r="AK134" s="3"/>
      <c r="AL134" s="2"/>
      <c r="AM134" s="3"/>
      <c r="AN134" s="3"/>
      <c r="AO134" s="3"/>
      <c r="AP134" s="3"/>
      <c r="AQ134" s="3"/>
      <c r="AR134" s="3"/>
      <c r="AS134" s="227"/>
      <c r="AT134" s="227"/>
      <c r="AU134" s="227"/>
      <c r="AV134" s="227"/>
      <c r="AW134" s="1"/>
      <c r="AX134" s="227"/>
      <c r="AY134" s="227"/>
      <c r="AZ134" s="1"/>
      <c r="BA134" s="227"/>
      <c r="BB134" s="227"/>
      <c r="BC134" s="227"/>
      <c r="BD134" s="1"/>
    </row>
    <row x14ac:dyDescent="0.25" r="135" customHeight="1" ht="18" hidden="1">
      <c r="A135" s="227"/>
      <c r="B135" s="1"/>
      <c r="C135" s="5"/>
      <c r="D135" s="5"/>
      <c r="E135" s="5"/>
      <c r="F135" s="5"/>
      <c r="G135" s="7"/>
      <c r="H135" s="952"/>
      <c r="I135" s="953" t="s">
        <v>355</v>
      </c>
      <c r="J135" s="954"/>
      <c r="K135" s="954"/>
      <c r="L135" s="955"/>
      <c r="M135" s="956"/>
      <c r="N135" s="957"/>
      <c r="O135" s="958"/>
      <c r="P135" s="7"/>
      <c r="Q135" s="3"/>
      <c r="R135" s="3"/>
      <c r="S135" s="3"/>
      <c r="T135" s="2"/>
      <c r="U135" s="3"/>
      <c r="V135" s="3"/>
      <c r="W135" s="3"/>
      <c r="X135" s="3"/>
      <c r="Y135" s="3"/>
      <c r="Z135" s="3"/>
      <c r="AA135" s="2"/>
      <c r="AB135" s="5"/>
      <c r="AC135" s="5"/>
      <c r="AD135" s="5"/>
      <c r="AE135" s="5"/>
      <c r="AF135" s="5"/>
      <c r="AG135" s="5"/>
      <c r="AH135" s="5"/>
      <c r="AI135" s="1"/>
      <c r="AJ135" s="6"/>
      <c r="AK135" s="3"/>
      <c r="AL135" s="2"/>
      <c r="AM135" s="3"/>
      <c r="AN135" s="3"/>
      <c r="AO135" s="3"/>
      <c r="AP135" s="3"/>
      <c r="AQ135" s="3"/>
      <c r="AR135" s="3"/>
      <c r="AS135" s="227"/>
      <c r="AT135" s="227"/>
      <c r="AU135" s="227"/>
      <c r="AV135" s="227"/>
      <c r="AW135" s="1"/>
      <c r="AX135" s="227"/>
      <c r="AY135" s="227"/>
      <c r="AZ135" s="1"/>
      <c r="BA135" s="227"/>
      <c r="BB135" s="227"/>
      <c r="BC135" s="227"/>
      <c r="BD135" s="1"/>
    </row>
    <row x14ac:dyDescent="0.25" r="136" customHeight="1" ht="18" customFormat="1" s="230" hidden="1">
      <c r="A136" s="229"/>
      <c r="B136" s="229"/>
      <c r="C136" s="580"/>
      <c r="D136" s="580"/>
      <c r="E136" s="580"/>
      <c r="F136" s="580"/>
      <c r="G136" s="921"/>
      <c r="H136" s="959"/>
      <c r="I136" s="946"/>
      <c r="J136" s="947"/>
      <c r="K136" s="947"/>
      <c r="L136" s="948"/>
      <c r="M136" s="949"/>
      <c r="N136" s="950"/>
      <c r="O136" s="951"/>
      <c r="P136" s="921"/>
      <c r="Q136" s="577"/>
      <c r="R136" s="577"/>
      <c r="S136" s="577"/>
      <c r="T136" s="8"/>
      <c r="U136" s="577"/>
      <c r="V136" s="577"/>
      <c r="W136" s="577"/>
      <c r="X136" s="577"/>
      <c r="Y136" s="577"/>
      <c r="Z136" s="577"/>
      <c r="AA136" s="8"/>
      <c r="AB136" s="580"/>
      <c r="AC136" s="580"/>
      <c r="AD136" s="580"/>
      <c r="AE136" s="580"/>
      <c r="AF136" s="580"/>
      <c r="AG136" s="580"/>
      <c r="AH136" s="580"/>
      <c r="AI136" s="229"/>
      <c r="AJ136" s="579"/>
      <c r="AK136" s="577"/>
      <c r="AL136" s="8"/>
      <c r="AM136" s="577"/>
      <c r="AN136" s="577"/>
      <c r="AO136" s="577"/>
      <c r="AP136" s="577"/>
      <c r="AQ136" s="577"/>
      <c r="AR136" s="577"/>
      <c r="AS136" s="229"/>
      <c r="AT136" s="229"/>
      <c r="AU136" s="229"/>
      <c r="AV136" s="229"/>
      <c r="AW136" s="229"/>
      <c r="AX136" s="229"/>
      <c r="AY136" s="229"/>
      <c r="AZ136" s="229"/>
      <c r="BA136" s="229"/>
      <c r="BB136" s="229"/>
      <c r="BC136" s="229"/>
      <c r="BD136" s="229"/>
    </row>
    <row x14ac:dyDescent="0.25" r="137" customHeight="1" ht="18" hidden="1">
      <c r="A137" s="227"/>
      <c r="B137" s="1"/>
      <c r="C137" s="5"/>
      <c r="D137" s="5"/>
      <c r="E137" s="5"/>
      <c r="F137" s="5"/>
      <c r="G137" s="7"/>
      <c r="H137" s="960"/>
      <c r="I137" s="953" t="s">
        <v>356</v>
      </c>
      <c r="J137" s="954"/>
      <c r="K137" s="954"/>
      <c r="L137" s="955"/>
      <c r="M137" s="956"/>
      <c r="N137" s="957"/>
      <c r="O137" s="958"/>
      <c r="P137" s="7"/>
      <c r="Q137" s="3"/>
      <c r="R137" s="3"/>
      <c r="S137" s="3"/>
      <c r="T137" s="2"/>
      <c r="U137" s="3"/>
      <c r="V137" s="3"/>
      <c r="W137" s="3"/>
      <c r="X137" s="3"/>
      <c r="Y137" s="3"/>
      <c r="Z137" s="3"/>
      <c r="AA137" s="2"/>
      <c r="AB137" s="5"/>
      <c r="AC137" s="5"/>
      <c r="AD137" s="5"/>
      <c r="AE137" s="5"/>
      <c r="AF137" s="5"/>
      <c r="AG137" s="5"/>
      <c r="AH137" s="5"/>
      <c r="AI137" s="1"/>
      <c r="AJ137" s="6"/>
      <c r="AK137" s="3"/>
      <c r="AL137" s="2"/>
      <c r="AM137" s="3"/>
      <c r="AN137" s="3"/>
      <c r="AO137" s="3"/>
      <c r="AP137" s="3"/>
      <c r="AQ137" s="3"/>
      <c r="AR137" s="3"/>
      <c r="AS137" s="227"/>
      <c r="AT137" s="227"/>
      <c r="AU137" s="227"/>
      <c r="AV137" s="227"/>
      <c r="AW137" s="1"/>
      <c r="AX137" s="227"/>
      <c r="AY137" s="227"/>
      <c r="AZ137" s="1"/>
      <c r="BA137" s="227"/>
      <c r="BB137" s="227"/>
      <c r="BC137" s="227"/>
      <c r="BD137" s="1"/>
    </row>
    <row x14ac:dyDescent="0.25" r="138" customHeight="1" ht="18" customFormat="1" s="230" hidden="1">
      <c r="A138" s="229"/>
      <c r="B138" s="229"/>
      <c r="C138" s="580"/>
      <c r="D138" s="580"/>
      <c r="E138" s="580"/>
      <c r="F138" s="580"/>
      <c r="G138" s="921"/>
      <c r="H138" s="961"/>
      <c r="I138" s="962"/>
      <c r="J138" s="963"/>
      <c r="K138" s="963"/>
      <c r="L138" s="964"/>
      <c r="M138" s="965"/>
      <c r="N138" s="966"/>
      <c r="O138" s="967"/>
      <c r="P138" s="921"/>
      <c r="Q138" s="577"/>
      <c r="R138" s="577"/>
      <c r="S138" s="577"/>
      <c r="T138" s="8"/>
      <c r="U138" s="577"/>
      <c r="V138" s="577"/>
      <c r="W138" s="577"/>
      <c r="X138" s="577"/>
      <c r="Y138" s="577"/>
      <c r="Z138" s="577"/>
      <c r="AA138" s="8"/>
      <c r="AB138" s="580"/>
      <c r="AC138" s="580"/>
      <c r="AD138" s="580"/>
      <c r="AE138" s="580"/>
      <c r="AF138" s="580"/>
      <c r="AG138" s="580"/>
      <c r="AH138" s="580"/>
      <c r="AI138" s="229"/>
      <c r="AJ138" s="579"/>
      <c r="AK138" s="577"/>
      <c r="AL138" s="8"/>
      <c r="AM138" s="577"/>
      <c r="AN138" s="577"/>
      <c r="AO138" s="577"/>
      <c r="AP138" s="577"/>
      <c r="AQ138" s="577"/>
      <c r="AR138" s="577"/>
      <c r="AS138" s="229"/>
      <c r="AT138" s="229"/>
      <c r="AU138" s="229"/>
      <c r="AV138" s="229"/>
      <c r="AW138" s="229"/>
      <c r="AX138" s="229"/>
      <c r="AY138" s="229"/>
      <c r="AZ138" s="229"/>
      <c r="BA138" s="229"/>
      <c r="BB138" s="229"/>
      <c r="BC138" s="229"/>
      <c r="BD138" s="229"/>
    </row>
    <row x14ac:dyDescent="0.25" r="139" customHeight="1" ht="18" hidden="1">
      <c r="A139" s="227"/>
      <c r="B139" s="1"/>
      <c r="C139" s="5"/>
      <c r="D139" s="5"/>
      <c r="E139" s="5"/>
      <c r="F139" s="5"/>
      <c r="G139" s="7"/>
      <c r="H139" s="968"/>
      <c r="I139" s="969" t="s">
        <v>357</v>
      </c>
      <c r="J139" s="970"/>
      <c r="K139" s="970"/>
      <c r="L139" s="971"/>
      <c r="M139" s="972"/>
      <c r="N139" s="973"/>
      <c r="O139" s="974"/>
      <c r="P139" s="7"/>
      <c r="Q139" s="3"/>
      <c r="R139" s="3"/>
      <c r="S139" s="3"/>
      <c r="T139" s="2"/>
      <c r="U139" s="3"/>
      <c r="V139" s="3"/>
      <c r="W139" s="3"/>
      <c r="X139" s="3"/>
      <c r="Y139" s="3"/>
      <c r="Z139" s="3"/>
      <c r="AA139" s="2"/>
      <c r="AB139" s="5"/>
      <c r="AC139" s="5"/>
      <c r="AD139" s="5"/>
      <c r="AE139" s="5"/>
      <c r="AF139" s="5"/>
      <c r="AG139" s="5"/>
      <c r="AH139" s="5"/>
      <c r="AI139" s="1"/>
      <c r="AJ139" s="6"/>
      <c r="AK139" s="3"/>
      <c r="AL139" s="2"/>
      <c r="AM139" s="3"/>
      <c r="AN139" s="3"/>
      <c r="AO139" s="3"/>
      <c r="AP139" s="3"/>
      <c r="AQ139" s="3"/>
      <c r="AR139" s="3"/>
      <c r="AS139" s="227"/>
      <c r="AT139" s="227"/>
      <c r="AU139" s="227"/>
      <c r="AV139" s="227"/>
      <c r="AW139" s="1"/>
      <c r="AX139" s="227"/>
      <c r="AY139" s="227"/>
      <c r="AZ139" s="1"/>
      <c r="BA139" s="227"/>
      <c r="BB139" s="227"/>
      <c r="BC139" s="227"/>
      <c r="BD139" s="1"/>
    </row>
    <row x14ac:dyDescent="0.25" r="140" customHeight="1" ht="18" hidden="1">
      <c r="A140" s="227"/>
      <c r="B140" s="1"/>
      <c r="C140" s="5"/>
      <c r="D140" s="5"/>
      <c r="E140" s="5"/>
      <c r="F140" s="5"/>
      <c r="G140" s="7"/>
      <c r="H140" s="968"/>
      <c r="I140" s="975"/>
      <c r="J140" s="976"/>
      <c r="K140" s="976"/>
      <c r="L140" s="977"/>
      <c r="M140" s="978"/>
      <c r="N140" s="979"/>
      <c r="O140" s="980"/>
      <c r="P140" s="7"/>
      <c r="Q140" s="3"/>
      <c r="R140" s="3"/>
      <c r="S140" s="3"/>
      <c r="T140" s="2"/>
      <c r="U140" s="3"/>
      <c r="V140" s="3"/>
      <c r="W140" s="3"/>
      <c r="X140" s="3"/>
      <c r="Y140" s="3"/>
      <c r="Z140" s="3"/>
      <c r="AA140" s="2"/>
      <c r="AB140" s="5"/>
      <c r="AC140" s="5"/>
      <c r="AD140" s="5"/>
      <c r="AE140" s="5"/>
      <c r="AF140" s="5"/>
      <c r="AG140" s="5"/>
      <c r="AH140" s="5"/>
      <c r="AI140" s="1"/>
      <c r="AJ140" s="6"/>
      <c r="AK140" s="3"/>
      <c r="AL140" s="2"/>
      <c r="AM140" s="3"/>
      <c r="AN140" s="3"/>
      <c r="AO140" s="3"/>
      <c r="AP140" s="3"/>
      <c r="AQ140" s="3"/>
      <c r="AR140" s="3"/>
      <c r="AS140" s="227"/>
      <c r="AT140" s="227"/>
      <c r="AU140" s="227"/>
      <c r="AV140" s="227"/>
      <c r="AW140" s="1"/>
      <c r="AX140" s="227"/>
      <c r="AY140" s="227"/>
      <c r="AZ140" s="1"/>
      <c r="BA140" s="227"/>
      <c r="BB140" s="227"/>
      <c r="BC140" s="227"/>
      <c r="BD140" s="1"/>
    </row>
    <row x14ac:dyDescent="0.25" r="141" customHeight="1" ht="18" hidden="1">
      <c r="A141" s="227"/>
      <c r="B141" s="1"/>
      <c r="C141" s="5"/>
      <c r="D141" s="5"/>
      <c r="E141" s="5"/>
      <c r="F141" s="5"/>
      <c r="G141" s="7"/>
      <c r="H141" s="968"/>
      <c r="I141" s="975"/>
      <c r="J141" s="976"/>
      <c r="K141" s="976"/>
      <c r="L141" s="977"/>
      <c r="M141" s="978"/>
      <c r="N141" s="979"/>
      <c r="O141" s="980"/>
      <c r="P141" s="7"/>
      <c r="Q141" s="3"/>
      <c r="R141" s="3"/>
      <c r="S141" s="3"/>
      <c r="T141" s="2"/>
      <c r="U141" s="3"/>
      <c r="V141" s="3"/>
      <c r="W141" s="3"/>
      <c r="X141" s="3"/>
      <c r="Y141" s="3"/>
      <c r="Z141" s="3"/>
      <c r="AA141" s="2"/>
      <c r="AB141" s="5"/>
      <c r="AC141" s="5"/>
      <c r="AD141" s="5"/>
      <c r="AE141" s="5"/>
      <c r="AF141" s="5"/>
      <c r="AG141" s="5"/>
      <c r="AH141" s="5"/>
      <c r="AI141" s="1"/>
      <c r="AJ141" s="6"/>
      <c r="AK141" s="3"/>
      <c r="AL141" s="2"/>
      <c r="AM141" s="3"/>
      <c r="AN141" s="3"/>
      <c r="AO141" s="3"/>
      <c r="AP141" s="3"/>
      <c r="AQ141" s="3"/>
      <c r="AR141" s="3"/>
      <c r="AS141" s="227"/>
      <c r="AT141" s="227"/>
      <c r="AU141" s="227"/>
      <c r="AV141" s="227"/>
      <c r="AW141" s="1"/>
      <c r="AX141" s="227"/>
      <c r="AY141" s="227"/>
      <c r="AZ141" s="1"/>
      <c r="BA141" s="227"/>
      <c r="BB141" s="227"/>
      <c r="BC141" s="227"/>
      <c r="BD141" s="1"/>
    </row>
    <row x14ac:dyDescent="0.25" r="142" customHeight="1" ht="18" hidden="1">
      <c r="A142" s="227"/>
      <c r="B142" s="1"/>
      <c r="C142" s="5"/>
      <c r="D142" s="5"/>
      <c r="E142" s="5"/>
      <c r="F142" s="5"/>
      <c r="G142" s="7"/>
      <c r="H142" s="981"/>
      <c r="I142" s="946"/>
      <c r="J142" s="947"/>
      <c r="K142" s="947"/>
      <c r="L142" s="948"/>
      <c r="M142" s="949"/>
      <c r="N142" s="950"/>
      <c r="O142" s="951"/>
      <c r="P142" s="7"/>
      <c r="Q142" s="3"/>
      <c r="R142" s="3"/>
      <c r="S142" s="3"/>
      <c r="T142" s="2"/>
      <c r="U142" s="3"/>
      <c r="V142" s="3"/>
      <c r="W142" s="3"/>
      <c r="X142" s="3"/>
      <c r="Y142" s="3"/>
      <c r="Z142" s="3"/>
      <c r="AA142" s="2"/>
      <c r="AB142" s="5"/>
      <c r="AC142" s="5"/>
      <c r="AD142" s="5"/>
      <c r="AE142" s="5"/>
      <c r="AF142" s="5"/>
      <c r="AG142" s="5"/>
      <c r="AH142" s="5"/>
      <c r="AI142" s="1"/>
      <c r="AJ142" s="6"/>
      <c r="AK142" s="3"/>
      <c r="AL142" s="2"/>
      <c r="AM142" s="3"/>
      <c r="AN142" s="3"/>
      <c r="AO142" s="3"/>
      <c r="AP142" s="3"/>
      <c r="AQ142" s="3"/>
      <c r="AR142" s="3"/>
      <c r="AS142" s="227"/>
      <c r="AT142" s="227"/>
      <c r="AU142" s="227"/>
      <c r="AV142" s="227"/>
      <c r="AW142" s="1"/>
      <c r="AX142" s="227"/>
      <c r="AY142" s="227"/>
      <c r="AZ142" s="1"/>
      <c r="BA142" s="227"/>
      <c r="BB142" s="227"/>
      <c r="BC142" s="227"/>
      <c r="BD142" s="1"/>
    </row>
    <row x14ac:dyDescent="0.25" r="143" customHeight="1" ht="18" hidden="1">
      <c r="A143" s="227"/>
      <c r="B143" s="1"/>
      <c r="C143" s="5"/>
      <c r="D143" s="5"/>
      <c r="E143" s="5"/>
      <c r="F143" s="5"/>
      <c r="G143" s="7"/>
      <c r="H143" s="982"/>
      <c r="I143" s="953" t="s">
        <v>358</v>
      </c>
      <c r="J143" s="954"/>
      <c r="K143" s="954"/>
      <c r="L143" s="955"/>
      <c r="M143" s="956"/>
      <c r="N143" s="957"/>
      <c r="O143" s="958"/>
      <c r="P143" s="7"/>
      <c r="Q143" s="3"/>
      <c r="R143" s="3"/>
      <c r="S143" s="3"/>
      <c r="T143" s="2"/>
      <c r="U143" s="3"/>
      <c r="V143" s="3"/>
      <c r="W143" s="3"/>
      <c r="X143" s="3"/>
      <c r="Y143" s="3"/>
      <c r="Z143" s="3"/>
      <c r="AA143" s="2"/>
      <c r="AB143" s="5"/>
      <c r="AC143" s="5"/>
      <c r="AD143" s="5"/>
      <c r="AE143" s="5"/>
      <c r="AF143" s="5"/>
      <c r="AG143" s="5"/>
      <c r="AH143" s="5"/>
      <c r="AI143" s="1"/>
      <c r="AJ143" s="6"/>
      <c r="AK143" s="3"/>
      <c r="AL143" s="2"/>
      <c r="AM143" s="3"/>
      <c r="AN143" s="3"/>
      <c r="AO143" s="3"/>
      <c r="AP143" s="3"/>
      <c r="AQ143" s="3"/>
      <c r="AR143" s="3"/>
      <c r="AS143" s="227"/>
      <c r="AT143" s="227"/>
      <c r="AU143" s="227"/>
      <c r="AV143" s="227"/>
      <c r="AW143" s="1"/>
      <c r="AX143" s="227"/>
      <c r="AY143" s="227"/>
      <c r="AZ143" s="1"/>
      <c r="BA143" s="227"/>
      <c r="BB143" s="227"/>
      <c r="BC143" s="227"/>
      <c r="BD143" s="1"/>
    </row>
    <row x14ac:dyDescent="0.25" r="144" customHeight="1" ht="18" hidden="1">
      <c r="A144" s="227"/>
      <c r="B144" s="1"/>
      <c r="C144" s="5"/>
      <c r="D144" s="5"/>
      <c r="E144" s="5"/>
      <c r="F144" s="5"/>
      <c r="G144" s="7"/>
      <c r="H144" s="983"/>
      <c r="I144" s="975"/>
      <c r="J144" s="976"/>
      <c r="K144" s="976"/>
      <c r="L144" s="977"/>
      <c r="M144" s="978"/>
      <c r="N144" s="979"/>
      <c r="O144" s="980"/>
      <c r="P144" s="7"/>
      <c r="Q144" s="3"/>
      <c r="R144" s="3"/>
      <c r="S144" s="3"/>
      <c r="T144" s="2"/>
      <c r="U144" s="3"/>
      <c r="V144" s="3"/>
      <c r="W144" s="3"/>
      <c r="X144" s="3"/>
      <c r="Y144" s="3"/>
      <c r="Z144" s="3"/>
      <c r="AA144" s="2"/>
      <c r="AB144" s="5"/>
      <c r="AC144" s="5"/>
      <c r="AD144" s="5"/>
      <c r="AE144" s="5"/>
      <c r="AF144" s="5"/>
      <c r="AG144" s="5"/>
      <c r="AH144" s="5"/>
      <c r="AI144" s="1"/>
      <c r="AJ144" s="6"/>
      <c r="AK144" s="3"/>
      <c r="AL144" s="2"/>
      <c r="AM144" s="3"/>
      <c r="AN144" s="3"/>
      <c r="AO144" s="3"/>
      <c r="AP144" s="3"/>
      <c r="AQ144" s="3"/>
      <c r="AR144" s="3"/>
      <c r="AS144" s="227"/>
      <c r="AT144" s="227"/>
      <c r="AU144" s="227"/>
      <c r="AV144" s="227"/>
      <c r="AW144" s="1"/>
      <c r="AX144" s="227"/>
      <c r="AY144" s="227"/>
      <c r="AZ144" s="1"/>
      <c r="BA144" s="227"/>
      <c r="BB144" s="227"/>
      <c r="BC144" s="227"/>
      <c r="BD144" s="1"/>
    </row>
    <row x14ac:dyDescent="0.25" r="145" customHeight="1" ht="18" hidden="1">
      <c r="A145" s="227"/>
      <c r="B145" s="1"/>
      <c r="C145" s="5"/>
      <c r="D145" s="5"/>
      <c r="E145" s="5"/>
      <c r="F145" s="5"/>
      <c r="G145" s="7"/>
      <c r="H145" s="983"/>
      <c r="I145" s="975"/>
      <c r="J145" s="976"/>
      <c r="K145" s="976"/>
      <c r="L145" s="977"/>
      <c r="M145" s="978"/>
      <c r="N145" s="979"/>
      <c r="O145" s="980"/>
      <c r="P145" s="7"/>
      <c r="Q145" s="3"/>
      <c r="R145" s="3"/>
      <c r="S145" s="3"/>
      <c r="T145" s="2"/>
      <c r="U145" s="3"/>
      <c r="V145" s="3"/>
      <c r="W145" s="3"/>
      <c r="X145" s="3"/>
      <c r="Y145" s="3"/>
      <c r="Z145" s="3"/>
      <c r="AA145" s="2"/>
      <c r="AB145" s="5"/>
      <c r="AC145" s="5"/>
      <c r="AD145" s="5"/>
      <c r="AE145" s="5"/>
      <c r="AF145" s="5"/>
      <c r="AG145" s="5"/>
      <c r="AH145" s="5"/>
      <c r="AI145" s="1"/>
      <c r="AJ145" s="6"/>
      <c r="AK145" s="3"/>
      <c r="AL145" s="2"/>
      <c r="AM145" s="3"/>
      <c r="AN145" s="3"/>
      <c r="AO145" s="3"/>
      <c r="AP145" s="3"/>
      <c r="AQ145" s="3"/>
      <c r="AR145" s="3"/>
      <c r="AS145" s="227"/>
      <c r="AT145" s="227"/>
      <c r="AU145" s="227"/>
      <c r="AV145" s="227"/>
      <c r="AW145" s="1"/>
      <c r="AX145" s="227"/>
      <c r="AY145" s="227"/>
      <c r="AZ145" s="1"/>
      <c r="BA145" s="227"/>
      <c r="BB145" s="227"/>
      <c r="BC145" s="227"/>
      <c r="BD145" s="1"/>
    </row>
    <row x14ac:dyDescent="0.25" r="146" customHeight="1" ht="18" hidden="1">
      <c r="A146" s="227"/>
      <c r="B146" s="1"/>
      <c r="C146" s="5"/>
      <c r="D146" s="5"/>
      <c r="E146" s="5"/>
      <c r="F146" s="5"/>
      <c r="G146" s="7"/>
      <c r="H146" s="984"/>
      <c r="I146" s="946"/>
      <c r="J146" s="947"/>
      <c r="K146" s="947"/>
      <c r="L146" s="948"/>
      <c r="M146" s="949"/>
      <c r="N146" s="950"/>
      <c r="O146" s="951"/>
      <c r="P146" s="7"/>
      <c r="Q146" s="3"/>
      <c r="R146" s="3"/>
      <c r="S146" s="3"/>
      <c r="T146" s="2"/>
      <c r="U146" s="3"/>
      <c r="V146" s="3"/>
      <c r="W146" s="3"/>
      <c r="X146" s="3"/>
      <c r="Y146" s="3"/>
      <c r="Z146" s="3"/>
      <c r="AA146" s="2"/>
      <c r="AB146" s="5"/>
      <c r="AC146" s="5"/>
      <c r="AD146" s="5"/>
      <c r="AE146" s="5"/>
      <c r="AF146" s="5"/>
      <c r="AG146" s="5"/>
      <c r="AH146" s="5"/>
      <c r="AI146" s="1"/>
      <c r="AJ146" s="6"/>
      <c r="AK146" s="3"/>
      <c r="AL146" s="2"/>
      <c r="AM146" s="3"/>
      <c r="AN146" s="3"/>
      <c r="AO146" s="3"/>
      <c r="AP146" s="3"/>
      <c r="AQ146" s="3"/>
      <c r="AR146" s="3"/>
      <c r="AS146" s="227"/>
      <c r="AT146" s="227"/>
      <c r="AU146" s="227"/>
      <c r="AV146" s="227"/>
      <c r="AW146" s="1"/>
      <c r="AX146" s="227"/>
      <c r="AY146" s="227"/>
      <c r="AZ146" s="1"/>
      <c r="BA146" s="227"/>
      <c r="BB146" s="227"/>
      <c r="BC146" s="227"/>
      <c r="BD146" s="1"/>
    </row>
    <row x14ac:dyDescent="0.25" r="147" customHeight="1" ht="18" hidden="1">
      <c r="A147" s="227"/>
      <c r="B147" s="1"/>
      <c r="C147" s="5"/>
      <c r="D147" s="5"/>
      <c r="E147" s="5"/>
      <c r="F147" s="5"/>
      <c r="G147" s="7"/>
      <c r="H147" s="985"/>
      <c r="I147" s="986" t="s">
        <v>359</v>
      </c>
      <c r="J147" s="987"/>
      <c r="K147" s="987"/>
      <c r="L147" s="988"/>
      <c r="M147" s="989"/>
      <c r="N147" s="990"/>
      <c r="O147" s="991"/>
      <c r="P147" s="7"/>
      <c r="Q147" s="3"/>
      <c r="R147" s="3"/>
      <c r="S147" s="3"/>
      <c r="T147" s="2"/>
      <c r="U147" s="3"/>
      <c r="V147" s="3"/>
      <c r="W147" s="3"/>
      <c r="X147" s="3"/>
      <c r="Y147" s="3"/>
      <c r="Z147" s="3"/>
      <c r="AA147" s="2"/>
      <c r="AB147" s="5"/>
      <c r="AC147" s="5"/>
      <c r="AD147" s="5"/>
      <c r="AE147" s="5"/>
      <c r="AF147" s="5"/>
      <c r="AG147" s="5"/>
      <c r="AH147" s="5"/>
      <c r="AI147" s="1"/>
      <c r="AJ147" s="6"/>
      <c r="AK147" s="3"/>
      <c r="AL147" s="2"/>
      <c r="AM147" s="3"/>
      <c r="AN147" s="3"/>
      <c r="AO147" s="3"/>
      <c r="AP147" s="3"/>
      <c r="AQ147" s="3"/>
      <c r="AR147" s="3"/>
      <c r="AS147" s="227"/>
      <c r="AT147" s="227"/>
      <c r="AU147" s="227"/>
      <c r="AV147" s="227"/>
      <c r="AW147" s="1"/>
      <c r="AX147" s="227"/>
      <c r="AY147" s="227"/>
      <c r="AZ147" s="1"/>
      <c r="BA147" s="227"/>
      <c r="BB147" s="227"/>
      <c r="BC147" s="227"/>
      <c r="BD147" s="1"/>
    </row>
    <row x14ac:dyDescent="0.25" r="148" customHeight="1" ht="18" hidden="1">
      <c r="A148" s="227"/>
      <c r="B148" s="1"/>
      <c r="C148" s="5"/>
      <c r="D148" s="5"/>
      <c r="E148" s="5"/>
      <c r="F148" s="5"/>
      <c r="G148" s="7"/>
      <c r="H148" s="992"/>
      <c r="I148" s="986" t="s">
        <v>360</v>
      </c>
      <c r="J148" s="987"/>
      <c r="K148" s="987"/>
      <c r="L148" s="988"/>
      <c r="M148" s="989"/>
      <c r="N148" s="990"/>
      <c r="O148" s="991"/>
      <c r="P148" s="7"/>
      <c r="Q148" s="3"/>
      <c r="R148" s="3"/>
      <c r="S148" s="3"/>
      <c r="T148" s="2"/>
      <c r="U148" s="3"/>
      <c r="V148" s="3"/>
      <c r="W148" s="3"/>
      <c r="X148" s="3"/>
      <c r="Y148" s="3"/>
      <c r="Z148" s="3"/>
      <c r="AA148" s="2"/>
      <c r="AB148" s="5"/>
      <c r="AC148" s="5"/>
      <c r="AD148" s="5"/>
      <c r="AE148" s="5"/>
      <c r="AF148" s="5"/>
      <c r="AG148" s="5"/>
      <c r="AH148" s="5"/>
      <c r="AI148" s="1"/>
      <c r="AJ148" s="6"/>
      <c r="AK148" s="3"/>
      <c r="AL148" s="2"/>
      <c r="AM148" s="3"/>
      <c r="AN148" s="3"/>
      <c r="AO148" s="3"/>
      <c r="AP148" s="3"/>
      <c r="AQ148" s="3"/>
      <c r="AR148" s="3"/>
      <c r="AS148" s="227"/>
      <c r="AT148" s="227"/>
      <c r="AU148" s="227"/>
      <c r="AV148" s="227"/>
      <c r="AW148" s="1"/>
      <c r="AX148" s="227"/>
      <c r="AY148" s="227"/>
      <c r="AZ148" s="1"/>
      <c r="BA148" s="227"/>
      <c r="BB148" s="227"/>
      <c r="BC148" s="227"/>
      <c r="BD148" s="1"/>
    </row>
    <row x14ac:dyDescent="0.25" r="149" customHeight="1" ht="18" customFormat="1" s="230" hidden="1">
      <c r="A149" s="229"/>
      <c r="B149" s="229"/>
      <c r="C149" s="580"/>
      <c r="D149" s="580"/>
      <c r="E149" s="580"/>
      <c r="F149" s="580"/>
      <c r="G149" s="921"/>
      <c r="H149" s="993"/>
      <c r="I149" s="986" t="s">
        <v>361</v>
      </c>
      <c r="J149" s="987"/>
      <c r="K149" s="987"/>
      <c r="L149" s="988"/>
      <c r="M149" s="989"/>
      <c r="N149" s="990"/>
      <c r="O149" s="991"/>
      <c r="P149" s="921"/>
      <c r="Q149" s="577"/>
      <c r="R149" s="577"/>
      <c r="S149" s="577"/>
      <c r="T149" s="8"/>
      <c r="U149" s="577"/>
      <c r="V149" s="577"/>
      <c r="W149" s="577"/>
      <c r="X149" s="577"/>
      <c r="Y149" s="577"/>
      <c r="Z149" s="577"/>
      <c r="AA149" s="8"/>
      <c r="AB149" s="580"/>
      <c r="AC149" s="580"/>
      <c r="AD149" s="580"/>
      <c r="AE149" s="580"/>
      <c r="AF149" s="580"/>
      <c r="AG149" s="580"/>
      <c r="AH149" s="580"/>
      <c r="AI149" s="229"/>
      <c r="AJ149" s="579"/>
      <c r="AK149" s="577"/>
      <c r="AL149" s="8"/>
      <c r="AM149" s="577"/>
      <c r="AN149" s="577"/>
      <c r="AO149" s="577"/>
      <c r="AP149" s="577"/>
      <c r="AQ149" s="577"/>
      <c r="AR149" s="577"/>
      <c r="AS149" s="229"/>
      <c r="AT149" s="229"/>
      <c r="AU149" s="229"/>
      <c r="AV149" s="229"/>
      <c r="AW149" s="229"/>
      <c r="AX149" s="229"/>
      <c r="AY149" s="229"/>
      <c r="AZ149" s="229"/>
      <c r="BA149" s="229"/>
      <c r="BB149" s="229"/>
      <c r="BC149" s="229"/>
      <c r="BD149" s="229"/>
    </row>
    <row x14ac:dyDescent="0.25" r="150" customHeight="1" ht="18" hidden="1">
      <c r="A150" s="227"/>
      <c r="B150" s="1"/>
      <c r="C150" s="5"/>
      <c r="D150" s="5"/>
      <c r="E150" s="5"/>
      <c r="F150" s="5"/>
      <c r="G150" s="7"/>
      <c r="H150" s="994"/>
      <c r="I150" s="986" t="s">
        <v>362</v>
      </c>
      <c r="J150" s="987"/>
      <c r="K150" s="987"/>
      <c r="L150" s="988"/>
      <c r="M150" s="989"/>
      <c r="N150" s="990"/>
      <c r="O150" s="991"/>
      <c r="P150" s="7"/>
      <c r="Q150" s="3"/>
      <c r="R150" s="3"/>
      <c r="S150" s="3"/>
      <c r="T150" s="2"/>
      <c r="U150" s="3"/>
      <c r="V150" s="3"/>
      <c r="W150" s="3"/>
      <c r="X150" s="3"/>
      <c r="Y150" s="3"/>
      <c r="Z150" s="3"/>
      <c r="AA150" s="2"/>
      <c r="AB150" s="5"/>
      <c r="AC150" s="5"/>
      <c r="AD150" s="5"/>
      <c r="AE150" s="5"/>
      <c r="AF150" s="5"/>
      <c r="AG150" s="5"/>
      <c r="AH150" s="5"/>
      <c r="AI150" s="1"/>
      <c r="AJ150" s="6"/>
      <c r="AK150" s="3"/>
      <c r="AL150" s="2"/>
      <c r="AM150" s="3"/>
      <c r="AN150" s="3"/>
      <c r="AO150" s="3"/>
      <c r="AP150" s="3"/>
      <c r="AQ150" s="3"/>
      <c r="AR150" s="3"/>
      <c r="AS150" s="227"/>
      <c r="AT150" s="227"/>
      <c r="AU150" s="227"/>
      <c r="AV150" s="227"/>
      <c r="AW150" s="1"/>
      <c r="AX150" s="227"/>
      <c r="AY150" s="227"/>
      <c r="AZ150" s="1"/>
      <c r="BA150" s="227"/>
      <c r="BB150" s="227"/>
      <c r="BC150" s="227"/>
      <c r="BD150" s="1"/>
    </row>
    <row x14ac:dyDescent="0.25" r="151" customHeight="1" ht="18" hidden="1">
      <c r="A151" s="227"/>
      <c r="B151" s="1"/>
      <c r="C151" s="5"/>
      <c r="D151" s="5"/>
      <c r="E151" s="5"/>
      <c r="F151" s="5"/>
      <c r="G151" s="7"/>
      <c r="H151" s="995"/>
      <c r="I151" s="986" t="s">
        <v>363</v>
      </c>
      <c r="J151" s="987"/>
      <c r="K151" s="987"/>
      <c r="L151" s="988"/>
      <c r="M151" s="989"/>
      <c r="N151" s="990"/>
      <c r="O151" s="991"/>
      <c r="P151" s="7"/>
      <c r="Q151" s="3"/>
      <c r="R151" s="3"/>
      <c r="S151" s="3"/>
      <c r="T151" s="2"/>
      <c r="U151" s="3"/>
      <c r="V151" s="3"/>
      <c r="W151" s="3"/>
      <c r="X151" s="3"/>
      <c r="Y151" s="3"/>
      <c r="Z151" s="3"/>
      <c r="AA151" s="2"/>
      <c r="AB151" s="5"/>
      <c r="AC151" s="5"/>
      <c r="AD151" s="5"/>
      <c r="AE151" s="5"/>
      <c r="AF151" s="5"/>
      <c r="AG151" s="5"/>
      <c r="AH151" s="5"/>
      <c r="AI151" s="1"/>
      <c r="AJ151" s="6"/>
      <c r="AK151" s="3"/>
      <c r="AL151" s="2"/>
      <c r="AM151" s="3"/>
      <c r="AN151" s="3"/>
      <c r="AO151" s="3"/>
      <c r="AP151" s="3"/>
      <c r="AQ151" s="3"/>
      <c r="AR151" s="3"/>
      <c r="AS151" s="227"/>
      <c r="AT151" s="227"/>
      <c r="AU151" s="227"/>
      <c r="AV151" s="227"/>
      <c r="AW151" s="1"/>
      <c r="AX151" s="227"/>
      <c r="AY151" s="227"/>
      <c r="AZ151" s="1"/>
      <c r="BA151" s="227"/>
      <c r="BB151" s="227"/>
      <c r="BC151" s="227"/>
      <c r="BD151" s="1"/>
    </row>
    <row x14ac:dyDescent="0.25" r="152" customHeight="1" ht="18" hidden="1">
      <c r="A152" s="227"/>
      <c r="B152" s="1"/>
      <c r="C152" s="5"/>
      <c r="D152" s="5"/>
      <c r="E152" s="5"/>
      <c r="F152" s="5"/>
      <c r="G152" s="7"/>
      <c r="H152" s="996"/>
      <c r="I152" s="953" t="s">
        <v>364</v>
      </c>
      <c r="J152" s="954"/>
      <c r="K152" s="954"/>
      <c r="L152" s="955"/>
      <c r="M152" s="956"/>
      <c r="N152" s="957"/>
      <c r="O152" s="958"/>
      <c r="P152" s="7"/>
      <c r="Q152" s="3"/>
      <c r="R152" s="3"/>
      <c r="S152" s="3"/>
      <c r="T152" s="2"/>
      <c r="U152" s="3"/>
      <c r="V152" s="3"/>
      <c r="W152" s="3"/>
      <c r="X152" s="3"/>
      <c r="Y152" s="3"/>
      <c r="Z152" s="3"/>
      <c r="AA152" s="2"/>
      <c r="AB152" s="5"/>
      <c r="AC152" s="5"/>
      <c r="AD152" s="5"/>
      <c r="AE152" s="5"/>
      <c r="AF152" s="5"/>
      <c r="AG152" s="5"/>
      <c r="AH152" s="5"/>
      <c r="AI152" s="1"/>
      <c r="AJ152" s="6"/>
      <c r="AK152" s="3"/>
      <c r="AL152" s="2"/>
      <c r="AM152" s="3"/>
      <c r="AN152" s="3"/>
      <c r="AO152" s="3"/>
      <c r="AP152" s="3"/>
      <c r="AQ152" s="3"/>
      <c r="AR152" s="3"/>
      <c r="AS152" s="227"/>
      <c r="AT152" s="227"/>
      <c r="AU152" s="227"/>
      <c r="AV152" s="227"/>
      <c r="AW152" s="1"/>
      <c r="AX152" s="227"/>
      <c r="AY152" s="227"/>
      <c r="AZ152" s="1"/>
      <c r="BA152" s="227"/>
      <c r="BB152" s="227"/>
      <c r="BC152" s="227"/>
      <c r="BD152" s="1"/>
    </row>
    <row x14ac:dyDescent="0.25" r="153" customHeight="1" ht="18" hidden="1">
      <c r="A153" s="227"/>
      <c r="B153" s="1"/>
      <c r="C153" s="5"/>
      <c r="D153" s="5"/>
      <c r="E153" s="5"/>
      <c r="F153" s="5"/>
      <c r="G153" s="7"/>
      <c r="H153" s="997"/>
      <c r="I153" s="975"/>
      <c r="J153" s="976"/>
      <c r="K153" s="976"/>
      <c r="L153" s="977"/>
      <c r="M153" s="978"/>
      <c r="N153" s="979"/>
      <c r="O153" s="980"/>
      <c r="P153" s="7"/>
      <c r="Q153" s="3"/>
      <c r="R153" s="3"/>
      <c r="S153" s="3"/>
      <c r="T153" s="2"/>
      <c r="U153" s="3"/>
      <c r="V153" s="3"/>
      <c r="W153" s="3"/>
      <c r="X153" s="3"/>
      <c r="Y153" s="3"/>
      <c r="Z153" s="3"/>
      <c r="AA153" s="2"/>
      <c r="AB153" s="5"/>
      <c r="AC153" s="5"/>
      <c r="AD153" s="5"/>
      <c r="AE153" s="5"/>
      <c r="AF153" s="5"/>
      <c r="AG153" s="5"/>
      <c r="AH153" s="5"/>
      <c r="AI153" s="1"/>
      <c r="AJ153" s="6"/>
      <c r="AK153" s="3"/>
      <c r="AL153" s="2"/>
      <c r="AM153" s="3"/>
      <c r="AN153" s="3"/>
      <c r="AO153" s="3"/>
      <c r="AP153" s="3"/>
      <c r="AQ153" s="3"/>
      <c r="AR153" s="3"/>
      <c r="AS153" s="227"/>
      <c r="AT153" s="227"/>
      <c r="AU153" s="227"/>
      <c r="AV153" s="227"/>
      <c r="AW153" s="1"/>
      <c r="AX153" s="227"/>
      <c r="AY153" s="227"/>
      <c r="AZ153" s="1"/>
      <c r="BA153" s="227"/>
      <c r="BB153" s="227"/>
      <c r="BC153" s="227"/>
      <c r="BD153" s="1"/>
    </row>
    <row x14ac:dyDescent="0.25" r="154" customHeight="1" ht="18" hidden="1">
      <c r="A154" s="227"/>
      <c r="B154" s="1"/>
      <c r="C154" s="5"/>
      <c r="D154" s="5"/>
      <c r="E154" s="5"/>
      <c r="F154" s="5"/>
      <c r="G154" s="7"/>
      <c r="H154" s="997"/>
      <c r="I154" s="975"/>
      <c r="J154" s="976"/>
      <c r="K154" s="976"/>
      <c r="L154" s="977"/>
      <c r="M154" s="978"/>
      <c r="N154" s="979"/>
      <c r="O154" s="980"/>
      <c r="P154" s="7"/>
      <c r="Q154" s="3"/>
      <c r="R154" s="3"/>
      <c r="S154" s="3"/>
      <c r="T154" s="2"/>
      <c r="U154" s="3"/>
      <c r="V154" s="3"/>
      <c r="W154" s="3"/>
      <c r="X154" s="3"/>
      <c r="Y154" s="3"/>
      <c r="Z154" s="3"/>
      <c r="AA154" s="2"/>
      <c r="AB154" s="5"/>
      <c r="AC154" s="5"/>
      <c r="AD154" s="5"/>
      <c r="AE154" s="5"/>
      <c r="AF154" s="5"/>
      <c r="AG154" s="5"/>
      <c r="AH154" s="5"/>
      <c r="AI154" s="1"/>
      <c r="AJ154" s="6"/>
      <c r="AK154" s="3"/>
      <c r="AL154" s="2"/>
      <c r="AM154" s="3"/>
      <c r="AN154" s="3"/>
      <c r="AO154" s="3"/>
      <c r="AP154" s="3"/>
      <c r="AQ154" s="3"/>
      <c r="AR154" s="3"/>
      <c r="AS154" s="227"/>
      <c r="AT154" s="227"/>
      <c r="AU154" s="227"/>
      <c r="AV154" s="227"/>
      <c r="AW154" s="1"/>
      <c r="AX154" s="227"/>
      <c r="AY154" s="227"/>
      <c r="AZ154" s="1"/>
      <c r="BA154" s="227"/>
      <c r="BB154" s="227"/>
      <c r="BC154" s="227"/>
      <c r="BD154" s="1"/>
    </row>
    <row x14ac:dyDescent="0.25" r="155" customHeight="1" ht="18" hidden="1">
      <c r="A155" s="227"/>
      <c r="B155" s="1"/>
      <c r="C155" s="5"/>
      <c r="D155" s="5"/>
      <c r="E155" s="5"/>
      <c r="F155" s="5"/>
      <c r="G155" s="7"/>
      <c r="H155" s="997"/>
      <c r="I155" s="975"/>
      <c r="J155" s="976"/>
      <c r="K155" s="976"/>
      <c r="L155" s="977"/>
      <c r="M155" s="978"/>
      <c r="N155" s="979"/>
      <c r="O155" s="980"/>
      <c r="P155" s="7"/>
      <c r="Q155" s="3"/>
      <c r="R155" s="3"/>
      <c r="S155" s="3"/>
      <c r="T155" s="2"/>
      <c r="U155" s="3"/>
      <c r="V155" s="3"/>
      <c r="W155" s="3"/>
      <c r="X155" s="3"/>
      <c r="Y155" s="3"/>
      <c r="Z155" s="3"/>
      <c r="AA155" s="2"/>
      <c r="AB155" s="5"/>
      <c r="AC155" s="5"/>
      <c r="AD155" s="5"/>
      <c r="AE155" s="5"/>
      <c r="AF155" s="5"/>
      <c r="AG155" s="5"/>
      <c r="AH155" s="5"/>
      <c r="AI155" s="1"/>
      <c r="AJ155" s="6"/>
      <c r="AK155" s="3"/>
      <c r="AL155" s="2"/>
      <c r="AM155" s="3"/>
      <c r="AN155" s="3"/>
      <c r="AO155" s="3"/>
      <c r="AP155" s="3"/>
      <c r="AQ155" s="3"/>
      <c r="AR155" s="3"/>
      <c r="AS155" s="227"/>
      <c r="AT155" s="227"/>
      <c r="AU155" s="227"/>
      <c r="AV155" s="227"/>
      <c r="AW155" s="1"/>
      <c r="AX155" s="227"/>
      <c r="AY155" s="227"/>
      <c r="AZ155" s="1"/>
      <c r="BA155" s="227"/>
      <c r="BB155" s="227"/>
      <c r="BC155" s="227"/>
      <c r="BD155" s="1"/>
    </row>
    <row x14ac:dyDescent="0.25" r="156" customHeight="1" ht="18" hidden="1">
      <c r="A156" s="227"/>
      <c r="B156" s="1"/>
      <c r="C156" s="5"/>
      <c r="D156" s="5"/>
      <c r="E156" s="5"/>
      <c r="F156" s="5"/>
      <c r="G156" s="7"/>
      <c r="H156" s="997"/>
      <c r="I156" s="946"/>
      <c r="J156" s="947"/>
      <c r="K156" s="947"/>
      <c r="L156" s="948"/>
      <c r="M156" s="949"/>
      <c r="N156" s="950"/>
      <c r="O156" s="951"/>
      <c r="P156" s="7"/>
      <c r="Q156" s="3"/>
      <c r="R156" s="3"/>
      <c r="S156" s="3"/>
      <c r="T156" s="2"/>
      <c r="U156" s="3"/>
      <c r="V156" s="3"/>
      <c r="W156" s="3"/>
      <c r="X156" s="3"/>
      <c r="Y156" s="3"/>
      <c r="Z156" s="3"/>
      <c r="AA156" s="2"/>
      <c r="AB156" s="5"/>
      <c r="AC156" s="5"/>
      <c r="AD156" s="5"/>
      <c r="AE156" s="5"/>
      <c r="AF156" s="5"/>
      <c r="AG156" s="5"/>
      <c r="AH156" s="5"/>
      <c r="AI156" s="1"/>
      <c r="AJ156" s="6"/>
      <c r="AK156" s="3"/>
      <c r="AL156" s="2"/>
      <c r="AM156" s="3"/>
      <c r="AN156" s="3"/>
      <c r="AO156" s="3"/>
      <c r="AP156" s="3"/>
      <c r="AQ156" s="3"/>
      <c r="AR156" s="3"/>
      <c r="AS156" s="227"/>
      <c r="AT156" s="227"/>
      <c r="AU156" s="227"/>
      <c r="AV156" s="227"/>
      <c r="AW156" s="1"/>
      <c r="AX156" s="227"/>
      <c r="AY156" s="227"/>
      <c r="AZ156" s="1"/>
      <c r="BA156" s="227"/>
      <c r="BB156" s="227"/>
      <c r="BC156" s="227"/>
      <c r="BD156" s="1"/>
    </row>
    <row x14ac:dyDescent="0.25" r="157" customHeight="1" ht="18" hidden="1">
      <c r="A157" s="227"/>
      <c r="B157" s="1"/>
      <c r="C157" s="5"/>
      <c r="D157" s="5"/>
      <c r="E157" s="5"/>
      <c r="F157" s="5"/>
      <c r="G157" s="7"/>
      <c r="H157" s="998"/>
      <c r="I157" s="953" t="s">
        <v>365</v>
      </c>
      <c r="J157" s="954"/>
      <c r="K157" s="954"/>
      <c r="L157" s="955"/>
      <c r="M157" s="956"/>
      <c r="N157" s="957"/>
      <c r="O157" s="958"/>
      <c r="P157" s="7"/>
      <c r="Q157" s="3"/>
      <c r="R157" s="3"/>
      <c r="S157" s="3"/>
      <c r="T157" s="2"/>
      <c r="U157" s="3"/>
      <c r="V157" s="3"/>
      <c r="W157" s="3"/>
      <c r="X157" s="3"/>
      <c r="Y157" s="3"/>
      <c r="Z157" s="3"/>
      <c r="AA157" s="2"/>
      <c r="AB157" s="5"/>
      <c r="AC157" s="5"/>
      <c r="AD157" s="5"/>
      <c r="AE157" s="5"/>
      <c r="AF157" s="5"/>
      <c r="AG157" s="5"/>
      <c r="AH157" s="5"/>
      <c r="AI157" s="1"/>
      <c r="AJ157" s="6"/>
      <c r="AK157" s="3"/>
      <c r="AL157" s="2"/>
      <c r="AM157" s="3"/>
      <c r="AN157" s="3"/>
      <c r="AO157" s="3"/>
      <c r="AP157" s="3"/>
      <c r="AQ157" s="3"/>
      <c r="AR157" s="3"/>
      <c r="AS157" s="227"/>
      <c r="AT157" s="227"/>
      <c r="AU157" s="227"/>
      <c r="AV157" s="227"/>
      <c r="AW157" s="1"/>
      <c r="AX157" s="227"/>
      <c r="AY157" s="227"/>
      <c r="AZ157" s="1"/>
      <c r="BA157" s="227"/>
      <c r="BB157" s="227"/>
      <c r="BC157" s="227"/>
      <c r="BD157" s="1"/>
    </row>
    <row x14ac:dyDescent="0.25" r="158" customHeight="1" ht="18" hidden="1">
      <c r="A158" s="227"/>
      <c r="B158" s="1"/>
      <c r="C158" s="5"/>
      <c r="D158" s="5"/>
      <c r="E158" s="5"/>
      <c r="F158" s="5"/>
      <c r="G158" s="7"/>
      <c r="H158" s="999"/>
      <c r="I158" s="975"/>
      <c r="J158" s="976"/>
      <c r="K158" s="976"/>
      <c r="L158" s="977"/>
      <c r="M158" s="978"/>
      <c r="N158" s="979"/>
      <c r="O158" s="980"/>
      <c r="P158" s="7"/>
      <c r="Q158" s="3"/>
      <c r="R158" s="3"/>
      <c r="S158" s="3"/>
      <c r="T158" s="2"/>
      <c r="U158" s="3"/>
      <c r="V158" s="3"/>
      <c r="W158" s="3"/>
      <c r="X158" s="3"/>
      <c r="Y158" s="3"/>
      <c r="Z158" s="3"/>
      <c r="AA158" s="2"/>
      <c r="AB158" s="5"/>
      <c r="AC158" s="5"/>
      <c r="AD158" s="5"/>
      <c r="AE158" s="5"/>
      <c r="AF158" s="5"/>
      <c r="AG158" s="5"/>
      <c r="AH158" s="5"/>
      <c r="AI158" s="1"/>
      <c r="AJ158" s="6"/>
      <c r="AK158" s="3"/>
      <c r="AL158" s="2"/>
      <c r="AM158" s="3"/>
      <c r="AN158" s="3"/>
      <c r="AO158" s="3"/>
      <c r="AP158" s="3"/>
      <c r="AQ158" s="3"/>
      <c r="AR158" s="3"/>
      <c r="AS158" s="227"/>
      <c r="AT158" s="227"/>
      <c r="AU158" s="227"/>
      <c r="AV158" s="227"/>
      <c r="AW158" s="1"/>
      <c r="AX158" s="227"/>
      <c r="AY158" s="227"/>
      <c r="AZ158" s="1"/>
      <c r="BA158" s="227"/>
      <c r="BB158" s="227"/>
      <c r="BC158" s="227"/>
      <c r="BD158" s="1"/>
    </row>
    <row x14ac:dyDescent="0.25" r="159" customHeight="1" ht="18" hidden="1">
      <c r="A159" s="227"/>
      <c r="B159" s="1"/>
      <c r="C159" s="5"/>
      <c r="D159" s="5"/>
      <c r="E159" s="5"/>
      <c r="F159" s="5"/>
      <c r="G159" s="7"/>
      <c r="H159" s="1000"/>
      <c r="I159" s="962"/>
      <c r="J159" s="963"/>
      <c r="K159" s="963"/>
      <c r="L159" s="964"/>
      <c r="M159" s="965"/>
      <c r="N159" s="966"/>
      <c r="O159" s="967"/>
      <c r="P159" s="7"/>
      <c r="Q159" s="3"/>
      <c r="R159" s="3"/>
      <c r="S159" s="3"/>
      <c r="T159" s="2"/>
      <c r="U159" s="3"/>
      <c r="V159" s="3"/>
      <c r="W159" s="3"/>
      <c r="X159" s="3"/>
      <c r="Y159" s="3"/>
      <c r="Z159" s="3"/>
      <c r="AA159" s="2"/>
      <c r="AB159" s="5"/>
      <c r="AC159" s="5"/>
      <c r="AD159" s="5"/>
      <c r="AE159" s="5"/>
      <c r="AF159" s="5"/>
      <c r="AG159" s="5"/>
      <c r="AH159" s="5"/>
      <c r="AI159" s="1"/>
      <c r="AJ159" s="6"/>
      <c r="AK159" s="3"/>
      <c r="AL159" s="2"/>
      <c r="AM159" s="3"/>
      <c r="AN159" s="3"/>
      <c r="AO159" s="3"/>
      <c r="AP159" s="3"/>
      <c r="AQ159" s="3"/>
      <c r="AR159" s="3"/>
      <c r="AS159" s="227"/>
      <c r="AT159" s="227"/>
      <c r="AU159" s="227"/>
      <c r="AV159" s="227"/>
      <c r="AW159" s="1"/>
      <c r="AX159" s="227"/>
      <c r="AY159" s="227"/>
      <c r="AZ159" s="1"/>
      <c r="BA159" s="227"/>
      <c r="BB159" s="227"/>
      <c r="BC159" s="227"/>
      <c r="BD159" s="1"/>
    </row>
    <row x14ac:dyDescent="0.25" r="160" customHeight="1" ht="18" hidden="1">
      <c r="A160" s="227"/>
      <c r="B160" s="1"/>
      <c r="C160" s="5"/>
      <c r="D160" s="5"/>
      <c r="E160" s="5"/>
      <c r="F160" s="5"/>
      <c r="G160" s="7"/>
      <c r="H160" s="293"/>
      <c r="I160" s="3"/>
      <c r="J160" s="1"/>
      <c r="K160" s="1"/>
      <c r="L160" s="2"/>
      <c r="M160" s="3"/>
      <c r="N160" s="333"/>
      <c r="O160" s="6"/>
      <c r="P160" s="7"/>
      <c r="Q160" s="3"/>
      <c r="R160" s="3"/>
      <c r="S160" s="3"/>
      <c r="T160" s="2"/>
      <c r="U160" s="3"/>
      <c r="V160" s="3"/>
      <c r="W160" s="3"/>
      <c r="X160" s="3"/>
      <c r="Y160" s="3"/>
      <c r="Z160" s="3"/>
      <c r="AA160" s="2"/>
      <c r="AB160" s="5"/>
      <c r="AC160" s="5"/>
      <c r="AD160" s="5"/>
      <c r="AE160" s="5"/>
      <c r="AF160" s="5"/>
      <c r="AG160" s="5"/>
      <c r="AH160" s="5"/>
      <c r="AI160" s="1"/>
      <c r="AJ160" s="6"/>
      <c r="AK160" s="3"/>
      <c r="AL160" s="2"/>
      <c r="AM160" s="3"/>
      <c r="AN160" s="3"/>
      <c r="AO160" s="3"/>
      <c r="AP160" s="3"/>
      <c r="AQ160" s="3"/>
      <c r="AR160" s="3"/>
      <c r="AS160" s="227"/>
      <c r="AT160" s="227"/>
      <c r="AU160" s="227"/>
      <c r="AV160" s="227"/>
      <c r="AW160" s="1"/>
      <c r="AX160" s="227"/>
      <c r="AY160" s="227"/>
      <c r="AZ160" s="1"/>
      <c r="BA160" s="227"/>
      <c r="BB160" s="227"/>
      <c r="BC160" s="227"/>
      <c r="BD160" s="1"/>
    </row>
    <row x14ac:dyDescent="0.25" r="161" customHeight="1" ht="18" hidden="1">
      <c r="A161" s="227"/>
      <c r="B161" s="1"/>
      <c r="C161" s="5"/>
      <c r="D161" s="5"/>
      <c r="E161" s="5"/>
      <c r="F161" s="5"/>
      <c r="G161" s="7"/>
      <c r="H161" s="3"/>
      <c r="I161" s="3"/>
      <c r="J161" s="1"/>
      <c r="K161" s="1"/>
      <c r="L161" s="2"/>
      <c r="M161" s="3"/>
      <c r="N161" s="333"/>
      <c r="O161" s="6"/>
      <c r="P161" s="7"/>
      <c r="Q161" s="3"/>
      <c r="R161" s="3"/>
      <c r="S161" s="3"/>
      <c r="T161" s="2"/>
      <c r="U161" s="3"/>
      <c r="V161" s="3"/>
      <c r="W161" s="3"/>
      <c r="X161" s="3"/>
      <c r="Y161" s="3"/>
      <c r="Z161" s="3"/>
      <c r="AA161" s="2"/>
      <c r="AB161" s="5"/>
      <c r="AC161" s="5"/>
      <c r="AD161" s="5"/>
      <c r="AE161" s="5"/>
      <c r="AF161" s="5"/>
      <c r="AG161" s="5"/>
      <c r="AH161" s="5"/>
      <c r="AI161" s="1"/>
      <c r="AJ161" s="6"/>
      <c r="AK161" s="3"/>
      <c r="AL161" s="2"/>
      <c r="AM161" s="3"/>
      <c r="AN161" s="3"/>
      <c r="AO161" s="3"/>
      <c r="AP161" s="3"/>
      <c r="AQ161" s="3"/>
      <c r="AR161" s="3"/>
      <c r="AS161" s="227"/>
      <c r="AT161" s="227"/>
      <c r="AU161" s="227"/>
      <c r="AV161" s="227"/>
      <c r="AW161" s="1"/>
      <c r="AX161" s="227"/>
      <c r="AY161" s="227"/>
      <c r="AZ161" s="1"/>
      <c r="BA161" s="227"/>
      <c r="BB161" s="227"/>
      <c r="BC161" s="227"/>
      <c r="BD161" s="1"/>
    </row>
  </sheetData>
  <mergeCells count="93">
    <mergeCell ref="H10:Z10"/>
    <mergeCell ref="I11:N12"/>
    <mergeCell ref="Q11:Q12"/>
    <mergeCell ref="R11:X12"/>
    <mergeCell ref="AB11:AH14"/>
    <mergeCell ref="H13:M14"/>
    <mergeCell ref="N13:O14"/>
    <mergeCell ref="R13:T13"/>
    <mergeCell ref="U13:V13"/>
    <mergeCell ref="W13:Y13"/>
    <mergeCell ref="R14:T14"/>
    <mergeCell ref="U14:V14"/>
    <mergeCell ref="W14:Y14"/>
    <mergeCell ref="H15:H18"/>
    <mergeCell ref="I15:J18"/>
    <mergeCell ref="K15:K18"/>
    <mergeCell ref="L15:L18"/>
    <mergeCell ref="M15:M18"/>
    <mergeCell ref="N15:N18"/>
    <mergeCell ref="O15:O17"/>
    <mergeCell ref="Q15:V16"/>
    <mergeCell ref="W15:Y15"/>
    <mergeCell ref="AB15:AH15"/>
    <mergeCell ref="W16:Y16"/>
    <mergeCell ref="AB16:AH16"/>
    <mergeCell ref="AI16:AI22"/>
    <mergeCell ref="Q17:Q18"/>
    <mergeCell ref="R17:R22"/>
    <mergeCell ref="S17:S22"/>
    <mergeCell ref="T17:T21"/>
    <mergeCell ref="W17:X17"/>
    <mergeCell ref="AB17:AB20"/>
    <mergeCell ref="AC17:AC20"/>
    <mergeCell ref="AD17:AD20"/>
    <mergeCell ref="AE17:AE20"/>
    <mergeCell ref="AF17:AF20"/>
    <mergeCell ref="AG17:AG20"/>
    <mergeCell ref="AH17:AH21"/>
    <mergeCell ref="U18:U20"/>
    <mergeCell ref="V18:V20"/>
    <mergeCell ref="W18:W20"/>
    <mergeCell ref="X18:X20"/>
    <mergeCell ref="Y18:Y20"/>
    <mergeCell ref="I19:J19"/>
    <mergeCell ref="Q19:Q21"/>
    <mergeCell ref="Z19:Z20"/>
    <mergeCell ref="I20:J20"/>
    <mergeCell ref="I21:J21"/>
    <mergeCell ref="I22:J22"/>
    <mergeCell ref="AM22:AR22"/>
    <mergeCell ref="I23:J23"/>
    <mergeCell ref="I24:J24"/>
    <mergeCell ref="I25:J25"/>
    <mergeCell ref="I26:J26"/>
    <mergeCell ref="I27:J27"/>
    <mergeCell ref="I28:J28"/>
    <mergeCell ref="I29:J29"/>
    <mergeCell ref="I30:J30"/>
    <mergeCell ref="I31:J31"/>
    <mergeCell ref="I32:J32"/>
    <mergeCell ref="I33:J33"/>
    <mergeCell ref="I34:J34"/>
    <mergeCell ref="I35:J35"/>
    <mergeCell ref="I36:J36"/>
    <mergeCell ref="I37:J37"/>
    <mergeCell ref="I38:J38"/>
    <mergeCell ref="H39:M39"/>
    <mergeCell ref="H40:M40"/>
    <mergeCell ref="N40:O40"/>
    <mergeCell ref="H41:O41"/>
    <mergeCell ref="Q89:Z89"/>
    <mergeCell ref="AB89:AH92"/>
    <mergeCell ref="Q90:X92"/>
    <mergeCell ref="Y90:Y92"/>
    <mergeCell ref="Z90:Z92"/>
    <mergeCell ref="Q98:Z98"/>
    <mergeCell ref="AB98:AG98"/>
    <mergeCell ref="Q99:Z128"/>
    <mergeCell ref="AB99:AG99"/>
    <mergeCell ref="H131:O132"/>
    <mergeCell ref="I133:O134"/>
    <mergeCell ref="I135:O136"/>
    <mergeCell ref="I137:O138"/>
    <mergeCell ref="I139:O142"/>
    <mergeCell ref="I143:O146"/>
    <mergeCell ref="I147:O147"/>
    <mergeCell ref="I148:O148"/>
    <mergeCell ref="I149:O149"/>
    <mergeCell ref="I150:O150"/>
    <mergeCell ref="I151:O151"/>
    <mergeCell ref="I152:O156"/>
    <mergeCell ref="H157:H159"/>
    <mergeCell ref="I157:O15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X236"/>
  <sheetViews>
    <sheetView workbookViewId="0" tabSelected="1"/>
  </sheetViews>
  <sheetFormatPr defaultRowHeight="15" x14ac:dyDescent="0.25"/>
  <cols>
    <col min="1" max="1" style="245" width="12.43357142857143" customWidth="1" bestFit="1" hidden="1"/>
    <col min="2" max="2" style="245" width="12.43357142857143" customWidth="1" bestFit="1" hidden="1"/>
    <col min="3" max="3" style="245" width="12.43357142857143" customWidth="1" bestFit="1" hidden="1"/>
    <col min="4" max="4" style="245" width="12.43357142857143" customWidth="1" bestFit="1" hidden="1"/>
    <col min="5" max="5" style="245" width="12.43357142857143" customWidth="1" bestFit="1" hidden="1"/>
    <col min="6" max="6" style="245" width="12.43357142857143" customWidth="1" bestFit="1" hidden="1"/>
    <col min="7" max="7" style="245" width="12.43357142857143" customWidth="1" bestFit="1" hidden="1"/>
    <col min="8" max="8" style="245" width="12.43357142857143" customWidth="1" bestFit="1" hidden="1"/>
    <col min="9" max="9" style="245" width="12.43357142857143" customWidth="1" bestFit="1" hidden="1"/>
    <col min="10" max="10" style="245" width="12.43357142857143" customWidth="1" bestFit="1" hidden="1"/>
    <col min="11" max="11" style="245" width="12.43357142857143" customWidth="1" bestFit="1" hidden="1"/>
    <col min="12" max="12" style="245" width="12.43357142857143" customWidth="1" bestFit="1" hidden="1"/>
    <col min="13" max="13" style="245" width="12.43357142857143" customWidth="1" bestFit="1" hidden="1"/>
    <col min="14" max="14" style="245" width="12.43357142857143" customWidth="1" bestFit="1" hidden="1"/>
    <col min="15" max="15" style="245" width="1.5764285714285713" customWidth="1" bestFit="1"/>
    <col min="16" max="16" style="217" width="21.576428571428572" customWidth="1" bestFit="1"/>
    <col min="17" max="17" style="217" width="9.005" customWidth="1" bestFit="1"/>
    <col min="18" max="18" style="225" width="5.005" customWidth="1" bestFit="1"/>
    <col min="19" max="19" style="218" width="6.576428571428571" customWidth="1" bestFit="1"/>
    <col min="20" max="20" style="225" width="4.576428571428571" customWidth="1" bestFit="1"/>
    <col min="21" max="21" style="218" width="6.576428571428571" customWidth="1" bestFit="1"/>
    <col min="22" max="22" style="225" width="4.576428571428571" customWidth="1" bestFit="1"/>
    <col min="23" max="23" style="218" width="6.576428571428571" customWidth="1" bestFit="1"/>
    <col min="24" max="24" style="225" width="4.576428571428571" customWidth="1" bestFit="1"/>
    <col min="25" max="25" style="218" width="6.576428571428571" customWidth="1" bestFit="1"/>
    <col min="26" max="26" style="225" width="4.576428571428571" customWidth="1" bestFit="1"/>
    <col min="27" max="27" style="218" width="6.576428571428571" customWidth="1" bestFit="1"/>
    <col min="28" max="28" style="217" width="4.576428571428571" customWidth="1" bestFit="1"/>
    <col min="29" max="29" style="216" width="6.576428571428571" customWidth="1" bestFit="1"/>
    <col min="30" max="30" style="246" width="1.005" customWidth="1" bestFit="1"/>
    <col min="31" max="31" style="587" width="8.576428571428572" customWidth="1" bestFit="1"/>
    <col min="32" max="32" style="588" width="14.576428571428572" customWidth="1" bestFit="1"/>
    <col min="33" max="33" style="589" width="10.147857142857141" customWidth="1" bestFit="1"/>
    <col min="34" max="34" style="587" width="7.005" customWidth="1" bestFit="1"/>
    <col min="35" max="35" style="587" width="7.005" customWidth="1" bestFit="1"/>
    <col min="36" max="36" style="587" width="7.005" customWidth="1" bestFit="1"/>
    <col min="37" max="37" style="587" width="7.005" customWidth="1" bestFit="1"/>
    <col min="38" max="38" style="590" width="9.719285714285713" customWidth="1" bestFit="1"/>
    <col min="39" max="39" style="590" width="9.719285714285713" customWidth="1" bestFit="1"/>
    <col min="40" max="40" style="590" width="9.719285714285713" customWidth="1" bestFit="1"/>
    <col min="41" max="41" style="590" width="9.719285714285713" customWidth="1" bestFit="1"/>
    <col min="42" max="42" style="590" width="9.719285714285713" customWidth="1" bestFit="1"/>
    <col min="43" max="43" style="218" width="1.1478571428571427" customWidth="1" bestFit="1"/>
    <col min="44" max="44" style="220" width="12.43357142857143" customWidth="1" bestFit="1" hidden="1"/>
    <col min="45" max="45" style="218" width="12.43357142857143" customWidth="1" bestFit="1" hidden="1"/>
    <col min="46" max="46" style="218" width="12.43357142857143" customWidth="1" bestFit="1" hidden="1"/>
    <col min="47" max="47" style="217" width="12.43357142857143" customWidth="1" bestFit="1" hidden="1"/>
    <col min="48" max="48" style="218" width="12.43357142857143" customWidth="1" bestFit="1" hidden="1"/>
    <col min="49" max="49" style="218" width="12.43357142857143" customWidth="1" bestFit="1" hidden="1"/>
    <col min="50" max="50" style="218" width="12.43357142857143" customWidth="1" bestFit="1" hidden="1"/>
    <col min="51" max="51" style="218" width="12.43357142857143" customWidth="1" bestFit="1" hidden="1"/>
    <col min="52" max="52" style="218" width="12.43357142857143" customWidth="1" bestFit="1" hidden="1"/>
    <col min="53" max="53" style="591" width="12.43357142857143" customWidth="1" bestFit="1" hidden="1"/>
    <col min="54" max="54" style="218" width="12.43357142857143" customWidth="1" bestFit="1" hidden="1"/>
    <col min="55" max="55" style="218" width="12.43357142857143" customWidth="1" bestFit="1" hidden="1"/>
    <col min="56" max="56" style="218" width="12.43357142857143" customWidth="1" bestFit="1" hidden="1"/>
    <col min="57" max="57" style="218" width="12.43357142857143" customWidth="1" bestFit="1" hidden="1"/>
    <col min="58" max="58" style="218" width="12.43357142857143" customWidth="1" bestFit="1" hidden="1"/>
    <col min="59" max="59" style="218" width="12.43357142857143" customWidth="1" bestFit="1" hidden="1"/>
    <col min="60" max="60" style="218" width="12.43357142857143" customWidth="1" bestFit="1" hidden="1"/>
    <col min="61" max="61" style="218" width="12.43357142857143" customWidth="1" bestFit="1" hidden="1"/>
    <col min="62" max="62" style="218" width="12.43357142857143" customWidth="1" bestFit="1" hidden="1"/>
    <col min="63" max="63" style="218" width="12.43357142857143" customWidth="1" bestFit="1" hidden="1"/>
    <col min="64" max="64" style="218" width="12.43357142857143" customWidth="1" bestFit="1" hidden="1"/>
    <col min="65" max="65" style="217" width="12.43357142857143" customWidth="1" bestFit="1" hidden="1"/>
    <col min="66" max="66" style="216" width="12.43357142857143" customWidth="1" bestFit="1" hidden="1"/>
    <col min="67" max="67" style="592" width="12.43357142857143" customWidth="1" bestFit="1" hidden="1"/>
    <col min="68" max="68" style="592" width="12.43357142857143" customWidth="1" bestFit="1" hidden="1"/>
    <col min="69" max="69" style="592" width="12.43357142857143" customWidth="1" bestFit="1" hidden="1"/>
    <col min="70" max="70" style="592" width="12.43357142857143" customWidth="1" bestFit="1" hidden="1"/>
    <col min="71" max="71" style="216" width="12.43357142857143" customWidth="1" bestFit="1" hidden="1"/>
    <col min="72" max="72" style="216" width="12.43357142857143" customWidth="1" bestFit="1" hidden="1"/>
    <col min="73" max="73" style="216" width="12.43357142857143" customWidth="1" bestFit="1" hidden="1"/>
    <col min="74" max="74" style="216" width="12.43357142857143" customWidth="1" bestFit="1" hidden="1"/>
    <col min="75" max="75" style="216" width="12.43357142857143" customWidth="1" bestFit="1" hidden="1"/>
    <col min="76" max="76" style="216" width="12.43357142857143" customWidth="1" bestFit="1" hidden="1"/>
  </cols>
  <sheetData>
    <row x14ac:dyDescent="0.25" r="1" customHeight="1" ht="18">
      <c r="A1" s="227"/>
      <c r="B1" s="227"/>
      <c r="C1" s="227"/>
      <c r="D1" s="227"/>
      <c r="E1" s="227"/>
      <c r="F1" s="227"/>
      <c r="G1" s="227"/>
      <c r="H1" s="227"/>
      <c r="I1" s="227"/>
      <c r="J1" s="227"/>
      <c r="K1" s="227"/>
      <c r="L1" s="227"/>
      <c r="M1" s="227"/>
      <c r="N1" s="227"/>
      <c r="O1" s="227"/>
      <c r="P1" s="2"/>
      <c r="Q1" s="2"/>
      <c r="R1" s="9"/>
      <c r="S1" s="3"/>
      <c r="T1" s="9"/>
      <c r="U1" s="3"/>
      <c r="V1" s="9"/>
      <c r="W1" s="3"/>
      <c r="X1" s="9"/>
      <c r="Y1" s="3"/>
      <c r="Z1" s="9"/>
      <c r="AA1" s="3"/>
      <c r="AB1" s="2"/>
      <c r="AC1" s="1"/>
      <c r="AD1" s="228"/>
      <c r="AE1" s="3"/>
      <c r="AF1" s="333"/>
      <c r="AG1" s="2"/>
      <c r="AH1" s="6"/>
      <c r="AI1" s="6"/>
      <c r="AJ1" s="6"/>
      <c r="AK1" s="6"/>
      <c r="AL1" s="6"/>
      <c r="AM1" s="6"/>
      <c r="AN1" s="6"/>
      <c r="AO1" s="6"/>
      <c r="AP1" s="6"/>
      <c r="AQ1" s="3"/>
      <c r="AR1" s="5"/>
      <c r="AS1" s="3"/>
      <c r="AT1" s="3"/>
      <c r="AU1" s="2"/>
      <c r="AV1" s="3"/>
      <c r="AW1" s="3"/>
      <c r="AX1" s="3"/>
      <c r="AY1" s="3"/>
      <c r="AZ1" s="3"/>
      <c r="BA1" s="3"/>
      <c r="BB1" s="3"/>
      <c r="BC1" s="3"/>
      <c r="BD1" s="3"/>
      <c r="BE1" s="3"/>
      <c r="BF1" s="3"/>
      <c r="BG1" s="3"/>
      <c r="BH1" s="3"/>
      <c r="BI1" s="3"/>
      <c r="BJ1" s="3"/>
      <c r="BK1" s="3"/>
      <c r="BL1" s="3"/>
      <c r="BM1" s="2"/>
      <c r="BN1" s="1"/>
      <c r="BO1" s="334"/>
      <c r="BP1" s="334"/>
      <c r="BQ1" s="334"/>
      <c r="BR1" s="334"/>
      <c r="BS1" s="1"/>
      <c r="BT1" s="1"/>
      <c r="BU1" s="1"/>
      <c r="BV1" s="1"/>
      <c r="BW1" s="1"/>
      <c r="BX1" s="1"/>
    </row>
    <row x14ac:dyDescent="0.25" r="2" customHeight="1" ht="18">
      <c r="A2" s="227"/>
      <c r="B2" s="227"/>
      <c r="C2" s="227"/>
      <c r="D2" s="227"/>
      <c r="E2" s="227"/>
      <c r="F2" s="227"/>
      <c r="G2" s="227"/>
      <c r="H2" s="227"/>
      <c r="I2" s="227"/>
      <c r="J2" s="227"/>
      <c r="K2" s="227"/>
      <c r="L2" s="227"/>
      <c r="M2" s="227"/>
      <c r="N2" s="227"/>
      <c r="O2" s="227"/>
      <c r="P2" s="2"/>
      <c r="Q2" s="2"/>
      <c r="R2" s="9"/>
      <c r="S2" s="3"/>
      <c r="T2" s="9"/>
      <c r="U2" s="3"/>
      <c r="V2" s="9"/>
      <c r="W2" s="3"/>
      <c r="X2" s="9"/>
      <c r="Y2" s="3"/>
      <c r="Z2" s="9"/>
      <c r="AA2" s="3"/>
      <c r="AB2" s="2"/>
      <c r="AC2" s="1"/>
      <c r="AD2" s="228"/>
      <c r="AE2" s="3"/>
      <c r="AF2" s="333"/>
      <c r="AG2" s="2"/>
      <c r="AH2" s="6"/>
      <c r="AI2" s="6"/>
      <c r="AJ2" s="6"/>
      <c r="AK2" s="6"/>
      <c r="AL2" s="6"/>
      <c r="AM2" s="6"/>
      <c r="AN2" s="6"/>
      <c r="AO2" s="6"/>
      <c r="AP2" s="6"/>
      <c r="AQ2" s="3"/>
      <c r="AR2" s="5"/>
      <c r="AS2" s="3"/>
      <c r="AT2" s="3"/>
      <c r="AU2" s="2"/>
      <c r="AV2" s="3"/>
      <c r="AW2" s="3"/>
      <c r="AX2" s="3"/>
      <c r="AY2" s="3"/>
      <c r="AZ2" s="3"/>
      <c r="BA2" s="3"/>
      <c r="BB2" s="3"/>
      <c r="BC2" s="3"/>
      <c r="BD2" s="3"/>
      <c r="BE2" s="3"/>
      <c r="BF2" s="3"/>
      <c r="BG2" s="3"/>
      <c r="BH2" s="3"/>
      <c r="BI2" s="3"/>
      <c r="BJ2" s="3"/>
      <c r="BK2" s="3"/>
      <c r="BL2" s="3"/>
      <c r="BM2" s="2"/>
      <c r="BN2" s="1"/>
      <c r="BO2" s="334"/>
      <c r="BP2" s="334"/>
      <c r="BQ2" s="334"/>
      <c r="BR2" s="334"/>
      <c r="BS2" s="1"/>
      <c r="BT2" s="1"/>
      <c r="BU2" s="1"/>
      <c r="BV2" s="1"/>
      <c r="BW2" s="1"/>
      <c r="BX2" s="1"/>
    </row>
    <row x14ac:dyDescent="0.25" r="3" customHeight="1" ht="18">
      <c r="A3" s="227"/>
      <c r="B3" s="227"/>
      <c r="C3" s="227"/>
      <c r="D3" s="227"/>
      <c r="E3" s="227"/>
      <c r="F3" s="227"/>
      <c r="G3" s="227"/>
      <c r="H3" s="227"/>
      <c r="I3" s="227"/>
      <c r="J3" s="227"/>
      <c r="K3" s="227"/>
      <c r="L3" s="227"/>
      <c r="M3" s="227"/>
      <c r="N3" s="227"/>
      <c r="O3" s="227"/>
      <c r="P3" s="2"/>
      <c r="Q3" s="2"/>
      <c r="R3" s="9"/>
      <c r="S3" s="3"/>
      <c r="T3" s="9"/>
      <c r="U3" s="3"/>
      <c r="V3" s="9"/>
      <c r="W3" s="3"/>
      <c r="X3" s="9"/>
      <c r="Y3" s="3"/>
      <c r="Z3" s="9"/>
      <c r="AA3" s="3"/>
      <c r="AB3" s="2"/>
      <c r="AC3" s="1"/>
      <c r="AD3" s="228"/>
      <c r="AE3" s="3"/>
      <c r="AF3" s="333"/>
      <c r="AG3" s="2"/>
      <c r="AH3" s="6"/>
      <c r="AI3" s="6"/>
      <c r="AJ3" s="6"/>
      <c r="AK3" s="6"/>
      <c r="AL3" s="6"/>
      <c r="AM3" s="6"/>
      <c r="AN3" s="6"/>
      <c r="AO3" s="6"/>
      <c r="AP3" s="6"/>
      <c r="AQ3" s="3"/>
      <c r="AR3" s="5"/>
      <c r="AS3" s="3"/>
      <c r="AT3" s="3"/>
      <c r="AU3" s="2"/>
      <c r="AV3" s="3"/>
      <c r="AW3" s="3"/>
      <c r="AX3" s="3"/>
      <c r="AY3" s="3"/>
      <c r="AZ3" s="3"/>
      <c r="BA3" s="3"/>
      <c r="BB3" s="3"/>
      <c r="BC3" s="3"/>
      <c r="BD3" s="3"/>
      <c r="BE3" s="3"/>
      <c r="BF3" s="3"/>
      <c r="BG3" s="3"/>
      <c r="BH3" s="3"/>
      <c r="BI3" s="3"/>
      <c r="BJ3" s="3"/>
      <c r="BK3" s="3"/>
      <c r="BL3" s="3"/>
      <c r="BM3" s="2"/>
      <c r="BN3" s="1"/>
      <c r="BO3" s="334"/>
      <c r="BP3" s="334"/>
      <c r="BQ3" s="334"/>
      <c r="BR3" s="334"/>
      <c r="BS3" s="1"/>
      <c r="BT3" s="1"/>
      <c r="BU3" s="1"/>
      <c r="BV3" s="1"/>
      <c r="BW3" s="1"/>
      <c r="BX3" s="1"/>
    </row>
    <row x14ac:dyDescent="0.25" r="4" customHeight="1" ht="18">
      <c r="A4" s="227"/>
      <c r="B4" s="227"/>
      <c r="C4" s="227"/>
      <c r="D4" s="227"/>
      <c r="E4" s="227"/>
      <c r="F4" s="227"/>
      <c r="G4" s="227"/>
      <c r="H4" s="227"/>
      <c r="I4" s="227"/>
      <c r="J4" s="227"/>
      <c r="K4" s="227"/>
      <c r="L4" s="227"/>
      <c r="M4" s="227"/>
      <c r="N4" s="227"/>
      <c r="O4" s="227"/>
      <c r="P4" s="2"/>
      <c r="Q4" s="2"/>
      <c r="R4" s="9"/>
      <c r="S4" s="3"/>
      <c r="T4" s="9"/>
      <c r="U4" s="3"/>
      <c r="V4" s="9"/>
      <c r="W4" s="3"/>
      <c r="X4" s="9"/>
      <c r="Y4" s="3"/>
      <c r="Z4" s="9"/>
      <c r="AA4" s="3"/>
      <c r="AB4" s="2"/>
      <c r="AC4" s="1"/>
      <c r="AD4" s="228"/>
      <c r="AE4" s="3"/>
      <c r="AF4" s="333"/>
      <c r="AG4" s="2"/>
      <c r="AH4" s="6"/>
      <c r="AI4" s="6"/>
      <c r="AJ4" s="6"/>
      <c r="AK4" s="6"/>
      <c r="AL4" s="6"/>
      <c r="AM4" s="6"/>
      <c r="AN4" s="6"/>
      <c r="AO4" s="6"/>
      <c r="AP4" s="6"/>
      <c r="AQ4" s="3"/>
      <c r="AR4" s="5"/>
      <c r="AS4" s="3"/>
      <c r="AT4" s="3"/>
      <c r="AU4" s="2"/>
      <c r="AV4" s="3"/>
      <c r="AW4" s="3"/>
      <c r="AX4" s="3"/>
      <c r="AY4" s="3"/>
      <c r="AZ4" s="3"/>
      <c r="BA4" s="3"/>
      <c r="BB4" s="3"/>
      <c r="BC4" s="3"/>
      <c r="BD4" s="3"/>
      <c r="BE4" s="3"/>
      <c r="BF4" s="3"/>
      <c r="BG4" s="3"/>
      <c r="BH4" s="3"/>
      <c r="BI4" s="3"/>
      <c r="BJ4" s="3"/>
      <c r="BK4" s="3"/>
      <c r="BL4" s="3"/>
      <c r="BM4" s="2"/>
      <c r="BN4" s="1"/>
      <c r="BO4" s="334"/>
      <c r="BP4" s="334"/>
      <c r="BQ4" s="334"/>
      <c r="BR4" s="334"/>
      <c r="BS4" s="1"/>
      <c r="BT4" s="1"/>
      <c r="BU4" s="1"/>
      <c r="BV4" s="1"/>
      <c r="BW4" s="1"/>
      <c r="BX4" s="1"/>
    </row>
    <row x14ac:dyDescent="0.25" r="5" customHeight="1" ht="18">
      <c r="A5" s="227"/>
      <c r="B5" s="227"/>
      <c r="C5" s="227"/>
      <c r="D5" s="227"/>
      <c r="E5" s="227"/>
      <c r="F5" s="227"/>
      <c r="G5" s="227"/>
      <c r="H5" s="227"/>
      <c r="I5" s="227"/>
      <c r="J5" s="227"/>
      <c r="K5" s="227"/>
      <c r="L5" s="227"/>
      <c r="M5" s="227"/>
      <c r="N5" s="227"/>
      <c r="O5" s="227"/>
      <c r="P5" s="2"/>
      <c r="Q5" s="2"/>
      <c r="R5" s="9"/>
      <c r="S5" s="3"/>
      <c r="T5" s="9"/>
      <c r="U5" s="3"/>
      <c r="V5" s="9"/>
      <c r="W5" s="3"/>
      <c r="X5" s="9"/>
      <c r="Y5" s="3"/>
      <c r="Z5" s="9"/>
      <c r="AA5" s="3"/>
      <c r="AB5" s="2"/>
      <c r="AC5" s="1"/>
      <c r="AD5" s="228"/>
      <c r="AE5" s="3"/>
      <c r="AF5" s="333"/>
      <c r="AG5" s="2"/>
      <c r="AH5" s="6"/>
      <c r="AI5" s="6"/>
      <c r="AJ5" s="6"/>
      <c r="AK5" s="6"/>
      <c r="AL5" s="6"/>
      <c r="AM5" s="6"/>
      <c r="AN5" s="6"/>
      <c r="AO5" s="6"/>
      <c r="AP5" s="6"/>
      <c r="AQ5" s="3"/>
      <c r="AR5" s="5"/>
      <c r="AS5" s="3"/>
      <c r="AT5" s="3"/>
      <c r="AU5" s="2"/>
      <c r="AV5" s="3"/>
      <c r="AW5" s="3"/>
      <c r="AX5" s="3"/>
      <c r="AY5" s="3"/>
      <c r="AZ5" s="3"/>
      <c r="BA5" s="3"/>
      <c r="BB5" s="3"/>
      <c r="BC5" s="3"/>
      <c r="BD5" s="3"/>
      <c r="BE5" s="3"/>
      <c r="BF5" s="3"/>
      <c r="BG5" s="3"/>
      <c r="BH5" s="3"/>
      <c r="BI5" s="3"/>
      <c r="BJ5" s="3"/>
      <c r="BK5" s="3"/>
      <c r="BL5" s="3"/>
      <c r="BM5" s="2"/>
      <c r="BN5" s="1"/>
      <c r="BO5" s="334"/>
      <c r="BP5" s="334"/>
      <c r="BQ5" s="334"/>
      <c r="BR5" s="334"/>
      <c r="BS5" s="1"/>
      <c r="BT5" s="1"/>
      <c r="BU5" s="1"/>
      <c r="BV5" s="1"/>
      <c r="BW5" s="1"/>
      <c r="BX5" s="1"/>
    </row>
    <row x14ac:dyDescent="0.25" r="6" customHeight="1" ht="18">
      <c r="A6" s="227"/>
      <c r="B6" s="227"/>
      <c r="C6" s="227"/>
      <c r="D6" s="227"/>
      <c r="E6" s="227"/>
      <c r="F6" s="227"/>
      <c r="G6" s="227"/>
      <c r="H6" s="227"/>
      <c r="I6" s="227"/>
      <c r="J6" s="227"/>
      <c r="K6" s="227"/>
      <c r="L6" s="227"/>
      <c r="M6" s="227"/>
      <c r="N6" s="227"/>
      <c r="O6" s="227"/>
      <c r="P6" s="2"/>
      <c r="Q6" s="2"/>
      <c r="R6" s="9"/>
      <c r="S6" s="3"/>
      <c r="T6" s="9"/>
      <c r="U6" s="3"/>
      <c r="V6" s="9"/>
      <c r="W6" s="3"/>
      <c r="X6" s="9"/>
      <c r="Y6" s="3"/>
      <c r="Z6" s="9"/>
      <c r="AA6" s="3"/>
      <c r="AB6" s="2"/>
      <c r="AC6" s="1"/>
      <c r="AD6" s="228"/>
      <c r="AE6" s="3"/>
      <c r="AF6" s="333"/>
      <c r="AG6" s="2"/>
      <c r="AH6" s="6"/>
      <c r="AI6" s="6"/>
      <c r="AJ6" s="6"/>
      <c r="AK6" s="6"/>
      <c r="AL6" s="6"/>
      <c r="AM6" s="6"/>
      <c r="AN6" s="6"/>
      <c r="AO6" s="6"/>
      <c r="AP6" s="6"/>
      <c r="AQ6" s="3"/>
      <c r="AR6" s="5"/>
      <c r="AS6" s="3"/>
      <c r="AT6" s="3"/>
      <c r="AU6" s="2"/>
      <c r="AV6" s="3"/>
      <c r="AW6" s="3"/>
      <c r="AX6" s="3"/>
      <c r="AY6" s="3"/>
      <c r="AZ6" s="3"/>
      <c r="BA6" s="3"/>
      <c r="BB6" s="3"/>
      <c r="BC6" s="3"/>
      <c r="BD6" s="3"/>
      <c r="BE6" s="3"/>
      <c r="BF6" s="3"/>
      <c r="BG6" s="3"/>
      <c r="BH6" s="3"/>
      <c r="BI6" s="3"/>
      <c r="BJ6" s="3"/>
      <c r="BK6" s="3"/>
      <c r="BL6" s="3"/>
      <c r="BM6" s="2"/>
      <c r="BN6" s="1"/>
      <c r="BO6" s="334"/>
      <c r="BP6" s="334"/>
      <c r="BQ6" s="334"/>
      <c r="BR6" s="334"/>
      <c r="BS6" s="1"/>
      <c r="BT6" s="1"/>
      <c r="BU6" s="1"/>
      <c r="BV6" s="1"/>
      <c r="BW6" s="1"/>
      <c r="BX6" s="1"/>
    </row>
    <row x14ac:dyDescent="0.25" r="7" customHeight="1" ht="18">
      <c r="A7" s="227"/>
      <c r="B7" s="227"/>
      <c r="C7" s="227"/>
      <c r="D7" s="227"/>
      <c r="E7" s="227"/>
      <c r="F7" s="227"/>
      <c r="G7" s="227"/>
      <c r="H7" s="227"/>
      <c r="I7" s="227"/>
      <c r="J7" s="227"/>
      <c r="K7" s="227"/>
      <c r="L7" s="227"/>
      <c r="M7" s="227"/>
      <c r="N7" s="227"/>
      <c r="O7" s="227"/>
      <c r="P7" s="2"/>
      <c r="Q7" s="2"/>
      <c r="R7" s="9"/>
      <c r="S7" s="3"/>
      <c r="T7" s="9"/>
      <c r="U7" s="3"/>
      <c r="V7" s="9"/>
      <c r="W7" s="3"/>
      <c r="X7" s="9"/>
      <c r="Y7" s="3"/>
      <c r="Z7" s="9"/>
      <c r="AA7" s="3"/>
      <c r="AB7" s="2"/>
      <c r="AC7" s="1"/>
      <c r="AD7" s="228"/>
      <c r="AE7" s="3"/>
      <c r="AF7" s="333"/>
      <c r="AG7" s="2"/>
      <c r="AH7" s="6"/>
      <c r="AI7" s="6"/>
      <c r="AJ7" s="6"/>
      <c r="AK7" s="6"/>
      <c r="AL7" s="6"/>
      <c r="AM7" s="6"/>
      <c r="AN7" s="6"/>
      <c r="AO7" s="6"/>
      <c r="AP7" s="6"/>
      <c r="AQ7" s="3"/>
      <c r="AR7" s="5"/>
      <c r="AS7" s="3"/>
      <c r="AT7" s="3"/>
      <c r="AU7" s="2"/>
      <c r="AV7" s="3"/>
      <c r="AW7" s="3"/>
      <c r="AX7" s="3"/>
      <c r="AY7" s="3"/>
      <c r="AZ7" s="3"/>
      <c r="BA7" s="3"/>
      <c r="BB7" s="3"/>
      <c r="BC7" s="3"/>
      <c r="BD7" s="3"/>
      <c r="BE7" s="3"/>
      <c r="BF7" s="3"/>
      <c r="BG7" s="3"/>
      <c r="BH7" s="3"/>
      <c r="BI7" s="3"/>
      <c r="BJ7" s="3"/>
      <c r="BK7" s="3"/>
      <c r="BL7" s="3"/>
      <c r="BM7" s="2"/>
      <c r="BN7" s="1"/>
      <c r="BO7" s="334"/>
      <c r="BP7" s="334"/>
      <c r="BQ7" s="334"/>
      <c r="BR7" s="334"/>
      <c r="BS7" s="1"/>
      <c r="BT7" s="1"/>
      <c r="BU7" s="1"/>
      <c r="BV7" s="1"/>
      <c r="BW7" s="1"/>
      <c r="BX7" s="1"/>
    </row>
    <row x14ac:dyDescent="0.25" r="8" customHeight="1" ht="18">
      <c r="A8" s="227"/>
      <c r="B8" s="227"/>
      <c r="C8" s="227"/>
      <c r="D8" s="227"/>
      <c r="E8" s="227"/>
      <c r="F8" s="227"/>
      <c r="G8" s="227"/>
      <c r="H8" s="227"/>
      <c r="I8" s="227"/>
      <c r="J8" s="227"/>
      <c r="K8" s="227"/>
      <c r="L8" s="227"/>
      <c r="M8" s="227"/>
      <c r="N8" s="227"/>
      <c r="O8" s="227"/>
      <c r="P8" s="2"/>
      <c r="Q8" s="2"/>
      <c r="R8" s="9"/>
      <c r="S8" s="3"/>
      <c r="T8" s="9"/>
      <c r="U8" s="3"/>
      <c r="V8" s="9"/>
      <c r="W8" s="3"/>
      <c r="X8" s="9"/>
      <c r="Y8" s="3"/>
      <c r="Z8" s="9"/>
      <c r="AA8" s="3"/>
      <c r="AB8" s="2"/>
      <c r="AC8" s="1"/>
      <c r="AD8" s="228"/>
      <c r="AE8" s="3"/>
      <c r="AF8" s="333"/>
      <c r="AG8" s="2"/>
      <c r="AH8" s="6"/>
      <c r="AI8" s="6"/>
      <c r="AJ8" s="6"/>
      <c r="AK8" s="6"/>
      <c r="AL8" s="6"/>
      <c r="AM8" s="6"/>
      <c r="AN8" s="6"/>
      <c r="AO8" s="6"/>
      <c r="AP8" s="6"/>
      <c r="AQ8" s="3"/>
      <c r="AR8" s="5"/>
      <c r="AS8" s="3"/>
      <c r="AT8" s="3"/>
      <c r="AU8" s="2"/>
      <c r="AV8" s="3"/>
      <c r="AW8" s="3"/>
      <c r="AX8" s="3"/>
      <c r="AY8" s="3"/>
      <c r="AZ8" s="3"/>
      <c r="BA8" s="3"/>
      <c r="BB8" s="3"/>
      <c r="BC8" s="3"/>
      <c r="BD8" s="3"/>
      <c r="BE8" s="3"/>
      <c r="BF8" s="3"/>
      <c r="BG8" s="3"/>
      <c r="BH8" s="3"/>
      <c r="BI8" s="3"/>
      <c r="BJ8" s="3"/>
      <c r="BK8" s="3"/>
      <c r="BL8" s="3"/>
      <c r="BM8" s="2"/>
      <c r="BN8" s="1"/>
      <c r="BO8" s="334"/>
      <c r="BP8" s="334"/>
      <c r="BQ8" s="334"/>
      <c r="BR8" s="334"/>
      <c r="BS8" s="1"/>
      <c r="BT8" s="1"/>
      <c r="BU8" s="1"/>
      <c r="BV8" s="1"/>
      <c r="BW8" s="1"/>
      <c r="BX8" s="1"/>
    </row>
    <row x14ac:dyDescent="0.25" r="9" customHeight="1" ht="18">
      <c r="A9" s="227"/>
      <c r="B9" s="227"/>
      <c r="C9" s="227"/>
      <c r="D9" s="227"/>
      <c r="E9" s="227"/>
      <c r="F9" s="227"/>
      <c r="G9" s="227"/>
      <c r="H9" s="227"/>
      <c r="I9" s="227"/>
      <c r="J9" s="227"/>
      <c r="K9" s="227"/>
      <c r="L9" s="227"/>
      <c r="M9" s="227"/>
      <c r="N9" s="227"/>
      <c r="O9" s="227"/>
      <c r="P9" s="2"/>
      <c r="Q9" s="2"/>
      <c r="R9" s="9"/>
      <c r="S9" s="3"/>
      <c r="T9" s="9"/>
      <c r="U9" s="3"/>
      <c r="V9" s="9"/>
      <c r="W9" s="3"/>
      <c r="X9" s="9"/>
      <c r="Y9" s="3"/>
      <c r="Z9" s="9"/>
      <c r="AA9" s="3"/>
      <c r="AB9" s="2"/>
      <c r="AC9" s="1"/>
      <c r="AD9" s="228"/>
      <c r="AE9" s="3"/>
      <c r="AF9" s="333"/>
      <c r="AG9" s="2"/>
      <c r="AH9" s="6"/>
      <c r="AI9" s="6"/>
      <c r="AJ9" s="6"/>
      <c r="AK9" s="6"/>
      <c r="AL9" s="6"/>
      <c r="AM9" s="6"/>
      <c r="AN9" s="6"/>
      <c r="AO9" s="6"/>
      <c r="AP9" s="6"/>
      <c r="AQ9" s="3"/>
      <c r="AR9" s="5"/>
      <c r="AS9" s="3"/>
      <c r="AT9" s="3"/>
      <c r="AU9" s="2"/>
      <c r="AV9" s="3"/>
      <c r="AW9" s="3"/>
      <c r="AX9" s="3"/>
      <c r="AY9" s="3"/>
      <c r="AZ9" s="3"/>
      <c r="BA9" s="3"/>
      <c r="BB9" s="3"/>
      <c r="BC9" s="3"/>
      <c r="BD9" s="3"/>
      <c r="BE9" s="3"/>
      <c r="BF9" s="3"/>
      <c r="BG9" s="3"/>
      <c r="BH9" s="3"/>
      <c r="BI9" s="3"/>
      <c r="BJ9" s="3"/>
      <c r="BK9" s="3"/>
      <c r="BL9" s="3"/>
      <c r="BM9" s="2"/>
      <c r="BN9" s="1"/>
      <c r="BO9" s="334"/>
      <c r="BP9" s="334"/>
      <c r="BQ9" s="334"/>
      <c r="BR9" s="334"/>
      <c r="BS9" s="1"/>
      <c r="BT9" s="1"/>
      <c r="BU9" s="1"/>
      <c r="BV9" s="1"/>
      <c r="BW9" s="1"/>
      <c r="BX9" s="1"/>
    </row>
    <row x14ac:dyDescent="0.25" r="10" customHeight="1" ht="18">
      <c r="A10" s="227"/>
      <c r="B10" s="227"/>
      <c r="C10" s="227"/>
      <c r="D10" s="227"/>
      <c r="E10" s="227"/>
      <c r="F10" s="227"/>
      <c r="G10" s="227"/>
      <c r="H10" s="227"/>
      <c r="I10" s="227"/>
      <c r="J10" s="227"/>
      <c r="K10" s="227"/>
      <c r="L10" s="227"/>
      <c r="M10" s="227"/>
      <c r="N10" s="227"/>
      <c r="O10" s="227"/>
      <c r="P10" s="2"/>
      <c r="Q10" s="2"/>
      <c r="R10" s="9"/>
      <c r="S10" s="3"/>
      <c r="T10" s="9"/>
      <c r="U10" s="3"/>
      <c r="V10" s="9"/>
      <c r="W10" s="3"/>
      <c r="X10" s="9"/>
      <c r="Y10" s="3"/>
      <c r="Z10" s="9"/>
      <c r="AA10" s="3"/>
      <c r="AB10" s="2"/>
      <c r="AC10" s="1"/>
      <c r="AD10" s="228"/>
      <c r="AE10" s="3"/>
      <c r="AF10" s="333"/>
      <c r="AG10" s="2"/>
      <c r="AH10" s="6"/>
      <c r="AI10" s="6"/>
      <c r="AJ10" s="6"/>
      <c r="AK10" s="6"/>
      <c r="AL10" s="6"/>
      <c r="AM10" s="6"/>
      <c r="AN10" s="6"/>
      <c r="AO10" s="6"/>
      <c r="AP10" s="6"/>
      <c r="AQ10" s="3"/>
      <c r="AR10" s="5"/>
      <c r="AS10" s="3"/>
      <c r="AT10" s="3"/>
      <c r="AU10" s="2"/>
      <c r="AV10" s="3"/>
      <c r="AW10" s="3"/>
      <c r="AX10" s="3"/>
      <c r="AY10" s="3"/>
      <c r="AZ10" s="3"/>
      <c r="BA10" s="3"/>
      <c r="BB10" s="3"/>
      <c r="BC10" s="3"/>
      <c r="BD10" s="3"/>
      <c r="BE10" s="3"/>
      <c r="BF10" s="3"/>
      <c r="BG10" s="3"/>
      <c r="BH10" s="3"/>
      <c r="BI10" s="3"/>
      <c r="BJ10" s="3"/>
      <c r="BK10" s="3"/>
      <c r="BL10" s="3"/>
      <c r="BM10" s="2"/>
      <c r="BN10" s="1"/>
      <c r="BO10" s="334"/>
      <c r="BP10" s="334"/>
      <c r="BQ10" s="334"/>
      <c r="BR10" s="334"/>
      <c r="BS10" s="1"/>
      <c r="BT10" s="1"/>
      <c r="BU10" s="1"/>
      <c r="BV10" s="1"/>
      <c r="BW10" s="1"/>
      <c r="BX10" s="1"/>
    </row>
    <row x14ac:dyDescent="0.25" r="11" customHeight="1" ht="18">
      <c r="A11" s="227"/>
      <c r="B11" s="227"/>
      <c r="C11" s="227"/>
      <c r="D11" s="227"/>
      <c r="E11" s="227"/>
      <c r="F11" s="227"/>
      <c r="G11" s="227"/>
      <c r="H11" s="227"/>
      <c r="I11" s="227"/>
      <c r="J11" s="227"/>
      <c r="K11" s="227"/>
      <c r="L11" s="227"/>
      <c r="M11" s="227"/>
      <c r="N11" s="227"/>
      <c r="O11" s="227"/>
      <c r="P11" s="2"/>
      <c r="Q11" s="2"/>
      <c r="R11" s="9"/>
      <c r="S11" s="3"/>
      <c r="T11" s="9"/>
      <c r="U11" s="3"/>
      <c r="V11" s="9"/>
      <c r="W11" s="3"/>
      <c r="X11" s="9"/>
      <c r="Y11" s="3"/>
      <c r="Z11" s="9"/>
      <c r="AA11" s="3"/>
      <c r="AB11" s="2"/>
      <c r="AC11" s="1"/>
      <c r="AD11" s="228"/>
      <c r="AE11" s="3"/>
      <c r="AF11" s="333"/>
      <c r="AG11" s="2"/>
      <c r="AH11" s="6"/>
      <c r="AI11" s="6"/>
      <c r="AJ11" s="6"/>
      <c r="AK11" s="6"/>
      <c r="AL11" s="6"/>
      <c r="AM11" s="6"/>
      <c r="AN11" s="6"/>
      <c r="AO11" s="6"/>
      <c r="AP11" s="6"/>
      <c r="AQ11" s="3"/>
      <c r="AR11" s="5"/>
      <c r="AS11" s="3"/>
      <c r="AT11" s="3"/>
      <c r="AU11" s="2"/>
      <c r="AV11" s="3"/>
      <c r="AW11" s="3"/>
      <c r="AX11" s="3"/>
      <c r="AY11" s="3"/>
      <c r="AZ11" s="3"/>
      <c r="BA11" s="3"/>
      <c r="BB11" s="3"/>
      <c r="BC11" s="3"/>
      <c r="BD11" s="3"/>
      <c r="BE11" s="3"/>
      <c r="BF11" s="3"/>
      <c r="BG11" s="3"/>
      <c r="BH11" s="3"/>
      <c r="BI11" s="3"/>
      <c r="BJ11" s="3"/>
      <c r="BK11" s="3"/>
      <c r="BL11" s="3"/>
      <c r="BM11" s="2"/>
      <c r="BN11" s="1"/>
      <c r="BO11" s="334"/>
      <c r="BP11" s="334"/>
      <c r="BQ11" s="334"/>
      <c r="BR11" s="334"/>
      <c r="BS11" s="1"/>
      <c r="BT11" s="1"/>
      <c r="BU11" s="1"/>
      <c r="BV11" s="1"/>
      <c r="BW11" s="1"/>
      <c r="BX11" s="1"/>
    </row>
    <row x14ac:dyDescent="0.25" r="12" customHeight="1" ht="18">
      <c r="A12" s="227"/>
      <c r="B12" s="227"/>
      <c r="C12" s="227"/>
      <c r="D12" s="227"/>
      <c r="E12" s="227"/>
      <c r="F12" s="227"/>
      <c r="G12" s="227"/>
      <c r="H12" s="227"/>
      <c r="I12" s="227"/>
      <c r="J12" s="227"/>
      <c r="K12" s="227"/>
      <c r="L12" s="227"/>
      <c r="M12" s="227"/>
      <c r="N12" s="227"/>
      <c r="O12" s="227"/>
      <c r="P12" s="2"/>
      <c r="Q12" s="2"/>
      <c r="R12" s="9"/>
      <c r="S12" s="3"/>
      <c r="T12" s="9"/>
      <c r="U12" s="3"/>
      <c r="V12" s="9"/>
      <c r="W12" s="3"/>
      <c r="X12" s="9"/>
      <c r="Y12" s="3"/>
      <c r="Z12" s="9"/>
      <c r="AA12" s="3"/>
      <c r="AB12" s="2"/>
      <c r="AC12" s="1"/>
      <c r="AD12" s="228"/>
      <c r="AE12" s="3"/>
      <c r="AF12" s="333"/>
      <c r="AG12" s="2"/>
      <c r="AH12" s="6"/>
      <c r="AI12" s="6"/>
      <c r="AJ12" s="6"/>
      <c r="AK12" s="6"/>
      <c r="AL12" s="6"/>
      <c r="AM12" s="6"/>
      <c r="AN12" s="6"/>
      <c r="AO12" s="6"/>
      <c r="AP12" s="6"/>
      <c r="AQ12" s="3"/>
      <c r="AR12" s="5"/>
      <c r="AS12" s="3"/>
      <c r="AT12" s="3"/>
      <c r="AU12" s="2"/>
      <c r="AV12" s="3"/>
      <c r="AW12" s="3"/>
      <c r="AX12" s="3"/>
      <c r="AY12" s="3"/>
      <c r="AZ12" s="3"/>
      <c r="BA12" s="3"/>
      <c r="BB12" s="3"/>
      <c r="BC12" s="3"/>
      <c r="BD12" s="3"/>
      <c r="BE12" s="3"/>
      <c r="BF12" s="3"/>
      <c r="BG12" s="3"/>
      <c r="BH12" s="3"/>
      <c r="BI12" s="3"/>
      <c r="BJ12" s="3"/>
      <c r="BK12" s="3"/>
      <c r="BL12" s="3"/>
      <c r="BM12" s="2"/>
      <c r="BN12" s="1"/>
      <c r="BO12" s="334"/>
      <c r="BP12" s="334"/>
      <c r="BQ12" s="334"/>
      <c r="BR12" s="334"/>
      <c r="BS12" s="1"/>
      <c r="BT12" s="1"/>
      <c r="BU12" s="1"/>
      <c r="BV12" s="1"/>
      <c r="BW12" s="1"/>
      <c r="BX12" s="1"/>
    </row>
    <row x14ac:dyDescent="0.25" r="13" customHeight="1" ht="18">
      <c r="A13" s="227"/>
      <c r="B13" s="227"/>
      <c r="C13" s="227"/>
      <c r="D13" s="227"/>
      <c r="E13" s="227"/>
      <c r="F13" s="227"/>
      <c r="G13" s="227"/>
      <c r="H13" s="227"/>
      <c r="I13" s="227"/>
      <c r="J13" s="227"/>
      <c r="K13" s="227"/>
      <c r="L13" s="227"/>
      <c r="M13" s="227"/>
      <c r="N13" s="227"/>
      <c r="O13" s="227"/>
      <c r="P13" s="2"/>
      <c r="Q13" s="2"/>
      <c r="R13" s="9"/>
      <c r="S13" s="3"/>
      <c r="T13" s="9"/>
      <c r="U13" s="3"/>
      <c r="V13" s="9"/>
      <c r="W13" s="3"/>
      <c r="X13" s="9"/>
      <c r="Y13" s="3"/>
      <c r="Z13" s="9"/>
      <c r="AA13" s="3"/>
      <c r="AB13" s="2"/>
      <c r="AC13" s="1"/>
      <c r="AD13" s="228"/>
      <c r="AE13" s="3"/>
      <c r="AF13" s="333"/>
      <c r="AG13" s="2"/>
      <c r="AH13" s="6"/>
      <c r="AI13" s="6"/>
      <c r="AJ13" s="6"/>
      <c r="AK13" s="6"/>
      <c r="AL13" s="6"/>
      <c r="AM13" s="6"/>
      <c r="AN13" s="6"/>
      <c r="AO13" s="6"/>
      <c r="AP13" s="6"/>
      <c r="AQ13" s="3"/>
      <c r="AR13" s="5"/>
      <c r="AS13" s="3"/>
      <c r="AT13" s="3"/>
      <c r="AU13" s="2"/>
      <c r="AV13" s="3"/>
      <c r="AW13" s="3"/>
      <c r="AX13" s="3"/>
      <c r="AY13" s="3"/>
      <c r="AZ13" s="3"/>
      <c r="BA13" s="3"/>
      <c r="BB13" s="3"/>
      <c r="BC13" s="3"/>
      <c r="BD13" s="3"/>
      <c r="BE13" s="3"/>
      <c r="BF13" s="3"/>
      <c r="BG13" s="3"/>
      <c r="BH13" s="3"/>
      <c r="BI13" s="3"/>
      <c r="BJ13" s="3"/>
      <c r="BK13" s="3"/>
      <c r="BL13" s="3"/>
      <c r="BM13" s="2"/>
      <c r="BN13" s="1"/>
      <c r="BO13" s="334"/>
      <c r="BP13" s="334"/>
      <c r="BQ13" s="334"/>
      <c r="BR13" s="334"/>
      <c r="BS13" s="1"/>
      <c r="BT13" s="1"/>
      <c r="BU13" s="1"/>
      <c r="BV13" s="1"/>
      <c r="BW13" s="1"/>
      <c r="BX13" s="1"/>
    </row>
    <row x14ac:dyDescent="0.25" r="14" customHeight="1" ht="18">
      <c r="A14" s="227"/>
      <c r="B14" s="227"/>
      <c r="C14" s="227"/>
      <c r="D14" s="227"/>
      <c r="E14" s="227"/>
      <c r="F14" s="227"/>
      <c r="G14" s="227"/>
      <c r="H14" s="227"/>
      <c r="I14" s="227"/>
      <c r="J14" s="227"/>
      <c r="K14" s="227"/>
      <c r="L14" s="227"/>
      <c r="M14" s="227"/>
      <c r="N14" s="227"/>
      <c r="O14" s="227"/>
      <c r="P14" s="2"/>
      <c r="Q14" s="2"/>
      <c r="R14" s="9"/>
      <c r="S14" s="3"/>
      <c r="T14" s="9"/>
      <c r="U14" s="3"/>
      <c r="V14" s="9"/>
      <c r="W14" s="3"/>
      <c r="X14" s="9"/>
      <c r="Y14" s="3"/>
      <c r="Z14" s="9"/>
      <c r="AA14" s="3"/>
      <c r="AB14" s="2"/>
      <c r="AC14" s="1"/>
      <c r="AD14" s="228"/>
      <c r="AE14" s="3"/>
      <c r="AF14" s="333"/>
      <c r="AG14" s="2"/>
      <c r="AH14" s="6"/>
      <c r="AI14" s="6"/>
      <c r="AJ14" s="6"/>
      <c r="AK14" s="6"/>
      <c r="AL14" s="6"/>
      <c r="AM14" s="6"/>
      <c r="AN14" s="6"/>
      <c r="AO14" s="6"/>
      <c r="AP14" s="6"/>
      <c r="AQ14" s="3"/>
      <c r="AR14" s="5"/>
      <c r="AS14" s="3"/>
      <c r="AT14" s="3"/>
      <c r="AU14" s="2"/>
      <c r="AV14" s="3"/>
      <c r="AW14" s="3"/>
      <c r="AX14" s="3"/>
      <c r="AY14" s="3"/>
      <c r="AZ14" s="3"/>
      <c r="BA14" s="3"/>
      <c r="BB14" s="3"/>
      <c r="BC14" s="3"/>
      <c r="BD14" s="3"/>
      <c r="BE14" s="3"/>
      <c r="BF14" s="3"/>
      <c r="BG14" s="3"/>
      <c r="BH14" s="3"/>
      <c r="BI14" s="3"/>
      <c r="BJ14" s="3"/>
      <c r="BK14" s="3"/>
      <c r="BL14" s="3"/>
      <c r="BM14" s="2"/>
      <c r="BN14" s="1"/>
      <c r="BO14" s="334"/>
      <c r="BP14" s="334"/>
      <c r="BQ14" s="334"/>
      <c r="BR14" s="334"/>
      <c r="BS14" s="1"/>
      <c r="BT14" s="1"/>
      <c r="BU14" s="1"/>
      <c r="BV14" s="1"/>
      <c r="BW14" s="1"/>
      <c r="BX14" s="1"/>
    </row>
    <row x14ac:dyDescent="0.25" r="15" customHeight="1" ht="18">
      <c r="A15" s="227"/>
      <c r="B15" s="227"/>
      <c r="C15" s="227"/>
      <c r="D15" s="227"/>
      <c r="E15" s="227"/>
      <c r="F15" s="227"/>
      <c r="G15" s="227"/>
      <c r="H15" s="227"/>
      <c r="I15" s="227"/>
      <c r="J15" s="227"/>
      <c r="K15" s="227"/>
      <c r="L15" s="227"/>
      <c r="M15" s="227"/>
      <c r="N15" s="227"/>
      <c r="O15" s="227"/>
      <c r="P15" s="2"/>
      <c r="Q15" s="2"/>
      <c r="R15" s="9"/>
      <c r="S15" s="3"/>
      <c r="T15" s="9"/>
      <c r="U15" s="3"/>
      <c r="V15" s="9"/>
      <c r="W15" s="3"/>
      <c r="X15" s="9"/>
      <c r="Y15" s="3"/>
      <c r="Z15" s="9"/>
      <c r="AA15" s="3"/>
      <c r="AB15" s="2"/>
      <c r="AC15" s="1"/>
      <c r="AD15" s="228"/>
      <c r="AE15" s="3"/>
      <c r="AF15" s="333"/>
      <c r="AG15" s="2"/>
      <c r="AH15" s="6"/>
      <c r="AI15" s="6"/>
      <c r="AJ15" s="6"/>
      <c r="AK15" s="6"/>
      <c r="AL15" s="6"/>
      <c r="AM15" s="6"/>
      <c r="AN15" s="6"/>
      <c r="AO15" s="6"/>
      <c r="AP15" s="6"/>
      <c r="AQ15" s="3"/>
      <c r="AR15" s="5"/>
      <c r="AS15" s="3"/>
      <c r="AT15" s="3"/>
      <c r="AU15" s="2"/>
      <c r="AV15" s="3"/>
      <c r="AW15" s="3"/>
      <c r="AX15" s="3"/>
      <c r="AY15" s="3"/>
      <c r="AZ15" s="3"/>
      <c r="BA15" s="3"/>
      <c r="BB15" s="3"/>
      <c r="BC15" s="3"/>
      <c r="BD15" s="3"/>
      <c r="BE15" s="3"/>
      <c r="BF15" s="3"/>
      <c r="BG15" s="3"/>
      <c r="BH15" s="3"/>
      <c r="BI15" s="3"/>
      <c r="BJ15" s="3"/>
      <c r="BK15" s="3"/>
      <c r="BL15" s="3"/>
      <c r="BM15" s="2"/>
      <c r="BN15" s="1"/>
      <c r="BO15" s="334"/>
      <c r="BP15" s="334"/>
      <c r="BQ15" s="334"/>
      <c r="BR15" s="334"/>
      <c r="BS15" s="1"/>
      <c r="BT15" s="1"/>
      <c r="BU15" s="1"/>
      <c r="BV15" s="1"/>
      <c r="BW15" s="1"/>
      <c r="BX15" s="1"/>
    </row>
    <row x14ac:dyDescent="0.25" r="16" customHeight="1" ht="18">
      <c r="A16" s="227"/>
      <c r="B16" s="227"/>
      <c r="C16" s="227"/>
      <c r="D16" s="227"/>
      <c r="E16" s="227"/>
      <c r="F16" s="227"/>
      <c r="G16" s="227"/>
      <c r="H16" s="227"/>
      <c r="I16" s="227"/>
      <c r="J16" s="227"/>
      <c r="K16" s="227"/>
      <c r="L16" s="227"/>
      <c r="M16" s="227"/>
      <c r="N16" s="227"/>
      <c r="O16" s="227"/>
      <c r="P16" s="2"/>
      <c r="Q16" s="2"/>
      <c r="R16" s="9"/>
      <c r="S16" s="3"/>
      <c r="T16" s="9"/>
      <c r="U16" s="3"/>
      <c r="V16" s="9"/>
      <c r="W16" s="3"/>
      <c r="X16" s="9"/>
      <c r="Y16" s="3"/>
      <c r="Z16" s="9"/>
      <c r="AA16" s="3"/>
      <c r="AB16" s="2"/>
      <c r="AC16" s="335"/>
      <c r="AD16" s="228"/>
      <c r="AE16" s="3"/>
      <c r="AF16" s="333"/>
      <c r="AG16" s="2"/>
      <c r="AH16" s="336">
        <v>1</v>
      </c>
      <c r="AI16" s="336">
        <v>2</v>
      </c>
      <c r="AJ16" s="336">
        <v>3</v>
      </c>
      <c r="AK16" s="336">
        <v>4</v>
      </c>
      <c r="AL16" s="6"/>
      <c r="AM16" s="6"/>
      <c r="AN16" s="6"/>
      <c r="AO16" s="6"/>
      <c r="AP16" s="6"/>
      <c r="AQ16" s="3"/>
      <c r="AR16" s="5"/>
      <c r="AS16" s="3"/>
      <c r="AT16" s="3"/>
      <c r="AU16" s="2"/>
      <c r="AV16" s="3"/>
      <c r="AW16" s="3"/>
      <c r="AX16" s="3"/>
      <c r="AY16" s="3"/>
      <c r="AZ16" s="3"/>
      <c r="BA16" s="337"/>
      <c r="BB16" s="3"/>
      <c r="BC16" s="3"/>
      <c r="BD16" s="17">
        <f>SUMIFS(ProgVssDoneAllYears,ProgQuarter,AK$18,ProgYearDone,$AG21)</f>
      </c>
      <c r="BE16" s="3"/>
      <c r="BF16" s="3"/>
      <c r="BG16" s="3"/>
      <c r="BH16" s="3"/>
      <c r="BI16" s="3"/>
      <c r="BJ16" s="3"/>
      <c r="BK16" s="3"/>
      <c r="BL16" s="3"/>
      <c r="BM16" s="2"/>
      <c r="BN16" s="338"/>
      <c r="BO16" s="339"/>
      <c r="BP16" s="334"/>
      <c r="BQ16" s="334"/>
      <c r="BR16" s="334"/>
      <c r="BS16" s="1"/>
      <c r="BT16" s="1"/>
      <c r="BU16" s="1"/>
      <c r="BV16" s="1"/>
      <c r="BW16" s="1"/>
      <c r="BX16" s="1"/>
    </row>
    <row x14ac:dyDescent="0.25" r="17" customHeight="1" ht="30">
      <c r="A17" s="227"/>
      <c r="B17" s="227"/>
      <c r="C17" s="227"/>
      <c r="D17" s="227"/>
      <c r="E17" s="227"/>
      <c r="F17" s="227"/>
      <c r="G17" s="227"/>
      <c r="H17" s="227"/>
      <c r="I17" s="227"/>
      <c r="J17" s="227"/>
      <c r="K17" s="227"/>
      <c r="L17" s="227"/>
      <c r="M17" s="227"/>
      <c r="N17" s="227"/>
      <c r="O17" s="227"/>
      <c r="P17" s="340">
        <f>Planning!Q13&amp;" Progress Table"</f>
      </c>
      <c r="Q17" s="341"/>
      <c r="R17" s="342"/>
      <c r="S17" s="343"/>
      <c r="T17" s="342"/>
      <c r="U17" s="343"/>
      <c r="V17" s="342"/>
      <c r="W17" s="343"/>
      <c r="X17" s="342"/>
      <c r="Y17" s="343"/>
      <c r="Z17" s="342"/>
      <c r="AA17" s="343"/>
      <c r="AB17" s="341"/>
      <c r="AC17" s="344"/>
      <c r="AD17" s="345"/>
      <c r="AE17" s="346" t="s">
        <v>282</v>
      </c>
      <c r="AF17" s="347"/>
      <c r="AG17" s="348"/>
      <c r="AH17" s="349"/>
      <c r="AI17" s="349"/>
      <c r="AJ17" s="349"/>
      <c r="AK17" s="349"/>
      <c r="AL17" s="349"/>
      <c r="AM17" s="350"/>
      <c r="AN17" s="351" t="s">
        <v>283</v>
      </c>
      <c r="AO17" s="349"/>
      <c r="AP17" s="350"/>
      <c r="AQ17" s="352">
        <v>1</v>
      </c>
      <c r="AR17" s="38">
        <f>MONTH(EOMONTH(Planning!Z14,3))</f>
      </c>
      <c r="AS17" s="38">
        <f>ROUNDUP(MONTH(Planning!Z14+92)/3,0)</f>
      </c>
      <c r="AT17" s="90">
        <f>Planning!G14</f>
      </c>
      <c r="AU17" s="90">
        <f>(AT17&amp;AS17)*1</f>
      </c>
      <c r="AV17" s="69"/>
      <c r="AW17" s="69"/>
      <c r="AX17" s="69"/>
      <c r="AY17" s="69"/>
      <c r="AZ17" s="107">
        <f>SUMIFS(PlanVE_PerBook,PlanYear,AT17)</f>
      </c>
      <c r="BA17" s="38"/>
      <c r="BB17" s="3"/>
      <c r="BC17" s="3"/>
      <c r="BD17" s="3"/>
      <c r="BE17" s="3"/>
      <c r="BF17" s="3"/>
      <c r="BG17" s="3"/>
      <c r="BH17" s="3"/>
      <c r="BI17" s="3"/>
      <c r="BJ17" s="3"/>
      <c r="BK17" s="3"/>
      <c r="BL17" s="353">
        <f>ROUNDUP(DATEDIF(Planning!Z14,Planning!AA15,"m")/3,0)</f>
      </c>
      <c r="BM17" s="2"/>
      <c r="BN17" s="17"/>
      <c r="BO17" s="334"/>
      <c r="BP17" s="17"/>
      <c r="BQ17" s="334"/>
      <c r="BR17" s="334"/>
      <c r="BS17" s="1"/>
      <c r="BT17" s="1"/>
      <c r="BU17" s="1"/>
      <c r="BV17" s="1"/>
      <c r="BW17" s="1"/>
      <c r="BX17" s="1"/>
    </row>
    <row x14ac:dyDescent="0.25" r="18" customHeight="1" ht="30">
      <c r="A18" s="227"/>
      <c r="B18" s="227"/>
      <c r="C18" s="227"/>
      <c r="D18" s="227"/>
      <c r="E18" s="227"/>
      <c r="F18" s="227"/>
      <c r="G18" s="227"/>
      <c r="H18" s="227"/>
      <c r="I18" s="227"/>
      <c r="J18" s="227"/>
      <c r="K18" s="227"/>
      <c r="L18" s="227"/>
      <c r="M18" s="227"/>
      <c r="N18" s="227"/>
      <c r="O18" s="227"/>
      <c r="P18" s="354" t="s">
        <v>284</v>
      </c>
      <c r="Q18" s="355"/>
      <c r="R18" s="356"/>
      <c r="S18" s="357"/>
      <c r="T18" s="356"/>
      <c r="U18" s="357"/>
      <c r="V18" s="356"/>
      <c r="W18" s="357"/>
      <c r="X18" s="356"/>
      <c r="Y18" s="357"/>
      <c r="Z18" s="358"/>
      <c r="AA18" s="359" t="s">
        <v>28</v>
      </c>
      <c r="AB18" s="360">
        <v>2021</v>
      </c>
      <c r="AC18" s="361"/>
      <c r="AD18" s="345"/>
      <c r="AE18" s="362" t="s">
        <v>285</v>
      </c>
      <c r="AF18" s="363"/>
      <c r="AG18" s="364">
        <f>AU18</f>
      </c>
      <c r="AH18" s="365" t="s">
        <v>25</v>
      </c>
      <c r="AI18" s="366" t="s">
        <v>26</v>
      </c>
      <c r="AJ18" s="367" t="s">
        <v>27</v>
      </c>
      <c r="AK18" s="368" t="s">
        <v>28</v>
      </c>
      <c r="AL18" s="369" t="s">
        <v>286</v>
      </c>
      <c r="AM18" s="369" t="s">
        <v>287</v>
      </c>
      <c r="AN18" s="370" t="s">
        <v>193</v>
      </c>
      <c r="AO18" s="371" t="s">
        <v>194</v>
      </c>
      <c r="AP18" s="371" t="s">
        <v>195</v>
      </c>
      <c r="AQ18" s="39"/>
      <c r="AR18" s="38">
        <f>MONTH(EOMONTH(Planning!AA15,3))</f>
      </c>
      <c r="AS18" s="38">
        <f>ROUNDUP(MONTH(Planning!AA15+92)/3,0)</f>
      </c>
      <c r="AT18" s="90">
        <f>Planning!G15</f>
      </c>
      <c r="AU18" s="372">
        <f>VE</f>
      </c>
      <c r="AV18" s="353"/>
      <c r="AW18" s="353"/>
      <c r="AX18" s="353"/>
      <c r="AY18" s="353"/>
      <c r="AZ18" s="17">
        <f>SUMIFS(PlanVE_PerBook,PlanYear,AT18)</f>
      </c>
      <c r="BA18" s="373"/>
      <c r="BB18" s="374"/>
      <c r="BC18" s="374"/>
      <c r="BD18" s="375">
        <f>12-BD19</f>
      </c>
      <c r="BE18" s="374"/>
      <c r="BF18" s="376">
        <f>_xlfn.IFS(RptYr=AT17,BF19,RptYr=AT18,BF20,TRUE,RIGHT(RptQtr)*0.25)</f>
      </c>
      <c r="BG18" s="3"/>
      <c r="BH18" s="3"/>
      <c r="BI18" s="3"/>
      <c r="BJ18" s="3"/>
      <c r="BK18" s="3"/>
      <c r="BL18" s="353">
        <f>MAX(Planning!U23:Z88)</f>
      </c>
      <c r="BM18" s="90"/>
      <c r="BN18" s="11"/>
      <c r="BO18" s="334"/>
      <c r="BP18" s="39"/>
      <c r="BQ18" s="339"/>
      <c r="BR18" s="334"/>
      <c r="BS18" s="1"/>
      <c r="BT18" s="107"/>
      <c r="BU18" s="107"/>
      <c r="BV18" s="107"/>
      <c r="BW18" s="107"/>
      <c r="BX18" s="107"/>
    </row>
    <row x14ac:dyDescent="0.25" r="19" customHeight="1" ht="18.75">
      <c r="A19" s="227"/>
      <c r="B19" s="227"/>
      <c r="C19" s="227"/>
      <c r="D19" s="227"/>
      <c r="E19" s="227"/>
      <c r="F19" s="227"/>
      <c r="G19" s="227"/>
      <c r="H19" s="227"/>
      <c r="I19" s="227"/>
      <c r="J19" s="227"/>
      <c r="K19" s="227"/>
      <c r="L19" s="227"/>
      <c r="M19" s="227"/>
      <c r="N19" s="227"/>
      <c r="O19" s="227"/>
      <c r="P19" s="377" t="s">
        <v>188</v>
      </c>
      <c r="Q19" s="378">
        <f>Planning!T17</f>
      </c>
      <c r="R19" s="379">
        <f>Planning!U18</f>
      </c>
      <c r="S19" s="380"/>
      <c r="T19" s="379">
        <f>Planning!V18</f>
      </c>
      <c r="U19" s="380"/>
      <c r="V19" s="379">
        <f>Planning!W18</f>
      </c>
      <c r="W19" s="380"/>
      <c r="X19" s="379">
        <f>Planning!X18</f>
      </c>
      <c r="Y19" s="380"/>
      <c r="Z19" s="379">
        <f>Planning!Y18</f>
      </c>
      <c r="AA19" s="381"/>
      <c r="AB19" s="382" t="s">
        <v>288</v>
      </c>
      <c r="AC19" s="383"/>
      <c r="AD19" s="345"/>
      <c r="AE19" s="384"/>
      <c r="AF19" s="385"/>
      <c r="AG19" s="386" t="s">
        <v>289</v>
      </c>
      <c r="AH19" s="387"/>
      <c r="AI19" s="388"/>
      <c r="AJ19" s="387"/>
      <c r="AK19" s="388"/>
      <c r="AL19" s="388"/>
      <c r="AM19" s="389">
        <f>IF(AZ20=1,0,Calculations!G22)</f>
      </c>
      <c r="AN19" s="390"/>
      <c r="AO19" s="391"/>
      <c r="AP19" s="391"/>
      <c r="AQ19" s="3"/>
      <c r="AR19" s="392" t="s">
        <v>290</v>
      </c>
      <c r="AS19" s="393"/>
      <c r="AT19" s="393"/>
      <c r="AU19" s="394"/>
      <c r="AV19" s="395" t="s">
        <v>291</v>
      </c>
      <c r="AW19" s="393"/>
      <c r="AX19" s="393"/>
      <c r="AY19" s="396"/>
      <c r="AZ19" s="39">
        <f>IF(AZ20=1,AO40,AO40/VE)</f>
      </c>
      <c r="BA19" s="397">
        <f>DATE(AT17,10,1)</f>
        <v>25568.791666666668</v>
      </c>
      <c r="BB19" s="398"/>
      <c r="BC19" s="398"/>
      <c r="BD19" s="399">
        <f>DATEDIF(Planning!Z14,BA19,"M")</f>
      </c>
      <c r="BE19" s="398"/>
      <c r="BF19" s="400">
        <f>IF(AND(RptYr=AT17,(RIGHT(RptQtr)*3&lt;12),(RIGHT(RptQtr)*3&gt;BD18)),((RIGHT(RptQtr)*3)-BD18)/BD19, IF(((RIGHT(RptQtr)*3-BD18)&lt;=0),0,(RIGHT(RptQtr)*0.25)))</f>
      </c>
      <c r="BG19" s="3"/>
      <c r="BH19" s="3"/>
      <c r="BI19" s="3"/>
      <c r="BJ19" s="3"/>
      <c r="BK19" s="3"/>
      <c r="BL19" s="401">
        <f>IF(BL27=1,0,IF(ISERROR(BL25),"Insuf. Data",IF(SUM(BQ23:BQ102)=0,"Insuf. Data",IF(BL25&lt;12,"Insuf. Data",(1-AZ19)/(SUM(OFFSET(BL27,MATCH(BL24,BL27:BL102,0)-12,5,12))/IF(AZ20=1,1,VE)/12)*91.31+((RptYr-1900)*365)+91.31*RIGHT(RptQtr)))))</f>
      </c>
      <c r="BM19" s="402" t="s">
        <v>292</v>
      </c>
      <c r="BN19" s="403"/>
      <c r="BO19" s="404"/>
      <c r="BP19" s="404"/>
      <c r="BQ19" s="404"/>
      <c r="BR19" s="405"/>
      <c r="BS19" s="1"/>
      <c r="BT19" s="1"/>
      <c r="BU19" s="1"/>
      <c r="BV19" s="1"/>
      <c r="BW19" s="1"/>
      <c r="BX19" s="1"/>
    </row>
    <row x14ac:dyDescent="0.25" r="20" customHeight="1" ht="18.75">
      <c r="A20" s="227"/>
      <c r="B20" s="227"/>
      <c r="C20" s="227"/>
      <c r="D20" s="227"/>
      <c r="E20" s="227"/>
      <c r="F20" s="227"/>
      <c r="G20" s="227"/>
      <c r="H20" s="227"/>
      <c r="I20" s="227"/>
      <c r="J20" s="227"/>
      <c r="K20" s="227"/>
      <c r="L20" s="227"/>
      <c r="M20" s="227"/>
      <c r="N20" s="227"/>
      <c r="O20" s="227"/>
      <c r="P20" s="406"/>
      <c r="Q20" s="407"/>
      <c r="R20" s="408"/>
      <c r="S20" s="409"/>
      <c r="T20" s="408"/>
      <c r="U20" s="409"/>
      <c r="V20" s="408"/>
      <c r="W20" s="409"/>
      <c r="X20" s="408"/>
      <c r="Y20" s="409"/>
      <c r="Z20" s="408"/>
      <c r="AA20" s="410"/>
      <c r="AB20" s="411">
        <f>Planning!Z19</f>
      </c>
      <c r="AC20" s="412"/>
      <c r="AD20" s="345"/>
      <c r="AE20" s="413">
        <v>1</v>
      </c>
      <c r="AF20" s="414" t="s">
        <v>293</v>
      </c>
      <c r="AG20" s="415">
        <f>Year1</f>
      </c>
      <c r="AH20" s="416">
        <f>IF(AND($AZ$20=1,($AG20&amp;AH$16)*1&lt;$AU$17),"",IF(AR20="","",IF($AZ$20=1,AR20,SUMIFS(ProgVssDoneAllYears,ProgQuarter,AH$18,ProgYearDone,$AG20))))</f>
      </c>
      <c r="AI20" s="416">
        <f>IF(AND($AZ$20=1,($AG20&amp;AI$16)*1&lt;$AU$17),"",IF(AS20="","",IF($AZ$20=1,AS20,SUMIFS(ProgVssDoneAllYears,ProgQuarter,AI$18,ProgYearDone,$AG20))))</f>
      </c>
      <c r="AJ20" s="416">
        <f>IF(AND($AZ$20=1,($AG20&amp;AJ$16)*1&lt;$AU$17),"",IF(AT20="","",IF($AZ$20=1,AT20,SUMIFS(ProgVssDoneAllYears,ProgQuarter,AJ$18,ProgYearDone,$AG20))))</f>
      </c>
      <c r="AK20" s="416">
        <f>IF(AND($AZ$20=1,($AG20&amp;AK$16)*1&lt;$AU$17),"",IF(AU20="","",IF($AZ$20=1,AU20,SUMIFS(ProgVssDoneAllYears,ProgQuarter,AK$18,ProgYearDone,$AG20))))</f>
      </c>
      <c r="AL20" s="417">
        <f>IF(Planning!AJ19=0,"",IF($AZ$20=1,IF(AG21&lt;RptYr,Planning!AJ19,IF(AG20=RptYr,VLOOKUP((RptYr),YearAndPrcntPlanned,28)*(_xlfn.IFS(RptYr=AT17,BF19,RptYr=AT18,$BF$20,TRUE,RIGHT(RptQtr)*0.25)),Planning!AJ19)),IF(AG20&lt;RptYr,Planning!AJ19*VE,IF(AG20=RptYr,VLOOKUP((RptYr),YearAndPrcntPlanned,28)*(_xlfn.IFS(RptYr=$AT$17,$BF$19,RptYr=$AT$18,$BF$20,TRUE,RIGHT(RptQtr)*0.25))*VE,Planning!AJ19*VE))))</f>
      </c>
      <c r="AM20" s="418">
        <f>IF(AG20&gt;RptYr,"",IF(AND($AZ$20=1,$AG20&lt;$AT$17),"",SUM(AH20:AK20)))</f>
      </c>
      <c r="AN20" s="419">
        <f>IF(OR(AL20="",AG20&gt;RptYr),0,IF(Planning!AJ19=0,0,AL20+AN19))</f>
      </c>
      <c r="AO20" s="420">
        <f>IF(AL20="",0,IF($AZ$20=1,SUM(AR20:AU20),IF(AG20&lt;=RptYr,((SUM(AR20:AU20)*VE)),"")))</f>
      </c>
      <c r="AP20" s="421">
        <f>IF(AN20=0,0,IF(AND(ISNUMBER(AN20),AO20=""),"",(AO20-AN20)))</f>
      </c>
      <c r="AQ20" s="3"/>
      <c r="AR20" s="422">
        <f>IF(RptYr*4+RIGHT(RptQtr,1)&gt;=$AG20*4+RIGHT(AH$18,1),SUMIFS(ProgPrcntDoneProject,ProgQuarter,AH$18,ProgYearDone,$AG20),"")</f>
      </c>
      <c r="AS20" s="422">
        <f>IF(RptYr*4+RIGHT(RptQtr,1)&gt;=$AG20*4+RIGHT(AI$18,1),SUMIFS(ProgPrcntDoneProject,ProgQuarter,AI$18,ProgYearDone,$AG20),"")</f>
      </c>
      <c r="AT20" s="422">
        <f>IF(RptYr*4+RIGHT(RptQtr,1)&gt;=$AG20*4+RIGHT(AJ$18,1),SUMIFS(ProgPrcntDoneProject,ProgQuarter,AJ$18,ProgYearDone,$AG20),"")</f>
      </c>
      <c r="AU20" s="423">
        <f>IF(RptYr*4+RIGHT(RptQtr,1)&gt;=$AG20*4+RIGHT(AK$18,1),SUMIFS(ProgPrcntDoneProject,ProgQuarter,AK$18,ProgYearDone,$AG20),"")</f>
      </c>
      <c r="AV20" s="424">
        <f>IF(AR20="","",IF($AZ$20=1,AR20,SUMIFS(ProgVssDoneProject,ProgQuarter,AH$18,ProgYearDone,$AG20)))</f>
      </c>
      <c r="AW20" s="425">
        <f>IF(AS20="","",IF($AZ$20=1,AS20,SUMIFS(ProgVssDoneProject,ProgQuarter,AI$18,ProgYearDone,$AG20)))</f>
      </c>
      <c r="AX20" s="425">
        <f>IF(AT20="","",IF($AZ$20=1,AT20,SUMIFS(ProgVssDoneProject,ProgQuarter,AJ$18,ProgYearDone,$AG20)))</f>
      </c>
      <c r="AY20" s="425">
        <f>IF(AU20="","",IF($AZ$20=1,AU20,SUMIFS(ProgVssDoneProject,ProgQuarter,AK$18,ProgYearDone,$AG20)))</f>
      </c>
      <c r="AZ20" s="38">
        <v>1</v>
      </c>
      <c r="BA20" s="426">
        <f>DATE(AT18-1,10,1)</f>
        <v>25568.791666666668</v>
      </c>
      <c r="BB20" s="427"/>
      <c r="BC20" s="427"/>
      <c r="BD20" s="428">
        <f>DATEDIF(BA20,Planning!AA15+2,"M")</f>
      </c>
      <c r="BE20" s="427"/>
      <c r="BF20" s="429">
        <f>IF(AND(RptYr=AT18, BD20-(RIGHT(RptQtr)*3)&gt;0),(RIGHT(RptQtr)*3)/BD20,1)</f>
      </c>
      <c r="BG20" s="3"/>
      <c r="BH20" s="3"/>
      <c r="BI20" s="3"/>
      <c r="BJ20" s="3"/>
      <c r="BK20" s="3"/>
      <c r="BL20" s="430">
        <f>LEFT((Planning!Z13/365.25)+1900,4)*1</f>
      </c>
      <c r="BM20" s="431" t="s">
        <v>23</v>
      </c>
      <c r="BN20" s="432" t="s">
        <v>294</v>
      </c>
      <c r="BO20" s="433" t="s">
        <v>295</v>
      </c>
      <c r="BP20" s="434"/>
      <c r="BQ20" s="435" t="s">
        <v>296</v>
      </c>
      <c r="BR20" s="436"/>
      <c r="BS20" s="1"/>
      <c r="BT20" s="1"/>
      <c r="BU20" s="1"/>
      <c r="BV20" s="1"/>
      <c r="BW20" s="1"/>
      <c r="BX20" s="1"/>
    </row>
    <row x14ac:dyDescent="0.25" r="21" customHeight="1" ht="18">
      <c r="A21" s="227"/>
      <c r="B21" s="227"/>
      <c r="C21" s="227"/>
      <c r="D21" s="227"/>
      <c r="E21" s="227"/>
      <c r="F21" s="227"/>
      <c r="G21" s="227"/>
      <c r="H21" s="227"/>
      <c r="I21" s="227"/>
      <c r="J21" s="227"/>
      <c r="K21" s="227"/>
      <c r="L21" s="227"/>
      <c r="M21" s="227"/>
      <c r="N21" s="227"/>
      <c r="O21" s="227"/>
      <c r="P21" s="406"/>
      <c r="Q21" s="407"/>
      <c r="R21" s="408"/>
      <c r="S21" s="409"/>
      <c r="T21" s="408"/>
      <c r="U21" s="409"/>
      <c r="V21" s="408"/>
      <c r="W21" s="409"/>
      <c r="X21" s="408"/>
      <c r="Y21" s="409"/>
      <c r="Z21" s="408"/>
      <c r="AA21" s="410"/>
      <c r="AB21" s="437"/>
      <c r="AC21" s="438"/>
      <c r="AD21" s="345"/>
      <c r="AE21" s="439">
        <v>2</v>
      </c>
      <c r="AF21" s="414" t="s">
        <v>293</v>
      </c>
      <c r="AG21" s="415">
        <f>Year2</f>
      </c>
      <c r="AH21" s="416">
        <f>IF($AR$18&gt;=12,3,_xlfn.IFNA(_xlfn.SWITCH($AR$18,10,1,11,2,12,3),0))</f>
      </c>
      <c r="AI21" s="416">
        <f>IF(AND($AZ$20=1,($AG21&amp;AI$16)*1&lt;$AU$17),"",IF(AS21="","",IF($AZ$20=1,AS21,SUMIFS(ProgVssDoneAllYears,ProgQuarter,AI$18,ProgYearDone,$AG21))))</f>
      </c>
      <c r="AJ21" s="416">
        <f>IF(AND($AZ$20=1,($AG21&amp;AJ$16)*1&lt;$AU$17),"",IF(AT21="","",IF($AZ$20=1,AT21,SUMIFS(ProgVssDoneAllYears,ProgQuarter,AJ$18,ProgYearDone,$AG21))))</f>
      </c>
      <c r="AK21" s="416">
        <f>IF(AND($AZ$20=1,($AG21&amp;AK$16)*1&lt;$AU$17),"",IF(AU21="","",IF($AZ$20=1,AU21,SUMIFS(ProgVssDoneAllYears,ProgQuarter,AK$18,ProgYearDone,$AG21))))</f>
      </c>
      <c r="AL21" s="440">
        <f>IF(AND($AZ$20=1,AG21&gt;RptYr),"",IF(Planning!AJ20=0,"",IF($AZ$20=1,IF(AG21&lt;RptYr,Planning!AJ20,IF(AG21=RptYr,VLOOKUP((RptYr),YearAndPrcntPlanned,28)*(_xlfn.IFS(RptYr=$AT$17,$BF$19,RptYr=$AT$18,$BF$20,TRUE,RIGHT(RptQtr)*0.25)),Planning!AJ20)),IF(AG21&lt;RptYr,Planning!AJ20*VE,IF(AG21=RptYr,VLOOKUP((RptYr),YearAndPrcntPlanned,28)*(_xlfn.IFS(RptYr=$AT$17,$BF$19,RptYr=$AT$18,$BF$20,TRUE,RIGHT(RptQtr)*0.25))*VE,Planning!AJ20*VE)))))</f>
      </c>
      <c r="AM21" s="441">
        <f>IF(AG21&gt;RptYr,"",IF(AND($AZ$20=1,$AG21&lt;$AT$17),"",SUM(AH21:AK21)))</f>
      </c>
      <c r="AN21" s="442">
        <f>IF(OR(AL21="",AG21&gt;RptYr),0,IF(Planning!AJ20=0,0,AL21+AN20))</f>
      </c>
      <c r="AO21" s="443">
        <f>IF(AL21="",0,IF($AZ$20=1,SUM(AR21:AU21)+AO20,IF(AG21&lt;=RptYr,((SUM(AR21:AU21)*VE)+AO20),"")))</f>
      </c>
      <c r="AP21" s="444">
        <f>IF(AN21=0,0,IF(AND(ISNUMBER(AN21),AO21=""),"",(AO21-AN21)))</f>
      </c>
      <c r="AQ21" s="3"/>
      <c r="AR21" s="416">
        <f>IF(RptYr*4+RIGHT(RptQtr,1)&gt;=$AG21*4+RIGHT(AH$18,1),SUMIFS(ProgPrcntDoneProject,ProgQuarter,AH$18,ProgYearDone,$AG21),"")</f>
      </c>
      <c r="AS21" s="416">
        <f>IF(RptYr*4+RIGHT(RptQtr,1)&gt;=$AG21*4+RIGHT(AI$18,1),SUMIFS(ProgPrcntDoneProject,ProgQuarter,AI$18,ProgYearDone,$AG21),"")</f>
      </c>
      <c r="AT21" s="416">
        <f>IF(RptYr*4+RIGHT(RptQtr,1)&gt;=$AG21*4+RIGHT(AJ$18,1),SUMIFS(ProgPrcntDoneProject,ProgQuarter,AJ$18,ProgYearDone,$AG21),"")</f>
      </c>
      <c r="AU21" s="445">
        <f>IF(RptYr*4+RIGHT(RptQtr,1)&gt;=$AG21*4+RIGHT(AK$18,1),SUMIFS(ProgPrcntDoneProject,ProgQuarter,AK$18,ProgYearDone,$AG21),"")</f>
      </c>
      <c r="AV21" s="424">
        <f>IF(AR21="","",IF($AZ$20=1,AR21,SUMIFS(ProgVssDoneProject,ProgQuarter,AH$18,ProgYearDone,$AG21)))</f>
      </c>
      <c r="AW21" s="425">
        <f>IF(AS21="","",IF($AZ$20=1,AS21,SUMIFS(ProgVssDoneProject,ProgQuarter,AI$18,ProgYearDone,$AG21)))</f>
      </c>
      <c r="AX21" s="425">
        <f>IF(AT21="","",IF($AZ$20=1,AT21,SUMIFS(ProgVssDoneProject,ProgQuarter,AJ$18,ProgYearDone,$AG21)))</f>
      </c>
      <c r="AY21" s="425">
        <f>IF(AU21="","",IF($AZ$20=1,AU21,SUMIFS(ProgVssDoneProject,ProgQuarter,AK$18,ProgYearDone,$AG21)))</f>
      </c>
      <c r="AZ21" s="446" t="s">
        <v>297</v>
      </c>
      <c r="BA21" s="393"/>
      <c r="BB21" s="393"/>
      <c r="BC21" s="393"/>
      <c r="BD21" s="393"/>
      <c r="BE21" s="393"/>
      <c r="BF21" s="393"/>
      <c r="BG21" s="393"/>
      <c r="BH21" s="393"/>
      <c r="BI21" s="393"/>
      <c r="BJ21" s="393"/>
      <c r="BK21" s="396"/>
      <c r="BL21" s="447">
        <f>((Planning!Z13/365.25)+1900-INT((Planning!Z13/365.25)+1900))*1.00275</f>
      </c>
      <c r="BM21" s="448"/>
      <c r="BN21" s="449"/>
      <c r="BO21" s="450" t="s">
        <v>298</v>
      </c>
      <c r="BP21" s="451" t="s">
        <v>299</v>
      </c>
      <c r="BQ21" s="450" t="s">
        <v>300</v>
      </c>
      <c r="BR21" s="451" t="s">
        <v>301</v>
      </c>
      <c r="BS21" s="1"/>
      <c r="BT21" s="1"/>
      <c r="BU21" s="1"/>
      <c r="BV21" s="1"/>
      <c r="BW21" s="1"/>
      <c r="BX21" s="1"/>
    </row>
    <row x14ac:dyDescent="0.25" r="22" customHeight="1" ht="18">
      <c r="A22" s="227"/>
      <c r="B22" s="227"/>
      <c r="C22" s="227"/>
      <c r="D22" s="227"/>
      <c r="E22" s="227"/>
      <c r="F22" s="227"/>
      <c r="G22" s="227"/>
      <c r="H22" s="227"/>
      <c r="I22" s="227"/>
      <c r="J22" s="227"/>
      <c r="K22" s="227"/>
      <c r="L22" s="227"/>
      <c r="M22" s="227"/>
      <c r="N22" s="227"/>
      <c r="O22" s="227"/>
      <c r="P22" s="452"/>
      <c r="Q22" s="453"/>
      <c r="R22" s="454"/>
      <c r="S22" s="455"/>
      <c r="T22" s="454"/>
      <c r="U22" s="455"/>
      <c r="V22" s="454"/>
      <c r="W22" s="455"/>
      <c r="X22" s="454"/>
      <c r="Y22" s="455"/>
      <c r="Z22" s="454"/>
      <c r="AA22" s="456"/>
      <c r="AB22" s="457"/>
      <c r="AC22" s="458"/>
      <c r="AD22" s="345"/>
      <c r="AE22" s="439">
        <v>3</v>
      </c>
      <c r="AF22" s="414" t="s">
        <v>293</v>
      </c>
      <c r="AG22" s="415">
        <f>Year3</f>
      </c>
      <c r="AH22" s="416">
        <f>IF($AR$18&gt;=12,3,_xlfn.IFNA(_xlfn.SWITCH($AR$18,10,1,11,2,12,3),0))</f>
      </c>
      <c r="AI22" s="416">
        <f>IF(AND($AZ$20=1,($AG22&amp;AI$16)*1&lt;$AU$17),"",IF(AS22="","",IF($AZ$20=1,AS22,SUMIFS(ProgVssDoneAllYears,ProgQuarter,AI$18,ProgYearDone,$AG22))))</f>
      </c>
      <c r="AJ22" s="416">
        <f>IF(AND($AZ$20=1,($AG22&amp;AJ$16)*1&lt;$AU$17),"",IF(AT22="","",IF($AZ$20=1,AT22,SUMIFS(ProgVssDoneAllYears,ProgQuarter,AJ$18,ProgYearDone,$AG22))))</f>
      </c>
      <c r="AK22" s="416">
        <f>IF(AND($AZ$20=1,($AG22&amp;AK$16)*1&lt;$AU$17),"",IF(AU22="","",IF($AZ$20=1,AU22,SUMIFS(ProgVssDoneAllYears,ProgQuarter,AK$18,ProgYearDone,$AG22))))</f>
      </c>
      <c r="AL22" s="440">
        <f>IF(AND($AZ$20=1,AG22&gt;RptYr),"",IF(Planning!AJ21=0,"",IF($AZ$20=1,IF(AG22&lt;RptYr,Planning!AJ21,IF(AG22=RptYr,VLOOKUP((RptYr),YearAndPrcntPlanned,28)*(_xlfn.IFS(RptYr=$AT$17,$BF$19,RptYr=$AT$18,$BF$20,TRUE,RIGHT(RptQtr)*0.25)),Planning!AJ21)),IF(AG22&lt;RptYr,Planning!AJ21*VE,IF(AG22=RptYr,VLOOKUP((RptYr),YearAndPrcntPlanned,28)*(_xlfn.IFS(RptYr=$AT$17,$BF$19,RptYr=$AT$18,$BF$20,TRUE,RIGHT(RptQtr)*0.25))*VE,Planning!AJ21*VE)))))</f>
      </c>
      <c r="AM22" s="441">
        <f>IF(AG22&gt;RptYr,"",IF(AND($AZ$20=1,$AG22&lt;$AT$17),"",SUM(AH22:AK22)))</f>
      </c>
      <c r="AN22" s="442">
        <f>IF(OR(AL22="",AG22&gt;RptYr),0,IF(Planning!AJ21=0,0,AL22+AN21))</f>
      </c>
      <c r="AO22" s="443">
        <f>IF(AL22="",0,IF($AZ$20=1,SUM(AR22:AU22)+AO21,IF(AG22&lt;=RptYr,((SUM(AR22:AU22)*VE)+AO21),"")))</f>
      </c>
      <c r="AP22" s="444">
        <f>IF(AN22=0,0,IF(AND(ISNUMBER(AN22),AO22=""),"",(AO22-AN22)))</f>
      </c>
      <c r="AQ22" s="3"/>
      <c r="AR22" s="416">
        <f>IF(RptYr*4+RIGHT(RptQtr,1)&gt;=$AG22*4+RIGHT(AH$18,1),SUMIFS(ProgPrcntDoneProject,ProgQuarter,AH$18,ProgYearDone,$AG22),"")</f>
      </c>
      <c r="AS22" s="416">
        <f>IF(RptYr*4+RIGHT(RptQtr,1)&gt;=$AG22*4+RIGHT(AI$18,1),SUMIFS(ProgPrcntDoneProject,ProgQuarter,AI$18,ProgYearDone,$AG22),"")</f>
      </c>
      <c r="AT22" s="416">
        <f>IF(RptYr*4+RIGHT(RptQtr,1)&gt;=$AG22*4+RIGHT(AJ$18,1),SUMIFS(ProgPrcntDoneProject,ProgQuarter,AJ$18,ProgYearDone,$AG22),"")</f>
      </c>
      <c r="AU22" s="445">
        <f>IF(RptYr*4+RIGHT(RptQtr,1)&gt;=$AG22*4+RIGHT(AK$18,1),SUMIFS(ProgPrcntDoneProject,ProgQuarter,AK$18,ProgYearDone,$AG22),"")</f>
      </c>
      <c r="AV22" s="424">
        <f>IF(AR22="","",IF($AZ$20=1,AR22,SUMIFS(ProgVssDoneProject,ProgQuarter,AH$18,ProgYearDone,$AG22)))</f>
      </c>
      <c r="AW22" s="425">
        <f>IF(AS22="","",IF($AZ$20=1,AS22,SUMIFS(ProgVssDoneProject,ProgQuarter,AI$18,ProgYearDone,$AG22)))</f>
      </c>
      <c r="AX22" s="425">
        <f>IF(AT22="","",IF($AZ$20=1,AT22,SUMIFS(ProgVssDoneProject,ProgQuarter,AJ$18,ProgYearDone,$AG22)))</f>
      </c>
      <c r="AY22" s="425">
        <f>IF(AU22="","",IF($AZ$20=1,AU22,SUMIFS(ProgVssDoneProject,ProgQuarter,AK$18,ProgYearDone,$AG22)))</f>
      </c>
      <c r="AZ22" s="459" t="s">
        <v>294</v>
      </c>
      <c r="BA22" s="460" t="s">
        <v>23</v>
      </c>
      <c r="BB22" s="461" t="s">
        <v>294</v>
      </c>
      <c r="BC22" s="159" t="s">
        <v>23</v>
      </c>
      <c r="BD22" s="461" t="s">
        <v>294</v>
      </c>
      <c r="BE22" s="159" t="s">
        <v>23</v>
      </c>
      <c r="BF22" s="461" t="s">
        <v>294</v>
      </c>
      <c r="BG22" s="159" t="s">
        <v>23</v>
      </c>
      <c r="BH22" s="461" t="s">
        <v>294</v>
      </c>
      <c r="BI22" s="159" t="s">
        <v>23</v>
      </c>
      <c r="BJ22" s="461" t="s">
        <v>294</v>
      </c>
      <c r="BK22" s="462" t="s">
        <v>23</v>
      </c>
      <c r="BL22" s="463">
        <f>IF(BL21&lt;0.25,2,IF(BL21&lt;0.5,3,IF(BL21&lt;0.75,4,1)))*1</f>
      </c>
      <c r="BM22" s="464"/>
      <c r="BN22" s="465"/>
      <c r="BO22" s="466"/>
      <c r="BP22" s="467"/>
      <c r="BQ22" s="466"/>
      <c r="BR22" s="467"/>
      <c r="BS22" s="1"/>
      <c r="BT22" s="1"/>
      <c r="BU22" s="1"/>
      <c r="BV22" s="1"/>
      <c r="BW22" s="1"/>
      <c r="BX22" s="1"/>
    </row>
    <row x14ac:dyDescent="0.25" r="23" customHeight="1" ht="18">
      <c r="A23" s="227"/>
      <c r="B23" s="227"/>
      <c r="C23" s="227"/>
      <c r="D23" s="227"/>
      <c r="E23" s="227"/>
      <c r="F23" s="227"/>
      <c r="G23" s="227"/>
      <c r="H23" s="227"/>
      <c r="I23" s="227"/>
      <c r="J23" s="227"/>
      <c r="K23" s="227"/>
      <c r="L23" s="227"/>
      <c r="M23" s="227"/>
      <c r="N23" s="227"/>
      <c r="O23" s="227"/>
      <c r="P23" s="468">
        <f>Planning!Q23</f>
      </c>
      <c r="Q23" s="469">
        <f>Planning!T23</f>
      </c>
      <c r="R23" s="470"/>
      <c r="S23" s="471">
        <v>2020</v>
      </c>
      <c r="T23" s="470" t="s">
        <v>25</v>
      </c>
      <c r="U23" s="471">
        <v>2020</v>
      </c>
      <c r="V23" s="470" t="s">
        <v>26</v>
      </c>
      <c r="W23" s="471">
        <v>2020</v>
      </c>
      <c r="X23" s="470" t="s">
        <v>27</v>
      </c>
      <c r="Y23" s="471">
        <v>2020</v>
      </c>
      <c r="Z23" s="470" t="s">
        <v>25</v>
      </c>
      <c r="AA23" s="471">
        <v>2021</v>
      </c>
      <c r="AB23" s="470"/>
      <c r="AC23" s="472"/>
      <c r="AD23" s="345"/>
      <c r="AE23" s="439">
        <v>4</v>
      </c>
      <c r="AF23" s="414" t="s">
        <v>293</v>
      </c>
      <c r="AG23" s="415">
        <f>Year4</f>
      </c>
      <c r="AH23" s="416">
        <f>IF($AR$18&gt;=12,3,_xlfn.IFNA(_xlfn.SWITCH($AR$18,10,1,11,2,12,3),0))</f>
      </c>
      <c r="AI23" s="416">
        <f>IF(AND($AZ$20=1,($AG23&amp;AI$16)*1&lt;$AU$17),"",IF(AS23="","",IF($AZ$20=1,AS23,SUMIFS(ProgVssDoneAllYears,ProgQuarter,AI$18,ProgYearDone,$AG23))))</f>
      </c>
      <c r="AJ23" s="416">
        <f>IF(AND($AZ$20=1,($AG23&amp;AJ$16)*1&lt;$AU$17),"",IF(AT23="","",IF($AZ$20=1,AT23,SUMIFS(ProgVssDoneAllYears,ProgQuarter,AJ$18,ProgYearDone,$AG23))))</f>
      </c>
      <c r="AK23" s="416">
        <f>IF(AND($AZ$20=1,($AG23&amp;AK$16)*1&lt;$AU$17),"",IF(AU23="","",IF($AZ$20=1,AU23,SUMIFS(ProgVssDoneAllYears,ProgQuarter,AK$18,ProgYearDone,$AG23))))</f>
      </c>
      <c r="AL23" s="440">
        <f>IF(AND($AZ$20=1,AG23&gt;RptYr),"",IF(Planning!AJ22=0,"",IF($AZ$20=1,IF(AG23&lt;RptYr,Planning!AJ22,IF(AG23=RptYr,VLOOKUP((RptYr),YearAndPrcntPlanned,28)*(_xlfn.IFS(RptYr=$AT$17,$BF$19,RptYr=$AT$18,$BF$20,TRUE,RIGHT(RptQtr)*0.25)),Planning!AJ22)),IF(AG23&lt;RptYr,Planning!AJ22*VE,IF(AG23=RptYr,VLOOKUP((RptYr),YearAndPrcntPlanned,28)*(_xlfn.IFS(RptYr=$AT$17,$BF$19,RptYr=$AT$18,$BF$20,TRUE,RIGHT(RptQtr)*0.25))*VE,Planning!AJ22*VE)))))</f>
      </c>
      <c r="AM23" s="441">
        <f>IF(AG23&gt;RptYr,"",IF(AND($AZ$20=1,$AG23&lt;$AT$17),"",SUM(AH23:AK23)))</f>
      </c>
      <c r="AN23" s="442">
        <f>IF(OR(AL23="",AG23&gt;RptYr),0,IF(Planning!AJ22=0,0,AL23+AN22))</f>
      </c>
      <c r="AO23" s="443">
        <f>IF(AL23="",0,IF($AZ$20=1,SUM(AR23:AU23)+AO22,IF(AG23&lt;=RptYr,((SUM(AR23:AU23)*VE)+AO22),"")))</f>
      </c>
      <c r="AP23" s="444">
        <f>IF(AN23=0,0,IF(AND(ISNUMBER(AN23),AO23=""),"",(AO23-AN23)))</f>
      </c>
      <c r="AQ23" s="69"/>
      <c r="AR23" s="416">
        <f>IF(RptYr*4+RIGHT(RptQtr,1)&gt;=$AG23*4+RIGHT(AH$18,1),SUMIFS(ProgPrcntDoneProject,ProgQuarter,AH$18,ProgYearDone,$AG23),"")</f>
      </c>
      <c r="AS23" s="416">
        <f>IF(RptYr*4+RIGHT(RptQtr,1)&gt;=$AG23*4+RIGHT(AI$18,1),SUMIFS(ProgPrcntDoneProject,ProgQuarter,AI$18,ProgYearDone,$AG23),"")</f>
      </c>
      <c r="AT23" s="416">
        <f>IF(RptYr*4+RIGHT(RptQtr,1)&gt;=$AG23*4+RIGHT(AJ$18,1),SUMIFS(ProgPrcntDoneProject,ProgQuarter,AJ$18,ProgYearDone,$AG23),"")</f>
      </c>
      <c r="AU23" s="445">
        <f>IF(RptYr*4+RIGHT(RptQtr,1)&gt;=$AG23*4+RIGHT(AK$18,1),SUMIFS(ProgPrcntDoneProject,ProgQuarter,AK$18,ProgYearDone,$AG23),"")</f>
      </c>
      <c r="AV23" s="424">
        <f>IF(AR23="","",IF($AZ$20=1,AR23,SUMIFS(ProgVssDoneProject,ProgQuarter,AH$18,ProgYearDone,$AG23)))</f>
      </c>
      <c r="AW23" s="425">
        <f>IF(AS23="","",IF($AZ$20=1,AS23,SUMIFS(ProgVssDoneProject,ProgQuarter,AI$18,ProgYearDone,$AG23)))</f>
      </c>
      <c r="AX23" s="425">
        <f>IF(AT23="","",IF($AZ$20=1,AT23,SUMIFS(ProgVssDoneProject,ProgQuarter,AJ$18,ProgYearDone,$AG23)))</f>
      </c>
      <c r="AY23" s="425">
        <f>IF(AU23="","",IF($AZ$20=1,AU23,SUMIFS(ProgVssDoneProject,ProgQuarter,AK$18,ProgYearDone,$AG23)))</f>
      </c>
      <c r="AZ23" s="473">
        <f>Planning!U23</f>
      </c>
      <c r="BA23" s="474">
        <f>Planning!U23</f>
      </c>
      <c r="BB23" s="475">
        <f>Planning!V23</f>
      </c>
      <c r="BC23" s="474">
        <f>Planning!V23</f>
      </c>
      <c r="BD23" s="475">
        <f>Planning!W23</f>
      </c>
      <c r="BE23" s="474">
        <f>Planning!W23</f>
      </c>
      <c r="BF23" s="475">
        <f>Planning!X23</f>
      </c>
      <c r="BG23" s="474">
        <f>Planning!X23</f>
      </c>
      <c r="BH23" s="475">
        <f>Planning!Y23</f>
      </c>
      <c r="BI23" s="474">
        <f>Planning!Y23</f>
      </c>
      <c r="BJ23" s="475">
        <f>Planning!Z23</f>
      </c>
      <c r="BK23" s="476">
        <f>Planning!Z23</f>
      </c>
      <c r="BL23" s="477">
        <f>IF(BL22=1,((BL20+1)&amp;BL22)*1,(BL20&amp;BL22)*1)</f>
      </c>
      <c r="BM23" s="478"/>
      <c r="BN23" s="479"/>
      <c r="BO23" s="480">
        <f>IF($AZ$20=1,Planning!AJ$18,Planning!AJ$18*VE)</f>
      </c>
      <c r="BP23" s="481">
        <v>0</v>
      </c>
      <c r="BQ23" s="481">
        <v>0</v>
      </c>
      <c r="BR23" s="482">
        <v>0</v>
      </c>
      <c r="BS23" s="1"/>
      <c r="BT23" s="1"/>
      <c r="BU23" s="1"/>
      <c r="BV23" s="1"/>
      <c r="BW23" s="1"/>
      <c r="BX23" s="1"/>
    </row>
    <row x14ac:dyDescent="0.25" r="24" customHeight="1" ht="18">
      <c r="A24" s="227"/>
      <c r="B24" s="227"/>
      <c r="C24" s="227"/>
      <c r="D24" s="227"/>
      <c r="E24" s="227"/>
      <c r="F24" s="227"/>
      <c r="G24" s="227"/>
      <c r="H24" s="227"/>
      <c r="I24" s="227"/>
      <c r="J24" s="227"/>
      <c r="K24" s="227"/>
      <c r="L24" s="227"/>
      <c r="M24" s="227"/>
      <c r="N24" s="227"/>
      <c r="O24" s="227"/>
      <c r="P24" s="468">
        <f>Planning!Q24</f>
      </c>
      <c r="Q24" s="469">
        <f>Planning!T24</f>
      </c>
      <c r="R24" s="470" t="s">
        <v>25</v>
      </c>
      <c r="S24" s="471"/>
      <c r="T24" s="470" t="s">
        <v>26</v>
      </c>
      <c r="U24" s="471">
        <v>2020</v>
      </c>
      <c r="V24" s="470" t="s">
        <v>28</v>
      </c>
      <c r="W24" s="471">
        <v>2020</v>
      </c>
      <c r="X24" s="470" t="s">
        <v>27</v>
      </c>
      <c r="Y24" s="471">
        <v>2021</v>
      </c>
      <c r="Z24" s="470">
        <v>0.25</v>
      </c>
      <c r="AA24" s="471">
        <v>2021</v>
      </c>
      <c r="AB24" s="470"/>
      <c r="AC24" s="472"/>
      <c r="AD24" s="345"/>
      <c r="AE24" s="439">
        <v>5</v>
      </c>
      <c r="AF24" s="414" t="s">
        <v>293</v>
      </c>
      <c r="AG24" s="415">
        <f>Year5</f>
      </c>
      <c r="AH24" s="416">
        <f>IF($AR$18&gt;=12,3,_xlfn.IFNA(_xlfn.SWITCH($AR$18,10,1,11,2,12,3),0))</f>
      </c>
      <c r="AI24" s="416">
        <f>IF(AND($AZ$20=1,($AG24&amp;AI$16)*1&lt;$AU$17),"",IF(AS24="","",IF($AZ$20=1,AS24,SUMIFS(ProgVssDoneAllYears,ProgQuarter,AI$18,ProgYearDone,$AG24))))</f>
      </c>
      <c r="AJ24" s="416">
        <f>IF(AND($AZ$20=1,($AG24&amp;AJ$16)*1&lt;$AU$17),"",IF(AT24="","",IF($AZ$20=1,AT24,SUMIFS(ProgVssDoneAllYears,ProgQuarter,AJ$18,ProgYearDone,$AG24))))</f>
      </c>
      <c r="AK24" s="416">
        <f>IF(AND($AZ$20=1,($AG24&amp;AK$16)*1&lt;$AU$17),"",IF(AU24="","",IF($AZ$20=1,AU24,SUMIFS(ProgVssDoneAllYears,ProgQuarter,AK$18,ProgYearDone,$AG24))))</f>
      </c>
      <c r="AL24" s="440">
        <f>IF(AND($AZ$20=1,AG24&gt;RptYr),"",IF(Planning!AJ23=0,"",IF($AZ$20=1,IF(AG24&lt;RptYr,Planning!AJ23,IF(AG24=RptYr,VLOOKUP((RptYr),YearAndPrcntPlanned,28)*(_xlfn.IFS(RptYr=$AT$17,$BF$19,RptYr=$AT$18,$BF$20,TRUE,RIGHT(RptQtr)*0.25)),Planning!AJ23)),IF(AG24&lt;RptYr,Planning!AJ23*VE,IF(AG24=RptYr,VLOOKUP((RptYr),YearAndPrcntPlanned,28)*(_xlfn.IFS(RptYr=$AT$17,$BF$19,RptYr=$AT$18,$BF$20,TRUE,RIGHT(RptQtr)*0.25))*VE,Planning!AJ23*VE)))))</f>
      </c>
      <c r="AM24" s="441">
        <f>IF(AG24&gt;RptYr,"",IF(AND($AZ$20=1,$AG24&lt;$AT$17),"",SUM(AH24:AK24)))</f>
      </c>
      <c r="AN24" s="442">
        <f>IF(OR(AL24="",AG24&gt;RptYr),0,IF(Planning!AJ23=0,0,AL24+AN23))</f>
      </c>
      <c r="AO24" s="443">
        <f>IF(AL24="",0,IF($AZ$20=1,SUM(AR24:AU24)+AO23,IF(AG24&lt;=RptYr,((SUM(AR24:AU24)*VE)+AO23),"")))</f>
      </c>
      <c r="AP24" s="444">
        <f>IF(AN24=0,0,IF(AND(ISNUMBER(AN24),AO24=""),"",(AO24-AN24)))</f>
      </c>
      <c r="AQ24" s="3"/>
      <c r="AR24" s="416">
        <f>IF(RptYr*4+RIGHT(RptQtr,1)&gt;=$AG24*4+RIGHT(AH$18,1),SUMIFS(ProgPrcntDoneProject,ProgQuarter,AH$18,ProgYearDone,$AG24),"")</f>
      </c>
      <c r="AS24" s="416">
        <f>IF(RptYr*4+RIGHT(RptQtr,1)&gt;=$AG24*4+RIGHT(AI$18,1),SUMIFS(ProgPrcntDoneProject,ProgQuarter,AI$18,ProgYearDone,$AG24),"")</f>
      </c>
      <c r="AT24" s="416">
        <f>IF(RptYr*4+RIGHT(RptQtr,1)&gt;=$AG24*4+RIGHT(AJ$18,1),SUMIFS(ProgPrcntDoneProject,ProgQuarter,AJ$18,ProgYearDone,$AG24),"")</f>
      </c>
      <c r="AU24" s="445">
        <f>IF(RptYr*4+RIGHT(RptQtr,1)&gt;=$AG24*4+RIGHT(AK$18,1),SUMIFS(ProgPrcntDoneProject,ProgQuarter,AK$18,ProgYearDone,$AG24),"")</f>
      </c>
      <c r="AV24" s="424">
        <f>IF(AR24="","",IF($AZ$20=1,AR24,SUMIFS(ProgVssDoneProject,ProgQuarter,AH$18,ProgYearDone,$AG24)))</f>
      </c>
      <c r="AW24" s="425">
        <f>IF(AS24="","",IF($AZ$20=1,AS24,SUMIFS(ProgVssDoneProject,ProgQuarter,AI$18,ProgYearDone,$AG24)))</f>
      </c>
      <c r="AX24" s="425">
        <f>IF(AT24="","",IF($AZ$20=1,AT24,SUMIFS(ProgVssDoneProject,ProgQuarter,AJ$18,ProgYearDone,$AG24)))</f>
      </c>
      <c r="AY24" s="425">
        <f>IF(AU24="","",IF($AZ$20=1,AU24,SUMIFS(ProgVssDoneProject,ProgQuarter,AK$18,ProgYearDone,$AG24)))</f>
      </c>
      <c r="AZ24" s="473">
        <f>Planning!U24</f>
      </c>
      <c r="BA24" s="474">
        <f>Planning!U24</f>
      </c>
      <c r="BB24" s="475">
        <f>Planning!V24</f>
      </c>
      <c r="BC24" s="474">
        <f>Planning!V24</f>
      </c>
      <c r="BD24" s="475">
        <f>Planning!W24</f>
      </c>
      <c r="BE24" s="474">
        <f>Planning!W24</f>
      </c>
      <c r="BF24" s="475">
        <f>Planning!X24</f>
      </c>
      <c r="BG24" s="474">
        <f>Planning!X24</f>
      </c>
      <c r="BH24" s="475">
        <f>Planning!Y24</f>
      </c>
      <c r="BI24" s="474">
        <f>Planning!Y24</f>
      </c>
      <c r="BJ24" s="475">
        <f>Planning!Z24</f>
      </c>
      <c r="BK24" s="476">
        <f>Planning!Z24</f>
      </c>
      <c r="BL24" s="483">
        <f>(RptYr&amp;RIGHT(RptQtr,1))*1</f>
      </c>
      <c r="BM24" s="478">
        <f>"&lt;"&amp;BM28</f>
      </c>
      <c r="BN24" s="479"/>
      <c r="BO24" s="480">
        <f>IF($AZ$20=1,Planning!AJ$18,Planning!AJ$18*VE)</f>
      </c>
      <c r="BP24" s="480">
        <v>0</v>
      </c>
      <c r="BQ24" s="480">
        <v>0</v>
      </c>
      <c r="BR24" s="484">
        <v>0</v>
      </c>
      <c r="BS24" s="11"/>
      <c r="BT24" s="1"/>
      <c r="BU24" s="1"/>
      <c r="BV24" s="1"/>
      <c r="BW24" s="1"/>
      <c r="BX24" s="1"/>
    </row>
    <row x14ac:dyDescent="0.25" r="25" customHeight="1" ht="18">
      <c r="A25" s="227"/>
      <c r="B25" s="227"/>
      <c r="C25" s="227"/>
      <c r="D25" s="227"/>
      <c r="E25" s="227"/>
      <c r="F25" s="227"/>
      <c r="G25" s="227"/>
      <c r="H25" s="227"/>
      <c r="I25" s="227"/>
      <c r="J25" s="227"/>
      <c r="K25" s="227"/>
      <c r="L25" s="227"/>
      <c r="M25" s="227"/>
      <c r="N25" s="227"/>
      <c r="O25" s="227"/>
      <c r="P25" s="485">
        <f>Planning!Q25</f>
      </c>
      <c r="Q25" s="469">
        <f>Planning!T25</f>
      </c>
      <c r="R25" s="470" t="s">
        <v>25</v>
      </c>
      <c r="S25" s="471">
        <v>2021</v>
      </c>
      <c r="T25" s="470" t="s">
        <v>25</v>
      </c>
      <c r="U25" s="471">
        <v>2021</v>
      </c>
      <c r="V25" s="470">
        <v>0.75</v>
      </c>
      <c r="W25" s="471">
        <v>2021</v>
      </c>
      <c r="X25" s="470">
        <v>0.5</v>
      </c>
      <c r="Y25" s="471">
        <v>2021</v>
      </c>
      <c r="Z25" s="470"/>
      <c r="AA25" s="471"/>
      <c r="AB25" s="470"/>
      <c r="AC25" s="472"/>
      <c r="AD25" s="345"/>
      <c r="AE25" s="439">
        <v>6</v>
      </c>
      <c r="AF25" s="414" t="s">
        <v>293</v>
      </c>
      <c r="AG25" s="415">
        <f>Year6</f>
      </c>
      <c r="AH25" s="416">
        <f>IF($AR$18&gt;=12,3,_xlfn.IFNA(_xlfn.SWITCH($AR$18,10,1,11,2,12,3),0))</f>
      </c>
      <c r="AI25" s="416">
        <f>IF(AND($AZ$20=1,($AG25&amp;AI$16)*1&lt;$AU$17),"",IF(AS25="","",IF($AZ$20=1,AS25,SUMIFS(ProgVssDoneAllYears,ProgQuarter,AI$18,ProgYearDone,$AG25))))</f>
      </c>
      <c r="AJ25" s="416">
        <f>IF(AND($AZ$20=1,($AG25&amp;AJ$16)*1&lt;$AU$17),"",IF(AT25="","",IF($AZ$20=1,AT25,SUMIFS(ProgVssDoneAllYears,ProgQuarter,AJ$18,ProgYearDone,$AG25))))</f>
      </c>
      <c r="AK25" s="416">
        <f>IF(AND($AZ$20=1,($AG25&amp;AK$16)*1&lt;$AU$17),"",IF(AU25="","",IF($AZ$20=1,AU25,SUMIFS(ProgVssDoneAllYears,ProgQuarter,AK$18,ProgYearDone,$AG25))))</f>
      </c>
      <c r="AL25" s="440">
        <f>IF(AND($AZ$20=1,AG25&gt;RptYr),"",IF(Planning!AJ24=0,"",IF($AZ$20=1,IF(AG25&lt;RptYr,Planning!AJ24,IF(AG25=RptYr,VLOOKUP((RptYr),YearAndPrcntPlanned,28)*(_xlfn.IFS(RptYr=$AT$17,$BF$19,RptYr=$AT$18,$BF$20,TRUE,RIGHT(RptQtr)*0.25)),Planning!AJ24)),IF(AG25&lt;RptYr,Planning!AJ24*VE,IF(AG25=RptYr,VLOOKUP((RptYr),YearAndPrcntPlanned,28)*(_xlfn.IFS(RptYr=$AT$17,$BF$19,RptYr=$AT$18,$BF$20,TRUE,RIGHT(RptQtr)*0.25))*VE,Planning!AJ24*VE)))))</f>
      </c>
      <c r="AM25" s="441">
        <f>IF(AG25&gt;RptYr,"",IF(AND($AZ$20=1,$AG25&lt;$AT$17),"",SUM(AH25:AK25)))</f>
      </c>
      <c r="AN25" s="442">
        <f>IF(OR(AL25="",AG25&gt;RptYr),0,IF(Planning!AJ24=0,0,AL25+AN24))</f>
      </c>
      <c r="AO25" s="443">
        <f>IF(AL25="",0,IF($AZ$20=1,SUM(AR25:AU25)+AO24,IF(AG25&lt;=RptYr,((SUM(AR25:AU25)*VE)+AO24),"")))</f>
      </c>
      <c r="AP25" s="444">
        <f>IF(AN25=0,0,IF(AND(ISNUMBER(AN25),AO25=""),"",(AO25-AN25)))</f>
      </c>
      <c r="AQ25" s="3"/>
      <c r="AR25" s="416">
        <f>IF(RptYr*4+RIGHT(RptQtr,1)&gt;=$AG25*4+RIGHT(AH$18,1),SUMIFS(ProgPrcntDoneProject,ProgQuarter,AH$18,ProgYearDone,$AG25),"")</f>
      </c>
      <c r="AS25" s="416">
        <f>IF(RptYr*4+RIGHT(RptQtr,1)&gt;=$AG25*4+RIGHT(AI$18,1),SUMIFS(ProgPrcntDoneProject,ProgQuarter,AI$18,ProgYearDone,$AG25),"")</f>
      </c>
      <c r="AT25" s="416">
        <f>IF(RptYr*4+RIGHT(RptQtr,1)&gt;=$AG25*4+RIGHT(AJ$18,1),SUMIFS(ProgPrcntDoneProject,ProgQuarter,AJ$18,ProgYearDone,$AG25),"")</f>
      </c>
      <c r="AU25" s="445">
        <f>IF(RptYr*4+RIGHT(RptQtr,1)&gt;=$AG25*4+RIGHT(AK$18,1),SUMIFS(ProgPrcntDoneProject,ProgQuarter,AK$18,ProgYearDone,$AG25),"")</f>
      </c>
      <c r="AV25" s="424">
        <f>IF(AR25="","",IF($AZ$20=1,AR25,SUMIFS(ProgVssDoneProject,ProgQuarter,AH$18,ProgYearDone,$AG25)))</f>
      </c>
      <c r="AW25" s="425">
        <f>IF(AS25="","",IF($AZ$20=1,AS25,SUMIFS(ProgVssDoneProject,ProgQuarter,AI$18,ProgYearDone,$AG25)))</f>
      </c>
      <c r="AX25" s="425">
        <f>IF(AT25="","",IF($AZ$20=1,AT25,SUMIFS(ProgVssDoneProject,ProgQuarter,AJ$18,ProgYearDone,$AG25)))</f>
      </c>
      <c r="AY25" s="425">
        <f>IF(AU25="","",IF($AZ$20=1,AU25,SUMIFS(ProgVssDoneProject,ProgQuarter,AK$18,ProgYearDone,$AG25)))</f>
      </c>
      <c r="AZ25" s="473">
        <f>Planning!U25</f>
      </c>
      <c r="BA25" s="474">
        <f>Planning!U25</f>
      </c>
      <c r="BB25" s="475">
        <f>Planning!V25</f>
      </c>
      <c r="BC25" s="474">
        <f>Planning!V25</f>
      </c>
      <c r="BD25" s="475">
        <f>Planning!W25</f>
      </c>
      <c r="BE25" s="474">
        <f>Planning!W25</f>
      </c>
      <c r="BF25" s="475">
        <f>Planning!X25</f>
      </c>
      <c r="BG25" s="474">
        <f>Planning!X25</f>
      </c>
      <c r="BH25" s="475">
        <f>Planning!Y25</f>
      </c>
      <c r="BI25" s="474">
        <f>Planning!Y25</f>
      </c>
      <c r="BJ25" s="475">
        <f>Planning!Z25</f>
      </c>
      <c r="BK25" s="476">
        <f>Planning!Z25</f>
      </c>
      <c r="BL25" s="483">
        <f>(LEFT(BL24,4)*4+RIGHT(BL24,1))-(LEFT(BL23,4)*4+RIGHT(BL23,1))+1</f>
      </c>
      <c r="BM25" s="478"/>
      <c r="BN25" s="479"/>
      <c r="BO25" s="480">
        <f>IF($AZ$20=1,Planning!AJ$18,Planning!AJ$18*VE)</f>
      </c>
      <c r="BP25" s="480">
        <v>0</v>
      </c>
      <c r="BQ25" s="480">
        <v>0</v>
      </c>
      <c r="BR25" s="484">
        <v>0</v>
      </c>
      <c r="BS25" s="1"/>
      <c r="BT25" s="1"/>
      <c r="BU25" s="69"/>
      <c r="BV25" s="1"/>
      <c r="BW25" s="1"/>
      <c r="BX25" s="1"/>
    </row>
    <row x14ac:dyDescent="0.25" r="26" customHeight="1" ht="18">
      <c r="A26" s="227"/>
      <c r="B26" s="227"/>
      <c r="C26" s="227"/>
      <c r="D26" s="227"/>
      <c r="E26" s="227"/>
      <c r="F26" s="227"/>
      <c r="G26" s="227"/>
      <c r="H26" s="227"/>
      <c r="I26" s="227"/>
      <c r="J26" s="227"/>
      <c r="K26" s="227"/>
      <c r="L26" s="227"/>
      <c r="M26" s="227"/>
      <c r="N26" s="227"/>
      <c r="O26" s="227"/>
      <c r="P26" s="485">
        <f>Planning!Q26</f>
      </c>
      <c r="Q26" s="469">
        <f>Planning!T26</f>
      </c>
      <c r="R26" s="470" t="s">
        <v>26</v>
      </c>
      <c r="S26" s="471">
        <v>2021</v>
      </c>
      <c r="T26" s="470">
        <v>0.5</v>
      </c>
      <c r="U26" s="471">
        <v>2021</v>
      </c>
      <c r="V26" s="470"/>
      <c r="W26" s="471"/>
      <c r="X26" s="470"/>
      <c r="Y26" s="471"/>
      <c r="Z26" s="470"/>
      <c r="AA26" s="471"/>
      <c r="AB26" s="470"/>
      <c r="AC26" s="472"/>
      <c r="AD26" s="345"/>
      <c r="AE26" s="439">
        <v>7</v>
      </c>
      <c r="AF26" s="414" t="s">
        <v>293</v>
      </c>
      <c r="AG26" s="415">
        <f>Year7</f>
      </c>
      <c r="AH26" s="416">
        <f>IF($AR$18&gt;=12,3,_xlfn.IFNA(_xlfn.SWITCH($AR$18,10,1,11,2,12,3),0))</f>
      </c>
      <c r="AI26" s="416">
        <f>IF(AND($AZ$20=1,($AG26&amp;AI$16)*1&lt;$AU$17),"",IF(AS26="","",IF($AZ$20=1,AS26,SUMIFS(ProgVssDoneAllYears,ProgQuarter,AI$18,ProgYearDone,$AG26))))</f>
      </c>
      <c r="AJ26" s="416">
        <f>IF(AND($AZ$20=1,($AG26&amp;AJ$16)*1&lt;$AU$17),"",IF(AT26="","",IF($AZ$20=1,AT26,SUMIFS(ProgVssDoneAllYears,ProgQuarter,AJ$18,ProgYearDone,$AG26))))</f>
      </c>
      <c r="AK26" s="416">
        <f>IF(AND($AZ$20=1,($AG26&amp;AK$16)*1&lt;$AU$17),"",IF(AU26="","",IF($AZ$20=1,AU26,SUMIFS(ProgVssDoneAllYears,ProgQuarter,AK$18,ProgYearDone,$AG26))))</f>
      </c>
      <c r="AL26" s="440">
        <f>IF(AND($AZ$20=1,AG26&gt;RptYr),"",IF(Planning!AJ25=0,"",IF($AZ$20=1,IF(AG26&lt;RptYr,Planning!AJ25,IF(AG26=RptYr,VLOOKUP((RptYr),YearAndPrcntPlanned,28)*(_xlfn.IFS(RptYr=$AT$17,$BF$19,RptYr=$AT$18,$BF$20,TRUE,RIGHT(RptQtr)*0.25)),Planning!AJ25)),IF(AG26&lt;RptYr,Planning!AJ25*VE,IF(AG26=RptYr,VLOOKUP((RptYr),YearAndPrcntPlanned,28)*(_xlfn.IFS(RptYr=$AT$17,$BF$19,RptYr=$AT$18,$BF$20,TRUE,RIGHT(RptQtr)*0.25))*VE,Planning!AJ25*VE)))))</f>
      </c>
      <c r="AM26" s="441">
        <f>IF(AG26&gt;RptYr,"",IF(AND($AZ$20=1,$AG26&lt;$AT$17),"",SUM(AH26:AK26)))</f>
      </c>
      <c r="AN26" s="442">
        <f>IF(OR(AL26="",AG26&gt;RptYr),0,IF(Planning!AJ25=0,0,AL26+AN25))</f>
      </c>
      <c r="AO26" s="443">
        <f>IF(AL26="",0,IF($AZ$20=1,SUM(AR26:AU26)+AO25,IF(AG26&lt;=RptYr,((SUM(AR26:AU26)*VE)+AO25),"")))</f>
      </c>
      <c r="AP26" s="444">
        <f>IF(AN26=0,0,IF(AND(ISNUMBER(AN26),AO26=""),"",(AO26-AN26)))</f>
      </c>
      <c r="AQ26" s="17"/>
      <c r="AR26" s="416">
        <f>IF(RptYr*4+RIGHT(RptQtr,1)&gt;=$AG26*4+RIGHT(AH$18,1),SUMIFS(ProgPrcntDoneProject,ProgQuarter,AH$18,ProgYearDone,$AG26),"")</f>
      </c>
      <c r="AS26" s="416">
        <f>IF(RptYr*4+RIGHT(RptQtr,1)&gt;=$AG26*4+RIGHT(AI$18,1),SUMIFS(ProgPrcntDoneProject,ProgQuarter,AI$18,ProgYearDone,$AG26),"")</f>
      </c>
      <c r="AT26" s="416">
        <f>IF(RptYr*4+RIGHT(RptQtr,1)&gt;=$AG26*4+RIGHT(AJ$18,1),SUMIFS(ProgPrcntDoneProject,ProgQuarter,AJ$18,ProgYearDone,$AG26),"")</f>
      </c>
      <c r="AU26" s="445">
        <f>IF(RptYr*4+RIGHT(RptQtr,1)&gt;=$AG26*4+RIGHT(AK$18,1),SUMIFS(ProgPrcntDoneProject,ProgQuarter,AK$18,ProgYearDone,$AG26),"")</f>
      </c>
      <c r="AV26" s="424">
        <f>IF(AR26="","",IF($AZ$20=1,AR26,SUMIFS(ProgVssDoneProject,ProgQuarter,AH$18,ProgYearDone,$AG26)))</f>
      </c>
      <c r="AW26" s="425">
        <f>IF(AS26="","",IF($AZ$20=1,AS26,SUMIFS(ProgVssDoneProject,ProgQuarter,AI$18,ProgYearDone,$AG26)))</f>
      </c>
      <c r="AX26" s="425">
        <f>IF(AT26="","",IF($AZ$20=1,AT26,SUMIFS(ProgVssDoneProject,ProgQuarter,AJ$18,ProgYearDone,$AG26)))</f>
      </c>
      <c r="AY26" s="425">
        <f>IF(AU26="","",IF($AZ$20=1,AU26,SUMIFS(ProgVssDoneProject,ProgQuarter,AK$18,ProgYearDone,$AG26)))</f>
      </c>
      <c r="AZ26" s="473">
        <f>Planning!U26</f>
      </c>
      <c r="BA26" s="474">
        <f>Planning!U26</f>
      </c>
      <c r="BB26" s="475">
        <f>Planning!V26</f>
      </c>
      <c r="BC26" s="474">
        <f>Planning!V26</f>
      </c>
      <c r="BD26" s="475">
        <f>Planning!W26</f>
      </c>
      <c r="BE26" s="474">
        <f>Planning!W26</f>
      </c>
      <c r="BF26" s="475">
        <f>Planning!X26</f>
      </c>
      <c r="BG26" s="474">
        <f>Planning!X26</f>
      </c>
      <c r="BH26" s="475">
        <f>Planning!Y26</f>
      </c>
      <c r="BI26" s="474">
        <f>Planning!Y26</f>
      </c>
      <c r="BJ26" s="475">
        <f>Planning!Z26</f>
      </c>
      <c r="BK26" s="476">
        <f>Planning!Z26</f>
      </c>
      <c r="BL26" s="486">
        <f>INT(BL23/10)</f>
      </c>
      <c r="BM26" s="487"/>
      <c r="BN26" s="488"/>
      <c r="BO26" s="480">
        <f>IF($AZ$20=1,Planning!AJ$18,Planning!AJ$18*VE)</f>
      </c>
      <c r="BP26" s="480">
        <v>0</v>
      </c>
      <c r="BQ26" s="480">
        <v>0</v>
      </c>
      <c r="BR26" s="484">
        <v>0</v>
      </c>
      <c r="BS26" s="11"/>
      <c r="BT26" s="1"/>
      <c r="BU26" s="69"/>
      <c r="BV26" s="69"/>
      <c r="BW26" s="1"/>
      <c r="BX26" s="1"/>
    </row>
    <row x14ac:dyDescent="0.25" r="27" customHeight="1" ht="18">
      <c r="A27" s="227"/>
      <c r="B27" s="227"/>
      <c r="C27" s="227"/>
      <c r="D27" s="227"/>
      <c r="E27" s="227"/>
      <c r="F27" s="227"/>
      <c r="G27" s="227"/>
      <c r="H27" s="227"/>
      <c r="I27" s="227"/>
      <c r="J27" s="227"/>
      <c r="K27" s="227"/>
      <c r="L27" s="227"/>
      <c r="M27" s="227"/>
      <c r="N27" s="227"/>
      <c r="O27" s="227"/>
      <c r="P27" s="485">
        <f>Planning!Q27</f>
      </c>
      <c r="Q27" s="469">
        <f>Planning!T27</f>
      </c>
      <c r="R27" s="470">
        <v>0.75</v>
      </c>
      <c r="S27" s="471">
        <v>2021</v>
      </c>
      <c r="T27" s="470"/>
      <c r="U27" s="471"/>
      <c r="V27" s="470"/>
      <c r="W27" s="471"/>
      <c r="X27" s="470"/>
      <c r="Y27" s="471"/>
      <c r="Z27" s="470"/>
      <c r="AA27" s="471"/>
      <c r="AB27" s="470"/>
      <c r="AC27" s="472"/>
      <c r="AD27" s="345"/>
      <c r="AE27" s="439">
        <v>8</v>
      </c>
      <c r="AF27" s="414" t="s">
        <v>293</v>
      </c>
      <c r="AG27" s="415">
        <f>Year8</f>
      </c>
      <c r="AH27" s="416">
        <f>IF($AR$18&gt;=12,3,_xlfn.IFNA(_xlfn.SWITCH($AR$18,10,1,11,2,12,3),0))</f>
      </c>
      <c r="AI27" s="416">
        <f>IF(AND($AZ$20=1,($AG27&amp;AI$16)*1&lt;$AU$17),"",IF(AS27="","",IF($AZ$20=1,AS27,SUMIFS(ProgVssDoneAllYears,ProgQuarter,AI$18,ProgYearDone,$AG27))))</f>
      </c>
      <c r="AJ27" s="416">
        <f>IF(AND($AZ$20=1,($AG27&amp;AJ$16)*1&lt;$AU$17),"",IF(AT27="","",IF($AZ$20=1,AT27,SUMIFS(ProgVssDoneAllYears,ProgQuarter,AJ$18,ProgYearDone,$AG27))))</f>
      </c>
      <c r="AK27" s="416">
        <f>IF(AND($AZ$20=1,($AG27&amp;AK$16)*1&lt;$AU$17),"",IF(AU27="","",IF($AZ$20=1,AU27,SUMIFS(ProgVssDoneAllYears,ProgQuarter,AK$18,ProgYearDone,$AG27))))</f>
      </c>
      <c r="AL27" s="440">
        <f>IF(AND($AZ$20=1,AG27&gt;RptYr),"",IF(Planning!AJ26=0,"",IF($AZ$20=1,IF(AG27&lt;RptYr,Planning!AJ26,IF(AG27=RptYr,VLOOKUP((RptYr),YearAndPrcntPlanned,28)*(_xlfn.IFS(RptYr=$AT$17,$BF$19,RptYr=$AT$18,$BF$20,TRUE,RIGHT(RptQtr)*0.25)),Planning!AJ26)),IF(AG27&lt;RptYr,Planning!AJ26*VE,IF(AG27=RptYr,VLOOKUP((RptYr),YearAndPrcntPlanned,28)*(_xlfn.IFS(RptYr=$AT$17,$BF$19,RptYr=$AT$18,$BF$20,TRUE,RIGHT(RptQtr)*0.25))*VE,Planning!AJ26*VE)))))</f>
      </c>
      <c r="AM27" s="441">
        <f>IF(AG27&gt;RptYr,"",IF(AND($AZ$20=1,$AG27&lt;$AT$17),"",SUM(AH27:AK27)))</f>
      </c>
      <c r="AN27" s="442">
        <f>IF(OR(AL27="",AG27&gt;RptYr),0,IF(Planning!AJ26=0,0,AL27+AN26))</f>
      </c>
      <c r="AO27" s="443">
        <f>IF(AL27="",0,IF($AZ$20=1,SUM(AR27:AU27)+AO26,IF(AG27&lt;=RptYr,((SUM(AR27:AU27)*VE)+AO26),"")))</f>
      </c>
      <c r="AP27" s="444">
        <f>IF(AN27=0,0,IF(AND(ISNUMBER(AN27),AO27=""),"",(AO27-AN27)))</f>
      </c>
      <c r="AQ27" s="3"/>
      <c r="AR27" s="416">
        <f>IF(RptYr*4+RIGHT(RptQtr,1)&gt;=$AG27*4+RIGHT(AH$18,1),SUMIFS(ProgPrcntDoneProject,ProgQuarter,AH$18,ProgYearDone,$AG27),"")</f>
      </c>
      <c r="AS27" s="416">
        <f>IF(RptYr*4+RIGHT(RptQtr,1)&gt;=$AG27*4+RIGHT(AI$18,1),SUMIFS(ProgPrcntDoneProject,ProgQuarter,AI$18,ProgYearDone,$AG27),"")</f>
      </c>
      <c r="AT27" s="416">
        <f>IF(RptYr*4+RIGHT(RptQtr,1)&gt;=$AG27*4+RIGHT(AJ$18,1),SUMIFS(ProgPrcntDoneProject,ProgQuarter,AJ$18,ProgYearDone,$AG27),"")</f>
      </c>
      <c r="AU27" s="445">
        <f>IF(RptYr*4+RIGHT(RptQtr,1)&gt;=$AG27*4+RIGHT(AK$18,1),SUMIFS(ProgPrcntDoneProject,ProgQuarter,AK$18,ProgYearDone,$AG27),"")</f>
      </c>
      <c r="AV27" s="424">
        <f>IF(AR27="","",IF($AZ$20=1,AR27,SUMIFS(ProgVssDoneProject,ProgQuarter,AH$18,ProgYearDone,$AG27)))</f>
      </c>
      <c r="AW27" s="425">
        <f>IF(AS27="","",IF($AZ$20=1,AS27,SUMIFS(ProgVssDoneProject,ProgQuarter,AI$18,ProgYearDone,$AG27)))</f>
      </c>
      <c r="AX27" s="425">
        <f>IF(AT27="","",IF($AZ$20=1,AT27,SUMIFS(ProgVssDoneProject,ProgQuarter,AJ$18,ProgYearDone,$AG27)))</f>
      </c>
      <c r="AY27" s="425">
        <f>IF(AU27="","",IF($AZ$20=1,AU27,SUMIFS(ProgVssDoneProject,ProgQuarter,AK$18,ProgYearDone,$AG27)))</f>
      </c>
      <c r="AZ27" s="473">
        <f>Planning!U27</f>
      </c>
      <c r="BA27" s="474">
        <f>Planning!U27</f>
      </c>
      <c r="BB27" s="475">
        <f>Planning!V27</f>
      </c>
      <c r="BC27" s="474">
        <f>Planning!V27</f>
      </c>
      <c r="BD27" s="475">
        <f>Planning!W27</f>
      </c>
      <c r="BE27" s="474">
        <f>Planning!W27</f>
      </c>
      <c r="BF27" s="475">
        <f>Planning!X27</f>
      </c>
      <c r="BG27" s="474">
        <f>Planning!X27</f>
      </c>
      <c r="BH27" s="475">
        <f>Planning!Y27</f>
      </c>
      <c r="BI27" s="474">
        <f>Planning!Y27</f>
      </c>
      <c r="BJ27" s="475">
        <f>Planning!Z27</f>
      </c>
      <c r="BK27" s="476">
        <f>Planning!Z27</f>
      </c>
      <c r="BL27" s="477">
        <f>(GraphFirstYear&amp;1)*1</f>
      </c>
      <c r="BM27" s="489"/>
      <c r="BN27" s="490"/>
      <c r="BO27" s="480">
        <f>IF($BM$28=$AT$17,AS43,IF($BM$28=$AT$18,AS50,$BO$30))</f>
      </c>
      <c r="BP27" s="480">
        <f>IF(AND((LEFT(BL27,4))*1&gt;=$AT$18,BO27=0),NA(),IF($AZ$20=1,BO27/VE+BP26,BO27+BP26))</f>
      </c>
      <c r="BQ27" s="480">
        <f>AV20</f>
      </c>
      <c r="BR27" s="484">
        <f>IF(BL27&gt;=$AU$17,IF(OR(ISNA(BP27),BQ27=""),NA(),BQ27+BR26),0)</f>
      </c>
      <c r="BS27" s="11"/>
      <c r="BT27" s="1"/>
      <c r="BU27" s="1"/>
      <c r="BV27" s="1"/>
      <c r="BW27" s="1"/>
      <c r="BX27" s="1"/>
    </row>
    <row x14ac:dyDescent="0.25" r="28" customHeight="1" ht="18">
      <c r="A28" s="227"/>
      <c r="B28" s="227"/>
      <c r="C28" s="227"/>
      <c r="D28" s="227"/>
      <c r="E28" s="227"/>
      <c r="F28" s="227"/>
      <c r="G28" s="227"/>
      <c r="H28" s="227"/>
      <c r="I28" s="227"/>
      <c r="J28" s="227"/>
      <c r="K28" s="227"/>
      <c r="L28" s="227"/>
      <c r="M28" s="227"/>
      <c r="N28" s="227"/>
      <c r="O28" s="227"/>
      <c r="P28" s="491">
        <f>Planning!Q28</f>
      </c>
      <c r="Q28" s="469">
        <f>Planning!T28</f>
      </c>
      <c r="R28" s="470"/>
      <c r="S28" s="471"/>
      <c r="T28" s="470"/>
      <c r="U28" s="471"/>
      <c r="V28" s="470"/>
      <c r="W28" s="471"/>
      <c r="X28" s="470"/>
      <c r="Y28" s="471"/>
      <c r="Z28" s="470"/>
      <c r="AA28" s="471"/>
      <c r="AB28" s="470"/>
      <c r="AC28" s="472"/>
      <c r="AD28" s="345"/>
      <c r="AE28" s="439">
        <v>9</v>
      </c>
      <c r="AF28" s="414" t="s">
        <v>293</v>
      </c>
      <c r="AG28" s="415">
        <f>Year9</f>
      </c>
      <c r="AH28" s="416">
        <f>IF($AR$18&gt;=12,3,_xlfn.IFNA(_xlfn.SWITCH($AR$18,10,1,11,2,12,3),0))</f>
      </c>
      <c r="AI28" s="416">
        <f>IF(AND($AZ$20=1,($AG28&amp;AI$16)*1&lt;$AU$17),"",IF(AS28="","",IF($AZ$20=1,AS28,SUMIFS(ProgVssDoneAllYears,ProgQuarter,AI$18,ProgYearDone,$AG28))))</f>
      </c>
      <c r="AJ28" s="416">
        <f>IF(AND($AZ$20=1,($AG28&amp;AJ$16)*1&lt;$AU$17),"",IF(AT28="","",IF($AZ$20=1,AT28,SUMIFS(ProgVssDoneAllYears,ProgQuarter,AJ$18,ProgYearDone,$AG28))))</f>
      </c>
      <c r="AK28" s="416">
        <f>IF(AND($AZ$20=1,($AG28&amp;AK$16)*1&lt;$AU$17),"",IF(AU28="","",IF($AZ$20=1,AU28,SUMIFS(ProgVssDoneAllYears,ProgQuarter,AK$18,ProgYearDone,$AG28))))</f>
      </c>
      <c r="AL28" s="440">
        <f>IF(AND($AZ$20=1,AG28&gt;RptYr),"",IF(Planning!AJ27=0,"",IF($AZ$20=1,IF(AG28&lt;RptYr,Planning!AJ27,IF(AG28=RptYr,VLOOKUP((RptYr),YearAndPrcntPlanned,28)*(_xlfn.IFS(RptYr=$AT$17,$BF$19,RptYr=$AT$18,$BF$20,TRUE,RIGHT(RptQtr)*0.25)),Planning!AJ27)),IF(AG28&lt;RptYr,Planning!AJ27*VE,IF(AG28=RptYr,VLOOKUP((RptYr),YearAndPrcntPlanned,28)*(_xlfn.IFS(RptYr=$AT$17,$BF$19,RptYr=$AT$18,$BF$20,TRUE,RIGHT(RptQtr)*0.25))*VE,Planning!AJ27*VE)))))</f>
      </c>
      <c r="AM28" s="441">
        <f>IF(AG28&gt;RptYr,"",IF(AND($AZ$20=1,$AG28&lt;$AT$17),"",SUM(AH28:AK28)))</f>
      </c>
      <c r="AN28" s="442">
        <f>IF(OR(AL28="",AG28&gt;RptYr),0,IF(Planning!AJ27=0,0,AL28+AN27))</f>
      </c>
      <c r="AO28" s="443">
        <f>IF(AL28="",0,IF($AZ$20=1,SUM(AR28:AU28)+AO27,IF(AG28&lt;=RptYr,((SUM(AR28:AU28)*VE)+AO27),"")))</f>
      </c>
      <c r="AP28" s="444">
        <f>IF(AN28=0,0,IF(AND(ISNUMBER(AN28),AO28=""),"",(AO28-AN28)))</f>
      </c>
      <c r="AQ28" s="3"/>
      <c r="AR28" s="416">
        <f>IF(RptYr*4+RIGHT(RptQtr,1)&gt;=$AG28*4+RIGHT(AH$18,1),SUMIFS(ProgPrcntDoneProject,ProgQuarter,AH$18,ProgYearDone,$AG28),"")</f>
      </c>
      <c r="AS28" s="416">
        <f>IF(RptYr*4+RIGHT(RptQtr,1)&gt;=$AG28*4+RIGHT(AI$18,1),SUMIFS(ProgPrcntDoneProject,ProgQuarter,AI$18,ProgYearDone,$AG28),"")</f>
      </c>
      <c r="AT28" s="416">
        <f>IF(RptYr*4+RIGHT(RptQtr,1)&gt;=$AG28*4+RIGHT(AJ$18,1),SUMIFS(ProgPrcntDoneProject,ProgQuarter,AJ$18,ProgYearDone,$AG28),"")</f>
      </c>
      <c r="AU28" s="445">
        <f>IF(RptYr*4+RIGHT(RptQtr,1)&gt;=$AG28*4+RIGHT(AK$18,1),SUMIFS(ProgPrcntDoneProject,ProgQuarter,AK$18,ProgYearDone,$AG28),"")</f>
      </c>
      <c r="AV28" s="424">
        <f>IF(AR28="","",IF($AZ$20=1,AR28,SUMIFS(ProgVssDoneProject,ProgQuarter,AH$18,ProgYearDone,$AG28)))</f>
      </c>
      <c r="AW28" s="425">
        <f>IF(AS28="","",IF($AZ$20=1,AS28,SUMIFS(ProgVssDoneProject,ProgQuarter,AI$18,ProgYearDone,$AG28)))</f>
      </c>
      <c r="AX28" s="425">
        <f>IF(AT28="","",IF($AZ$20=1,AT28,SUMIFS(ProgVssDoneProject,ProgQuarter,AJ$18,ProgYearDone,$AG28)))</f>
      </c>
      <c r="AY28" s="425">
        <f>IF(AU28="","",IF($AZ$20=1,AU28,SUMIFS(ProgVssDoneProject,ProgQuarter,AK$18,ProgYearDone,$AG28)))</f>
      </c>
      <c r="AZ28" s="473">
        <f>Planning!U28</f>
      </c>
      <c r="BA28" s="474">
        <f>Planning!U28</f>
      </c>
      <c r="BB28" s="475">
        <f>Planning!V28</f>
      </c>
      <c r="BC28" s="474">
        <f>Planning!V28</f>
      </c>
      <c r="BD28" s="475">
        <f>Planning!W28</f>
      </c>
      <c r="BE28" s="474">
        <f>Planning!W28</f>
      </c>
      <c r="BF28" s="475">
        <f>Planning!X28</f>
      </c>
      <c r="BG28" s="474">
        <f>Planning!X28</f>
      </c>
      <c r="BH28" s="475">
        <f>Planning!Y28</f>
      </c>
      <c r="BI28" s="474">
        <f>Planning!Y28</f>
      </c>
      <c r="BJ28" s="475">
        <f>Planning!Z28</f>
      </c>
      <c r="BK28" s="476">
        <f>Planning!Z28</f>
      </c>
      <c r="BL28" s="483">
        <f>(GraphFirstYear&amp;2)*1</f>
      </c>
      <c r="BM28" s="492">
        <f>Year1</f>
      </c>
      <c r="BN28" s="493"/>
      <c r="BO28" s="480">
        <f>IF($BM$28=$AT$17,AS44,IF($BM$28=$AT$18,AS51,$BO$30))</f>
      </c>
      <c r="BP28" s="480">
        <f>IF(AND((LEFT(BL28,4))*1&gt;=$AT$18,BO28=0),NA(),IF($AZ$20=1,BO28/VE+BP27,BO28+BP27))</f>
      </c>
      <c r="BQ28" s="480">
        <f>AW20</f>
      </c>
      <c r="BR28" s="484">
        <f>IF(BL28&gt;=$AU$17,IF(OR(ISNA(BP28),BQ28=""),NA(),BQ28+BR27),0)</f>
      </c>
      <c r="BS28" s="11"/>
      <c r="BT28" s="1"/>
      <c r="BU28" s="1"/>
      <c r="BV28" s="1"/>
      <c r="BW28" s="1"/>
      <c r="BX28" s="1"/>
    </row>
    <row x14ac:dyDescent="0.25" r="29" customHeight="1" ht="18">
      <c r="A29" s="227"/>
      <c r="B29" s="227"/>
      <c r="C29" s="227"/>
      <c r="D29" s="227"/>
      <c r="E29" s="227"/>
      <c r="F29" s="227"/>
      <c r="G29" s="227"/>
      <c r="H29" s="227"/>
      <c r="I29" s="227"/>
      <c r="J29" s="227"/>
      <c r="K29" s="227"/>
      <c r="L29" s="227"/>
      <c r="M29" s="227"/>
      <c r="N29" s="227"/>
      <c r="O29" s="227"/>
      <c r="P29" s="491">
        <f>Planning!Q29</f>
      </c>
      <c r="Q29" s="469">
        <f>Planning!T29</f>
      </c>
      <c r="R29" s="470"/>
      <c r="S29" s="471"/>
      <c r="T29" s="470"/>
      <c r="U29" s="471"/>
      <c r="V29" s="470"/>
      <c r="W29" s="471"/>
      <c r="X29" s="470"/>
      <c r="Y29" s="471"/>
      <c r="Z29" s="470"/>
      <c r="AA29" s="471"/>
      <c r="AB29" s="470"/>
      <c r="AC29" s="472"/>
      <c r="AD29" s="345"/>
      <c r="AE29" s="439">
        <v>10</v>
      </c>
      <c r="AF29" s="414" t="s">
        <v>293</v>
      </c>
      <c r="AG29" s="415">
        <f>Year10</f>
      </c>
      <c r="AH29" s="416">
        <f>IF($AR$18&gt;=12,3,_xlfn.IFNA(_xlfn.SWITCH($AR$18,10,1,11,2,12,3),0))</f>
      </c>
      <c r="AI29" s="416">
        <f>IF(AND($AZ$20=1,($AG29&amp;AI$16)*1&lt;$AU$17),"",IF(AS29="","",IF($AZ$20=1,AS29,SUMIFS(ProgVssDoneAllYears,ProgQuarter,AI$18,ProgYearDone,$AG29))))</f>
      </c>
      <c r="AJ29" s="416">
        <f>IF(AND($AZ$20=1,($AG29&amp;AJ$16)*1&lt;$AU$17),"",IF(AT29="","",IF($AZ$20=1,AT29,SUMIFS(ProgVssDoneAllYears,ProgQuarter,AJ$18,ProgYearDone,$AG29))))</f>
      </c>
      <c r="AK29" s="416">
        <f>IF(AND($AZ$20=1,($AG29&amp;AK$16)*1&lt;$AU$17),"",IF(AU29="","",IF($AZ$20=1,AU29,SUMIFS(ProgVssDoneAllYears,ProgQuarter,AK$18,ProgYearDone,$AG29))))</f>
      </c>
      <c r="AL29" s="440">
        <f>IF(AND($AZ$20=1,AG29&gt;RptYr),"",IF(Planning!AJ28=0,"",IF($AZ$20=1,IF(AG29&lt;RptYr,Planning!AJ28,IF(AG29=RptYr,VLOOKUP((RptYr),YearAndPrcntPlanned,28)*(_xlfn.IFS(RptYr=$AT$17,$BF$19,RptYr=$AT$18,$BF$20,TRUE,RIGHT(RptQtr)*0.25)),Planning!AJ28)),IF(AG29&lt;RptYr,Planning!AJ28*VE,IF(AG29=RptYr,VLOOKUP((RptYr),YearAndPrcntPlanned,28)*(_xlfn.IFS(RptYr=$AT$17,$BF$19,RptYr=$AT$18,$BF$20,TRUE,RIGHT(RptQtr)*0.25))*VE,Planning!AJ28*VE)))))</f>
      </c>
      <c r="AM29" s="441">
        <f>IF(AG29&gt;RptYr,"",IF(AND($AZ$20=1,$AG29&lt;$AT$17),"",SUM(AH29:AK29)))</f>
      </c>
      <c r="AN29" s="442">
        <f>IF(OR(AL29="",AG29&gt;RptYr),0,IF(Planning!AJ28=0,0,AL29+AN28))</f>
      </c>
      <c r="AO29" s="443">
        <f>IF(AL29="",0,IF($AZ$20=1,SUM(AR29:AU29)+AO28,IF(AG29&lt;=RptYr,((SUM(AR29:AU29)*VE)+AO28),"")))</f>
      </c>
      <c r="AP29" s="444">
        <f>IF(AN29=0,0,IF(AND(ISNUMBER(AN29),AO29=""),"",(AO29-AN29)))</f>
      </c>
      <c r="AQ29" s="3"/>
      <c r="AR29" s="416">
        <f>IF(RptYr*4+RIGHT(RptQtr,1)&gt;=$AG29*4+RIGHT(AH$18,1),SUMIFS(ProgPrcntDoneProject,ProgQuarter,AH$18,ProgYearDone,$AG29),"")</f>
      </c>
      <c r="AS29" s="416">
        <f>IF(RptYr*4+RIGHT(RptQtr,1)&gt;=$AG29*4+RIGHT(AI$18,1),SUMIFS(ProgPrcntDoneProject,ProgQuarter,AI$18,ProgYearDone,$AG29),"")</f>
      </c>
      <c r="AT29" s="416">
        <f>IF(RptYr*4+RIGHT(RptQtr,1)&gt;=$AG29*4+RIGHT(AJ$18,1),SUMIFS(ProgPrcntDoneProject,ProgQuarter,AJ$18,ProgYearDone,$AG29),"")</f>
      </c>
      <c r="AU29" s="445">
        <f>IF(RptYr*4+RIGHT(RptQtr,1)&gt;=$AG29*4+RIGHT(AK$18,1),SUMIFS(ProgPrcntDoneProject,ProgQuarter,AK$18,ProgYearDone,$AG29),"")</f>
      </c>
      <c r="AV29" s="424">
        <f>IF(AR29="","",IF($AZ$20=1,AR29,SUMIFS(ProgVssDoneProject,ProgQuarter,AH$18,ProgYearDone,$AG29)))</f>
      </c>
      <c r="AW29" s="425">
        <f>IF(AS29="","",IF($AZ$20=1,AS29,SUMIFS(ProgVssDoneProject,ProgQuarter,AI$18,ProgYearDone,$AG29)))</f>
      </c>
      <c r="AX29" s="425">
        <f>IF(AT29="","",IF($AZ$20=1,AT29,SUMIFS(ProgVssDoneProject,ProgQuarter,AJ$18,ProgYearDone,$AG29)))</f>
      </c>
      <c r="AY29" s="425">
        <f>IF(AU29="","",IF($AZ$20=1,AU29,SUMIFS(ProgVssDoneProject,ProgQuarter,AK$18,ProgYearDone,$AG29)))</f>
      </c>
      <c r="AZ29" s="473">
        <f>Planning!U29</f>
      </c>
      <c r="BA29" s="474">
        <f>Planning!U29</f>
      </c>
      <c r="BB29" s="475">
        <f>Planning!V29</f>
      </c>
      <c r="BC29" s="474">
        <f>Planning!V29</f>
      </c>
      <c r="BD29" s="475">
        <f>Planning!W29</f>
      </c>
      <c r="BE29" s="474">
        <f>Planning!W29</f>
      </c>
      <c r="BF29" s="475">
        <f>Planning!X29</f>
      </c>
      <c r="BG29" s="474">
        <f>Planning!X29</f>
      </c>
      <c r="BH29" s="475">
        <f>Planning!Y29</f>
      </c>
      <c r="BI29" s="474">
        <f>Planning!Y29</f>
      </c>
      <c r="BJ29" s="475">
        <f>Planning!Z29</f>
      </c>
      <c r="BK29" s="476">
        <f>Planning!Z29</f>
      </c>
      <c r="BL29" s="483">
        <f>(GraphFirstYear&amp;3)*1</f>
      </c>
      <c r="BM29" s="492"/>
      <c r="BN29" s="493"/>
      <c r="BO29" s="480">
        <f>IF($BM$28=$AT$17,AS45,IF($BM$28=$AT$18,AS52,$BO$30))</f>
      </c>
      <c r="BP29" s="480">
        <f>IF(AND((LEFT(BL29,4))*1&gt;=$AT$18,BO29=0),NA(),IF($AZ$20=1,BO29/VE+BP28,BO29+BP28))</f>
      </c>
      <c r="BQ29" s="480">
        <f>AX20</f>
      </c>
      <c r="BR29" s="484">
        <f>IF(BL29&gt;=$AU$17,IF(OR(ISNA(BP29),BQ29=""),NA(),BQ29+BR28),0)</f>
      </c>
      <c r="BS29" s="11"/>
      <c r="BT29" s="1"/>
      <c r="BU29" s="1"/>
      <c r="BV29" s="1"/>
      <c r="BW29" s="1"/>
      <c r="BX29" s="1"/>
    </row>
    <row x14ac:dyDescent="0.25" r="30" customHeight="1" ht="18">
      <c r="A30" s="227"/>
      <c r="B30" s="227"/>
      <c r="C30" s="227"/>
      <c r="D30" s="227"/>
      <c r="E30" s="227"/>
      <c r="F30" s="227"/>
      <c r="G30" s="227"/>
      <c r="H30" s="227"/>
      <c r="I30" s="227"/>
      <c r="J30" s="227"/>
      <c r="K30" s="227"/>
      <c r="L30" s="227"/>
      <c r="M30" s="227"/>
      <c r="N30" s="227"/>
      <c r="O30" s="227"/>
      <c r="P30" s="491">
        <f>Planning!Q30</f>
      </c>
      <c r="Q30" s="469">
        <f>Planning!T30</f>
      </c>
      <c r="R30" s="470"/>
      <c r="S30" s="471"/>
      <c r="T30" s="470"/>
      <c r="U30" s="471"/>
      <c r="V30" s="470"/>
      <c r="W30" s="471"/>
      <c r="X30" s="470"/>
      <c r="Y30" s="471"/>
      <c r="Z30" s="470"/>
      <c r="AA30" s="471"/>
      <c r="AB30" s="470"/>
      <c r="AC30" s="472"/>
      <c r="AD30" s="345"/>
      <c r="AE30" s="439">
        <v>11</v>
      </c>
      <c r="AF30" s="414" t="s">
        <v>293</v>
      </c>
      <c r="AG30" s="415">
        <f>Year11</f>
      </c>
      <c r="AH30" s="416">
        <f>IF($AR$18&gt;=12,3,_xlfn.IFNA(_xlfn.SWITCH($AR$18,10,1,11,2,12,3),0))</f>
      </c>
      <c r="AI30" s="416">
        <f>IF(AND($AZ$20=1,($AG30&amp;AI$16)*1&lt;$AU$17),"",IF(AS30="","",IF($AZ$20=1,AS30,SUMIFS(ProgVssDoneAllYears,ProgQuarter,AI$18,ProgYearDone,$AG30))))</f>
      </c>
      <c r="AJ30" s="416">
        <f>IF(AND($AZ$20=1,($AG30&amp;AJ$16)*1&lt;$AU$17),"",IF(AT30="","",IF($AZ$20=1,AT30,SUMIFS(ProgVssDoneAllYears,ProgQuarter,AJ$18,ProgYearDone,$AG30))))</f>
      </c>
      <c r="AK30" s="416">
        <f>IF(AND($AZ$20=1,($AG30&amp;AK$16)*1&lt;$AU$17),"",IF(AU30="","",IF($AZ$20=1,AU30,SUMIFS(ProgVssDoneAllYears,ProgQuarter,AK$18,ProgYearDone,$AG30))))</f>
      </c>
      <c r="AL30" s="440">
        <f>IF(AND($AZ$20=1,AG30&gt;RptYr),"",IF(Planning!AJ29=0,"",IF($AZ$20=1,IF(AG30&lt;RptYr,Planning!AJ29,IF(AG30=RptYr,VLOOKUP((RptYr),YearAndPrcntPlanned,28)*(_xlfn.IFS(RptYr=$AT$17,$BF$19,RptYr=$AT$18,$BF$20,TRUE,RIGHT(RptQtr)*0.25)),Planning!AJ29)),IF(AG30&lt;RptYr,Planning!AJ29*VE,IF(AG30=RptYr,VLOOKUP((RptYr),YearAndPrcntPlanned,28)*(_xlfn.IFS(RptYr=$AT$17,$BF$19,RptYr=$AT$18,$BF$20,TRUE,RIGHT(RptQtr)*0.25))*VE,Planning!AJ29*VE)))))</f>
      </c>
      <c r="AM30" s="441">
        <f>IF(AG30&gt;RptYr,"",IF(AND($AZ$20=1,$AG30&lt;$AT$17),"",SUM(AH30:AK30)))</f>
      </c>
      <c r="AN30" s="442">
        <f>IF(OR(AL30="",AG30&gt;RptYr),0,IF(Planning!AJ29=0,0,AL30+AN29))</f>
      </c>
      <c r="AO30" s="443">
        <f>IF(AL30="",0,IF($AZ$20=1,SUM(AR30:AU30)+AO29,IF(AG30&lt;=RptYr,((SUM(AR30:AU30)*VE)+AO29),"")))</f>
      </c>
      <c r="AP30" s="444">
        <f>IF(AN30=0,0,IF(AND(ISNUMBER(AN30),AO30=""),"",(AO30-AN30)))</f>
      </c>
      <c r="AQ30" s="3"/>
      <c r="AR30" s="416">
        <f>IF(RptYr*4+RIGHT(RptQtr,1)&gt;=$AG30*4+RIGHT(AH$18,1),SUMIFS(ProgPrcntDoneProject,ProgQuarter,AH$18,ProgYearDone,$AG30),"")</f>
      </c>
      <c r="AS30" s="416">
        <f>IF(RptYr*4+RIGHT(RptQtr,1)&gt;=$AG30*4+RIGHT(AI$18,1),SUMIFS(ProgPrcntDoneProject,ProgQuarter,AI$18,ProgYearDone,$AG30),"")</f>
      </c>
      <c r="AT30" s="416">
        <f>IF(RptYr*4+RIGHT(RptQtr,1)&gt;=$AG30*4+RIGHT(AJ$18,1),SUMIFS(ProgPrcntDoneProject,ProgQuarter,AJ$18,ProgYearDone,$AG30),"")</f>
      </c>
      <c r="AU30" s="445">
        <f>IF(RptYr*4+RIGHT(RptQtr,1)&gt;=$AG30*4+RIGHT(AK$18,1),SUMIFS(ProgPrcntDoneProject,ProgQuarter,AK$18,ProgYearDone,$AG30),"")</f>
      </c>
      <c r="AV30" s="424">
        <f>IF(AR30="","",IF($AZ$20=1,AR30,SUMIFS(ProgVssDoneProject,ProgQuarter,AH$18,ProgYearDone,$AG30)))</f>
      </c>
      <c r="AW30" s="425">
        <f>IF(AS30="","",IF($AZ$20=1,AS30,SUMIFS(ProgVssDoneProject,ProgQuarter,AI$18,ProgYearDone,$AG30)))</f>
      </c>
      <c r="AX30" s="425">
        <f>IF(AT30="","",IF($AZ$20=1,AT30,SUMIFS(ProgVssDoneProject,ProgQuarter,AJ$18,ProgYearDone,$AG30)))</f>
      </c>
      <c r="AY30" s="425">
        <f>IF(AU30="","",IF($AZ$20=1,AU30,SUMIFS(ProgVssDoneProject,ProgQuarter,AK$18,ProgYearDone,$AG30)))</f>
      </c>
      <c r="AZ30" s="473">
        <f>Planning!U30</f>
      </c>
      <c r="BA30" s="474">
        <f>Planning!U30</f>
      </c>
      <c r="BB30" s="475">
        <f>Planning!V30</f>
      </c>
      <c r="BC30" s="474">
        <f>Planning!V30</f>
      </c>
      <c r="BD30" s="475">
        <f>Planning!W30</f>
      </c>
      <c r="BE30" s="474">
        <f>Planning!W30</f>
      </c>
      <c r="BF30" s="475">
        <f>Planning!X30</f>
      </c>
      <c r="BG30" s="474">
        <f>Planning!X30</f>
      </c>
      <c r="BH30" s="475">
        <f>Planning!Y30</f>
      </c>
      <c r="BI30" s="474">
        <f>Planning!Y30</f>
      </c>
      <c r="BJ30" s="475">
        <f>Planning!Z30</f>
      </c>
      <c r="BK30" s="476">
        <f>Planning!Z30</f>
      </c>
      <c r="BL30" s="486">
        <f>(GraphFirstYear&amp;4)*1</f>
      </c>
      <c r="BM30" s="494"/>
      <c r="BN30" s="495"/>
      <c r="BO30" s="480">
        <f>IF(BM28=$AT$17,AS46,IF(BM28=$AT$18,AS53,SUMIFS(PlanVE_PerBook,PlanYear,BM28)/4))</f>
      </c>
      <c r="BP30" s="480">
        <f>IF(AND((LEFT(BL30,4))*1&gt;=$AT$18,BO30=0),NA(),IF($AZ$20=1,BO30/VE+BP29,BO30+BP29))</f>
      </c>
      <c r="BQ30" s="480">
        <f>AY20</f>
      </c>
      <c r="BR30" s="484">
        <f>IF(BL30&gt;=$AU$17,IF(OR(ISNA(BP30),BQ30=""),NA(),BQ30+BR29),0)</f>
      </c>
      <c r="BS30" s="11"/>
      <c r="BT30" s="1"/>
      <c r="BU30" s="1"/>
      <c r="BV30" s="1"/>
      <c r="BW30" s="1"/>
      <c r="BX30" s="1"/>
    </row>
    <row x14ac:dyDescent="0.25" r="31" customHeight="1" ht="18">
      <c r="A31" s="227"/>
      <c r="B31" s="227"/>
      <c r="C31" s="227"/>
      <c r="D31" s="227"/>
      <c r="E31" s="227"/>
      <c r="F31" s="227"/>
      <c r="G31" s="227"/>
      <c r="H31" s="227"/>
      <c r="I31" s="227"/>
      <c r="J31" s="227"/>
      <c r="K31" s="227"/>
      <c r="L31" s="227"/>
      <c r="M31" s="227"/>
      <c r="N31" s="227"/>
      <c r="O31" s="227"/>
      <c r="P31" s="491">
        <f>Planning!Q31</f>
      </c>
      <c r="Q31" s="469">
        <f>Planning!T31</f>
      </c>
      <c r="R31" s="470"/>
      <c r="S31" s="471"/>
      <c r="T31" s="470"/>
      <c r="U31" s="471"/>
      <c r="V31" s="470"/>
      <c r="W31" s="471"/>
      <c r="X31" s="470"/>
      <c r="Y31" s="471"/>
      <c r="Z31" s="470"/>
      <c r="AA31" s="471"/>
      <c r="AB31" s="470"/>
      <c r="AC31" s="472"/>
      <c r="AD31" s="345"/>
      <c r="AE31" s="439">
        <v>12</v>
      </c>
      <c r="AF31" s="414" t="s">
        <v>293</v>
      </c>
      <c r="AG31" s="415">
        <f>Year12</f>
      </c>
      <c r="AH31" s="416">
        <f>IF($AR$18&gt;=12,3,_xlfn.IFNA(_xlfn.SWITCH($AR$18,10,1,11,2,12,3),0))</f>
      </c>
      <c r="AI31" s="416">
        <f>IF(AND($AZ$20=1,($AG31&amp;AI$16)*1&lt;$AU$17),"",IF(AS31="","",IF($AZ$20=1,AS31,SUMIFS(ProgVssDoneAllYears,ProgQuarter,AI$18,ProgYearDone,$AG31))))</f>
      </c>
      <c r="AJ31" s="416">
        <f>IF(AND($AZ$20=1,($AG31&amp;AJ$16)*1&lt;$AU$17),"",IF(AT31="","",IF($AZ$20=1,AT31,SUMIFS(ProgVssDoneAllYears,ProgQuarter,AJ$18,ProgYearDone,$AG31))))</f>
      </c>
      <c r="AK31" s="416">
        <f>IF(AND($AZ$20=1,($AG31&amp;AK$16)*1&lt;$AU$17),"",IF(AU31="","",IF($AZ$20=1,AU31,SUMIFS(ProgVssDoneAllYears,ProgQuarter,AK$18,ProgYearDone,$AG31))))</f>
      </c>
      <c r="AL31" s="440">
        <f>IF(AND($AZ$20=1,AG31&gt;RptYr),"",IF(Planning!AJ30=0,"",IF($AZ$20=1,IF(AG31&lt;RptYr,Planning!AJ30,IF(AG31=RptYr,VLOOKUP((RptYr),YearAndPrcntPlanned,28)*(_xlfn.IFS(RptYr=$AT$17,$BF$19,RptYr=$AT$18,$BF$20,TRUE,RIGHT(RptQtr)*0.25)),Planning!AJ30)),IF(AG31&lt;RptYr,Planning!AJ30*VE,IF(AG31=RptYr,VLOOKUP((RptYr),YearAndPrcntPlanned,28)*(_xlfn.IFS(RptYr=$AT$17,$BF$19,RptYr=$AT$18,$BF$20,TRUE,RIGHT(RptQtr)*0.25))*VE,Planning!AJ30*VE)))))</f>
      </c>
      <c r="AM31" s="441">
        <f>IF(AG31&gt;RptYr,"",IF(AND($AZ$20=1,$AG31&lt;$AT$17),"",SUM(AH31:AK31)))</f>
      </c>
      <c r="AN31" s="442">
        <f>IF(OR(AL31="",AG31&gt;RptYr),0,IF(Planning!AJ30=0,0,AL31+AN30))</f>
      </c>
      <c r="AO31" s="443">
        <f>IF(AL31="",0,IF($AZ$20=1,SUM(AR31:AU31)+AO30,IF(AG31&lt;=RptYr,((SUM(AR31:AU31)*VE)+AO30),"")))</f>
      </c>
      <c r="AP31" s="444">
        <f>IF(AN31=0,0,IF(AND(ISNUMBER(AN31),AO31=""),"",(AO31-AN31)))</f>
      </c>
      <c r="AQ31" s="3"/>
      <c r="AR31" s="416">
        <f>IF(RptYr*4+RIGHT(RptQtr,1)&gt;=$AG31*4+RIGHT(AH$18,1),SUMIFS(ProgPrcntDoneProject,ProgQuarter,AH$18,ProgYearDone,$AG31),"")</f>
      </c>
      <c r="AS31" s="416">
        <f>IF(RptYr*4+RIGHT(RptQtr,1)&gt;=$AG31*4+RIGHT(AI$18,1),SUMIFS(ProgPrcntDoneProject,ProgQuarter,AI$18,ProgYearDone,$AG31),"")</f>
      </c>
      <c r="AT31" s="416">
        <f>IF(RptYr*4+RIGHT(RptQtr,1)&gt;=$AG31*4+RIGHT(AJ$18,1),SUMIFS(ProgPrcntDoneProject,ProgQuarter,AJ$18,ProgYearDone,$AG31),"")</f>
      </c>
      <c r="AU31" s="445">
        <f>IF(RptYr*4+RIGHT(RptQtr,1)&gt;=$AG31*4+RIGHT(AK$18,1),SUMIFS(ProgPrcntDoneProject,ProgQuarter,AK$18,ProgYearDone,$AG31),"")</f>
      </c>
      <c r="AV31" s="424">
        <f>IF(AR31="","",IF($AZ$20=1,AR31,SUMIFS(ProgVssDoneProject,ProgQuarter,AH$18,ProgYearDone,$AG31)))</f>
      </c>
      <c r="AW31" s="425">
        <f>IF(AS31="","",IF($AZ$20=1,AS31,SUMIFS(ProgVssDoneProject,ProgQuarter,AI$18,ProgYearDone,$AG31)))</f>
      </c>
      <c r="AX31" s="425">
        <f>IF(AT31="","",IF($AZ$20=1,AT31,SUMIFS(ProgVssDoneProject,ProgQuarter,AJ$18,ProgYearDone,$AG31)))</f>
      </c>
      <c r="AY31" s="425">
        <f>IF(AU31="","",IF($AZ$20=1,AU31,SUMIFS(ProgVssDoneProject,ProgQuarter,AK$18,ProgYearDone,$AG31)))</f>
      </c>
      <c r="AZ31" s="473">
        <f>Planning!U31</f>
      </c>
      <c r="BA31" s="474">
        <f>Planning!U31</f>
      </c>
      <c r="BB31" s="475">
        <f>Planning!V31</f>
      </c>
      <c r="BC31" s="474">
        <f>Planning!V31</f>
      </c>
      <c r="BD31" s="475">
        <f>Planning!W31</f>
      </c>
      <c r="BE31" s="474">
        <f>Planning!W31</f>
      </c>
      <c r="BF31" s="475">
        <f>Planning!X31</f>
      </c>
      <c r="BG31" s="474">
        <f>Planning!X31</f>
      </c>
      <c r="BH31" s="475">
        <f>Planning!Y31</f>
      </c>
      <c r="BI31" s="474">
        <f>Planning!Y31</f>
      </c>
      <c r="BJ31" s="475">
        <f>Planning!Z31</f>
      </c>
      <c r="BK31" s="476">
        <f>Planning!Z31</f>
      </c>
      <c r="BL31" s="477">
        <f>((BM32&amp;1))*1</f>
      </c>
      <c r="BM31" s="489"/>
      <c r="BN31" s="496"/>
      <c r="BO31" s="480">
        <f>IF($BM$32=$AT$17,AS43,IF($BM$32=$AT$18,AS50,$BO$34))</f>
      </c>
      <c r="BP31" s="480">
        <f>IF(AND((LEFT(BL31,4))*1&gt;=$AT$18,BO31=0),NA(),IF($AZ$20=1,BO31/VE+BP30,BO31+BP30))</f>
      </c>
      <c r="BQ31" s="480">
        <f>AV21</f>
      </c>
      <c r="BR31" s="484">
        <f>IF(BL31&gt;=$AU$17,IF(OR(ISNA(BP31),BQ31=""),NA(),BQ31+BR30),0)</f>
      </c>
      <c r="BS31" s="11"/>
      <c r="BT31" s="1"/>
      <c r="BU31" s="1"/>
      <c r="BV31" s="1"/>
      <c r="BW31" s="1"/>
      <c r="BX31" s="1"/>
    </row>
    <row x14ac:dyDescent="0.25" r="32" customHeight="1" ht="18">
      <c r="A32" s="227"/>
      <c r="B32" s="227"/>
      <c r="C32" s="227"/>
      <c r="D32" s="227"/>
      <c r="E32" s="227"/>
      <c r="F32" s="227"/>
      <c r="G32" s="227"/>
      <c r="H32" s="227"/>
      <c r="I32" s="227"/>
      <c r="J32" s="227"/>
      <c r="K32" s="227"/>
      <c r="L32" s="227"/>
      <c r="M32" s="227"/>
      <c r="N32" s="227"/>
      <c r="O32" s="227"/>
      <c r="P32" s="491">
        <f>Planning!Q32</f>
      </c>
      <c r="Q32" s="469">
        <f>Planning!T32</f>
      </c>
      <c r="R32" s="470"/>
      <c r="S32" s="471"/>
      <c r="T32" s="470"/>
      <c r="U32" s="471"/>
      <c r="V32" s="470"/>
      <c r="W32" s="471"/>
      <c r="X32" s="470"/>
      <c r="Y32" s="471"/>
      <c r="Z32" s="470"/>
      <c r="AA32" s="471"/>
      <c r="AB32" s="470"/>
      <c r="AC32" s="472"/>
      <c r="AD32" s="345"/>
      <c r="AE32" s="439">
        <v>13</v>
      </c>
      <c r="AF32" s="414" t="s">
        <v>293</v>
      </c>
      <c r="AG32" s="415">
        <f>Year13</f>
      </c>
      <c r="AH32" s="416">
        <f>IF($AR$18&gt;=12,3,_xlfn.IFNA(_xlfn.SWITCH($AR$18,10,1,11,2,12,3),0))</f>
      </c>
      <c r="AI32" s="416">
        <f>IF(AND($AZ$20=1,($AG32&amp;AI$16)*1&lt;$AU$17),"",IF(AS32="","",IF($AZ$20=1,AS32,SUMIFS(ProgVssDoneAllYears,ProgQuarter,AI$18,ProgYearDone,$AG32))))</f>
      </c>
      <c r="AJ32" s="416">
        <f>IF(AND($AZ$20=1,($AG32&amp;AJ$16)*1&lt;$AU$17),"",IF(AT32="","",IF($AZ$20=1,AT32,SUMIFS(ProgVssDoneAllYears,ProgQuarter,AJ$18,ProgYearDone,$AG32))))</f>
      </c>
      <c r="AK32" s="416">
        <f>IF(AND($AZ$20=1,($AG32&amp;AK$16)*1&lt;$AU$17),"",IF(AU32="","",IF($AZ$20=1,AU32,SUMIFS(ProgVssDoneAllYears,ProgQuarter,AK$18,ProgYearDone,$AG32))))</f>
      </c>
      <c r="AL32" s="440">
        <f>IF(AND($AZ$20=1,AG32&gt;RptYr),"",IF(Planning!AJ31=0,"",IF($AZ$20=1,IF(AG32&lt;RptYr,Planning!AJ31,IF(AG32=RptYr,VLOOKUP((RptYr),YearAndPrcntPlanned,28)*(_xlfn.IFS(RptYr=$AT$17,$BF$19,RptYr=$AT$18,$BF$20,TRUE,RIGHT(RptQtr)*0.25)),Planning!AJ31)),IF(AG32&lt;RptYr,Planning!AJ31*VE,IF(AG32=RptYr,VLOOKUP((RptYr),YearAndPrcntPlanned,28)*(_xlfn.IFS(RptYr=$AT$17,$BF$19,RptYr=$AT$18,$BF$20,TRUE,RIGHT(RptQtr)*0.25))*VE,Planning!AJ31*VE)))))</f>
      </c>
      <c r="AM32" s="441">
        <f>IF(AG32&gt;RptYr,"",IF(AND($AZ$20=1,$AG32&lt;$AT$17),"",SUM(AH32:AK32)))</f>
      </c>
      <c r="AN32" s="442">
        <f>IF(OR(AL32="",AG32&gt;RptYr),0,IF(Planning!AJ31=0,0,AL32+AN31))</f>
      </c>
      <c r="AO32" s="443">
        <f>IF(AL32="",0,IF($AZ$20=1,SUM(AR32:AU32)+AO31,IF(AG32&lt;=RptYr,((SUM(AR32:AU32)*VE)+AO31),"")))</f>
      </c>
      <c r="AP32" s="444">
        <f>IF(AN32=0,0,IF(AND(ISNUMBER(AN32),AO32=""),"",(AO32-AN32)))</f>
      </c>
      <c r="AQ32" s="3"/>
      <c r="AR32" s="416">
        <f>IF(RptYr*4+RIGHT(RptQtr,1)&gt;=$AG32*4+RIGHT(AH$18,1),SUMIFS(ProgPrcntDoneProject,ProgQuarter,AH$18,ProgYearDone,$AG32),"")</f>
      </c>
      <c r="AS32" s="416">
        <f>IF(RptYr*4+RIGHT(RptQtr,1)&gt;=$AG32*4+RIGHT(AI$18,1),SUMIFS(ProgPrcntDoneProject,ProgQuarter,AI$18,ProgYearDone,$AG32),"")</f>
      </c>
      <c r="AT32" s="416">
        <f>IF(RptYr*4+RIGHT(RptQtr,1)&gt;=$AG32*4+RIGHT(AJ$18,1),SUMIFS(ProgPrcntDoneProject,ProgQuarter,AJ$18,ProgYearDone,$AG32),"")</f>
      </c>
      <c r="AU32" s="445">
        <f>IF(RptYr*4+RIGHT(RptQtr,1)&gt;=$AG32*4+RIGHT(AK$18,1),SUMIFS(ProgPrcntDoneProject,ProgQuarter,AK$18,ProgYearDone,$AG32),"")</f>
      </c>
      <c r="AV32" s="424">
        <f>IF(AR32="","",IF($AZ$20=1,AR32,SUMIFS(ProgVssDoneProject,ProgQuarter,AH$18,ProgYearDone,$AG32)))</f>
      </c>
      <c r="AW32" s="425">
        <f>IF(AS32="","",IF($AZ$20=1,AS32,SUMIFS(ProgVssDoneProject,ProgQuarter,AI$18,ProgYearDone,$AG32)))</f>
      </c>
      <c r="AX32" s="425">
        <f>IF(AT32="","",IF($AZ$20=1,AT32,SUMIFS(ProgVssDoneProject,ProgQuarter,AJ$18,ProgYearDone,$AG32)))</f>
      </c>
      <c r="AY32" s="425">
        <f>IF(AU32="","",IF($AZ$20=1,AU32,SUMIFS(ProgVssDoneProject,ProgQuarter,AK$18,ProgYearDone,$AG32)))</f>
      </c>
      <c r="AZ32" s="473">
        <f>Planning!U32</f>
      </c>
      <c r="BA32" s="474">
        <f>Planning!U32</f>
      </c>
      <c r="BB32" s="475">
        <f>Planning!V32</f>
      </c>
      <c r="BC32" s="474">
        <f>Planning!V32</f>
      </c>
      <c r="BD32" s="475">
        <f>Planning!W32</f>
      </c>
      <c r="BE32" s="474">
        <f>Planning!W32</f>
      </c>
      <c r="BF32" s="475">
        <f>Planning!X32</f>
      </c>
      <c r="BG32" s="474">
        <f>Planning!X32</f>
      </c>
      <c r="BH32" s="475">
        <f>Planning!Y32</f>
      </c>
      <c r="BI32" s="474">
        <f>Planning!Y32</f>
      </c>
      <c r="BJ32" s="475">
        <f>Planning!Z32</f>
      </c>
      <c r="BK32" s="476">
        <f>Planning!Z32</f>
      </c>
      <c r="BL32" s="483">
        <f>(BM32&amp;2)*1</f>
      </c>
      <c r="BM32" s="492">
        <f>Year2</f>
      </c>
      <c r="BN32" s="497"/>
      <c r="BO32" s="480">
        <f>IF($BM$32=$AT$17,AS44,IF($BM$32=$AT$18,AS51,$BO$34))</f>
      </c>
      <c r="BP32" s="480">
        <f>IF(AND((LEFT(BL32,4))*1&gt;=$AT$18,BO32=0),NA(),IF($AZ$20=1,BO32/VE+BP31,BO32+BP31))</f>
      </c>
      <c r="BQ32" s="480">
        <f>AW21</f>
      </c>
      <c r="BR32" s="484">
        <f>IF(BL32&gt;=$AU$17,IF(OR(ISNA(BP32),BQ32=""),NA(),BQ32+BR31),0)</f>
      </c>
      <c r="BS32" s="11"/>
      <c r="BT32" s="1"/>
      <c r="BU32" s="1"/>
      <c r="BV32" s="1"/>
      <c r="BW32" s="1"/>
      <c r="BX32" s="1"/>
    </row>
    <row x14ac:dyDescent="0.25" r="33" customHeight="1" ht="18">
      <c r="A33" s="227"/>
      <c r="B33" s="227"/>
      <c r="C33" s="227"/>
      <c r="D33" s="227"/>
      <c r="E33" s="227"/>
      <c r="F33" s="227"/>
      <c r="G33" s="227"/>
      <c r="H33" s="227"/>
      <c r="I33" s="227"/>
      <c r="J33" s="227"/>
      <c r="K33" s="227"/>
      <c r="L33" s="227"/>
      <c r="M33" s="227"/>
      <c r="N33" s="227"/>
      <c r="O33" s="227"/>
      <c r="P33" s="491">
        <f>Planning!Q33</f>
      </c>
      <c r="Q33" s="469">
        <f>Planning!T33</f>
      </c>
      <c r="R33" s="470"/>
      <c r="S33" s="471"/>
      <c r="T33" s="470"/>
      <c r="U33" s="471"/>
      <c r="V33" s="470"/>
      <c r="W33" s="471"/>
      <c r="X33" s="470"/>
      <c r="Y33" s="471"/>
      <c r="Z33" s="470"/>
      <c r="AA33" s="471"/>
      <c r="AB33" s="470"/>
      <c r="AC33" s="472"/>
      <c r="AD33" s="345"/>
      <c r="AE33" s="439">
        <v>14</v>
      </c>
      <c r="AF33" s="414" t="s">
        <v>293</v>
      </c>
      <c r="AG33" s="415">
        <f>Year14</f>
      </c>
      <c r="AH33" s="416">
        <f>IF($AR$18&gt;=12,3,_xlfn.IFNA(_xlfn.SWITCH($AR$18,10,1,11,2,12,3),0))</f>
      </c>
      <c r="AI33" s="416">
        <f>IF(AND($AZ$20=1,($AG33&amp;AI$16)*1&lt;$AU$17),"",IF(AS33="","",IF($AZ$20=1,AS33,SUMIFS(ProgVssDoneAllYears,ProgQuarter,AI$18,ProgYearDone,$AG33))))</f>
      </c>
      <c r="AJ33" s="416">
        <f>IF(AND($AZ$20=1,($AG33&amp;AJ$16)*1&lt;$AU$17),"",IF(AT33="","",IF($AZ$20=1,AT33,SUMIFS(ProgVssDoneAllYears,ProgQuarter,AJ$18,ProgYearDone,$AG33))))</f>
      </c>
      <c r="AK33" s="416">
        <f>IF(AND($AZ$20=1,($AG33&amp;AK$16)*1&lt;$AU$17),"",IF(AU33="","",IF($AZ$20=1,AU33,SUMIFS(ProgVssDoneAllYears,ProgQuarter,AK$18,ProgYearDone,$AG33))))</f>
      </c>
      <c r="AL33" s="440">
        <f>IF(AND($AZ$20=1,AG33&gt;RptYr),"",IF(Planning!AJ32=0,"",IF($AZ$20=1,IF(AG33&lt;RptYr,Planning!AJ32,IF(AG33=RptYr,VLOOKUP((RptYr),YearAndPrcntPlanned,28)*(_xlfn.IFS(RptYr=$AT$17,$BF$19,RptYr=$AT$18,$BF$20,TRUE,RIGHT(RptQtr)*0.25)),Planning!AJ32)),IF(AG33&lt;RptYr,Planning!AJ32*VE,IF(AG33=RptYr,VLOOKUP((RptYr),YearAndPrcntPlanned,28)*(_xlfn.IFS(RptYr=$AT$17,$BF$19,RptYr=$AT$18,$BF$20,TRUE,RIGHT(RptQtr)*0.25))*VE,Planning!AJ32*VE)))))</f>
      </c>
      <c r="AM33" s="441">
        <f>IF(AG33&gt;RptYr,"",IF(AND($AZ$20=1,$AG33&lt;$AT$17),"",SUM(AH33:AK33)))</f>
      </c>
      <c r="AN33" s="442">
        <f>IF(OR(AL33="",AG33&gt;RptYr),0,IF(Planning!AJ32=0,0,AL33+AN32))</f>
      </c>
      <c r="AO33" s="443">
        <f>IF(AL33="",0,IF($AZ$20=1,SUM(AR33:AU33)+AO32,IF(AG33&lt;=RptYr,((SUM(AR33:AU33)*VE)+AO32),"")))</f>
      </c>
      <c r="AP33" s="444">
        <f>IF(AN33=0,0,IF(AND(ISNUMBER(AN33),AO33=""),"",(AO33-AN33)))</f>
      </c>
      <c r="AQ33" s="3"/>
      <c r="AR33" s="416">
        <f>IF(RptYr*4+RIGHT(RptQtr,1)&gt;=$AG33*4+RIGHT(AH$18,1),SUMIFS(ProgPrcntDoneProject,ProgQuarter,AH$18,ProgYearDone,$AG33),"")</f>
      </c>
      <c r="AS33" s="416">
        <f>IF(RptYr*4+RIGHT(RptQtr,1)&gt;=$AG33*4+RIGHT(AI$18,1),SUMIFS(ProgPrcntDoneProject,ProgQuarter,AI$18,ProgYearDone,$AG33),"")</f>
      </c>
      <c r="AT33" s="416">
        <f>IF(RptYr*4+RIGHT(RptQtr,1)&gt;=$AG33*4+RIGHT(AJ$18,1),SUMIFS(ProgPrcntDoneProject,ProgQuarter,AJ$18,ProgYearDone,$AG33),"")</f>
      </c>
      <c r="AU33" s="445">
        <f>IF(RptYr*4+RIGHT(RptQtr,1)&gt;=$AG33*4+RIGHT(AK$18,1),SUMIFS(ProgPrcntDoneProject,ProgQuarter,AK$18,ProgYearDone,$AG33),"")</f>
      </c>
      <c r="AV33" s="424">
        <f>IF(AR33="","",IF($AZ$20=1,AR33,SUMIFS(ProgVssDoneProject,ProgQuarter,AH$18,ProgYearDone,$AG33)))</f>
      </c>
      <c r="AW33" s="425">
        <f>IF(AS33="","",IF($AZ$20=1,AS33,SUMIFS(ProgVssDoneProject,ProgQuarter,AI$18,ProgYearDone,$AG33)))</f>
      </c>
      <c r="AX33" s="425">
        <f>IF(AT33="","",IF($AZ$20=1,AT33,SUMIFS(ProgVssDoneProject,ProgQuarter,AJ$18,ProgYearDone,$AG33)))</f>
      </c>
      <c r="AY33" s="425">
        <f>IF(AU33="","",IF($AZ$20=1,AU33,SUMIFS(ProgVssDoneProject,ProgQuarter,AK$18,ProgYearDone,$AG33)))</f>
      </c>
      <c r="AZ33" s="473">
        <f>Planning!U33</f>
      </c>
      <c r="BA33" s="474">
        <f>Planning!U33</f>
      </c>
      <c r="BB33" s="475">
        <f>Planning!V33</f>
      </c>
      <c r="BC33" s="474">
        <f>Planning!V33</f>
      </c>
      <c r="BD33" s="475">
        <f>Planning!W33</f>
      </c>
      <c r="BE33" s="474">
        <f>Planning!W33</f>
      </c>
      <c r="BF33" s="475">
        <f>Planning!X33</f>
      </c>
      <c r="BG33" s="474">
        <f>Planning!X33</f>
      </c>
      <c r="BH33" s="475">
        <f>Planning!Y33</f>
      </c>
      <c r="BI33" s="474">
        <f>Planning!Y33</f>
      </c>
      <c r="BJ33" s="475">
        <f>Planning!Z33</f>
      </c>
      <c r="BK33" s="476">
        <f>Planning!Z33</f>
      </c>
      <c r="BL33" s="483">
        <f>(BM32&amp;3)*1</f>
      </c>
      <c r="BM33" s="492"/>
      <c r="BN33" s="497"/>
      <c r="BO33" s="480">
        <f>IF($BM$32=$AT$17,AS45,IF($BM$32=$AT$18,AS52,$BO$34))</f>
      </c>
      <c r="BP33" s="480">
        <f>IF(AND((LEFT(BL33,4))*1&gt;=$AT$18,BO33=0),NA(),IF($AZ$20=1,BO33/VE+BP32,BO33+BP32))</f>
      </c>
      <c r="BQ33" s="480">
        <f>AX21</f>
      </c>
      <c r="BR33" s="484">
        <f>IF(BL33&gt;=$AU$17,IF(OR(ISNA(BP33),BQ33=""),NA(),BQ33+BR32),0)</f>
      </c>
      <c r="BS33" s="11"/>
      <c r="BT33" s="1"/>
      <c r="BU33" s="1"/>
      <c r="BV33" s="1"/>
      <c r="BW33" s="1"/>
      <c r="BX33" s="1"/>
    </row>
    <row x14ac:dyDescent="0.25" r="34" customHeight="1" ht="18">
      <c r="A34" s="227"/>
      <c r="B34" s="227"/>
      <c r="C34" s="227"/>
      <c r="D34" s="227"/>
      <c r="E34" s="227"/>
      <c r="F34" s="227"/>
      <c r="G34" s="227"/>
      <c r="H34" s="227"/>
      <c r="I34" s="227"/>
      <c r="J34" s="227"/>
      <c r="K34" s="227"/>
      <c r="L34" s="227"/>
      <c r="M34" s="227"/>
      <c r="N34" s="227"/>
      <c r="O34" s="227"/>
      <c r="P34" s="491">
        <f>Planning!Q34</f>
      </c>
      <c r="Q34" s="469">
        <f>Planning!T34</f>
      </c>
      <c r="R34" s="470"/>
      <c r="S34" s="471"/>
      <c r="T34" s="470"/>
      <c r="U34" s="471"/>
      <c r="V34" s="470"/>
      <c r="W34" s="471"/>
      <c r="X34" s="470"/>
      <c r="Y34" s="471"/>
      <c r="Z34" s="470"/>
      <c r="AA34" s="471"/>
      <c r="AB34" s="470"/>
      <c r="AC34" s="472"/>
      <c r="AD34" s="345"/>
      <c r="AE34" s="439">
        <v>15</v>
      </c>
      <c r="AF34" s="414" t="s">
        <v>293</v>
      </c>
      <c r="AG34" s="415">
        <f>Year15</f>
      </c>
      <c r="AH34" s="416">
        <f>IF($AR$18&gt;=12,3,_xlfn.IFNA(_xlfn.SWITCH($AR$18,10,1,11,2,12,3),0))</f>
      </c>
      <c r="AI34" s="416">
        <f>IF(AND($AZ$20=1,($AG34&amp;AI$16)*1&lt;$AU$17),"",IF(AS34="","",IF($AZ$20=1,AS34,SUMIFS(ProgVssDoneAllYears,ProgQuarter,AI$18,ProgYearDone,$AG34))))</f>
      </c>
      <c r="AJ34" s="416">
        <f>IF(AND($AZ$20=1,($AG34&amp;AJ$16)*1&lt;$AU$17),"",IF(AT34="","",IF($AZ$20=1,AT34,SUMIFS(ProgVssDoneAllYears,ProgQuarter,AJ$18,ProgYearDone,$AG34))))</f>
      </c>
      <c r="AK34" s="416">
        <f>IF(AND($AZ$20=1,($AG34&amp;AK$16)*1&lt;$AU$17),"",IF(AU34="","",IF($AZ$20=1,AU34,SUMIFS(ProgVssDoneAllYears,ProgQuarter,AK$18,ProgYearDone,$AG34))))</f>
      </c>
      <c r="AL34" s="440">
        <f>IF(AND($AZ$20=1,AG34&gt;RptYr),"",IF(Planning!AJ33=0,"",IF($AZ$20=1,IF(AG34&lt;RptYr,Planning!AJ33,IF(AG34=RptYr,VLOOKUP((RptYr),YearAndPrcntPlanned,28)*(_xlfn.IFS(RptYr=$AT$17,$BF$19,RptYr=$AT$18,$BF$20,TRUE,RIGHT(RptQtr)*0.25)),Planning!AJ33)),IF(AG34&lt;RptYr,Planning!AJ33*VE,IF(AG34=RptYr,VLOOKUP((RptYr),YearAndPrcntPlanned,28)*(_xlfn.IFS(RptYr=$AT$17,$BF$19,RptYr=$AT$18,$BF$20,TRUE,RIGHT(RptQtr)*0.25))*VE,Planning!AJ33*VE)))))</f>
      </c>
      <c r="AM34" s="441">
        <f>IF(AG34&gt;RptYr,"",IF(AND($AZ$20=1,$AG34&lt;$AT$17),"",SUM(AH34:AK34)))</f>
      </c>
      <c r="AN34" s="442">
        <f>IF(OR(AL34="",AG34&gt;RptYr),0,IF(Planning!AJ33=0,0,AL34+AN33))</f>
      </c>
      <c r="AO34" s="443">
        <f>IF(AL34="",0,IF($AZ$20=1,SUM(AR34:AU34)+AO33,IF(AG34&lt;=RptYr,((SUM(AR34:AU34)*VE)+AO33),"")))</f>
      </c>
      <c r="AP34" s="444">
        <f>IF(AN34=0,0,IF(AND(ISNUMBER(AN34),AO34=""),"",(AO34-AN34)))</f>
      </c>
      <c r="AQ34" s="3"/>
      <c r="AR34" s="416">
        <f>IF(RptYr*4+RIGHT(RptQtr,1)&gt;=$AG34*4+RIGHT(AH$18,1),SUMIFS(ProgPrcntDoneProject,ProgQuarter,AH$18,ProgYearDone,$AG34),"")</f>
      </c>
      <c r="AS34" s="416">
        <f>IF(RptYr*4+RIGHT(RptQtr,1)&gt;=$AG34*4+RIGHT(AI$18,1),SUMIFS(ProgPrcntDoneProject,ProgQuarter,AI$18,ProgYearDone,$AG34),"")</f>
      </c>
      <c r="AT34" s="416">
        <f>IF(RptYr*4+RIGHT(RptQtr,1)&gt;=$AG34*4+RIGHT(AJ$18,1),SUMIFS(ProgPrcntDoneProject,ProgQuarter,AJ$18,ProgYearDone,$AG34),"")</f>
      </c>
      <c r="AU34" s="445">
        <f>IF(RptYr*4+RIGHT(RptQtr,1)&gt;=$AG34*4+RIGHT(AK$18,1),SUMIFS(ProgPrcntDoneProject,ProgQuarter,AK$18,ProgYearDone,$AG34),"")</f>
      </c>
      <c r="AV34" s="424">
        <f>IF(AR34="","",IF($AZ$20=1,AR34,SUMIFS(ProgVssDoneProject,ProgQuarter,AH$18,ProgYearDone,$AG34)))</f>
      </c>
      <c r="AW34" s="425">
        <f>IF(AS34="","",IF($AZ$20=1,AS34,SUMIFS(ProgVssDoneProject,ProgQuarter,AI$18,ProgYearDone,$AG34)))</f>
      </c>
      <c r="AX34" s="425">
        <f>IF(AT34="","",IF($AZ$20=1,AT34,SUMIFS(ProgVssDoneProject,ProgQuarter,AJ$18,ProgYearDone,$AG34)))</f>
      </c>
      <c r="AY34" s="425">
        <f>IF(AU34="","",IF($AZ$20=1,AU34,SUMIFS(ProgVssDoneProject,ProgQuarter,AK$18,ProgYearDone,$AG34)))</f>
      </c>
      <c r="AZ34" s="473">
        <f>Planning!U34</f>
      </c>
      <c r="BA34" s="474">
        <f>Planning!U34</f>
      </c>
      <c r="BB34" s="475">
        <f>Planning!V34</f>
      </c>
      <c r="BC34" s="474">
        <f>Planning!V34</f>
      </c>
      <c r="BD34" s="475">
        <f>Planning!W34</f>
      </c>
      <c r="BE34" s="474">
        <f>Planning!W34</f>
      </c>
      <c r="BF34" s="475">
        <f>Planning!X34</f>
      </c>
      <c r="BG34" s="474">
        <f>Planning!X34</f>
      </c>
      <c r="BH34" s="475">
        <f>Planning!Y34</f>
      </c>
      <c r="BI34" s="474">
        <f>Planning!Y34</f>
      </c>
      <c r="BJ34" s="475">
        <f>Planning!Z34</f>
      </c>
      <c r="BK34" s="476">
        <f>Planning!Z34</f>
      </c>
      <c r="BL34" s="486">
        <f>(BM32&amp;4)*1</f>
      </c>
      <c r="BM34" s="494"/>
      <c r="BN34" s="497"/>
      <c r="BO34" s="480">
        <f>IF(BM32=$AT$17,AS46,IF(BM32=$AT$18,AS53,SUMIFS(PlanVE_PerBook,PlanYear,BM32)/4))</f>
      </c>
      <c r="BP34" s="480">
        <f>IF(AND((LEFT(BL34,4))*1&gt;=$AT$18,BO34=0),NA(),IF($AZ$20=1,BO34/VE+BP33,BO34+BP33))</f>
      </c>
      <c r="BQ34" s="480">
        <f>AY21</f>
      </c>
      <c r="BR34" s="484">
        <f>IF(BL34&gt;=$AU$17,IF(OR(ISNA(BP34),BQ34=""),NA(),BQ34+BR33),0)</f>
      </c>
      <c r="BS34" s="11"/>
      <c r="BT34" s="1"/>
      <c r="BU34" s="1"/>
      <c r="BV34" s="1"/>
      <c r="BW34" s="1"/>
      <c r="BX34" s="1"/>
    </row>
    <row x14ac:dyDescent="0.25" r="35" customHeight="1" ht="18">
      <c r="A35" s="227"/>
      <c r="B35" s="227"/>
      <c r="C35" s="227"/>
      <c r="D35" s="227"/>
      <c r="E35" s="227"/>
      <c r="F35" s="227"/>
      <c r="G35" s="227"/>
      <c r="H35" s="227"/>
      <c r="I35" s="227"/>
      <c r="J35" s="227"/>
      <c r="K35" s="227"/>
      <c r="L35" s="227"/>
      <c r="M35" s="227"/>
      <c r="N35" s="227"/>
      <c r="O35" s="227"/>
      <c r="P35" s="491">
        <f>Planning!Q35</f>
      </c>
      <c r="Q35" s="469">
        <f>Planning!T35</f>
      </c>
      <c r="R35" s="470"/>
      <c r="S35" s="471"/>
      <c r="T35" s="470"/>
      <c r="U35" s="471"/>
      <c r="V35" s="470"/>
      <c r="W35" s="471"/>
      <c r="X35" s="470"/>
      <c r="Y35" s="471"/>
      <c r="Z35" s="470"/>
      <c r="AA35" s="471"/>
      <c r="AB35" s="470"/>
      <c r="AC35" s="472"/>
      <c r="AD35" s="345"/>
      <c r="AE35" s="439">
        <v>16</v>
      </c>
      <c r="AF35" s="414" t="s">
        <v>293</v>
      </c>
      <c r="AG35" s="415">
        <f>Year16</f>
      </c>
      <c r="AH35" s="416">
        <f>IF($AR$18&gt;=12,3,_xlfn.IFNA(_xlfn.SWITCH($AR$18,10,1,11,2,12,3),0))</f>
      </c>
      <c r="AI35" s="416">
        <f>IF(AND($AZ$20=1,($AG35&amp;AI$16)*1&lt;$AU$17),"",IF(AS35="","",IF($AZ$20=1,AS35,SUMIFS(ProgVssDoneAllYears,ProgQuarter,AI$18,ProgYearDone,$AG35))))</f>
      </c>
      <c r="AJ35" s="416">
        <f>IF(AND($AZ$20=1,($AG35&amp;AJ$16)*1&lt;$AU$17),"",IF(AT35="","",IF($AZ$20=1,AT35,SUMIFS(ProgVssDoneAllYears,ProgQuarter,AJ$18,ProgYearDone,$AG35))))</f>
      </c>
      <c r="AK35" s="416">
        <f>IF(AND($AZ$20=1,($AG35&amp;AK$16)*1&lt;$AU$17),"",IF(AU35="","",IF($AZ$20=1,AU35,SUMIFS(ProgVssDoneAllYears,ProgQuarter,AK$18,ProgYearDone,$AG35))))</f>
      </c>
      <c r="AL35" s="440">
        <f>IF(AND($AZ$20=1,AG35&gt;RptYr),"",IF(Planning!AJ34=0,"",IF($AZ$20=1,IF(AG35&lt;RptYr,Planning!AJ34,IF(AG35=RptYr,VLOOKUP((RptYr),YearAndPrcntPlanned,28)*(_xlfn.IFS(RptYr=$AT$17,$BF$19,RptYr=$AT$18,$BF$20,TRUE,RIGHT(RptQtr)*0.25)),Planning!AJ34)),IF(AG35&lt;RptYr,Planning!AJ34*VE,IF(AG35=RptYr,VLOOKUP((RptYr),YearAndPrcntPlanned,28)*(_xlfn.IFS(RptYr=$AT$17,$BF$19,RptYr=$AT$18,$BF$20,TRUE,RIGHT(RptQtr)*0.25))*VE,Planning!AJ34*VE)))))</f>
      </c>
      <c r="AM35" s="441">
        <f>IF(AG35&gt;RptYr,"",IF(AND($AZ$20=1,$AG35&lt;$AT$17),"",SUM(AH35:AK35)))</f>
      </c>
      <c r="AN35" s="442">
        <f>IF(OR(AL35="",AG35&gt;RptYr),0,IF(Planning!AJ34=0,0,AL35+AN34))</f>
      </c>
      <c r="AO35" s="443">
        <f>IF(AL35="",0,IF($AZ$20=1,SUM(AR35:AU35)+AO34,IF(AG35&lt;=RptYr,((SUM(AR35:AU35)*VE)+AO34),"")))</f>
      </c>
      <c r="AP35" s="444">
        <f>IF(AN35=0,0,IF(AND(ISNUMBER(AN35),AO35=""),"",(AO35-AN35)))</f>
      </c>
      <c r="AQ35" s="3"/>
      <c r="AR35" s="416">
        <f>IF(RptYr*4+RIGHT(RptQtr,1)&gt;=$AG35*4+RIGHT(AH$18,1),SUMIFS(ProgPrcntDoneProject,ProgQuarter,AH$18,ProgYearDone,$AG35),"")</f>
      </c>
      <c r="AS35" s="416">
        <f>IF(RptYr*4+RIGHT(RptQtr,1)&gt;=$AG35*4+RIGHT(AI$18,1),SUMIFS(ProgPrcntDoneProject,ProgQuarter,AI$18,ProgYearDone,$AG35),"")</f>
      </c>
      <c r="AT35" s="416">
        <f>IF(RptYr*4+RIGHT(RptQtr,1)&gt;=$AG35*4+RIGHT(AJ$18,1),SUMIFS(ProgPrcntDoneProject,ProgQuarter,AJ$18,ProgYearDone,$AG35),"")</f>
      </c>
      <c r="AU35" s="445">
        <f>IF(RptYr*4+RIGHT(RptQtr,1)&gt;=$AG35*4+RIGHT(AK$18,1),SUMIFS(ProgPrcntDoneProject,ProgQuarter,AK$18,ProgYearDone,$AG35),"")</f>
      </c>
      <c r="AV35" s="424">
        <f>IF(AR35="","",IF($AZ$20=1,AR35,SUMIFS(ProgVssDoneProject,ProgQuarter,AH$18,ProgYearDone,$AG35)))</f>
      </c>
      <c r="AW35" s="425">
        <f>IF(AS35="","",IF($AZ$20=1,AS35,SUMIFS(ProgVssDoneProject,ProgQuarter,AI$18,ProgYearDone,$AG35)))</f>
      </c>
      <c r="AX35" s="425">
        <f>IF(AT35="","",IF($AZ$20=1,AT35,SUMIFS(ProgVssDoneProject,ProgQuarter,AJ$18,ProgYearDone,$AG35)))</f>
      </c>
      <c r="AY35" s="425">
        <f>IF(AU35="","",IF($AZ$20=1,AU35,SUMIFS(ProgVssDoneProject,ProgQuarter,AK$18,ProgYearDone,$AG35)))</f>
      </c>
      <c r="AZ35" s="473">
        <f>Planning!U35</f>
      </c>
      <c r="BA35" s="474">
        <f>Planning!U35</f>
      </c>
      <c r="BB35" s="475">
        <f>Planning!V35</f>
      </c>
      <c r="BC35" s="474">
        <f>Planning!V35</f>
      </c>
      <c r="BD35" s="475">
        <f>Planning!W35</f>
      </c>
      <c r="BE35" s="474">
        <f>Planning!W35</f>
      </c>
      <c r="BF35" s="475">
        <f>Planning!X35</f>
      </c>
      <c r="BG35" s="474">
        <f>Planning!X35</f>
      </c>
      <c r="BH35" s="475">
        <f>Planning!Y35</f>
      </c>
      <c r="BI35" s="474">
        <f>Planning!Y35</f>
      </c>
      <c r="BJ35" s="475">
        <f>Planning!Z35</f>
      </c>
      <c r="BK35" s="476">
        <f>Planning!Z35</f>
      </c>
      <c r="BL35" s="477">
        <f>(BM36&amp;1)*1</f>
      </c>
      <c r="BM35" s="489"/>
      <c r="BN35" s="497"/>
      <c r="BO35" s="480">
        <f>IF($BM$36=$AT$17,AS43,IF($BM$36=$AT$18,AS50,$BO$38))</f>
      </c>
      <c r="BP35" s="480">
        <f>IF(AND((LEFT(BL35,4))*1&gt;=$AT$18,BO35=0),NA(),IF($AZ$20=1,BO35/VE+BP34,BO35+BP34))</f>
      </c>
      <c r="BQ35" s="480">
        <f>AV22</f>
      </c>
      <c r="BR35" s="498">
        <f>IF(BL35&gt;=$AU$17,IF(OR(ISNA(BP35),BQ35=""),NA(),BQ35+BR34),0)</f>
      </c>
      <c r="BS35" s="11"/>
      <c r="BT35" s="1"/>
      <c r="BU35" s="1"/>
      <c r="BV35" s="1"/>
      <c r="BW35" s="1"/>
      <c r="BX35" s="1"/>
    </row>
    <row x14ac:dyDescent="0.25" r="36" customHeight="1" ht="18">
      <c r="A36" s="227"/>
      <c r="B36" s="227"/>
      <c r="C36" s="227"/>
      <c r="D36" s="227"/>
      <c r="E36" s="227"/>
      <c r="F36" s="227"/>
      <c r="G36" s="227"/>
      <c r="H36" s="227"/>
      <c r="I36" s="227"/>
      <c r="J36" s="227"/>
      <c r="K36" s="227"/>
      <c r="L36" s="227"/>
      <c r="M36" s="227"/>
      <c r="N36" s="227"/>
      <c r="O36" s="227"/>
      <c r="P36" s="491">
        <f>Planning!Q36</f>
      </c>
      <c r="Q36" s="469">
        <f>Planning!T36</f>
      </c>
      <c r="R36" s="470"/>
      <c r="S36" s="471"/>
      <c r="T36" s="470"/>
      <c r="U36" s="471"/>
      <c r="V36" s="470"/>
      <c r="W36" s="471"/>
      <c r="X36" s="470"/>
      <c r="Y36" s="471"/>
      <c r="Z36" s="470"/>
      <c r="AA36" s="471"/>
      <c r="AB36" s="470"/>
      <c r="AC36" s="472"/>
      <c r="AD36" s="345"/>
      <c r="AE36" s="439">
        <v>17</v>
      </c>
      <c r="AF36" s="414" t="s">
        <v>293</v>
      </c>
      <c r="AG36" s="415">
        <f>Year17</f>
      </c>
      <c r="AH36" s="416">
        <f>IF($AR$18&gt;=12,3,_xlfn.IFNA(_xlfn.SWITCH($AR$18,10,1,11,2,12,3),0))</f>
      </c>
      <c r="AI36" s="416">
        <f>IF(AND($AZ$20=1,($AG36&amp;AI$16)*1&lt;$AU$17),"",IF(AS36="","",IF($AZ$20=1,AS36,SUMIFS(ProgVssDoneAllYears,ProgQuarter,AI$18,ProgYearDone,$AG36))))</f>
      </c>
      <c r="AJ36" s="416">
        <f>IF(AND($AZ$20=1,($AG36&amp;AJ$16)*1&lt;$AU$17),"",IF(AT36="","",IF($AZ$20=1,AT36,SUMIFS(ProgVssDoneAllYears,ProgQuarter,AJ$18,ProgYearDone,$AG36))))</f>
      </c>
      <c r="AK36" s="416">
        <f>IF(AND($AZ$20=1,($AG36&amp;AK$16)*1&lt;$AU$17),"",IF(AU36="","",IF($AZ$20=1,AU36,SUMIFS(ProgVssDoneAllYears,ProgQuarter,AK$18,ProgYearDone,$AG36))))</f>
      </c>
      <c r="AL36" s="440">
        <f>IF(AND($AZ$20=1,AG36&gt;RptYr),"",IF(Planning!AJ35=0,"",IF($AZ$20=1,IF(AG36&lt;RptYr,Planning!AJ35,IF(AG36=RptYr,VLOOKUP((RptYr),YearAndPrcntPlanned,28)*(_xlfn.IFS(RptYr=$AT$17,$BF$19,RptYr=$AT$18,$BF$20,TRUE,RIGHT(RptQtr)*0.25)),Planning!AJ35)),IF(AG36&lt;RptYr,Planning!AJ35*VE,IF(AG36=RptYr,VLOOKUP((RptYr),YearAndPrcntPlanned,28)*(_xlfn.IFS(RptYr=$AT$17,$BF$19,RptYr=$AT$18,$BF$20,TRUE,RIGHT(RptQtr)*0.25))*VE,Planning!AJ35*VE)))))</f>
      </c>
      <c r="AM36" s="441">
        <f>IF(AG36&gt;RptYr,"",IF(AND($AZ$20=1,$AG36&lt;$AT$17),"",SUM(AH36:AK36)))</f>
      </c>
      <c r="AN36" s="442">
        <f>IF(OR(AL36="",AG36&gt;RptYr),0,IF(Planning!AJ35=0,0,AL36+AN35))</f>
      </c>
      <c r="AO36" s="443">
        <f>IF(AL36="",0,IF($AZ$20=1,SUM(AR36:AU36)+AO35,IF(AG36&lt;=RptYr,((SUM(AR36:AU36)*VE)+AO35),"")))</f>
      </c>
      <c r="AP36" s="444">
        <f>IF(AN36=0,0,IF(AND(ISNUMBER(AN36),AO36=""),"",(AO36-AN36)))</f>
      </c>
      <c r="AQ36" s="3"/>
      <c r="AR36" s="416">
        <f>IF(RptYr*4+RIGHT(RptQtr,1)&gt;=$AG36*4+RIGHT(AH$18,1),SUMIFS(ProgPrcntDoneProject,ProgQuarter,AH$18,ProgYearDone,$AG36),"")</f>
      </c>
      <c r="AS36" s="416">
        <f>IF(RptYr*4+RIGHT(RptQtr,1)&gt;=$AG36*4+RIGHT(AI$18,1),SUMIFS(ProgPrcntDoneProject,ProgQuarter,AI$18,ProgYearDone,$AG36),"")</f>
      </c>
      <c r="AT36" s="416">
        <f>IF(RptYr*4+RIGHT(RptQtr,1)&gt;=$AG36*4+RIGHT(AJ$18,1),SUMIFS(ProgPrcntDoneProject,ProgQuarter,AJ$18,ProgYearDone,$AG36),"")</f>
      </c>
      <c r="AU36" s="445">
        <f>IF(RptYr*4+RIGHT(RptQtr,1)&gt;=$AG36*4+RIGHT(AK$18,1),SUMIFS(ProgPrcntDoneProject,ProgQuarter,AK$18,ProgYearDone,$AG36),"")</f>
      </c>
      <c r="AV36" s="424">
        <f>IF(AR36="","",IF($AZ$20=1,AR36,SUMIFS(ProgVssDoneProject,ProgQuarter,AH$18,ProgYearDone,$AG36)))</f>
      </c>
      <c r="AW36" s="425">
        <f>IF(AS36="","",IF($AZ$20=1,AS36,SUMIFS(ProgVssDoneProject,ProgQuarter,AI$18,ProgYearDone,$AG36)))</f>
      </c>
      <c r="AX36" s="425">
        <f>IF(AT36="","",IF($AZ$20=1,AT36,SUMIFS(ProgVssDoneProject,ProgQuarter,AJ$18,ProgYearDone,$AG36)))</f>
      </c>
      <c r="AY36" s="425">
        <f>IF(AU36="","",IF($AZ$20=1,AU36,SUMIFS(ProgVssDoneProject,ProgQuarter,AK$18,ProgYearDone,$AG36)))</f>
      </c>
      <c r="AZ36" s="473">
        <f>Planning!U36</f>
      </c>
      <c r="BA36" s="474">
        <f>Planning!U36</f>
      </c>
      <c r="BB36" s="475">
        <f>Planning!V36</f>
      </c>
      <c r="BC36" s="474">
        <f>Planning!V36</f>
      </c>
      <c r="BD36" s="475">
        <f>Planning!W36</f>
      </c>
      <c r="BE36" s="474">
        <f>Planning!W36</f>
      </c>
      <c r="BF36" s="475">
        <f>Planning!X36</f>
      </c>
      <c r="BG36" s="474">
        <f>Planning!X36</f>
      </c>
      <c r="BH36" s="475">
        <f>Planning!Y36</f>
      </c>
      <c r="BI36" s="474">
        <f>Planning!Y36</f>
      </c>
      <c r="BJ36" s="475">
        <f>Planning!Z36</f>
      </c>
      <c r="BK36" s="476">
        <f>Planning!Z36</f>
      </c>
      <c r="BL36" s="483">
        <f>(BM36&amp;2)*1</f>
      </c>
      <c r="BM36" s="492">
        <f>BM32+1</f>
      </c>
      <c r="BN36" s="497"/>
      <c r="BO36" s="480">
        <f>IF($BM$36=$AT$17,AS44,IF($BM$36=$AT$18,AS51,$BO$38))</f>
      </c>
      <c r="BP36" s="480">
        <f>IF(AND((LEFT(BL36,4))*1&gt;=$AT$18,BO36=0),NA(),IF($AZ$20=1,BO36/VE+BP35,BO36+BP35))</f>
      </c>
      <c r="BQ36" s="480">
        <f>AW22</f>
      </c>
      <c r="BR36" s="498">
        <f>IF(BL36&gt;=$AU$17,IF(OR(ISNA(BP36),BQ36=""),NA(),BQ36+BR35),0)</f>
      </c>
      <c r="BS36" s="11"/>
      <c r="BT36" s="1"/>
      <c r="BU36" s="1"/>
      <c r="BV36" s="1"/>
      <c r="BW36" s="1"/>
      <c r="BX36" s="1"/>
    </row>
    <row x14ac:dyDescent="0.25" r="37" customHeight="1" ht="18">
      <c r="A37" s="227"/>
      <c r="B37" s="227"/>
      <c r="C37" s="227"/>
      <c r="D37" s="227"/>
      <c r="E37" s="227"/>
      <c r="F37" s="227"/>
      <c r="G37" s="227"/>
      <c r="H37" s="227"/>
      <c r="I37" s="227"/>
      <c r="J37" s="227"/>
      <c r="K37" s="227"/>
      <c r="L37" s="227"/>
      <c r="M37" s="227"/>
      <c r="N37" s="227"/>
      <c r="O37" s="227"/>
      <c r="P37" s="491">
        <f>Planning!Q37</f>
      </c>
      <c r="Q37" s="469">
        <f>Planning!T37</f>
      </c>
      <c r="R37" s="470"/>
      <c r="S37" s="471"/>
      <c r="T37" s="470"/>
      <c r="U37" s="471"/>
      <c r="V37" s="470"/>
      <c r="W37" s="471"/>
      <c r="X37" s="470"/>
      <c r="Y37" s="471"/>
      <c r="Z37" s="470"/>
      <c r="AA37" s="471"/>
      <c r="AB37" s="470"/>
      <c r="AC37" s="472"/>
      <c r="AD37" s="345"/>
      <c r="AE37" s="439">
        <v>18</v>
      </c>
      <c r="AF37" s="414" t="s">
        <v>293</v>
      </c>
      <c r="AG37" s="415">
        <f>Year18</f>
      </c>
      <c r="AH37" s="416">
        <f>IF($AR$18&gt;=12,3,_xlfn.IFNA(_xlfn.SWITCH($AR$18,10,1,11,2,12,3),0))</f>
      </c>
      <c r="AI37" s="416">
        <f>IF(AND($AZ$20=1,($AG37&amp;AI$16)*1&lt;$AU$17),"",IF(AS37="","",IF($AZ$20=1,AS37,SUMIFS(ProgVssDoneAllYears,ProgQuarter,AI$18,ProgYearDone,$AG37))))</f>
      </c>
      <c r="AJ37" s="416">
        <f>IF(AND($AZ$20=1,($AG37&amp;AJ$16)*1&lt;$AU$17),"",IF(AT37="","",IF($AZ$20=1,AT37,SUMIFS(ProgVssDoneAllYears,ProgQuarter,AJ$18,ProgYearDone,$AG37))))</f>
      </c>
      <c r="AK37" s="416">
        <f>IF(AND($AZ$20=1,($AG37&amp;AK$16)*1&lt;$AU$17),"",IF(AU37="","",IF($AZ$20=1,AU37,SUMIFS(ProgVssDoneAllYears,ProgQuarter,AK$18,ProgYearDone,$AG37))))</f>
      </c>
      <c r="AL37" s="440">
        <f>IF(AND($AZ$20=1,AG37&gt;RptYr),"",IF(Planning!AJ36=0,"",IF($AZ$20=1,IF(AG37&lt;RptYr,Planning!AJ36,IF(AG37=RptYr,VLOOKUP((RptYr),YearAndPrcntPlanned,28)*(_xlfn.IFS(RptYr=$AT$17,$BF$19,RptYr=$AT$18,$BF$20,TRUE,RIGHT(RptQtr)*0.25)),Planning!AJ36)),IF(AG37&lt;RptYr,Planning!AJ36*VE,IF(AG37=RptYr,VLOOKUP((RptYr),YearAndPrcntPlanned,28)*(_xlfn.IFS(RptYr=$AT$17,$BF$19,RptYr=$AT$18,$BF$20,TRUE,RIGHT(RptQtr)*0.25))*VE,Planning!AJ36*VE)))))</f>
      </c>
      <c r="AM37" s="441">
        <f>IF(AG37&gt;RptYr,"",IF(AND($AZ$20=1,$AG37&lt;$AT$17),"",SUM(AH37:AK37)))</f>
      </c>
      <c r="AN37" s="442">
        <f>IF(OR(AL37="",AG37&gt;RptYr),0,IF(Planning!AJ36=0,0,AL37+AN36))</f>
      </c>
      <c r="AO37" s="443">
        <f>IF(AL37="",0,IF($AZ$20=1,SUM(AR37:AU37)+AO36,IF(AG37&lt;=RptYr,((SUM(AR37:AU37)*VE)+AO36),"")))</f>
      </c>
      <c r="AP37" s="444">
        <f>IF(AN37=0,0,IF(AND(ISNUMBER(AN37),AO37=""),"",(AO37-AN37)))</f>
      </c>
      <c r="AQ37" s="3"/>
      <c r="AR37" s="416">
        <f>IF(RptYr*4+RIGHT(RptQtr,1)&gt;=$AG37*4+RIGHT(AH$18,1),SUMIFS(ProgPrcntDoneProject,ProgQuarter,AH$18,ProgYearDone,$AG37),"")</f>
      </c>
      <c r="AS37" s="416">
        <f>IF(RptYr*4+RIGHT(RptQtr,1)&gt;=$AG37*4+RIGHT(AI$18,1),SUMIFS(ProgPrcntDoneProject,ProgQuarter,AI$18,ProgYearDone,$AG37),"")</f>
      </c>
      <c r="AT37" s="416">
        <f>IF(RptYr*4+RIGHT(RptQtr,1)&gt;=$AG37*4+RIGHT(AJ$18,1),SUMIFS(ProgPrcntDoneProject,ProgQuarter,AJ$18,ProgYearDone,$AG37),"")</f>
      </c>
      <c r="AU37" s="445">
        <f>IF(RptYr*4+RIGHT(RptQtr,1)&gt;=$AG37*4+RIGHT(AK$18,1),SUMIFS(ProgPrcntDoneProject,ProgQuarter,AK$18,ProgYearDone,$AG37),"")</f>
      </c>
      <c r="AV37" s="424">
        <f>IF(AR37="","",IF($AZ$20=1,AR37,SUMIFS(ProgVssDoneProject,ProgQuarter,AH$18,ProgYearDone,$AG37)))</f>
      </c>
      <c r="AW37" s="425">
        <f>IF(AS37="","",IF($AZ$20=1,AS37,SUMIFS(ProgVssDoneProject,ProgQuarter,AI$18,ProgYearDone,$AG37)))</f>
      </c>
      <c r="AX37" s="425">
        <f>IF(AT37="","",IF($AZ$20=1,AT37,SUMIFS(ProgVssDoneProject,ProgQuarter,AJ$18,ProgYearDone,$AG37)))</f>
      </c>
      <c r="AY37" s="425">
        <f>IF(AU37="","",IF($AZ$20=1,AU37,SUMIFS(ProgVssDoneProject,ProgQuarter,AK$18,ProgYearDone,$AG37)))</f>
      </c>
      <c r="AZ37" s="473">
        <f>Planning!U37</f>
      </c>
      <c r="BA37" s="474">
        <f>Planning!U37</f>
      </c>
      <c r="BB37" s="475">
        <f>Planning!V37</f>
      </c>
      <c r="BC37" s="474">
        <f>Planning!V37</f>
      </c>
      <c r="BD37" s="475">
        <f>Planning!W37</f>
      </c>
      <c r="BE37" s="474">
        <f>Planning!W37</f>
      </c>
      <c r="BF37" s="475">
        <f>Planning!X37</f>
      </c>
      <c r="BG37" s="474">
        <f>Planning!X37</f>
      </c>
      <c r="BH37" s="475">
        <f>Planning!Y37</f>
      </c>
      <c r="BI37" s="474">
        <f>Planning!Y37</f>
      </c>
      <c r="BJ37" s="475">
        <f>Planning!Z37</f>
      </c>
      <c r="BK37" s="476">
        <f>Planning!Z37</f>
      </c>
      <c r="BL37" s="483">
        <f>(BM36&amp;3)*1</f>
      </c>
      <c r="BM37" s="492"/>
      <c r="BN37" s="497"/>
      <c r="BO37" s="480">
        <f>IF($BM$36=$AT$17,AS45,IF($BM$36=$AT$18,AS52,$BO$38))</f>
      </c>
      <c r="BP37" s="480">
        <f>IF(AND((LEFT(BL37,4))*1&gt;=$AT$18,BO37=0),NA(),IF($AZ$20=1,BO37/VE+BP36,BO37+BP36))</f>
      </c>
      <c r="BQ37" s="480">
        <f>AX22</f>
      </c>
      <c r="BR37" s="498">
        <f>IF(BL37&gt;=$AU$17,IF(OR(ISNA(BP37),BQ37=""),NA(),BQ37+BR36),0)</f>
      </c>
      <c r="BS37" s="11"/>
      <c r="BT37" s="1"/>
      <c r="BU37" s="1"/>
      <c r="BV37" s="1"/>
      <c r="BW37" s="1"/>
      <c r="BX37" s="1"/>
    </row>
    <row x14ac:dyDescent="0.25" r="38" customHeight="1" ht="18">
      <c r="A38" s="227"/>
      <c r="B38" s="227"/>
      <c r="C38" s="227"/>
      <c r="D38" s="227"/>
      <c r="E38" s="227"/>
      <c r="F38" s="227"/>
      <c r="G38" s="227"/>
      <c r="H38" s="227"/>
      <c r="I38" s="227"/>
      <c r="J38" s="227"/>
      <c r="K38" s="227"/>
      <c r="L38" s="227"/>
      <c r="M38" s="227"/>
      <c r="N38" s="227"/>
      <c r="O38" s="227"/>
      <c r="P38" s="491">
        <f>Planning!Q38</f>
      </c>
      <c r="Q38" s="469">
        <f>Planning!T38</f>
      </c>
      <c r="R38" s="470"/>
      <c r="S38" s="471"/>
      <c r="T38" s="470"/>
      <c r="U38" s="471"/>
      <c r="V38" s="470"/>
      <c r="W38" s="471"/>
      <c r="X38" s="470"/>
      <c r="Y38" s="471"/>
      <c r="Z38" s="470"/>
      <c r="AA38" s="471"/>
      <c r="AB38" s="470"/>
      <c r="AC38" s="472"/>
      <c r="AD38" s="345"/>
      <c r="AE38" s="439">
        <v>19</v>
      </c>
      <c r="AF38" s="414" t="s">
        <v>293</v>
      </c>
      <c r="AG38" s="415">
        <f>Year19</f>
      </c>
      <c r="AH38" s="416">
        <f>IF($AR$18&gt;=12,3,_xlfn.IFNA(_xlfn.SWITCH($AR$18,10,1,11,2,12,3),0))</f>
      </c>
      <c r="AI38" s="416">
        <f>IF(AND($AZ$20=1,($AG38&amp;AI$16)*1&lt;$AU$17),"",IF(AS38="","",IF($AZ$20=1,AS38,SUMIFS(ProgVssDoneAllYears,ProgQuarter,AI$18,ProgYearDone,$AG38))))</f>
      </c>
      <c r="AJ38" s="416">
        <f>IF(AND($AZ$20=1,($AG38&amp;AJ$16)*1&lt;$AU$17),"",IF(AT38="","",IF($AZ$20=1,AT38,SUMIFS(ProgVssDoneAllYears,ProgQuarter,AJ$18,ProgYearDone,$AG38))))</f>
      </c>
      <c r="AK38" s="416">
        <f>IF(AND($AZ$20=1,($AG38&amp;AK$16)*1&lt;$AU$17),"",IF(AU38="","",IF($AZ$20=1,AU38,SUMIFS(ProgVssDoneAllYears,ProgQuarter,AK$18,ProgYearDone,$AG38))))</f>
      </c>
      <c r="AL38" s="440">
        <f>IF(AND($AZ$20=1,AG38&gt;RptYr),"",IF(Planning!AJ37=0,"",IF($AZ$20=1,IF(AG38&lt;RptYr,Planning!AJ37,IF(AG38=RptYr,VLOOKUP((RptYr),YearAndPrcntPlanned,28)*(_xlfn.IFS(RptYr=$AT$17,$BF$19,RptYr=$AT$18,$BF$20,TRUE,RIGHT(RptQtr)*0.25)),Planning!AJ37)),IF(AG38&lt;RptYr,Planning!AJ37*VE,IF(AG38=RptYr,VLOOKUP((RptYr),YearAndPrcntPlanned,28)*(_xlfn.IFS(RptYr=$AT$17,$BF$19,RptYr=$AT$18,$BF$20,TRUE,RIGHT(RptQtr)*0.25))*VE,Planning!AJ37*VE)))))</f>
      </c>
      <c r="AM38" s="441">
        <f>IF(AG38&gt;RptYr,"",IF(AND($AZ$20=1,$AG38&lt;$AT$17),"",SUM(AH38:AK38)))</f>
      </c>
      <c r="AN38" s="442">
        <f>IF(OR(AL38="",AG38&gt;RptYr),0,IF(Planning!AJ37=0,0,AL38+AN37))</f>
      </c>
      <c r="AO38" s="443">
        <f>IF(AL38="",0,IF($AZ$20=1,SUM(AR38:AU38)+AO37,IF(AG38&lt;=RptYr,((SUM(AR38:AU38)*VE)+AO37),"")))</f>
      </c>
      <c r="AP38" s="444">
        <f>IF(AN38=0,0,IF(AND(ISNUMBER(AN38),AO38=""),"",(AO38-AN38)))</f>
      </c>
      <c r="AQ38" s="3"/>
      <c r="AR38" s="416">
        <f>IF(RptYr*4+RIGHT(RptQtr,1)&gt;=$AG38*4+RIGHT(AH$18,1),SUMIFS(ProgPrcntDoneProject,ProgQuarter,AH$18,ProgYearDone,$AG38),"")</f>
      </c>
      <c r="AS38" s="416">
        <f>IF(RptYr*4+RIGHT(RptQtr,1)&gt;=$AG38*4+RIGHT(AI$18,1),SUMIFS(ProgPrcntDoneProject,ProgQuarter,AI$18,ProgYearDone,$AG38),"")</f>
      </c>
      <c r="AT38" s="416">
        <f>IF(RptYr*4+RIGHT(RptQtr,1)&gt;=$AG38*4+RIGHT(AJ$18,1),SUMIFS(ProgPrcntDoneProject,ProgQuarter,AJ$18,ProgYearDone,$AG38),"")</f>
      </c>
      <c r="AU38" s="445">
        <f>IF(RptYr*4+RIGHT(RptQtr,1)&gt;=$AG38*4+RIGHT(AK$18,1),SUMIFS(ProgPrcntDoneProject,ProgQuarter,AK$18,ProgYearDone,$AG38),"")</f>
      </c>
      <c r="AV38" s="424">
        <f>IF(AR38="","",IF($AZ$20=1,AR38,SUMIFS(ProgVssDoneProject,ProgQuarter,AH$18,ProgYearDone,$AG38)))</f>
      </c>
      <c r="AW38" s="425">
        <f>IF(AS38="","",IF($AZ$20=1,AS38,SUMIFS(ProgVssDoneProject,ProgQuarter,AI$18,ProgYearDone,$AG38)))</f>
      </c>
      <c r="AX38" s="425">
        <f>IF(AT38="","",IF($AZ$20=1,AT38,SUMIFS(ProgVssDoneProject,ProgQuarter,AJ$18,ProgYearDone,$AG38)))</f>
      </c>
      <c r="AY38" s="425">
        <f>IF(AU38="","",IF($AZ$20=1,AU38,SUMIFS(ProgVssDoneProject,ProgQuarter,AK$18,ProgYearDone,$AG38)))</f>
      </c>
      <c r="AZ38" s="473">
        <f>Planning!U38</f>
      </c>
      <c r="BA38" s="474">
        <f>Planning!U38</f>
      </c>
      <c r="BB38" s="475">
        <f>Planning!V38</f>
      </c>
      <c r="BC38" s="474">
        <f>Planning!V38</f>
      </c>
      <c r="BD38" s="475">
        <f>Planning!W38</f>
      </c>
      <c r="BE38" s="474">
        <f>Planning!W38</f>
      </c>
      <c r="BF38" s="475">
        <f>Planning!X38</f>
      </c>
      <c r="BG38" s="474">
        <f>Planning!X38</f>
      </c>
      <c r="BH38" s="475">
        <f>Planning!Y38</f>
      </c>
      <c r="BI38" s="474">
        <f>Planning!Y38</f>
      </c>
      <c r="BJ38" s="475">
        <f>Planning!Z38</f>
      </c>
      <c r="BK38" s="476">
        <f>Planning!Z38</f>
      </c>
      <c r="BL38" s="486">
        <f>(BM36&amp;4)*1</f>
      </c>
      <c r="BM38" s="494"/>
      <c r="BN38" s="497"/>
      <c r="BO38" s="480">
        <f>IF(BM36=$AT$17,AS46,IF(BM36=$AT$18,AS53,SUMIFS(PlanVE_PerBook,PlanYear,BM36)/4))</f>
      </c>
      <c r="BP38" s="480">
        <f>IF(AND((LEFT(BL38,4))*1&gt;=$AT$18,BO38=0),NA(),IF($AZ$20=1,BO38/VE+BP37,BO38+BP37))</f>
      </c>
      <c r="BQ38" s="480">
        <f>AY22</f>
      </c>
      <c r="BR38" s="498">
        <f>IF(BL38&gt;=$AU$17,IF(OR(ISNA(BP38),BQ38=""),NA(),BQ38+BR37),0)</f>
      </c>
      <c r="BS38" s="11"/>
      <c r="BT38" s="1"/>
      <c r="BU38" s="1"/>
      <c r="BV38" s="1"/>
      <c r="BW38" s="1"/>
      <c r="BX38" s="1"/>
    </row>
    <row x14ac:dyDescent="0.25" r="39" customHeight="1" ht="18.75">
      <c r="A39" s="227"/>
      <c r="B39" s="227"/>
      <c r="C39" s="227"/>
      <c r="D39" s="227"/>
      <c r="E39" s="227"/>
      <c r="F39" s="227"/>
      <c r="G39" s="227"/>
      <c r="H39" s="227"/>
      <c r="I39" s="227"/>
      <c r="J39" s="227"/>
      <c r="K39" s="227"/>
      <c r="L39" s="227"/>
      <c r="M39" s="227"/>
      <c r="N39" s="227"/>
      <c r="O39" s="227"/>
      <c r="P39" s="491">
        <f>Planning!Q39</f>
      </c>
      <c r="Q39" s="469">
        <f>Planning!T39</f>
      </c>
      <c r="R39" s="470"/>
      <c r="S39" s="471"/>
      <c r="T39" s="470"/>
      <c r="U39" s="471"/>
      <c r="V39" s="470"/>
      <c r="W39" s="471"/>
      <c r="X39" s="470"/>
      <c r="Y39" s="471"/>
      <c r="Z39" s="470"/>
      <c r="AA39" s="471"/>
      <c r="AB39" s="470"/>
      <c r="AC39" s="472"/>
      <c r="AD39" s="345"/>
      <c r="AE39" s="499">
        <v>20</v>
      </c>
      <c r="AF39" s="500" t="s">
        <v>293</v>
      </c>
      <c r="AG39" s="501">
        <f>Year20</f>
      </c>
      <c r="AH39" s="416">
        <f>IF($AR$18&gt;=12,3,_xlfn.IFNA(_xlfn.SWITCH($AR$18,10,1,11,2,12,3),0))</f>
      </c>
      <c r="AI39" s="416">
        <f>IF(AND($AZ$20=1,($AG39&amp;AI$16)*1&lt;$AU$17),"",IF(AS39="","",IF($AZ$20=1,AS39,SUMIFS(ProgVssDoneAllYears,ProgQuarter,AI$18,ProgYearDone,$AG39))))</f>
      </c>
      <c r="AJ39" s="416">
        <f>IF(AND($AZ$20=1,($AG39&amp;AJ$16)*1&lt;$AU$17),"",IF(AT39="","",IF($AZ$20=1,AT39,SUMIFS(ProgVssDoneAllYears,ProgQuarter,AJ$18,ProgYearDone,$AG39))))</f>
      </c>
      <c r="AK39" s="416">
        <f>IF(AND($AZ$20=1,($AG39&amp;AK$16)*1&lt;$AU$17),"",IF(AU39="","",IF($AZ$20=1,AU39,SUMIFS(ProgVssDoneAllYears,ProgQuarter,AK$18,ProgYearDone,$AG39))))</f>
      </c>
      <c r="AL39" s="502">
        <f>IF(AND($AZ$20=1,AG39&gt;RptYr),"",IF(Planning!AJ38=0,"",IF($AZ$20=1,IF(AG39&lt;RptYr,Planning!AJ38,IF(AG39=RptYr,VLOOKUP((RptYr),YearAndPrcntPlanned,28)*(_xlfn.IFS(RptYr=$AT$17,$BF$19,RptYr=$AT$18,$BF$20,TRUE,RIGHT(RptQtr)*0.25)),Planning!AJ38)),IF(AG39&lt;RptYr,Planning!AJ38*VE,IF(AG39=RptYr,VLOOKUP((RptYr),YearAndPrcntPlanned,28)*(_xlfn.IFS(RptYr=$AT$17,$BF$19,RptYr=$AT$18,$BF$20,TRUE,RIGHT(RptQtr)*0.25))*VE,Planning!AJ38*VE)))))</f>
      </c>
      <c r="AM39" s="503">
        <f>IF(AG39&gt;RptYr,"",IF(AND($AZ$20=1,$AG39&lt;$AT$17),"",SUM(AH39:AK39)))</f>
      </c>
      <c r="AN39" s="504">
        <f>IF(OR(AL39="",AG39&gt;RptYr),0,IF(Planning!AJ38=0,0,AL39+AN38))</f>
      </c>
      <c r="AO39" s="505">
        <f>IF(AL39="",0,IF($AZ$20=1,SUM(AR39:AU39)+AO38,IF(AG39&lt;=RptYr,((SUM(AR39:AU39)*VE)+AO38),"")))</f>
      </c>
      <c r="AP39" s="506">
        <f>IF(AN39=0,0,IF(AND(ISNUMBER(AN39),AO39=""),"",(AO39-AN39)))</f>
      </c>
      <c r="AQ39" s="3"/>
      <c r="AR39" s="416">
        <f>IF(RptYr*4+RIGHT(RptQtr,1)&gt;=$AG39*4+RIGHT(AH$18,1),SUMIFS(ProgPrcntDoneProject,ProgQuarter,AH$18,ProgYearDone,$AG39),"")</f>
      </c>
      <c r="AS39" s="416">
        <f>IF(RptYr*4+RIGHT(RptQtr,1)&gt;=$AG39*4+RIGHT(AI$18,1),SUMIFS(ProgPrcntDoneProject,ProgQuarter,AI$18,ProgYearDone,$AG39),"")</f>
      </c>
      <c r="AT39" s="416">
        <f>IF(RptYr*4+RIGHT(RptQtr,1)&gt;=$AG39*4+RIGHT(AJ$18,1),SUMIFS(ProgPrcntDoneProject,ProgQuarter,AJ$18,ProgYearDone,$AG39),"")</f>
      </c>
      <c r="AU39" s="445">
        <f>IF(RptYr*4+RIGHT(RptQtr,1)&gt;=$AG39*4+RIGHT(AK$18,1),SUMIFS(ProgPrcntDoneProject,ProgQuarter,AK$18,ProgYearDone,$AG39),"")</f>
      </c>
      <c r="AV39" s="424">
        <f>IF(AR39="","",IF($AZ$20=1,AR39,SUMIFS(ProgVssDoneProject,ProgQuarter,AH$18,ProgYearDone,$AG39)))</f>
      </c>
      <c r="AW39" s="425">
        <f>IF(AS39="","",IF($AZ$20=1,AS39,SUMIFS(ProgVssDoneProject,ProgQuarter,AI$18,ProgYearDone,$AG39)))</f>
      </c>
      <c r="AX39" s="425">
        <f>IF(AT39="","",IF($AZ$20=1,AT39,SUMIFS(ProgVssDoneProject,ProgQuarter,AJ$18,ProgYearDone,$AG39)))</f>
      </c>
      <c r="AY39" s="425">
        <f>IF(AU39="","",IF($AZ$20=1,AU39,SUMIFS(ProgVssDoneProject,ProgQuarter,AK$18,ProgYearDone,$AG39)))</f>
      </c>
      <c r="AZ39" s="473">
        <f>Planning!U39</f>
      </c>
      <c r="BA39" s="474">
        <f>Planning!U39</f>
      </c>
      <c r="BB39" s="475">
        <f>Planning!V39</f>
      </c>
      <c r="BC39" s="474">
        <f>Planning!V39</f>
      </c>
      <c r="BD39" s="475">
        <f>Planning!W39</f>
      </c>
      <c r="BE39" s="474">
        <f>Planning!W39</f>
      </c>
      <c r="BF39" s="475">
        <f>Planning!X39</f>
      </c>
      <c r="BG39" s="474">
        <f>Planning!X39</f>
      </c>
      <c r="BH39" s="475">
        <f>Planning!Y39</f>
      </c>
      <c r="BI39" s="474">
        <f>Planning!Y39</f>
      </c>
      <c r="BJ39" s="475">
        <f>Planning!Z39</f>
      </c>
      <c r="BK39" s="476">
        <f>Planning!Z39</f>
      </c>
      <c r="BL39" s="477">
        <f>(BM40&amp;1)*1</f>
      </c>
      <c r="BM39" s="489"/>
      <c r="BN39" s="497"/>
      <c r="BO39" s="480">
        <f>IF($BM$40=$AT$17,AS43,IF($BM$40=$AT$18,AS50,$BO$42))</f>
      </c>
      <c r="BP39" s="507">
        <f>IF(AND((LEFT(BL39,4))*1&gt;=$AT$18,BO39=0),NA(),IF($AZ$20=1,BO39/VE+BP38,BO39+BP38))</f>
      </c>
      <c r="BQ39" s="480">
        <f>AV23</f>
      </c>
      <c r="BR39" s="498">
        <f>IF(BL39&gt;=$AU$17,IF(OR(ISNA(BP39),BQ39=""),NA(),BQ39+BR38),0)</f>
      </c>
      <c r="BS39" s="11"/>
      <c r="BT39" s="1"/>
      <c r="BU39" s="1"/>
      <c r="BV39" s="1"/>
      <c r="BW39" s="1"/>
      <c r="BX39" s="1"/>
    </row>
    <row x14ac:dyDescent="0.25" r="40" customHeight="1" ht="18.75">
      <c r="A40" s="227"/>
      <c r="B40" s="227"/>
      <c r="C40" s="227"/>
      <c r="D40" s="227"/>
      <c r="E40" s="227"/>
      <c r="F40" s="227"/>
      <c r="G40" s="227"/>
      <c r="H40" s="227"/>
      <c r="I40" s="227"/>
      <c r="J40" s="227"/>
      <c r="K40" s="227"/>
      <c r="L40" s="227"/>
      <c r="M40" s="227"/>
      <c r="N40" s="227"/>
      <c r="O40" s="227"/>
      <c r="P40" s="491">
        <f>Planning!Q40</f>
      </c>
      <c r="Q40" s="469">
        <f>Planning!T40</f>
      </c>
      <c r="R40" s="470"/>
      <c r="S40" s="471"/>
      <c r="T40" s="470"/>
      <c r="U40" s="471"/>
      <c r="V40" s="470"/>
      <c r="W40" s="471"/>
      <c r="X40" s="470"/>
      <c r="Y40" s="471"/>
      <c r="Z40" s="470"/>
      <c r="AA40" s="471"/>
      <c r="AB40" s="470"/>
      <c r="AC40" s="472"/>
      <c r="AD40" s="345"/>
      <c r="AE40" s="3"/>
      <c r="AF40" s="508">
        <f>Planning!N40</f>
        <v>25568.791666666668</v>
      </c>
      <c r="AG40" s="509" t="s">
        <v>302</v>
      </c>
      <c r="AH40" s="387"/>
      <c r="AI40" s="387"/>
      <c r="AJ40" s="387"/>
      <c r="AK40" s="510"/>
      <c r="AL40" s="511" t="s">
        <v>303</v>
      </c>
      <c r="AM40" s="512"/>
      <c r="AN40" s="513">
        <f>MAX(AN20:AN39)</f>
      </c>
      <c r="AO40" s="514">
        <f>MAX(AO20:AO39)</f>
      </c>
      <c r="AP40" s="515">
        <f>_xlfn.IFNA(LOOKUP(2,1/(AP20:AP39&lt;&gt;0),AP20:AP39),0)</f>
      </c>
      <c r="AQ40" s="353"/>
      <c r="AR40" s="39"/>
      <c r="AS40" s="39"/>
      <c r="AT40" s="39"/>
      <c r="AU40" s="39"/>
      <c r="AV40" s="39"/>
      <c r="AW40" s="39"/>
      <c r="AX40" s="39"/>
      <c r="AY40" s="39"/>
      <c r="AZ40" s="475">
        <f>Planning!U40</f>
      </c>
      <c r="BA40" s="474">
        <f>Planning!U40</f>
      </c>
      <c r="BB40" s="475">
        <f>Planning!V40</f>
      </c>
      <c r="BC40" s="474">
        <f>Planning!V40</f>
      </c>
      <c r="BD40" s="475">
        <f>Planning!W40</f>
      </c>
      <c r="BE40" s="474">
        <f>Planning!W40</f>
      </c>
      <c r="BF40" s="475">
        <f>Planning!X40</f>
      </c>
      <c r="BG40" s="474">
        <f>Planning!X40</f>
      </c>
      <c r="BH40" s="475">
        <f>Planning!Y40</f>
      </c>
      <c r="BI40" s="474">
        <f>Planning!Y40</f>
      </c>
      <c r="BJ40" s="475">
        <f>Planning!Z40</f>
      </c>
      <c r="BK40" s="476">
        <f>Planning!Z40</f>
      </c>
      <c r="BL40" s="483">
        <f>(BM40&amp;2)*1</f>
      </c>
      <c r="BM40" s="492">
        <f>BM36+1</f>
      </c>
      <c r="BN40" s="497"/>
      <c r="BO40" s="480">
        <f>IF($BM$40=$AT$17,AS44,IF($BM$40=$AT$18,AS51,$BO$42))</f>
      </c>
      <c r="BP40" s="507">
        <f>IF(AND((LEFT(BL40,4))*1&gt;=$AT$18,BO40=0),NA(),IF($AZ$20=1,BO40/VE+BP39,BO40+BP39))</f>
      </c>
      <c r="BQ40" s="480">
        <f>AW23</f>
      </c>
      <c r="BR40" s="498">
        <f>IF(BL40&gt;=$AU$17,IF(OR(ISNA(BP40),BQ40=""),NA(),BQ40+BR39),0)</f>
      </c>
      <c r="BS40" s="11"/>
      <c r="BT40" s="1"/>
      <c r="BU40" s="1"/>
      <c r="BV40" s="1"/>
      <c r="BW40" s="1"/>
      <c r="BX40" s="1"/>
    </row>
    <row x14ac:dyDescent="0.25" r="41" customHeight="1" ht="18.75">
      <c r="A41" s="227"/>
      <c r="B41" s="227"/>
      <c r="C41" s="227"/>
      <c r="D41" s="227"/>
      <c r="E41" s="227"/>
      <c r="F41" s="227"/>
      <c r="G41" s="227"/>
      <c r="H41" s="227"/>
      <c r="I41" s="227"/>
      <c r="J41" s="227"/>
      <c r="K41" s="227"/>
      <c r="L41" s="227"/>
      <c r="M41" s="227"/>
      <c r="N41" s="227"/>
      <c r="O41" s="227"/>
      <c r="P41" s="491">
        <f>Planning!Q41</f>
      </c>
      <c r="Q41" s="469">
        <f>Planning!T41</f>
      </c>
      <c r="R41" s="470"/>
      <c r="S41" s="471"/>
      <c r="T41" s="470"/>
      <c r="U41" s="471"/>
      <c r="V41" s="470"/>
      <c r="W41" s="471"/>
      <c r="X41" s="470"/>
      <c r="Y41" s="471"/>
      <c r="Z41" s="470"/>
      <c r="AA41" s="471"/>
      <c r="AB41" s="470"/>
      <c r="AC41" s="472"/>
      <c r="AD41" s="345"/>
      <c r="AE41" s="3"/>
      <c r="AF41" s="508">
        <f>IF(ISERROR(BL19),"",BL19)</f>
        <v>25568.791666666668</v>
      </c>
      <c r="AG41" s="509" t="s">
        <v>304</v>
      </c>
      <c r="AH41" s="387"/>
      <c r="AI41" s="387"/>
      <c r="AJ41" s="387"/>
      <c r="AK41" s="510"/>
      <c r="AL41" s="511"/>
      <c r="AM41" s="516"/>
      <c r="AN41" s="516"/>
      <c r="AO41" s="516"/>
      <c r="AP41" s="512"/>
      <c r="AQ41" s="353"/>
      <c r="AR41" s="517" t="s">
        <v>305</v>
      </c>
      <c r="AS41" s="518"/>
      <c r="AT41" s="519">
        <f>AT17</f>
      </c>
      <c r="AU41" s="2"/>
      <c r="AV41" s="3"/>
      <c r="AW41" s="3"/>
      <c r="AX41" s="3"/>
      <c r="AY41" s="3"/>
      <c r="AZ41" s="475">
        <f>Planning!U41</f>
      </c>
      <c r="BA41" s="474">
        <f>Planning!U41</f>
      </c>
      <c r="BB41" s="475">
        <f>Planning!V41</f>
      </c>
      <c r="BC41" s="474">
        <f>Planning!V41</f>
      </c>
      <c r="BD41" s="475">
        <f>Planning!W41</f>
      </c>
      <c r="BE41" s="474">
        <f>Planning!W41</f>
      </c>
      <c r="BF41" s="475">
        <f>Planning!X41</f>
      </c>
      <c r="BG41" s="474">
        <f>Planning!X41</f>
      </c>
      <c r="BH41" s="475">
        <f>Planning!Y41</f>
      </c>
      <c r="BI41" s="474">
        <f>Planning!Y41</f>
      </c>
      <c r="BJ41" s="475">
        <f>Planning!Z41</f>
      </c>
      <c r="BK41" s="476">
        <f>Planning!Z41</f>
      </c>
      <c r="BL41" s="483">
        <f>(BM40&amp;3)*1</f>
      </c>
      <c r="BM41" s="492"/>
      <c r="BN41" s="497"/>
      <c r="BO41" s="480">
        <f>IF($BM$40=$AT$17,AS45,IF($BM$40=$AT$18,AS52,$BO$42))</f>
      </c>
      <c r="BP41" s="507">
        <f>IF(AND((LEFT(BL41,4))*1&gt;=$AT$18,BO41=0),NA(),IF($AZ$20=1,BO41/VE+BP40,BO41+BP40))</f>
      </c>
      <c r="BQ41" s="480">
        <f>AX23</f>
      </c>
      <c r="BR41" s="498">
        <f>IF(BL41&gt;=$AU$17,IF(OR(ISNA(BP41),BQ41=""),NA(),BQ41+BR40),0)</f>
      </c>
      <c r="BS41" s="11"/>
      <c r="BT41" s="1"/>
      <c r="BU41" s="1"/>
      <c r="BV41" s="1"/>
      <c r="BW41" s="1"/>
      <c r="BX41" s="1"/>
    </row>
    <row x14ac:dyDescent="0.25" r="42" customHeight="1" ht="18.75">
      <c r="A42" s="227"/>
      <c r="B42" s="227"/>
      <c r="C42" s="227"/>
      <c r="D42" s="227"/>
      <c r="E42" s="227"/>
      <c r="F42" s="227"/>
      <c r="G42" s="227"/>
      <c r="H42" s="227"/>
      <c r="I42" s="227"/>
      <c r="J42" s="227"/>
      <c r="K42" s="227"/>
      <c r="L42" s="227"/>
      <c r="M42" s="227"/>
      <c r="N42" s="227"/>
      <c r="O42" s="227"/>
      <c r="P42" s="491">
        <f>Planning!Q42</f>
      </c>
      <c r="Q42" s="469">
        <f>Planning!T42</f>
      </c>
      <c r="R42" s="470"/>
      <c r="S42" s="471"/>
      <c r="T42" s="470"/>
      <c r="U42" s="471"/>
      <c r="V42" s="470"/>
      <c r="W42" s="471"/>
      <c r="X42" s="470"/>
      <c r="Y42" s="471"/>
      <c r="Z42" s="470"/>
      <c r="AA42" s="471"/>
      <c r="AB42" s="470"/>
      <c r="AC42" s="472"/>
      <c r="AD42" s="345"/>
      <c r="AE42" s="3"/>
      <c r="AF42" s="520"/>
      <c r="AG42" s="2"/>
      <c r="AH42" s="6"/>
      <c r="AI42" s="6"/>
      <c r="AJ42" s="6"/>
      <c r="AK42" s="6"/>
      <c r="AL42" s="6"/>
      <c r="AM42" s="6"/>
      <c r="AN42" s="39"/>
      <c r="AO42" s="39"/>
      <c r="AP42" s="6"/>
      <c r="AQ42" s="353"/>
      <c r="AR42" s="521">
        <f>IF($AR$17&lt;=1,3,_xlfn.IFNA(_xlfn.SWITCH($AR$17,1,3,2,2,3,1),0))</f>
      </c>
      <c r="AS42" s="521">
        <f>IF($AR$17&lt;=3,3,_xlfn.IFNA(_xlfn.SWITCH($AR$17,4,3,5,2,6,1),0))</f>
      </c>
      <c r="AT42" s="521">
        <f>IF($AR$17&lt;=6,3,_xlfn.IFNA(_xlfn.SWITCH($AR$17,7,3,8,2,9,1),0))</f>
      </c>
      <c r="AU42" s="522">
        <f>IF($AR$17&lt;=9,3,_xlfn.IFNA(_xlfn.SWITCH($AR$17,10,3,11,2,12,1),0))</f>
      </c>
      <c r="AV42" s="3"/>
      <c r="AW42" s="3"/>
      <c r="AX42" s="3"/>
      <c r="AY42" s="3"/>
      <c r="AZ42" s="475">
        <f>Planning!U42</f>
      </c>
      <c r="BA42" s="474">
        <f>Planning!U42</f>
      </c>
      <c r="BB42" s="475">
        <f>Planning!V42</f>
      </c>
      <c r="BC42" s="474">
        <f>Planning!V42</f>
      </c>
      <c r="BD42" s="475">
        <f>Planning!W42</f>
      </c>
      <c r="BE42" s="474">
        <f>Planning!W42</f>
      </c>
      <c r="BF42" s="475">
        <f>Planning!X42</f>
      </c>
      <c r="BG42" s="474">
        <f>Planning!X42</f>
      </c>
      <c r="BH42" s="475">
        <f>Planning!Y42</f>
      </c>
      <c r="BI42" s="474">
        <f>Planning!Y42</f>
      </c>
      <c r="BJ42" s="475">
        <f>Planning!Z42</f>
      </c>
      <c r="BK42" s="476">
        <f>Planning!Z42</f>
      </c>
      <c r="BL42" s="486">
        <f>(BM40&amp;4)*1</f>
      </c>
      <c r="BM42" s="494"/>
      <c r="BN42" s="497"/>
      <c r="BO42" s="480">
        <f>IF(BM40=$AT$17,AS46,IF(BM40=$AT$18,AS53,SUMIFS(PlanVE_PerBook,PlanYear,BM40)/4))</f>
      </c>
      <c r="BP42" s="507">
        <f>IF(AND((LEFT(BL42,4))*1&gt;=$AT$18,BO42=0),NA(),IF($AZ$20=1,BO42/VE+BP41,BO42+BP41))</f>
      </c>
      <c r="BQ42" s="480">
        <f>AY23</f>
      </c>
      <c r="BR42" s="498">
        <f>IF(BL42&gt;=$AU$17,IF(OR(ISNA(BP42),BQ42=""),NA(),BQ42+BR41),0)</f>
      </c>
      <c r="BS42" s="11"/>
      <c r="BT42" s="1"/>
      <c r="BU42" s="1"/>
      <c r="BV42" s="1"/>
      <c r="BW42" s="1"/>
      <c r="BX42" s="1"/>
    </row>
    <row x14ac:dyDescent="0.25" r="43" customHeight="1" ht="18">
      <c r="A43" s="227"/>
      <c r="B43" s="227"/>
      <c r="C43" s="227"/>
      <c r="D43" s="227"/>
      <c r="E43" s="227"/>
      <c r="F43" s="227"/>
      <c r="G43" s="227"/>
      <c r="H43" s="227"/>
      <c r="I43" s="227"/>
      <c r="J43" s="227"/>
      <c r="K43" s="227"/>
      <c r="L43" s="227"/>
      <c r="M43" s="227"/>
      <c r="N43" s="227"/>
      <c r="O43" s="227"/>
      <c r="P43" s="491">
        <f>Planning!Q43</f>
      </c>
      <c r="Q43" s="469">
        <f>Planning!T43</f>
      </c>
      <c r="R43" s="470"/>
      <c r="S43" s="471"/>
      <c r="T43" s="470"/>
      <c r="U43" s="471"/>
      <c r="V43" s="470"/>
      <c r="W43" s="471"/>
      <c r="X43" s="470"/>
      <c r="Y43" s="471"/>
      <c r="Z43" s="470"/>
      <c r="AA43" s="471"/>
      <c r="AB43" s="470"/>
      <c r="AC43" s="472"/>
      <c r="AD43" s="345"/>
      <c r="AE43" s="145"/>
      <c r="AF43" s="520"/>
      <c r="AG43" s="2"/>
      <c r="AH43" s="6"/>
      <c r="AI43" s="6"/>
      <c r="AJ43" s="6"/>
      <c r="AK43" s="6"/>
      <c r="AL43" s="6"/>
      <c r="AM43" s="6"/>
      <c r="AN43" s="6"/>
      <c r="AO43" s="6"/>
      <c r="AP43" s="6"/>
      <c r="AQ43" s="353"/>
      <c r="AR43" s="521">
        <f>SUM(AR42:AU42)</f>
      </c>
      <c r="AS43" s="523">
        <f>$AZ$17/$AR$43*AR42</f>
      </c>
      <c r="AT43" s="353">
        <v>43</v>
      </c>
      <c r="AU43" s="524"/>
      <c r="AV43" s="3"/>
      <c r="AW43" s="3"/>
      <c r="AX43" s="3"/>
      <c r="AY43" s="3"/>
      <c r="AZ43" s="475">
        <f>Planning!U43</f>
      </c>
      <c r="BA43" s="474">
        <f>Planning!U43</f>
      </c>
      <c r="BB43" s="475">
        <f>Planning!V43</f>
      </c>
      <c r="BC43" s="474">
        <f>Planning!V43</f>
      </c>
      <c r="BD43" s="475">
        <f>Planning!W43</f>
      </c>
      <c r="BE43" s="474">
        <f>Planning!W43</f>
      </c>
      <c r="BF43" s="475">
        <f>Planning!X43</f>
      </c>
      <c r="BG43" s="474">
        <f>Planning!X43</f>
      </c>
      <c r="BH43" s="475">
        <f>Planning!Y43</f>
      </c>
      <c r="BI43" s="474">
        <f>Planning!Y43</f>
      </c>
      <c r="BJ43" s="475">
        <f>Planning!Z43</f>
      </c>
      <c r="BK43" s="476">
        <f>Planning!Z43</f>
      </c>
      <c r="BL43" s="477">
        <f>(BM44&amp;1)*1</f>
      </c>
      <c r="BM43" s="489"/>
      <c r="BN43" s="497"/>
      <c r="BO43" s="480">
        <f>IF($BM$44=$AT$17,AS43,IF($BM$44=$AT$18,AS50,$BO$46))</f>
      </c>
      <c r="BP43" s="507">
        <f>IF(AND((LEFT(BL43,4))*1&gt;=$AT$18,BO43=0),NA(),IF($AZ$20=1,BO43/VE+BP42,BO43+BP42))</f>
      </c>
      <c r="BQ43" s="480">
        <f>AV24</f>
      </c>
      <c r="BR43" s="498">
        <f>IF(BL43&gt;=$AU$17,IF(OR(ISNA(BP43),BQ43=""),NA(),BQ43+BR42),0)</f>
      </c>
      <c r="BS43" s="11"/>
      <c r="BT43" s="1"/>
      <c r="BU43" s="1"/>
      <c r="BV43" s="1"/>
      <c r="BW43" s="1"/>
      <c r="BX43" s="1"/>
    </row>
    <row x14ac:dyDescent="0.25" r="44" customHeight="1" ht="18">
      <c r="A44" s="227"/>
      <c r="B44" s="227"/>
      <c r="C44" s="227"/>
      <c r="D44" s="227"/>
      <c r="E44" s="227"/>
      <c r="F44" s="227"/>
      <c r="G44" s="227"/>
      <c r="H44" s="227"/>
      <c r="I44" s="227"/>
      <c r="J44" s="227"/>
      <c r="K44" s="227"/>
      <c r="L44" s="227"/>
      <c r="M44" s="227"/>
      <c r="N44" s="227"/>
      <c r="O44" s="227"/>
      <c r="P44" s="491">
        <f>Planning!Q44</f>
      </c>
      <c r="Q44" s="469">
        <f>Planning!T44</f>
      </c>
      <c r="R44" s="470"/>
      <c r="S44" s="471"/>
      <c r="T44" s="470"/>
      <c r="U44" s="471"/>
      <c r="V44" s="470"/>
      <c r="W44" s="471"/>
      <c r="X44" s="470"/>
      <c r="Y44" s="471"/>
      <c r="Z44" s="470"/>
      <c r="AA44" s="471"/>
      <c r="AB44" s="470"/>
      <c r="AC44" s="472"/>
      <c r="AD44" s="345"/>
      <c r="AE44" s="3"/>
      <c r="AF44" s="333"/>
      <c r="AG44" s="2"/>
      <c r="AH44" s="6"/>
      <c r="AI44" s="6"/>
      <c r="AJ44" s="6"/>
      <c r="AK44" s="6"/>
      <c r="AL44" s="6"/>
      <c r="AM44" s="6"/>
      <c r="AN44" s="6"/>
      <c r="AO44" s="6"/>
      <c r="AP44" s="6"/>
      <c r="AQ44" s="353"/>
      <c r="AR44" s="523">
        <f>AZ17</f>
      </c>
      <c r="AS44" s="523">
        <f>$AZ$17/$AR$43*AS42</f>
      </c>
      <c r="AT44" s="353">
        <v>44</v>
      </c>
      <c r="AU44" s="2"/>
      <c r="AV44" s="3"/>
      <c r="AW44" s="3"/>
      <c r="AX44" s="3"/>
      <c r="AY44" s="3"/>
      <c r="AZ44" s="475">
        <f>Planning!U44</f>
      </c>
      <c r="BA44" s="474">
        <f>Planning!U44</f>
      </c>
      <c r="BB44" s="475">
        <f>Planning!V44</f>
      </c>
      <c r="BC44" s="474">
        <f>Planning!V44</f>
      </c>
      <c r="BD44" s="475">
        <f>Planning!W44</f>
      </c>
      <c r="BE44" s="474">
        <f>Planning!W44</f>
      </c>
      <c r="BF44" s="475">
        <f>Planning!X44</f>
      </c>
      <c r="BG44" s="474">
        <f>Planning!X44</f>
      </c>
      <c r="BH44" s="475">
        <f>Planning!Y44</f>
      </c>
      <c r="BI44" s="474">
        <f>Planning!Y44</f>
      </c>
      <c r="BJ44" s="475">
        <f>Planning!Z44</f>
      </c>
      <c r="BK44" s="476">
        <f>Planning!Z44</f>
      </c>
      <c r="BL44" s="483">
        <f>(BM44&amp;2)*1</f>
      </c>
      <c r="BM44" s="492">
        <f>BM40+1</f>
      </c>
      <c r="BN44" s="497"/>
      <c r="BO44" s="480">
        <f>IF($BM$44=$AT$17,AS44,IF($BM$44=$AT$18,AS51,$BO$46))</f>
      </c>
      <c r="BP44" s="507">
        <f>IF(AND((LEFT(BL44,4))*1&gt;=$AT$18,BO44=0),NA(),IF($AZ$20=1,BO44/VE+BP43,BO44+BP43))</f>
      </c>
      <c r="BQ44" s="480">
        <f>AW24</f>
      </c>
      <c r="BR44" s="498">
        <f>IF(BL44&gt;=$AU$17,IF(OR(ISNA(BP44),BQ44=""),NA(),BQ44+BR43),0)</f>
      </c>
      <c r="BS44" s="11"/>
      <c r="BT44" s="1"/>
      <c r="BU44" s="1"/>
      <c r="BV44" s="1"/>
      <c r="BW44" s="1"/>
      <c r="BX44" s="1"/>
    </row>
    <row x14ac:dyDescent="0.25" r="45" customHeight="1" ht="18">
      <c r="A45" s="227"/>
      <c r="B45" s="227"/>
      <c r="C45" s="227"/>
      <c r="D45" s="227"/>
      <c r="E45" s="227"/>
      <c r="F45" s="227"/>
      <c r="G45" s="227"/>
      <c r="H45" s="227"/>
      <c r="I45" s="227"/>
      <c r="J45" s="227"/>
      <c r="K45" s="227"/>
      <c r="L45" s="227"/>
      <c r="M45" s="227"/>
      <c r="N45" s="227"/>
      <c r="O45" s="227"/>
      <c r="P45" s="491">
        <f>Planning!Q45</f>
      </c>
      <c r="Q45" s="469">
        <f>Planning!T45</f>
      </c>
      <c r="R45" s="470"/>
      <c r="S45" s="471"/>
      <c r="T45" s="470"/>
      <c r="U45" s="471"/>
      <c r="V45" s="470"/>
      <c r="W45" s="471"/>
      <c r="X45" s="470"/>
      <c r="Y45" s="471"/>
      <c r="Z45" s="470"/>
      <c r="AA45" s="471"/>
      <c r="AB45" s="470"/>
      <c r="AC45" s="472"/>
      <c r="AD45" s="345"/>
      <c r="AE45" s="3"/>
      <c r="AF45" s="333"/>
      <c r="AG45" s="2"/>
      <c r="AH45" s="6"/>
      <c r="AI45" s="6"/>
      <c r="AJ45" s="6"/>
      <c r="AK45" s="6"/>
      <c r="AL45" s="6"/>
      <c r="AM45" s="6"/>
      <c r="AN45" s="6"/>
      <c r="AO45" s="6"/>
      <c r="AP45" s="6"/>
      <c r="AQ45" s="353"/>
      <c r="AR45" s="5"/>
      <c r="AS45" s="523">
        <f>$AZ$17/$AR$43*AT42</f>
      </c>
      <c r="AT45" s="353">
        <v>45</v>
      </c>
      <c r="AU45" s="2"/>
      <c r="AV45" s="3"/>
      <c r="AW45" s="3"/>
      <c r="AX45" s="3"/>
      <c r="AY45" s="3"/>
      <c r="AZ45" s="475">
        <f>Planning!U45</f>
      </c>
      <c r="BA45" s="474">
        <f>Planning!U45</f>
      </c>
      <c r="BB45" s="475">
        <f>Planning!V45</f>
      </c>
      <c r="BC45" s="474">
        <f>Planning!V45</f>
      </c>
      <c r="BD45" s="475">
        <f>Planning!W45</f>
      </c>
      <c r="BE45" s="474">
        <f>Planning!W45</f>
      </c>
      <c r="BF45" s="475">
        <f>Planning!X45</f>
      </c>
      <c r="BG45" s="474">
        <f>Planning!X45</f>
      </c>
      <c r="BH45" s="475">
        <f>Planning!Y45</f>
      </c>
      <c r="BI45" s="474">
        <f>Planning!Y45</f>
      </c>
      <c r="BJ45" s="475">
        <f>Planning!Z45</f>
      </c>
      <c r="BK45" s="476">
        <f>Planning!Z45</f>
      </c>
      <c r="BL45" s="483">
        <f>(BM44&amp;3)*1</f>
      </c>
      <c r="BM45" s="492"/>
      <c r="BN45" s="497"/>
      <c r="BO45" s="480">
        <f>IF($BM$44=$AT$17,AS45,IF($BM$44=$AT$18,AS52,$BO$46))</f>
      </c>
      <c r="BP45" s="507">
        <f>IF(AND((LEFT(BL45,4))*1&gt;=$AT$18,BO45=0),NA(),IF($AZ$20=1,BO45/VE+BP44,BO45+BP44))</f>
      </c>
      <c r="BQ45" s="480">
        <f>AX24</f>
      </c>
      <c r="BR45" s="498">
        <f>IF(BL45&gt;=$AU$17,IF(OR(ISNA(BP45),BQ45=""),NA(),BQ45+BR44),0)</f>
      </c>
      <c r="BS45" s="11"/>
      <c r="BT45" s="1"/>
      <c r="BU45" s="1"/>
      <c r="BV45" s="1"/>
      <c r="BW45" s="1"/>
      <c r="BX45" s="1"/>
    </row>
    <row x14ac:dyDescent="0.25" r="46" customHeight="1" ht="18">
      <c r="A46" s="227"/>
      <c r="B46" s="227"/>
      <c r="C46" s="227"/>
      <c r="D46" s="227"/>
      <c r="E46" s="227"/>
      <c r="F46" s="227"/>
      <c r="G46" s="227"/>
      <c r="H46" s="227"/>
      <c r="I46" s="227"/>
      <c r="J46" s="227"/>
      <c r="K46" s="227"/>
      <c r="L46" s="227"/>
      <c r="M46" s="227"/>
      <c r="N46" s="227"/>
      <c r="O46" s="227"/>
      <c r="P46" s="491">
        <f>Planning!Q46</f>
      </c>
      <c r="Q46" s="469">
        <f>Planning!T46</f>
      </c>
      <c r="R46" s="470"/>
      <c r="S46" s="471"/>
      <c r="T46" s="470"/>
      <c r="U46" s="471"/>
      <c r="V46" s="470"/>
      <c r="W46" s="471"/>
      <c r="X46" s="470"/>
      <c r="Y46" s="471"/>
      <c r="Z46" s="470"/>
      <c r="AA46" s="471"/>
      <c r="AB46" s="470"/>
      <c r="AC46" s="472"/>
      <c r="AD46" s="345"/>
      <c r="AE46" s="69"/>
      <c r="AF46" s="520"/>
      <c r="AG46" s="2"/>
      <c r="AH46" s="6"/>
      <c r="AI46" s="6"/>
      <c r="AJ46" s="6"/>
      <c r="AK46" s="6"/>
      <c r="AL46" s="6"/>
      <c r="AM46" s="6"/>
      <c r="AN46" s="6"/>
      <c r="AO46" s="6"/>
      <c r="AP46" s="6"/>
      <c r="AQ46" s="353"/>
      <c r="AR46" s="5"/>
      <c r="AS46" s="523">
        <f>$AZ$17/$AR$43*AU42</f>
      </c>
      <c r="AT46" s="353">
        <v>46</v>
      </c>
      <c r="AU46" s="107"/>
      <c r="AV46" s="3"/>
      <c r="AW46" s="3"/>
      <c r="AX46" s="3"/>
      <c r="AY46" s="3"/>
      <c r="AZ46" s="475">
        <f>Planning!U46</f>
      </c>
      <c r="BA46" s="474">
        <f>Planning!U46</f>
      </c>
      <c r="BB46" s="475">
        <f>Planning!V46</f>
      </c>
      <c r="BC46" s="474">
        <f>Planning!V46</f>
      </c>
      <c r="BD46" s="475">
        <f>Planning!W46</f>
      </c>
      <c r="BE46" s="474">
        <f>Planning!W46</f>
      </c>
      <c r="BF46" s="475">
        <f>Planning!X46</f>
      </c>
      <c r="BG46" s="474">
        <f>Planning!X46</f>
      </c>
      <c r="BH46" s="475">
        <f>Planning!Y46</f>
      </c>
      <c r="BI46" s="474">
        <f>Planning!Y46</f>
      </c>
      <c r="BJ46" s="475">
        <f>Planning!Z46</f>
      </c>
      <c r="BK46" s="476">
        <f>Planning!Z46</f>
      </c>
      <c r="BL46" s="486">
        <f>(BM44&amp;4)*1</f>
      </c>
      <c r="BM46" s="494"/>
      <c r="BN46" s="497"/>
      <c r="BO46" s="480">
        <f>IF(BM44=$AT$17,AS46,IF(BM44=$AT$18,AS53,SUMIFS(PlanVE_PerBook,PlanYear,BM44)/4))</f>
      </c>
      <c r="BP46" s="507">
        <f>IF(AND((LEFT(BL46,4))*1&gt;=$AT$18,BO46=0),NA(),IF($AZ$20=1,BO46/VE+BP45,BO46+BP45))</f>
      </c>
      <c r="BQ46" s="480">
        <f>AY24</f>
      </c>
      <c r="BR46" s="498">
        <f>IF(BL46&gt;=$AU$17,IF(OR(ISNA(BP46),BQ46=""),NA(),BQ46+BR45),0)</f>
      </c>
      <c r="BS46" s="11"/>
      <c r="BT46" s="1"/>
      <c r="BU46" s="1"/>
      <c r="BV46" s="1"/>
      <c r="BW46" s="1"/>
      <c r="BX46" s="1"/>
    </row>
    <row x14ac:dyDescent="0.25" r="47" customHeight="1" ht="18">
      <c r="A47" s="227"/>
      <c r="B47" s="227"/>
      <c r="C47" s="227"/>
      <c r="D47" s="227"/>
      <c r="E47" s="227"/>
      <c r="F47" s="227"/>
      <c r="G47" s="227"/>
      <c r="H47" s="227"/>
      <c r="I47" s="227"/>
      <c r="J47" s="227"/>
      <c r="K47" s="227"/>
      <c r="L47" s="227"/>
      <c r="M47" s="227"/>
      <c r="N47" s="227"/>
      <c r="O47" s="227"/>
      <c r="P47" s="491">
        <f>Planning!Q47</f>
      </c>
      <c r="Q47" s="469">
        <f>Planning!T47</f>
      </c>
      <c r="R47" s="470"/>
      <c r="S47" s="471"/>
      <c r="T47" s="470"/>
      <c r="U47" s="471"/>
      <c r="V47" s="470"/>
      <c r="W47" s="471"/>
      <c r="X47" s="470"/>
      <c r="Y47" s="471"/>
      <c r="Z47" s="470"/>
      <c r="AA47" s="471"/>
      <c r="AB47" s="470"/>
      <c r="AC47" s="472"/>
      <c r="AD47" s="345"/>
      <c r="AE47" s="3"/>
      <c r="AF47" s="333"/>
      <c r="AG47" s="2"/>
      <c r="AH47" s="6"/>
      <c r="AI47" s="6"/>
      <c r="AJ47" s="6"/>
      <c r="AK47" s="6"/>
      <c r="AL47" s="6"/>
      <c r="AM47" s="6"/>
      <c r="AN47" s="6"/>
      <c r="AO47" s="6"/>
      <c r="AP47" s="6"/>
      <c r="AQ47" s="3"/>
      <c r="AR47" s="5"/>
      <c r="AS47" s="107"/>
      <c r="AT47" s="525"/>
      <c r="AU47" s="107"/>
      <c r="AV47" s="3"/>
      <c r="AW47" s="3"/>
      <c r="AX47" s="3"/>
      <c r="AY47" s="3"/>
      <c r="AZ47" s="475">
        <f>Planning!U47</f>
      </c>
      <c r="BA47" s="474">
        <f>Planning!U47</f>
      </c>
      <c r="BB47" s="475">
        <f>Planning!V47</f>
      </c>
      <c r="BC47" s="474">
        <f>Planning!V47</f>
      </c>
      <c r="BD47" s="475">
        <f>Planning!W47</f>
      </c>
      <c r="BE47" s="474">
        <f>Planning!W47</f>
      </c>
      <c r="BF47" s="475">
        <f>Planning!X47</f>
      </c>
      <c r="BG47" s="474">
        <f>Planning!X47</f>
      </c>
      <c r="BH47" s="475">
        <f>Planning!Y47</f>
      </c>
      <c r="BI47" s="474">
        <f>Planning!Y47</f>
      </c>
      <c r="BJ47" s="475">
        <f>Planning!Z47</f>
      </c>
      <c r="BK47" s="476">
        <f>Planning!Z47</f>
      </c>
      <c r="BL47" s="477">
        <f>(BM48&amp;1)*1</f>
      </c>
      <c r="BM47" s="489"/>
      <c r="BN47" s="497"/>
      <c r="BO47" s="480">
        <f>IF($BM$48=$AT$17,AS43,IF($BM$48=$AT$18,AS50,$BO$50))</f>
      </c>
      <c r="BP47" s="507">
        <f>IF(AND((LEFT(BL47,4))*1&gt;=$AT$18,BO47=0),NA(),IF($AZ$20=1,BO47/VE+BP46,BO47+BP46))</f>
      </c>
      <c r="BQ47" s="480">
        <f>AV25</f>
      </c>
      <c r="BR47" s="498">
        <f>IF(BL47&gt;=$AU$17,IF(OR(ISNA(BP47),BQ47=""),NA(),BQ47+BR46),0)</f>
      </c>
      <c r="BS47" s="11"/>
      <c r="BT47" s="1"/>
      <c r="BU47" s="1"/>
      <c r="BV47" s="1"/>
      <c r="BW47" s="1"/>
      <c r="BX47" s="1"/>
    </row>
    <row x14ac:dyDescent="0.25" r="48" customHeight="1" ht="18">
      <c r="A48" s="227"/>
      <c r="B48" s="227"/>
      <c r="C48" s="227"/>
      <c r="D48" s="227"/>
      <c r="E48" s="227"/>
      <c r="F48" s="227"/>
      <c r="G48" s="227"/>
      <c r="H48" s="227"/>
      <c r="I48" s="227"/>
      <c r="J48" s="227"/>
      <c r="K48" s="227"/>
      <c r="L48" s="227"/>
      <c r="M48" s="227"/>
      <c r="N48" s="227"/>
      <c r="O48" s="227"/>
      <c r="P48" s="491">
        <f>Planning!Q48</f>
      </c>
      <c r="Q48" s="469">
        <f>Planning!T48</f>
      </c>
      <c r="R48" s="470"/>
      <c r="S48" s="471"/>
      <c r="T48" s="470"/>
      <c r="U48" s="471"/>
      <c r="V48" s="470"/>
      <c r="W48" s="471"/>
      <c r="X48" s="470"/>
      <c r="Y48" s="471"/>
      <c r="Z48" s="470"/>
      <c r="AA48" s="471"/>
      <c r="AB48" s="470"/>
      <c r="AC48" s="472"/>
      <c r="AD48" s="345"/>
      <c r="AE48" s="3"/>
      <c r="AF48" s="333"/>
      <c r="AG48" s="2"/>
      <c r="AH48" s="6"/>
      <c r="AI48" s="6"/>
      <c r="AJ48" s="6"/>
      <c r="AK48" s="6"/>
      <c r="AL48" s="6"/>
      <c r="AM48" s="6"/>
      <c r="AN48" s="6"/>
      <c r="AO48" s="6"/>
      <c r="AP48" s="6"/>
      <c r="AQ48" s="3"/>
      <c r="AR48" s="517" t="s">
        <v>306</v>
      </c>
      <c r="AS48" s="518"/>
      <c r="AT48" s="519">
        <f>AT18</f>
      </c>
      <c r="AU48" s="2"/>
      <c r="AV48" s="3"/>
      <c r="AW48" s="3"/>
      <c r="AX48" s="3"/>
      <c r="AY48" s="3"/>
      <c r="AZ48" s="475">
        <f>Planning!U48</f>
      </c>
      <c r="BA48" s="474">
        <f>Planning!U48</f>
      </c>
      <c r="BB48" s="475">
        <f>Planning!V48</f>
      </c>
      <c r="BC48" s="474">
        <f>Planning!V48</f>
      </c>
      <c r="BD48" s="475">
        <f>Planning!W48</f>
      </c>
      <c r="BE48" s="474">
        <f>Planning!W48</f>
      </c>
      <c r="BF48" s="475">
        <f>Planning!X48</f>
      </c>
      <c r="BG48" s="474">
        <f>Planning!X48</f>
      </c>
      <c r="BH48" s="475">
        <f>Planning!Y48</f>
      </c>
      <c r="BI48" s="474">
        <f>Planning!Y48</f>
      </c>
      <c r="BJ48" s="475">
        <f>Planning!Z48</f>
      </c>
      <c r="BK48" s="476">
        <f>Planning!Z48</f>
      </c>
      <c r="BL48" s="483">
        <f>(BM48&amp;2)*1</f>
      </c>
      <c r="BM48" s="492">
        <f>BM44+1</f>
      </c>
      <c r="BN48" s="497"/>
      <c r="BO48" s="480">
        <f>IF($BM$48=$AT$17,AS44,IF($BM$48=$AT$18,AS51,$BO$50))</f>
      </c>
      <c r="BP48" s="507">
        <f>IF(AND((LEFT(BL48,4))*1&gt;=$AT$18,BO48=0),NA(),IF($AZ$20=1,BO48/VE+BP47,BO48+BP47))</f>
      </c>
      <c r="BQ48" s="480">
        <f>AW25</f>
      </c>
      <c r="BR48" s="498">
        <f>IF(BL48&gt;=$AU$17,IF(OR(ISNA(BP48),BQ48=""),NA(),BQ48+BR47),0)</f>
      </c>
      <c r="BS48" s="11"/>
      <c r="BT48" s="1"/>
      <c r="BU48" s="1"/>
      <c r="BV48" s="1"/>
      <c r="BW48" s="1"/>
      <c r="BX48" s="1"/>
    </row>
    <row x14ac:dyDescent="0.25" r="49" customHeight="1" ht="12.75">
      <c r="A49" s="227"/>
      <c r="B49" s="227"/>
      <c r="C49" s="227"/>
      <c r="D49" s="227"/>
      <c r="E49" s="227"/>
      <c r="F49" s="227"/>
      <c r="G49" s="227"/>
      <c r="H49" s="227"/>
      <c r="I49" s="227"/>
      <c r="J49" s="227"/>
      <c r="K49" s="227"/>
      <c r="L49" s="227"/>
      <c r="M49" s="227"/>
      <c r="N49" s="227"/>
      <c r="O49" s="227"/>
      <c r="P49" s="491">
        <f>Planning!Q49</f>
      </c>
      <c r="Q49" s="469">
        <f>Planning!T49</f>
      </c>
      <c r="R49" s="470"/>
      <c r="S49" s="471"/>
      <c r="T49" s="470"/>
      <c r="U49" s="471"/>
      <c r="V49" s="470"/>
      <c r="W49" s="471"/>
      <c r="X49" s="470"/>
      <c r="Y49" s="471"/>
      <c r="Z49" s="470"/>
      <c r="AA49" s="471"/>
      <c r="AB49" s="470"/>
      <c r="AC49" s="472"/>
      <c r="AD49" s="345"/>
      <c r="AE49" s="3"/>
      <c r="AF49" s="333"/>
      <c r="AG49" s="2"/>
      <c r="AH49" s="6"/>
      <c r="AI49" s="6"/>
      <c r="AJ49" s="6"/>
      <c r="AK49" s="6"/>
      <c r="AL49" s="6"/>
      <c r="AM49" s="6"/>
      <c r="AN49" s="6"/>
      <c r="AO49" s="6"/>
      <c r="AP49" s="6"/>
      <c r="AQ49" s="3"/>
      <c r="AR49" s="522">
        <f>IF($AR$18&gt;=3,3,_xlfn.IFNA(_xlfn.SWITCH($AR$18,1,1,2,2,3,3),0))</f>
      </c>
      <c r="AS49" s="521">
        <f>IF($AR$18&gt;=6,3,_xlfn.IFNA(_xlfn.SWITCH($AR$18,4,1,5,2,6,3),0))</f>
      </c>
      <c r="AT49" s="521">
        <f>IF($AR$18&gt;=9,3,_xlfn.IFNA(_xlfn.SWITCH($AR$18,7,1,8,2,9,3),0))</f>
      </c>
      <c r="AU49" s="521">
        <f>IF($AR$18&gt;=12,3,_xlfn.IFNA(_xlfn.SWITCH($AR$18,10,1,11,2,12,3),0))</f>
      </c>
      <c r="AV49" s="3"/>
      <c r="AW49" s="3"/>
      <c r="AX49" s="3"/>
      <c r="AY49" s="3"/>
      <c r="AZ49" s="475">
        <f>Planning!U49</f>
      </c>
      <c r="BA49" s="474">
        <f>Planning!U49</f>
      </c>
      <c r="BB49" s="475">
        <f>Planning!V49</f>
      </c>
      <c r="BC49" s="474">
        <f>Planning!V49</f>
      </c>
      <c r="BD49" s="475">
        <f>Planning!W49</f>
      </c>
      <c r="BE49" s="474">
        <f>Planning!W49</f>
      </c>
      <c r="BF49" s="475">
        <f>Planning!X49</f>
      </c>
      <c r="BG49" s="474">
        <f>Planning!X49</f>
      </c>
      <c r="BH49" s="475">
        <f>Planning!Y49</f>
      </c>
      <c r="BI49" s="474">
        <f>Planning!Y49</f>
      </c>
      <c r="BJ49" s="475">
        <f>Planning!Z49</f>
      </c>
      <c r="BK49" s="476">
        <f>Planning!Z49</f>
      </c>
      <c r="BL49" s="483">
        <f>(BM48&amp;3)*1</f>
      </c>
      <c r="BM49" s="492"/>
      <c r="BN49" s="497"/>
      <c r="BO49" s="480">
        <f>IF($BM$48=$AT$17,AS45,IF($BM$48=$AT$18,AS52,$BO$50))</f>
      </c>
      <c r="BP49" s="507">
        <f>IF(AND((LEFT(BL49,4))*1&gt;=$AT$18,BO49=0),NA(),IF($AZ$20=1,BO49/VE+BP48,BO49+BP48))</f>
      </c>
      <c r="BQ49" s="480">
        <f>AX25</f>
      </c>
      <c r="BR49" s="498">
        <f>IF(BL49&gt;=$AU$17,IF(OR(ISNA(BP49),BQ49=""),NA(),BQ49+BR48),0)</f>
      </c>
      <c r="BS49" s="11"/>
      <c r="BT49" s="1"/>
      <c r="BU49" s="1"/>
      <c r="BV49" s="1"/>
      <c r="BW49" s="1"/>
      <c r="BX49" s="1"/>
    </row>
    <row x14ac:dyDescent="0.25" r="50" customHeight="1" ht="12.75">
      <c r="A50" s="227"/>
      <c r="B50" s="227"/>
      <c r="C50" s="227"/>
      <c r="D50" s="227"/>
      <c r="E50" s="227"/>
      <c r="F50" s="227"/>
      <c r="G50" s="227"/>
      <c r="H50" s="227"/>
      <c r="I50" s="227"/>
      <c r="J50" s="227"/>
      <c r="K50" s="227"/>
      <c r="L50" s="227"/>
      <c r="M50" s="227"/>
      <c r="N50" s="227"/>
      <c r="O50" s="227"/>
      <c r="P50" s="491">
        <f>Planning!Q50</f>
      </c>
      <c r="Q50" s="469">
        <f>Planning!T50</f>
      </c>
      <c r="R50" s="470"/>
      <c r="S50" s="471"/>
      <c r="T50" s="470"/>
      <c r="U50" s="471"/>
      <c r="V50" s="470"/>
      <c r="W50" s="471"/>
      <c r="X50" s="470"/>
      <c r="Y50" s="471"/>
      <c r="Z50" s="470"/>
      <c r="AA50" s="471"/>
      <c r="AB50" s="470"/>
      <c r="AC50" s="472"/>
      <c r="AD50" s="345"/>
      <c r="AE50" s="3"/>
      <c r="AF50" s="333"/>
      <c r="AG50" s="2"/>
      <c r="AH50" s="6"/>
      <c r="AI50" s="6"/>
      <c r="AJ50" s="6"/>
      <c r="AK50" s="6"/>
      <c r="AL50" s="6"/>
      <c r="AM50" s="6"/>
      <c r="AN50" s="6"/>
      <c r="AO50" s="6"/>
      <c r="AP50" s="6"/>
      <c r="AQ50" s="3"/>
      <c r="AR50" s="521">
        <f>SUM(AR49:AU49)</f>
      </c>
      <c r="AS50" s="523">
        <f>$AZ$18/$AR$50*AR$49</f>
      </c>
      <c r="AT50" s="353">
        <v>50</v>
      </c>
      <c r="AU50" s="2"/>
      <c r="AV50" s="3"/>
      <c r="AW50" s="3"/>
      <c r="AX50" s="3"/>
      <c r="AY50" s="3"/>
      <c r="AZ50" s="475">
        <f>Planning!U50</f>
      </c>
      <c r="BA50" s="474">
        <f>Planning!U50</f>
      </c>
      <c r="BB50" s="475">
        <f>Planning!V50</f>
      </c>
      <c r="BC50" s="474">
        <f>Planning!V50</f>
      </c>
      <c r="BD50" s="475">
        <f>Planning!W50</f>
      </c>
      <c r="BE50" s="474">
        <f>Planning!W50</f>
      </c>
      <c r="BF50" s="475">
        <f>Planning!X50</f>
      </c>
      <c r="BG50" s="474">
        <f>Planning!X50</f>
      </c>
      <c r="BH50" s="475">
        <f>Planning!Y50</f>
      </c>
      <c r="BI50" s="474">
        <f>Planning!Y50</f>
      </c>
      <c r="BJ50" s="475">
        <f>Planning!Z50</f>
      </c>
      <c r="BK50" s="476">
        <f>Planning!Z50</f>
      </c>
      <c r="BL50" s="486">
        <f>(BM48&amp;4)*1</f>
      </c>
      <c r="BM50" s="494"/>
      <c r="BN50" s="497"/>
      <c r="BO50" s="480">
        <f>IF(BM48=$AT$17,AS46,IF(BM48=$AT$18,AS53,SUMIFS(PlanVE_PerBook,PlanYear,BM48)/4))</f>
      </c>
      <c r="BP50" s="507">
        <f>IF(AND((LEFT(BL50,4))*1&gt;=$AT$18,BO50=0),NA(),IF($AZ$20=1,BO50/VE+BP49,BO50+BP49))</f>
      </c>
      <c r="BQ50" s="480">
        <f>AY25</f>
      </c>
      <c r="BR50" s="498">
        <f>IF(BL50&gt;=$AU$17,IF(OR(ISNA(BP50),BQ50=""),NA(),BQ50+BR49),0)</f>
      </c>
      <c r="BS50" s="11"/>
      <c r="BT50" s="1"/>
      <c r="BU50" s="1"/>
      <c r="BV50" s="1"/>
      <c r="BW50" s="1"/>
      <c r="BX50" s="1"/>
    </row>
    <row x14ac:dyDescent="0.25" r="51" customHeight="1" ht="12.75">
      <c r="A51" s="227"/>
      <c r="B51" s="227"/>
      <c r="C51" s="227"/>
      <c r="D51" s="227"/>
      <c r="E51" s="227"/>
      <c r="F51" s="227"/>
      <c r="G51" s="227"/>
      <c r="H51" s="227"/>
      <c r="I51" s="227"/>
      <c r="J51" s="227"/>
      <c r="K51" s="227"/>
      <c r="L51" s="227"/>
      <c r="M51" s="227"/>
      <c r="N51" s="227"/>
      <c r="O51" s="227"/>
      <c r="P51" s="491">
        <f>Planning!Q51</f>
      </c>
      <c r="Q51" s="469">
        <f>Planning!T51</f>
      </c>
      <c r="R51" s="470"/>
      <c r="S51" s="471"/>
      <c r="T51" s="470"/>
      <c r="U51" s="471"/>
      <c r="V51" s="470"/>
      <c r="W51" s="471"/>
      <c r="X51" s="470"/>
      <c r="Y51" s="471"/>
      <c r="Z51" s="470"/>
      <c r="AA51" s="471"/>
      <c r="AB51" s="470"/>
      <c r="AC51" s="472"/>
      <c r="AD51" s="345"/>
      <c r="AE51" s="3"/>
      <c r="AF51" s="333"/>
      <c r="AG51" s="2"/>
      <c r="AH51" s="6"/>
      <c r="AI51" s="6"/>
      <c r="AJ51" s="6"/>
      <c r="AK51" s="6"/>
      <c r="AL51" s="6"/>
      <c r="AM51" s="6"/>
      <c r="AN51" s="6"/>
      <c r="AO51" s="6"/>
      <c r="AP51" s="6"/>
      <c r="AQ51" s="3"/>
      <c r="AR51" s="523">
        <f>AZ18</f>
      </c>
      <c r="AS51" s="523">
        <f>$AZ$18/$AR$50*AS$49</f>
      </c>
      <c r="AT51" s="353">
        <v>51</v>
      </c>
      <c r="AU51" s="2"/>
      <c r="AV51" s="3"/>
      <c r="AW51" s="3"/>
      <c r="AX51" s="3"/>
      <c r="AY51" s="3"/>
      <c r="AZ51" s="475">
        <f>Planning!U51</f>
      </c>
      <c r="BA51" s="474">
        <f>Planning!U51</f>
      </c>
      <c r="BB51" s="475">
        <f>Planning!V51</f>
      </c>
      <c r="BC51" s="474">
        <f>Planning!V51</f>
      </c>
      <c r="BD51" s="475">
        <f>Planning!W51</f>
      </c>
      <c r="BE51" s="474">
        <f>Planning!W51</f>
      </c>
      <c r="BF51" s="475">
        <f>Planning!X51</f>
      </c>
      <c r="BG51" s="474">
        <f>Planning!X51</f>
      </c>
      <c r="BH51" s="475">
        <f>Planning!Y51</f>
      </c>
      <c r="BI51" s="474">
        <f>Planning!Y51</f>
      </c>
      <c r="BJ51" s="475">
        <f>Planning!Z51</f>
      </c>
      <c r="BK51" s="476">
        <f>Planning!Z51</f>
      </c>
      <c r="BL51" s="477">
        <f>(BM52&amp;1)*1</f>
      </c>
      <c r="BM51" s="489"/>
      <c r="BN51" s="497"/>
      <c r="BO51" s="480">
        <f>IF($BM$52=$AT$17,AS43,IF($BM$52=$AT$18,AS50,$BO$54))</f>
      </c>
      <c r="BP51" s="507">
        <f>IF(AND((LEFT(BL51,4))*1&gt;=$AT$18,BO51=0),NA(),IF($AZ$20=1,BO51/VE+BP50,BO51+BP50))</f>
      </c>
      <c r="BQ51" s="480">
        <f>AV26</f>
      </c>
      <c r="BR51" s="498">
        <f>IF(BL51&gt;=$AU$17,IF(OR(ISNA(BP51),BQ51=""),NA(),BQ51+BR50),0)</f>
      </c>
      <c r="BS51" s="11"/>
      <c r="BT51" s="1"/>
      <c r="BU51" s="1"/>
      <c r="BV51" s="1"/>
      <c r="BW51" s="1"/>
      <c r="BX51" s="1"/>
    </row>
    <row x14ac:dyDescent="0.25" r="52" customHeight="1" ht="12.75">
      <c r="A52" s="227"/>
      <c r="B52" s="227"/>
      <c r="C52" s="227"/>
      <c r="D52" s="227"/>
      <c r="E52" s="227"/>
      <c r="F52" s="227"/>
      <c r="G52" s="227"/>
      <c r="H52" s="227"/>
      <c r="I52" s="227"/>
      <c r="J52" s="227"/>
      <c r="K52" s="227"/>
      <c r="L52" s="227"/>
      <c r="M52" s="227"/>
      <c r="N52" s="227"/>
      <c r="O52" s="227"/>
      <c r="P52" s="491">
        <f>Planning!Q52</f>
      </c>
      <c r="Q52" s="469">
        <f>Planning!T52</f>
      </c>
      <c r="R52" s="470"/>
      <c r="S52" s="471"/>
      <c r="T52" s="470"/>
      <c r="U52" s="471"/>
      <c r="V52" s="470"/>
      <c r="W52" s="471"/>
      <c r="X52" s="470"/>
      <c r="Y52" s="471"/>
      <c r="Z52" s="470"/>
      <c r="AA52" s="471"/>
      <c r="AB52" s="470"/>
      <c r="AC52" s="472"/>
      <c r="AD52" s="345"/>
      <c r="AE52" s="3"/>
      <c r="AF52" s="333"/>
      <c r="AG52" s="2"/>
      <c r="AH52" s="6"/>
      <c r="AI52" s="6"/>
      <c r="AJ52" s="6"/>
      <c r="AK52" s="6"/>
      <c r="AL52" s="6"/>
      <c r="AM52" s="6"/>
      <c r="AN52" s="6"/>
      <c r="AO52" s="6"/>
      <c r="AP52" s="6"/>
      <c r="AQ52" s="3"/>
      <c r="AR52" s="5"/>
      <c r="AS52" s="523">
        <f>$AZ$18/$AR$50*AT$49</f>
      </c>
      <c r="AT52" s="353">
        <v>52</v>
      </c>
      <c r="AU52" s="2"/>
      <c r="AV52" s="3"/>
      <c r="AW52" s="3"/>
      <c r="AX52" s="3"/>
      <c r="AY52" s="3"/>
      <c r="AZ52" s="475">
        <f>Planning!U52</f>
      </c>
      <c r="BA52" s="474">
        <f>Planning!U52</f>
      </c>
      <c r="BB52" s="475">
        <f>Planning!V52</f>
      </c>
      <c r="BC52" s="474">
        <f>Planning!V52</f>
      </c>
      <c r="BD52" s="475">
        <f>Planning!W52</f>
      </c>
      <c r="BE52" s="474">
        <f>Planning!W52</f>
      </c>
      <c r="BF52" s="475">
        <f>Planning!X52</f>
      </c>
      <c r="BG52" s="474">
        <f>Planning!X52</f>
      </c>
      <c r="BH52" s="475">
        <f>Planning!Y52</f>
      </c>
      <c r="BI52" s="474">
        <f>Planning!Y52</f>
      </c>
      <c r="BJ52" s="475">
        <f>Planning!Z52</f>
      </c>
      <c r="BK52" s="476">
        <f>Planning!Z52</f>
      </c>
      <c r="BL52" s="483">
        <f>(BM52&amp;2)*1</f>
      </c>
      <c r="BM52" s="492">
        <f>BM48+1</f>
      </c>
      <c r="BN52" s="497"/>
      <c r="BO52" s="480">
        <f>IF($BM$52=$AT$17,AS44,IF($BM$52=$AT$18,AS51,$BO$54))</f>
      </c>
      <c r="BP52" s="507">
        <f>IF(AND((LEFT(BL52,4))*1&gt;=$AT$18,BO52=0),NA(),IF($AZ$20=1,BO52/VE+BP51,BO52+BP51))</f>
      </c>
      <c r="BQ52" s="480">
        <f>AW26</f>
      </c>
      <c r="BR52" s="498">
        <f>IF(BL52&gt;=$AU$17,IF(OR(ISNA(BP52),BQ52=""),NA(),BQ52+BR51),0)</f>
      </c>
      <c r="BS52" s="11"/>
      <c r="BT52" s="1"/>
      <c r="BU52" s="1"/>
      <c r="BV52" s="1"/>
      <c r="BW52" s="1"/>
      <c r="BX52" s="1"/>
    </row>
    <row x14ac:dyDescent="0.25" r="53" customHeight="1" ht="12.75">
      <c r="A53" s="227"/>
      <c r="B53" s="227"/>
      <c r="C53" s="227"/>
      <c r="D53" s="227"/>
      <c r="E53" s="227"/>
      <c r="F53" s="227"/>
      <c r="G53" s="227"/>
      <c r="H53" s="227"/>
      <c r="I53" s="227"/>
      <c r="J53" s="227"/>
      <c r="K53" s="227"/>
      <c r="L53" s="227"/>
      <c r="M53" s="227"/>
      <c r="N53" s="227"/>
      <c r="O53" s="227"/>
      <c r="P53" s="491">
        <f>Planning!Q53</f>
      </c>
      <c r="Q53" s="469">
        <f>Planning!T53</f>
      </c>
      <c r="R53" s="470"/>
      <c r="S53" s="471"/>
      <c r="T53" s="470"/>
      <c r="U53" s="471"/>
      <c r="V53" s="470"/>
      <c r="W53" s="471"/>
      <c r="X53" s="470"/>
      <c r="Y53" s="471"/>
      <c r="Z53" s="470"/>
      <c r="AA53" s="471"/>
      <c r="AB53" s="470"/>
      <c r="AC53" s="472"/>
      <c r="AD53" s="345"/>
      <c r="AE53" s="3"/>
      <c r="AF53" s="333"/>
      <c r="AG53" s="2"/>
      <c r="AH53" s="6"/>
      <c r="AI53" s="6"/>
      <c r="AJ53" s="6"/>
      <c r="AK53" s="6"/>
      <c r="AL53" s="6"/>
      <c r="AM53" s="6"/>
      <c r="AN53" s="6"/>
      <c r="AO53" s="6"/>
      <c r="AP53" s="6"/>
      <c r="AQ53" s="3"/>
      <c r="AR53" s="5"/>
      <c r="AS53" s="523">
        <f>$AZ$18/$AR$50*AU$49</f>
      </c>
      <c r="AT53" s="353">
        <v>53</v>
      </c>
      <c r="AU53" s="2"/>
      <c r="AV53" s="3"/>
      <c r="AW53" s="3"/>
      <c r="AX53" s="3"/>
      <c r="AY53" s="3"/>
      <c r="AZ53" s="475">
        <f>Planning!U53</f>
      </c>
      <c r="BA53" s="474">
        <f>Planning!U53</f>
      </c>
      <c r="BB53" s="475">
        <f>Planning!V53</f>
      </c>
      <c r="BC53" s="474">
        <f>Planning!V53</f>
      </c>
      <c r="BD53" s="475">
        <f>Planning!W53</f>
      </c>
      <c r="BE53" s="474">
        <f>Planning!W53</f>
      </c>
      <c r="BF53" s="475">
        <f>Planning!X53</f>
      </c>
      <c r="BG53" s="474">
        <f>Planning!X53</f>
      </c>
      <c r="BH53" s="475">
        <f>Planning!Y53</f>
      </c>
      <c r="BI53" s="474">
        <f>Planning!Y53</f>
      </c>
      <c r="BJ53" s="475">
        <f>Planning!Z53</f>
      </c>
      <c r="BK53" s="476">
        <f>Planning!Z53</f>
      </c>
      <c r="BL53" s="483">
        <f>(BM52&amp;3)*1</f>
      </c>
      <c r="BM53" s="492"/>
      <c r="BN53" s="497"/>
      <c r="BO53" s="480">
        <f>IF($BM$52=$AT$17,AS45,IF($BM$52=$AT$18,AS52,$BO$54))</f>
      </c>
      <c r="BP53" s="507">
        <f>IF(AND((LEFT(BL53,4))*1&gt;=$AT$18,BO53=0),NA(),IF($AZ$20=1,BO53/VE+BP52,BO53+BP52))</f>
      </c>
      <c r="BQ53" s="480">
        <f>AX26</f>
      </c>
      <c r="BR53" s="498">
        <f>IF(BL53&gt;=$AU$17,IF(OR(ISNA(BP53),BQ53=""),NA(),BQ53+BR52),0)</f>
      </c>
      <c r="BS53" s="11"/>
      <c r="BT53" s="1"/>
      <c r="BU53" s="1"/>
      <c r="BV53" s="1"/>
      <c r="BW53" s="1"/>
      <c r="BX53" s="1"/>
    </row>
    <row x14ac:dyDescent="0.25" r="54" customHeight="1" ht="12.75">
      <c r="A54" s="227"/>
      <c r="B54" s="227"/>
      <c r="C54" s="227"/>
      <c r="D54" s="227"/>
      <c r="E54" s="227"/>
      <c r="F54" s="227"/>
      <c r="G54" s="227"/>
      <c r="H54" s="227"/>
      <c r="I54" s="227"/>
      <c r="J54" s="227"/>
      <c r="K54" s="227"/>
      <c r="L54" s="227"/>
      <c r="M54" s="227"/>
      <c r="N54" s="227"/>
      <c r="O54" s="227"/>
      <c r="P54" s="491">
        <f>Planning!Q54</f>
      </c>
      <c r="Q54" s="469">
        <f>Planning!T54</f>
      </c>
      <c r="R54" s="470"/>
      <c r="S54" s="471"/>
      <c r="T54" s="470"/>
      <c r="U54" s="471"/>
      <c r="V54" s="470"/>
      <c r="W54" s="471"/>
      <c r="X54" s="470"/>
      <c r="Y54" s="471"/>
      <c r="Z54" s="470"/>
      <c r="AA54" s="471"/>
      <c r="AB54" s="470"/>
      <c r="AC54" s="472"/>
      <c r="AD54" s="345"/>
      <c r="AE54" s="3"/>
      <c r="AF54" s="333"/>
      <c r="AG54" s="2"/>
      <c r="AH54" s="6"/>
      <c r="AI54" s="6"/>
      <c r="AJ54" s="6"/>
      <c r="AK54" s="6"/>
      <c r="AL54" s="6"/>
      <c r="AM54" s="6"/>
      <c r="AN54" s="6"/>
      <c r="AO54" s="6"/>
      <c r="AP54" s="6"/>
      <c r="AQ54" s="3"/>
      <c r="AR54" s="5"/>
      <c r="AS54" s="3"/>
      <c r="AT54" s="3"/>
      <c r="AU54" s="2"/>
      <c r="AV54" s="3"/>
      <c r="AW54" s="3"/>
      <c r="AX54" s="3"/>
      <c r="AY54" s="3"/>
      <c r="AZ54" s="475">
        <f>Planning!U54</f>
      </c>
      <c r="BA54" s="474">
        <f>Planning!U54</f>
      </c>
      <c r="BB54" s="475">
        <f>Planning!V54</f>
      </c>
      <c r="BC54" s="474">
        <f>Planning!V54</f>
      </c>
      <c r="BD54" s="475">
        <f>Planning!W54</f>
      </c>
      <c r="BE54" s="474">
        <f>Planning!W54</f>
      </c>
      <c r="BF54" s="475">
        <f>Planning!X54</f>
      </c>
      <c r="BG54" s="474">
        <f>Planning!X54</f>
      </c>
      <c r="BH54" s="475">
        <f>Planning!Y54</f>
      </c>
      <c r="BI54" s="474">
        <f>Planning!Y54</f>
      </c>
      <c r="BJ54" s="475">
        <f>Planning!Z54</f>
      </c>
      <c r="BK54" s="476">
        <f>Planning!Z54</f>
      </c>
      <c r="BL54" s="486">
        <f>(BM52&amp;4)*1</f>
      </c>
      <c r="BM54" s="494"/>
      <c r="BN54" s="497"/>
      <c r="BO54" s="480">
        <f>IF(BM52=$AT$17,AS46,IF(BM52=$AT$18,AS53,SUMIFS(PlanVE_PerBook,PlanYear,BM52)/4))</f>
      </c>
      <c r="BP54" s="507">
        <f>IF(AND((LEFT(BL54,4))*1&gt;=$AT$18,BO54=0),NA(),IF($AZ$20=1,BO54/VE+BP53,BO54+BP53))</f>
      </c>
      <c r="BQ54" s="480">
        <f>AY26</f>
      </c>
      <c r="BR54" s="498">
        <f>IF(BL54&gt;=$AU$17,IF(OR(ISNA(BP54),BQ54=""),NA(),BQ54+BR53),0)</f>
      </c>
      <c r="BS54" s="11"/>
      <c r="BT54" s="1"/>
      <c r="BU54" s="1"/>
      <c r="BV54" s="1"/>
      <c r="BW54" s="1"/>
      <c r="BX54" s="1"/>
    </row>
    <row x14ac:dyDescent="0.25" r="55" customHeight="1" ht="12.75">
      <c r="A55" s="227"/>
      <c r="B55" s="227"/>
      <c r="C55" s="227"/>
      <c r="D55" s="227"/>
      <c r="E55" s="227"/>
      <c r="F55" s="227"/>
      <c r="G55" s="227"/>
      <c r="H55" s="227"/>
      <c r="I55" s="227"/>
      <c r="J55" s="227"/>
      <c r="K55" s="227"/>
      <c r="L55" s="227"/>
      <c r="M55" s="227"/>
      <c r="N55" s="227"/>
      <c r="O55" s="227"/>
      <c r="P55" s="491">
        <f>Planning!Q55</f>
      </c>
      <c r="Q55" s="469">
        <f>Planning!T55</f>
      </c>
      <c r="R55" s="470"/>
      <c r="S55" s="471"/>
      <c r="T55" s="470"/>
      <c r="U55" s="471"/>
      <c r="V55" s="470"/>
      <c r="W55" s="471"/>
      <c r="X55" s="470"/>
      <c r="Y55" s="471"/>
      <c r="Z55" s="470"/>
      <c r="AA55" s="471"/>
      <c r="AB55" s="470"/>
      <c r="AC55" s="472"/>
      <c r="AD55" s="345"/>
      <c r="AE55" s="3"/>
      <c r="AF55" s="333"/>
      <c r="AG55" s="2"/>
      <c r="AH55" s="6"/>
      <c r="AI55" s="6"/>
      <c r="AJ55" s="6"/>
      <c r="AK55" s="6"/>
      <c r="AL55" s="6"/>
      <c r="AM55" s="6"/>
      <c r="AN55" s="6"/>
      <c r="AO55" s="6"/>
      <c r="AP55" s="6"/>
      <c r="AQ55" s="3"/>
      <c r="AR55" s="5"/>
      <c r="AS55" s="38">
        <v>4</v>
      </c>
      <c r="AT55" s="3"/>
      <c r="AU55" s="2"/>
      <c r="AV55" s="3"/>
      <c r="AW55" s="3"/>
      <c r="AX55" s="3"/>
      <c r="AY55" s="3"/>
      <c r="AZ55" s="475">
        <f>Planning!U55</f>
      </c>
      <c r="BA55" s="474">
        <f>Planning!U55</f>
      </c>
      <c r="BB55" s="475">
        <f>Planning!V55</f>
      </c>
      <c r="BC55" s="474">
        <f>Planning!V55</f>
      </c>
      <c r="BD55" s="475">
        <f>Planning!W55</f>
      </c>
      <c r="BE55" s="474">
        <f>Planning!W55</f>
      </c>
      <c r="BF55" s="475">
        <f>Planning!X55</f>
      </c>
      <c r="BG55" s="474">
        <f>Planning!X55</f>
      </c>
      <c r="BH55" s="475">
        <f>Planning!Y55</f>
      </c>
      <c r="BI55" s="474">
        <f>Planning!Y55</f>
      </c>
      <c r="BJ55" s="475">
        <f>Planning!Z55</f>
      </c>
      <c r="BK55" s="476">
        <f>Planning!Z55</f>
      </c>
      <c r="BL55" s="477">
        <f>(BM56&amp;1)*1</f>
      </c>
      <c r="BM55" s="489"/>
      <c r="BN55" s="497"/>
      <c r="BO55" s="480">
        <f>IF($BM$56=$AT$17,AS43,IF($BM$56=$AT$18,AS50,$BO$58))</f>
      </c>
      <c r="BP55" s="507">
        <f>IF(AND((LEFT(BL55,4))*1&gt;=$AT$18,BO55=0),NA(),IF($AZ$20=1,BO55/VE+BP54,BO55+BP54))</f>
      </c>
      <c r="BQ55" s="480">
        <f>AV27</f>
      </c>
      <c r="BR55" s="498">
        <f>IF(BL55&gt;=$AU$17,IF(OR(ISNA(BP55),BQ55=""),NA(),BQ55+BR54),0)</f>
      </c>
      <c r="BS55" s="11"/>
      <c r="BT55" s="1"/>
      <c r="BU55" s="1"/>
      <c r="BV55" s="1"/>
      <c r="BW55" s="1"/>
      <c r="BX55" s="1"/>
    </row>
    <row x14ac:dyDescent="0.25" r="56" customHeight="1" ht="12.75">
      <c r="A56" s="227"/>
      <c r="B56" s="227"/>
      <c r="C56" s="227"/>
      <c r="D56" s="227"/>
      <c r="E56" s="227"/>
      <c r="F56" s="227"/>
      <c r="G56" s="227"/>
      <c r="H56" s="227"/>
      <c r="I56" s="227"/>
      <c r="J56" s="227"/>
      <c r="K56" s="227"/>
      <c r="L56" s="227"/>
      <c r="M56" s="227"/>
      <c r="N56" s="227"/>
      <c r="O56" s="227"/>
      <c r="P56" s="491">
        <f>Planning!Q56</f>
      </c>
      <c r="Q56" s="469">
        <f>Planning!T56</f>
      </c>
      <c r="R56" s="470"/>
      <c r="S56" s="471"/>
      <c r="T56" s="470"/>
      <c r="U56" s="471"/>
      <c r="V56" s="470"/>
      <c r="W56" s="471"/>
      <c r="X56" s="470"/>
      <c r="Y56" s="471"/>
      <c r="Z56" s="470"/>
      <c r="AA56" s="471"/>
      <c r="AB56" s="470"/>
      <c r="AC56" s="472"/>
      <c r="AD56" s="345"/>
      <c r="AE56" s="3"/>
      <c r="AF56" s="333"/>
      <c r="AG56" s="2"/>
      <c r="AH56" s="6"/>
      <c r="AI56" s="6"/>
      <c r="AJ56" s="6"/>
      <c r="AK56" s="6"/>
      <c r="AL56" s="6"/>
      <c r="AM56" s="6"/>
      <c r="AN56" s="6"/>
      <c r="AO56" s="6"/>
      <c r="AP56" s="6"/>
      <c r="AQ56" s="3"/>
      <c r="AR56" s="5"/>
      <c r="AS56" s="526"/>
      <c r="AT56" s="3"/>
      <c r="AU56" s="2"/>
      <c r="AV56" s="3"/>
      <c r="AW56" s="3"/>
      <c r="AX56" s="3"/>
      <c r="AY56" s="3"/>
      <c r="AZ56" s="475">
        <f>Planning!U56</f>
      </c>
      <c r="BA56" s="474">
        <f>Planning!U56</f>
      </c>
      <c r="BB56" s="475">
        <f>Planning!V56</f>
      </c>
      <c r="BC56" s="474">
        <f>Planning!V56</f>
      </c>
      <c r="BD56" s="475">
        <f>Planning!W56</f>
      </c>
      <c r="BE56" s="474">
        <f>Planning!W56</f>
      </c>
      <c r="BF56" s="475">
        <f>Planning!X56</f>
      </c>
      <c r="BG56" s="474">
        <f>Planning!X56</f>
      </c>
      <c r="BH56" s="475">
        <f>Planning!Y56</f>
      </c>
      <c r="BI56" s="474">
        <f>Planning!Y56</f>
      </c>
      <c r="BJ56" s="475">
        <f>Planning!Z56</f>
      </c>
      <c r="BK56" s="476">
        <f>Planning!Z56</f>
      </c>
      <c r="BL56" s="483">
        <f>(BM56&amp;2)*1</f>
      </c>
      <c r="BM56" s="492">
        <f>BM52+1</f>
      </c>
      <c r="BN56" s="497"/>
      <c r="BO56" s="480">
        <f>IF($BM$56=$AT$17,AS44,IF($BM$56=$AT$18,AS51,$BO$58))</f>
      </c>
      <c r="BP56" s="507">
        <f>IF(AND((LEFT(BL56,4))*1&gt;=$AT$18,BO56=0),NA(),IF($AZ$20=1,BO56/VE+BP55,BO56+BP55))</f>
      </c>
      <c r="BQ56" s="480">
        <f>AW27</f>
      </c>
      <c r="BR56" s="498">
        <f>IF(BL56&gt;=$AU$17,IF(OR(ISNA(BP56),BQ56=""),NA(),BQ56+BR55),0)</f>
      </c>
      <c r="BS56" s="11"/>
      <c r="BT56" s="1"/>
      <c r="BU56" s="1"/>
      <c r="BV56" s="1"/>
      <c r="BW56" s="1"/>
      <c r="BX56" s="1"/>
    </row>
    <row x14ac:dyDescent="0.25" r="57" customHeight="1" ht="12.75">
      <c r="A57" s="227"/>
      <c r="B57" s="227"/>
      <c r="C57" s="227"/>
      <c r="D57" s="227"/>
      <c r="E57" s="227"/>
      <c r="F57" s="227"/>
      <c r="G57" s="227"/>
      <c r="H57" s="227"/>
      <c r="I57" s="227"/>
      <c r="J57" s="227"/>
      <c r="K57" s="227"/>
      <c r="L57" s="227"/>
      <c r="M57" s="227"/>
      <c r="N57" s="227"/>
      <c r="O57" s="227"/>
      <c r="P57" s="491">
        <f>Planning!Q57</f>
      </c>
      <c r="Q57" s="469">
        <f>Planning!T57</f>
      </c>
      <c r="R57" s="470"/>
      <c r="S57" s="471"/>
      <c r="T57" s="470"/>
      <c r="U57" s="471"/>
      <c r="V57" s="470"/>
      <c r="W57" s="471"/>
      <c r="X57" s="470"/>
      <c r="Y57" s="471"/>
      <c r="Z57" s="470"/>
      <c r="AA57" s="471"/>
      <c r="AB57" s="470"/>
      <c r="AC57" s="472"/>
      <c r="AD57" s="345"/>
      <c r="AE57" s="3"/>
      <c r="AF57" s="333"/>
      <c r="AG57" s="2"/>
      <c r="AH57" s="6"/>
      <c r="AI57" s="6"/>
      <c r="AJ57" s="6"/>
      <c r="AK57" s="6"/>
      <c r="AL57" s="6"/>
      <c r="AM57" s="6"/>
      <c r="AN57" s="6"/>
      <c r="AO57" s="6"/>
      <c r="AP57" s="6"/>
      <c r="AQ57" s="3"/>
      <c r="AR57" s="5"/>
      <c r="AS57" s="527"/>
      <c r="AT57" s="3"/>
      <c r="AU57" s="2"/>
      <c r="AV57" s="3"/>
      <c r="AW57" s="3"/>
      <c r="AX57" s="3"/>
      <c r="AY57" s="3"/>
      <c r="AZ57" s="475">
        <f>Planning!U57</f>
      </c>
      <c r="BA57" s="474">
        <f>Planning!U57</f>
      </c>
      <c r="BB57" s="475">
        <f>Planning!V57</f>
      </c>
      <c r="BC57" s="474">
        <f>Planning!V57</f>
      </c>
      <c r="BD57" s="475">
        <f>Planning!W57</f>
      </c>
      <c r="BE57" s="474">
        <f>Planning!W57</f>
      </c>
      <c r="BF57" s="475">
        <f>Planning!X57</f>
      </c>
      <c r="BG57" s="474">
        <f>Planning!X57</f>
      </c>
      <c r="BH57" s="475">
        <f>Planning!Y57</f>
      </c>
      <c r="BI57" s="474">
        <f>Planning!Y57</f>
      </c>
      <c r="BJ57" s="475">
        <f>Planning!Z57</f>
      </c>
      <c r="BK57" s="476">
        <f>Planning!Z57</f>
      </c>
      <c r="BL57" s="483">
        <f>(BM56&amp;3)*1</f>
      </c>
      <c r="BM57" s="492"/>
      <c r="BN57" s="497"/>
      <c r="BO57" s="480">
        <f>IF($BM$56=$AT$17,AS45,IF($BM$56=$AT$18,AS52,$BO$58))</f>
      </c>
      <c r="BP57" s="507">
        <f>IF(AND((LEFT(BL57,4))*1&gt;=$AT$18,BO57=0),NA(),IF($AZ$20=1,BO57/VE+BP56,BO57+BP56))</f>
      </c>
      <c r="BQ57" s="480">
        <f>AX27</f>
      </c>
      <c r="BR57" s="498">
        <f>IF(BL57&gt;=$AU$17,IF(OR(ISNA(BP57),BQ57=""),NA(),BQ57+BR56),0)</f>
      </c>
      <c r="BS57" s="11"/>
      <c r="BT57" s="1"/>
      <c r="BU57" s="1"/>
      <c r="BV57" s="1"/>
      <c r="BW57" s="1"/>
      <c r="BX57" s="1"/>
    </row>
    <row x14ac:dyDescent="0.25" r="58" customHeight="1" ht="12.75">
      <c r="A58" s="227"/>
      <c r="B58" s="227"/>
      <c r="C58" s="227"/>
      <c r="D58" s="227"/>
      <c r="E58" s="227"/>
      <c r="F58" s="227"/>
      <c r="G58" s="227"/>
      <c r="H58" s="227"/>
      <c r="I58" s="227"/>
      <c r="J58" s="227"/>
      <c r="K58" s="227"/>
      <c r="L58" s="227"/>
      <c r="M58" s="227"/>
      <c r="N58" s="227"/>
      <c r="O58" s="227"/>
      <c r="P58" s="491">
        <f>Planning!Q58</f>
      </c>
      <c r="Q58" s="469">
        <f>Planning!T58</f>
      </c>
      <c r="R58" s="470"/>
      <c r="S58" s="471"/>
      <c r="T58" s="470"/>
      <c r="U58" s="471"/>
      <c r="V58" s="470"/>
      <c r="W58" s="471"/>
      <c r="X58" s="470"/>
      <c r="Y58" s="471"/>
      <c r="Z58" s="470"/>
      <c r="AA58" s="471"/>
      <c r="AB58" s="470"/>
      <c r="AC58" s="472"/>
      <c r="AD58" s="345"/>
      <c r="AE58" s="3"/>
      <c r="AF58" s="333"/>
      <c r="AG58" s="2"/>
      <c r="AH58" s="6"/>
      <c r="AI58" s="6"/>
      <c r="AJ58" s="6"/>
      <c r="AK58" s="6"/>
      <c r="AL58" s="6"/>
      <c r="AM58" s="6"/>
      <c r="AN58" s="6"/>
      <c r="AO58" s="6"/>
      <c r="AP58" s="6"/>
      <c r="AQ58" s="3"/>
      <c r="AR58" s="5"/>
      <c r="AS58" s="3"/>
      <c r="AT58" s="3"/>
      <c r="AU58" s="2"/>
      <c r="AV58" s="3"/>
      <c r="AW58" s="3"/>
      <c r="AX58" s="3"/>
      <c r="AY58" s="3"/>
      <c r="AZ58" s="475">
        <f>Planning!U58</f>
      </c>
      <c r="BA58" s="474">
        <f>Planning!U58</f>
      </c>
      <c r="BB58" s="475">
        <f>Planning!V58</f>
      </c>
      <c r="BC58" s="474">
        <f>Planning!V58</f>
      </c>
      <c r="BD58" s="475">
        <f>Planning!W58</f>
      </c>
      <c r="BE58" s="474">
        <f>Planning!W58</f>
      </c>
      <c r="BF58" s="475">
        <f>Planning!X58</f>
      </c>
      <c r="BG58" s="474">
        <f>Planning!X58</f>
      </c>
      <c r="BH58" s="475">
        <f>Planning!Y58</f>
      </c>
      <c r="BI58" s="474">
        <f>Planning!Y58</f>
      </c>
      <c r="BJ58" s="475">
        <f>Planning!Z58</f>
      </c>
      <c r="BK58" s="476">
        <f>Planning!Z58</f>
      </c>
      <c r="BL58" s="486">
        <f>(BM56&amp;4)*1</f>
      </c>
      <c r="BM58" s="494"/>
      <c r="BN58" s="497"/>
      <c r="BO58" s="480">
        <f>IF(BM56=$AT$17,AS46,IF(BM56=$AT$18,AS53,SUMIFS(PlanVE_PerBook,PlanYear,BM56)/4))</f>
      </c>
      <c r="BP58" s="507">
        <f>IF(AND((LEFT(BL58,4))*1&gt;=$AT$18,BO58=0),NA(),IF($AZ$20=1,BO58/VE+BP57,BO58+BP57))</f>
      </c>
      <c r="BQ58" s="480">
        <f>AY27</f>
      </c>
      <c r="BR58" s="498">
        <f>IF(BL58&gt;=$AU$17,IF(OR(ISNA(BP58),BQ58=""),NA(),BQ58+BR57),0)</f>
      </c>
      <c r="BS58" s="1"/>
      <c r="BT58" s="1"/>
      <c r="BU58" s="1"/>
      <c r="BV58" s="1"/>
      <c r="BW58" s="1"/>
      <c r="BX58" s="1"/>
    </row>
    <row x14ac:dyDescent="0.25" r="59" customHeight="1" ht="12.75">
      <c r="A59" s="227"/>
      <c r="B59" s="227"/>
      <c r="C59" s="227"/>
      <c r="D59" s="227"/>
      <c r="E59" s="227"/>
      <c r="F59" s="227"/>
      <c r="G59" s="227"/>
      <c r="H59" s="227"/>
      <c r="I59" s="227"/>
      <c r="J59" s="227"/>
      <c r="K59" s="227"/>
      <c r="L59" s="227"/>
      <c r="M59" s="227"/>
      <c r="N59" s="227"/>
      <c r="O59" s="227"/>
      <c r="P59" s="491">
        <f>Planning!Q59</f>
      </c>
      <c r="Q59" s="469">
        <f>Planning!T59</f>
      </c>
      <c r="R59" s="470"/>
      <c r="S59" s="471"/>
      <c r="T59" s="470"/>
      <c r="U59" s="471"/>
      <c r="V59" s="470"/>
      <c r="W59" s="471"/>
      <c r="X59" s="470"/>
      <c r="Y59" s="471"/>
      <c r="Z59" s="470"/>
      <c r="AA59" s="471"/>
      <c r="AB59" s="470"/>
      <c r="AC59" s="472"/>
      <c r="AD59" s="345"/>
      <c r="AE59" s="3"/>
      <c r="AF59" s="333"/>
      <c r="AG59" s="2"/>
      <c r="AH59" s="6"/>
      <c r="AI59" s="6"/>
      <c r="AJ59" s="6"/>
      <c r="AK59" s="6"/>
      <c r="AL59" s="6"/>
      <c r="AM59" s="6"/>
      <c r="AN59" s="6"/>
      <c r="AO59" s="6"/>
      <c r="AP59" s="6"/>
      <c r="AQ59" s="3"/>
      <c r="AR59" s="5"/>
      <c r="AS59" s="3"/>
      <c r="AT59" s="3"/>
      <c r="AU59" s="2"/>
      <c r="AV59" s="3"/>
      <c r="AW59" s="3"/>
      <c r="AX59" s="3"/>
      <c r="AY59" s="3"/>
      <c r="AZ59" s="475">
        <f>Planning!U59</f>
      </c>
      <c r="BA59" s="474">
        <f>Planning!U59</f>
      </c>
      <c r="BB59" s="475">
        <f>Planning!V59</f>
      </c>
      <c r="BC59" s="474">
        <f>Planning!V59</f>
      </c>
      <c r="BD59" s="475">
        <f>Planning!W59</f>
      </c>
      <c r="BE59" s="474">
        <f>Planning!W59</f>
      </c>
      <c r="BF59" s="475">
        <f>Planning!X59</f>
      </c>
      <c r="BG59" s="474">
        <f>Planning!X59</f>
      </c>
      <c r="BH59" s="475">
        <f>Planning!Y59</f>
      </c>
      <c r="BI59" s="474">
        <f>Planning!Y59</f>
      </c>
      <c r="BJ59" s="475">
        <f>Planning!Z59</f>
      </c>
      <c r="BK59" s="476">
        <f>Planning!Z59</f>
      </c>
      <c r="BL59" s="477">
        <f>(BM60&amp;1)*1</f>
      </c>
      <c r="BM59" s="489"/>
      <c r="BN59" s="497"/>
      <c r="BO59" s="480">
        <f>IF($BM$60=$AT$17,AS43,IF($BM$60=$AT$18,AS50,$BO$62))</f>
      </c>
      <c r="BP59" s="507">
        <f>IF(AND((LEFT(BL59,4))*1&gt;=$AT$18,BO59=0),NA(),IF($AZ$20=1,BO59/VE+BP58,BO59+BP58))</f>
      </c>
      <c r="BQ59" s="480">
        <f>AV28</f>
      </c>
      <c r="BR59" s="498">
        <f>IF(BL59&gt;=$AU$17,IF(OR(ISNA(BP59),BQ59=""),NA(),BQ59+BR58),0)</f>
      </c>
      <c r="BS59" s="11"/>
      <c r="BT59" s="1"/>
      <c r="BU59" s="1"/>
      <c r="BV59" s="1"/>
      <c r="BW59" s="1"/>
      <c r="BX59" s="1"/>
    </row>
    <row x14ac:dyDescent="0.25" r="60" customHeight="1" ht="12.75">
      <c r="A60" s="227"/>
      <c r="B60" s="227"/>
      <c r="C60" s="227"/>
      <c r="D60" s="227"/>
      <c r="E60" s="227"/>
      <c r="F60" s="227"/>
      <c r="G60" s="227"/>
      <c r="H60" s="227"/>
      <c r="I60" s="227"/>
      <c r="J60" s="227"/>
      <c r="K60" s="227"/>
      <c r="L60" s="227"/>
      <c r="M60" s="227"/>
      <c r="N60" s="227"/>
      <c r="O60" s="227"/>
      <c r="P60" s="491">
        <f>Planning!Q60</f>
      </c>
      <c r="Q60" s="469">
        <f>Planning!T60</f>
      </c>
      <c r="R60" s="470"/>
      <c r="S60" s="471"/>
      <c r="T60" s="470"/>
      <c r="U60" s="471"/>
      <c r="V60" s="470"/>
      <c r="W60" s="471"/>
      <c r="X60" s="470"/>
      <c r="Y60" s="471"/>
      <c r="Z60" s="470"/>
      <c r="AA60" s="471"/>
      <c r="AB60" s="470"/>
      <c r="AC60" s="472"/>
      <c r="AD60" s="345"/>
      <c r="AE60" s="3"/>
      <c r="AF60" s="333"/>
      <c r="AG60" s="2"/>
      <c r="AH60" s="6"/>
      <c r="AI60" s="6"/>
      <c r="AJ60" s="6"/>
      <c r="AK60" s="6"/>
      <c r="AL60" s="6"/>
      <c r="AM60" s="6"/>
      <c r="AN60" s="6"/>
      <c r="AO60" s="6"/>
      <c r="AP60" s="6"/>
      <c r="AQ60" s="3"/>
      <c r="AR60" s="5"/>
      <c r="AS60" s="3"/>
      <c r="AT60" s="3"/>
      <c r="AU60" s="2"/>
      <c r="AV60" s="3"/>
      <c r="AW60" s="3"/>
      <c r="AX60" s="3"/>
      <c r="AY60" s="3"/>
      <c r="AZ60" s="475">
        <f>Planning!U60</f>
      </c>
      <c r="BA60" s="474">
        <f>Planning!U60</f>
      </c>
      <c r="BB60" s="475">
        <f>Planning!V60</f>
      </c>
      <c r="BC60" s="474">
        <f>Planning!V60</f>
      </c>
      <c r="BD60" s="475">
        <f>Planning!W60</f>
      </c>
      <c r="BE60" s="474">
        <f>Planning!W60</f>
      </c>
      <c r="BF60" s="475">
        <f>Planning!X60</f>
      </c>
      <c r="BG60" s="474">
        <f>Planning!X60</f>
      </c>
      <c r="BH60" s="475">
        <f>Planning!Y60</f>
      </c>
      <c r="BI60" s="474">
        <f>Planning!Y60</f>
      </c>
      <c r="BJ60" s="475">
        <f>Planning!Z60</f>
      </c>
      <c r="BK60" s="476">
        <f>Planning!Z60</f>
      </c>
      <c r="BL60" s="483">
        <f>(BM60&amp;2)*1</f>
      </c>
      <c r="BM60" s="492">
        <f>BM56+1</f>
      </c>
      <c r="BN60" s="497"/>
      <c r="BO60" s="480">
        <f>IF($BM$60=$AT$17,AS44,IF($BM$60=$AT$18,AS51,$BO$62))</f>
      </c>
      <c r="BP60" s="507">
        <f>IF(AND((LEFT(BL60,4))*1&gt;=$AT$18,BO60=0),NA(),IF($AZ$20=1,BO60/VE+BP59,BO60+BP59))</f>
      </c>
      <c r="BQ60" s="480">
        <f>AW28</f>
      </c>
      <c r="BR60" s="498">
        <f>IF(BL60&gt;=$AU$17,IF(OR(ISNA(BP60),BQ60=""),NA(),BQ60+BR59),0)</f>
      </c>
      <c r="BS60" s="11"/>
      <c r="BT60" s="1"/>
      <c r="BU60" s="1"/>
      <c r="BV60" s="1"/>
      <c r="BW60" s="1"/>
      <c r="BX60" s="1"/>
    </row>
    <row x14ac:dyDescent="0.25" r="61" customHeight="1" ht="12.75">
      <c r="A61" s="227"/>
      <c r="B61" s="227"/>
      <c r="C61" s="227"/>
      <c r="D61" s="227"/>
      <c r="E61" s="227"/>
      <c r="F61" s="227"/>
      <c r="G61" s="227"/>
      <c r="H61" s="227"/>
      <c r="I61" s="227"/>
      <c r="J61" s="227"/>
      <c r="K61" s="227"/>
      <c r="L61" s="227"/>
      <c r="M61" s="227"/>
      <c r="N61" s="227"/>
      <c r="O61" s="227"/>
      <c r="P61" s="491">
        <f>Planning!Q61</f>
      </c>
      <c r="Q61" s="469">
        <f>Planning!T61</f>
      </c>
      <c r="R61" s="470"/>
      <c r="S61" s="471"/>
      <c r="T61" s="470"/>
      <c r="U61" s="471"/>
      <c r="V61" s="470"/>
      <c r="W61" s="471"/>
      <c r="X61" s="470"/>
      <c r="Y61" s="471"/>
      <c r="Z61" s="470"/>
      <c r="AA61" s="471"/>
      <c r="AB61" s="470"/>
      <c r="AC61" s="472"/>
      <c r="AD61" s="345"/>
      <c r="AE61" s="3"/>
      <c r="AF61" s="333"/>
      <c r="AG61" s="2"/>
      <c r="AH61" s="6"/>
      <c r="AI61" s="6"/>
      <c r="AJ61" s="6"/>
      <c r="AK61" s="6"/>
      <c r="AL61" s="6"/>
      <c r="AM61" s="6"/>
      <c r="AN61" s="6"/>
      <c r="AO61" s="6"/>
      <c r="AP61" s="6"/>
      <c r="AQ61" s="3"/>
      <c r="AR61" s="5"/>
      <c r="AS61" s="3"/>
      <c r="AT61" s="3"/>
      <c r="AU61" s="2"/>
      <c r="AV61" s="3"/>
      <c r="AW61" s="3"/>
      <c r="AX61" s="3"/>
      <c r="AY61" s="3"/>
      <c r="AZ61" s="475">
        <f>Planning!U61</f>
      </c>
      <c r="BA61" s="474">
        <f>Planning!U61</f>
      </c>
      <c r="BB61" s="475">
        <f>Planning!V61</f>
      </c>
      <c r="BC61" s="474">
        <f>Planning!V61</f>
      </c>
      <c r="BD61" s="475">
        <f>Planning!W61</f>
      </c>
      <c r="BE61" s="474">
        <f>Planning!W61</f>
      </c>
      <c r="BF61" s="475">
        <f>Planning!X61</f>
      </c>
      <c r="BG61" s="474">
        <f>Planning!X61</f>
      </c>
      <c r="BH61" s="475">
        <f>Planning!Y61</f>
      </c>
      <c r="BI61" s="474">
        <f>Planning!Y61</f>
      </c>
      <c r="BJ61" s="475">
        <f>Planning!Z61</f>
      </c>
      <c r="BK61" s="476">
        <f>Planning!Z61</f>
      </c>
      <c r="BL61" s="483">
        <f>(BM60&amp;3)*1</f>
      </c>
      <c r="BM61" s="492"/>
      <c r="BN61" s="497"/>
      <c r="BO61" s="480">
        <f>IF($BM$60=$AT$17,AS45,IF($BM$60=$AT$18,AS52,$BO$62))</f>
      </c>
      <c r="BP61" s="507">
        <f>IF(AND((LEFT(BL61,4))*1&gt;=$AT$18,BO61=0),NA(),IF($AZ$20=1,BO61/VE+BP60,BO61+BP60))</f>
      </c>
      <c r="BQ61" s="480">
        <f>AX28</f>
      </c>
      <c r="BR61" s="498">
        <f>IF(BL61&gt;=$AU$17,IF(OR(ISNA(BP61),BQ61=""),NA(),BQ61+BR60),0)</f>
      </c>
      <c r="BS61" s="11"/>
      <c r="BT61" s="1"/>
      <c r="BU61" s="1"/>
      <c r="BV61" s="1"/>
      <c r="BW61" s="1"/>
      <c r="BX61" s="1"/>
    </row>
    <row x14ac:dyDescent="0.25" r="62" customHeight="1" ht="12.75">
      <c r="A62" s="227"/>
      <c r="B62" s="227"/>
      <c r="C62" s="227"/>
      <c r="D62" s="227"/>
      <c r="E62" s="227"/>
      <c r="F62" s="227"/>
      <c r="G62" s="227"/>
      <c r="H62" s="227"/>
      <c r="I62" s="227"/>
      <c r="J62" s="227"/>
      <c r="K62" s="227"/>
      <c r="L62" s="227"/>
      <c r="M62" s="227"/>
      <c r="N62" s="227"/>
      <c r="O62" s="227"/>
      <c r="P62" s="491">
        <f>Planning!Q62</f>
      </c>
      <c r="Q62" s="469">
        <f>Planning!T62</f>
      </c>
      <c r="R62" s="470" t="s">
        <v>26</v>
      </c>
      <c r="S62" s="471">
        <v>2010</v>
      </c>
      <c r="T62" s="470"/>
      <c r="U62" s="471"/>
      <c r="V62" s="470"/>
      <c r="W62" s="471"/>
      <c r="X62" s="470"/>
      <c r="Y62" s="471"/>
      <c r="Z62" s="470"/>
      <c r="AA62" s="471"/>
      <c r="AB62" s="470"/>
      <c r="AC62" s="472"/>
      <c r="AD62" s="345"/>
      <c r="AE62" s="3"/>
      <c r="AF62" s="333"/>
      <c r="AG62" s="2"/>
      <c r="AH62" s="6"/>
      <c r="AI62" s="6"/>
      <c r="AJ62" s="6"/>
      <c r="AK62" s="6"/>
      <c r="AL62" s="6"/>
      <c r="AM62" s="6"/>
      <c r="AN62" s="6"/>
      <c r="AO62" s="6"/>
      <c r="AP62" s="6"/>
      <c r="AQ62" s="3"/>
      <c r="AR62" s="5"/>
      <c r="AS62" s="3"/>
      <c r="AT62" s="3"/>
      <c r="AU62" s="2"/>
      <c r="AV62" s="3"/>
      <c r="AW62" s="3"/>
      <c r="AX62" s="3"/>
      <c r="AY62" s="3"/>
      <c r="AZ62" s="475">
        <f>Planning!U62</f>
      </c>
      <c r="BA62" s="474">
        <f>Planning!U62</f>
      </c>
      <c r="BB62" s="475">
        <f>Planning!V62</f>
      </c>
      <c r="BC62" s="474">
        <f>Planning!V62</f>
      </c>
      <c r="BD62" s="475">
        <f>Planning!W62</f>
      </c>
      <c r="BE62" s="474">
        <f>Planning!W62</f>
      </c>
      <c r="BF62" s="475">
        <f>Planning!X62</f>
      </c>
      <c r="BG62" s="474">
        <f>Planning!X62</f>
      </c>
      <c r="BH62" s="475">
        <f>Planning!Y62</f>
      </c>
      <c r="BI62" s="474">
        <f>Planning!Y62</f>
      </c>
      <c r="BJ62" s="475">
        <f>Planning!Z62</f>
      </c>
      <c r="BK62" s="476">
        <f>Planning!Z62</f>
      </c>
      <c r="BL62" s="486">
        <f>(BM60&amp;4)*1</f>
      </c>
      <c r="BM62" s="494"/>
      <c r="BN62" s="497"/>
      <c r="BO62" s="480">
        <f>IF(BM60=$AT$17,AS46,IF(BM60=$AT$18,AS53,SUMIFS(PlanVE_PerBook,PlanYear,BM60)/4))</f>
      </c>
      <c r="BP62" s="507">
        <f>IF(AND((LEFT(BL62,4))*1&gt;=$AT$18,BO62=0),NA(),IF($AZ$20=1,BO62/VE+BP61,BO62+BP61))</f>
      </c>
      <c r="BQ62" s="480">
        <f>AY28</f>
      </c>
      <c r="BR62" s="498">
        <f>IF(BL62&gt;=$AU$17,IF(OR(ISNA(BP62),BQ62=""),NA(),BQ62+BR61),0)</f>
      </c>
      <c r="BS62" s="11"/>
      <c r="BT62" s="1"/>
      <c r="BU62" s="1"/>
      <c r="BV62" s="1"/>
      <c r="BW62" s="1"/>
      <c r="BX62" s="1"/>
    </row>
    <row x14ac:dyDescent="0.25" r="63" customHeight="1" ht="12.75">
      <c r="A63" s="227"/>
      <c r="B63" s="227"/>
      <c r="C63" s="227"/>
      <c r="D63" s="227"/>
      <c r="E63" s="227"/>
      <c r="F63" s="227"/>
      <c r="G63" s="227"/>
      <c r="H63" s="227"/>
      <c r="I63" s="227"/>
      <c r="J63" s="227"/>
      <c r="K63" s="227"/>
      <c r="L63" s="227"/>
      <c r="M63" s="227"/>
      <c r="N63" s="227"/>
      <c r="O63" s="227"/>
      <c r="P63" s="491">
        <f>Planning!Q63</f>
      </c>
      <c r="Q63" s="469">
        <f>Planning!T63</f>
      </c>
      <c r="R63" s="470" t="s">
        <v>26</v>
      </c>
      <c r="S63" s="471">
        <v>2010</v>
      </c>
      <c r="T63" s="470"/>
      <c r="U63" s="471"/>
      <c r="V63" s="470"/>
      <c r="W63" s="471"/>
      <c r="X63" s="470"/>
      <c r="Y63" s="471"/>
      <c r="Z63" s="470"/>
      <c r="AA63" s="471"/>
      <c r="AB63" s="470"/>
      <c r="AC63" s="472"/>
      <c r="AD63" s="345"/>
      <c r="AE63" s="3"/>
      <c r="AF63" s="333"/>
      <c r="AG63" s="2"/>
      <c r="AH63" s="6"/>
      <c r="AI63" s="6"/>
      <c r="AJ63" s="6"/>
      <c r="AK63" s="6"/>
      <c r="AL63" s="6"/>
      <c r="AM63" s="6"/>
      <c r="AN63" s="6"/>
      <c r="AO63" s="6"/>
      <c r="AP63" s="6"/>
      <c r="AQ63" s="3"/>
      <c r="AR63" s="5"/>
      <c r="AS63" s="3"/>
      <c r="AT63" s="3"/>
      <c r="AU63" s="2"/>
      <c r="AV63" s="3"/>
      <c r="AW63" s="3"/>
      <c r="AX63" s="3"/>
      <c r="AY63" s="3"/>
      <c r="AZ63" s="475">
        <f>Planning!U63</f>
      </c>
      <c r="BA63" s="474">
        <f>Planning!U63</f>
      </c>
      <c r="BB63" s="475">
        <f>Planning!V63</f>
      </c>
      <c r="BC63" s="474">
        <f>Planning!V63</f>
      </c>
      <c r="BD63" s="475">
        <f>Planning!W63</f>
      </c>
      <c r="BE63" s="474">
        <f>Planning!W63</f>
      </c>
      <c r="BF63" s="475">
        <f>Planning!X63</f>
      </c>
      <c r="BG63" s="474">
        <f>Planning!X63</f>
      </c>
      <c r="BH63" s="475">
        <f>Planning!Y63</f>
      </c>
      <c r="BI63" s="474">
        <f>Planning!Y63</f>
      </c>
      <c r="BJ63" s="475">
        <f>Planning!Z63</f>
      </c>
      <c r="BK63" s="476">
        <f>Planning!Z63</f>
      </c>
      <c r="BL63" s="477">
        <f>(BM64&amp;1)*1</f>
      </c>
      <c r="BM63" s="489"/>
      <c r="BN63" s="497"/>
      <c r="BO63" s="480">
        <f>IF($BM$64=$AT$17,AS43,IF($BM$64=$AT$18,AS50,$BO$66))</f>
      </c>
      <c r="BP63" s="507">
        <f>IF(AND((LEFT(BL63,4))*1&gt;=$AT$18,BO63=0),NA(),IF($AZ$20=1,BO63/VE+BP62,BO63+BP62))</f>
      </c>
      <c r="BQ63" s="480">
        <f>AV29</f>
      </c>
      <c r="BR63" s="498">
        <f>IF(BL63&gt;=$AU$17,IF(OR(ISNA(BP63),BQ63=""),NA(),BQ63+BR62),0)</f>
      </c>
      <c r="BS63" s="11"/>
      <c r="BT63" s="1"/>
      <c r="BU63" s="1"/>
      <c r="BV63" s="1"/>
      <c r="BW63" s="1"/>
      <c r="BX63" s="1"/>
    </row>
    <row x14ac:dyDescent="0.25" r="64" customHeight="1" ht="12.75">
      <c r="A64" s="227"/>
      <c r="B64" s="227"/>
      <c r="C64" s="227"/>
      <c r="D64" s="227"/>
      <c r="E64" s="227"/>
      <c r="F64" s="227"/>
      <c r="G64" s="227"/>
      <c r="H64" s="227"/>
      <c r="I64" s="227"/>
      <c r="J64" s="227"/>
      <c r="K64" s="227"/>
      <c r="L64" s="227"/>
      <c r="M64" s="227"/>
      <c r="N64" s="227"/>
      <c r="O64" s="227"/>
      <c r="P64" s="491">
        <f>Planning!Q64</f>
      </c>
      <c r="Q64" s="469">
        <f>Planning!T64</f>
      </c>
      <c r="R64" s="470" t="s">
        <v>26</v>
      </c>
      <c r="S64" s="471">
        <v>2010</v>
      </c>
      <c r="T64" s="470"/>
      <c r="U64" s="471"/>
      <c r="V64" s="470"/>
      <c r="W64" s="471"/>
      <c r="X64" s="470"/>
      <c r="Y64" s="471"/>
      <c r="Z64" s="470"/>
      <c r="AA64" s="471"/>
      <c r="AB64" s="470"/>
      <c r="AC64" s="472"/>
      <c r="AD64" s="345"/>
      <c r="AE64" s="3"/>
      <c r="AF64" s="333"/>
      <c r="AG64" s="2"/>
      <c r="AH64" s="6"/>
      <c r="AI64" s="6"/>
      <c r="AJ64" s="6"/>
      <c r="AK64" s="6"/>
      <c r="AL64" s="6"/>
      <c r="AM64" s="6"/>
      <c r="AN64" s="6"/>
      <c r="AO64" s="6"/>
      <c r="AP64" s="6"/>
      <c r="AQ64" s="3"/>
      <c r="AR64" s="5"/>
      <c r="AS64" s="3"/>
      <c r="AT64" s="3"/>
      <c r="AU64" s="2"/>
      <c r="AV64" s="3"/>
      <c r="AW64" s="3"/>
      <c r="AX64" s="3"/>
      <c r="AY64" s="3"/>
      <c r="AZ64" s="475">
        <f>Planning!U64</f>
      </c>
      <c r="BA64" s="474">
        <f>Planning!U64</f>
      </c>
      <c r="BB64" s="475">
        <f>Planning!V64</f>
      </c>
      <c r="BC64" s="474">
        <f>Planning!V64</f>
      </c>
      <c r="BD64" s="475">
        <f>Planning!W64</f>
      </c>
      <c r="BE64" s="474">
        <f>Planning!W64</f>
      </c>
      <c r="BF64" s="475">
        <f>Planning!X64</f>
      </c>
      <c r="BG64" s="474">
        <f>Planning!X64</f>
      </c>
      <c r="BH64" s="475">
        <f>Planning!Y64</f>
      </c>
      <c r="BI64" s="474">
        <f>Planning!Y64</f>
      </c>
      <c r="BJ64" s="475">
        <f>Planning!Z64</f>
      </c>
      <c r="BK64" s="476">
        <f>Planning!Z64</f>
      </c>
      <c r="BL64" s="483">
        <f>(BM64&amp;2)*1</f>
      </c>
      <c r="BM64" s="492">
        <f>BM60+1</f>
      </c>
      <c r="BN64" s="497"/>
      <c r="BO64" s="480">
        <f>IF($BM$64=$AT$17,AS44,IF($BM$64=$AT$18,AS51,$BO$66))</f>
      </c>
      <c r="BP64" s="507">
        <f>IF(AND((LEFT(BL64,4))*1&gt;=$AT$18,BO64=0),NA(),IF($AZ$20=1,BO64/VE+BP63,BO64+BP63))</f>
      </c>
      <c r="BQ64" s="480">
        <f>AW29</f>
      </c>
      <c r="BR64" s="498">
        <f>IF(BL64&gt;=$AU$17,IF(OR(ISNA(BP64),BQ64=""),NA(),BQ64+BR63),0)</f>
      </c>
      <c r="BS64" s="11"/>
      <c r="BT64" s="1"/>
      <c r="BU64" s="1"/>
      <c r="BV64" s="1"/>
      <c r="BW64" s="1"/>
      <c r="BX64" s="1"/>
    </row>
    <row x14ac:dyDescent="0.25" r="65" customHeight="1" ht="12.75">
      <c r="A65" s="227"/>
      <c r="B65" s="227"/>
      <c r="C65" s="227"/>
      <c r="D65" s="227"/>
      <c r="E65" s="227"/>
      <c r="F65" s="227"/>
      <c r="G65" s="227"/>
      <c r="H65" s="227"/>
      <c r="I65" s="227"/>
      <c r="J65" s="227"/>
      <c r="K65" s="227"/>
      <c r="L65" s="227"/>
      <c r="M65" s="227"/>
      <c r="N65" s="227"/>
      <c r="O65" s="227"/>
      <c r="P65" s="491">
        <f>Planning!Q65</f>
      </c>
      <c r="Q65" s="469">
        <f>Planning!T65</f>
      </c>
      <c r="R65" s="470" t="s">
        <v>25</v>
      </c>
      <c r="S65" s="471">
        <v>2011</v>
      </c>
      <c r="T65" s="470" t="s">
        <v>28</v>
      </c>
      <c r="U65" s="471">
        <v>2009</v>
      </c>
      <c r="V65" s="470"/>
      <c r="W65" s="471"/>
      <c r="X65" s="470" t="s">
        <v>25</v>
      </c>
      <c r="Y65" s="471">
        <v>2009</v>
      </c>
      <c r="Z65" s="470"/>
      <c r="AA65" s="471"/>
      <c r="AB65" s="470"/>
      <c r="AC65" s="472"/>
      <c r="AD65" s="345"/>
      <c r="AE65" s="3"/>
      <c r="AF65" s="333"/>
      <c r="AG65" s="2"/>
      <c r="AH65" s="6"/>
      <c r="AI65" s="6"/>
      <c r="AJ65" s="6"/>
      <c r="AK65" s="6"/>
      <c r="AL65" s="6"/>
      <c r="AM65" s="6"/>
      <c r="AN65" s="6"/>
      <c r="AO65" s="6"/>
      <c r="AP65" s="6"/>
      <c r="AQ65" s="3"/>
      <c r="AR65" s="5"/>
      <c r="AS65" s="3"/>
      <c r="AT65" s="3"/>
      <c r="AU65" s="2"/>
      <c r="AV65" s="3"/>
      <c r="AW65" s="3"/>
      <c r="AX65" s="3"/>
      <c r="AY65" s="3"/>
      <c r="AZ65" s="475">
        <f>Planning!U65</f>
      </c>
      <c r="BA65" s="474">
        <f>Planning!U65</f>
      </c>
      <c r="BB65" s="475">
        <f>Planning!V65</f>
      </c>
      <c r="BC65" s="474">
        <f>Planning!V65</f>
      </c>
      <c r="BD65" s="475">
        <f>Planning!W65</f>
      </c>
      <c r="BE65" s="474">
        <f>Planning!W65</f>
      </c>
      <c r="BF65" s="475">
        <f>Planning!X65</f>
      </c>
      <c r="BG65" s="474">
        <f>Planning!X65</f>
      </c>
      <c r="BH65" s="475">
        <f>Planning!Y65</f>
      </c>
      <c r="BI65" s="474">
        <f>Planning!Y65</f>
      </c>
      <c r="BJ65" s="475">
        <f>Planning!Z65</f>
      </c>
      <c r="BK65" s="476">
        <f>Planning!Z65</f>
      </c>
      <c r="BL65" s="483">
        <f>(BM64&amp;3)*1</f>
      </c>
      <c r="BM65" s="492"/>
      <c r="BN65" s="497"/>
      <c r="BO65" s="480">
        <f>IF($BM$64=$AT$17,AS45,IF($BM$64=$AT$18,AS52,$BO$66))</f>
      </c>
      <c r="BP65" s="507">
        <f>IF(AND((LEFT(BL65,4))*1&gt;=$AT$18,BO65=0),NA(),IF($AZ$20=1,BO65/VE+BP64,BO65+BP64))</f>
      </c>
      <c r="BQ65" s="480">
        <f>AX29</f>
      </c>
      <c r="BR65" s="498">
        <f>IF(BL65&gt;=$AU$17,IF(OR(ISNA(BP65),BQ65=""),NA(),BQ65+BR64),0)</f>
      </c>
      <c r="BS65" s="11"/>
      <c r="BT65" s="1"/>
      <c r="BU65" s="1"/>
      <c r="BV65" s="1"/>
      <c r="BW65" s="1"/>
      <c r="BX65" s="1"/>
    </row>
    <row x14ac:dyDescent="0.25" r="66" customHeight="1" ht="12.75">
      <c r="A66" s="227"/>
      <c r="B66" s="227"/>
      <c r="C66" s="227"/>
      <c r="D66" s="227"/>
      <c r="E66" s="227"/>
      <c r="F66" s="227"/>
      <c r="G66" s="227"/>
      <c r="H66" s="227"/>
      <c r="I66" s="227"/>
      <c r="J66" s="227"/>
      <c r="K66" s="227"/>
      <c r="L66" s="227"/>
      <c r="M66" s="227"/>
      <c r="N66" s="227"/>
      <c r="O66" s="227"/>
      <c r="P66" s="491">
        <f>Planning!Q66</f>
      </c>
      <c r="Q66" s="469">
        <f>Planning!T66</f>
      </c>
      <c r="R66" s="470" t="s">
        <v>28</v>
      </c>
      <c r="S66" s="471">
        <v>2009</v>
      </c>
      <c r="T66" s="470" t="s">
        <v>28</v>
      </c>
      <c r="U66" s="471">
        <v>2010</v>
      </c>
      <c r="V66" s="470"/>
      <c r="W66" s="471"/>
      <c r="X66" s="470" t="s">
        <v>28</v>
      </c>
      <c r="Y66" s="471">
        <v>2010</v>
      </c>
      <c r="Z66" s="470"/>
      <c r="AA66" s="471"/>
      <c r="AB66" s="470"/>
      <c r="AC66" s="472"/>
      <c r="AD66" s="345"/>
      <c r="AE66" s="3"/>
      <c r="AF66" s="333"/>
      <c r="AG66" s="2"/>
      <c r="AH66" s="6"/>
      <c r="AI66" s="6"/>
      <c r="AJ66" s="6"/>
      <c r="AK66" s="6"/>
      <c r="AL66" s="6"/>
      <c r="AM66" s="6"/>
      <c r="AN66" s="6"/>
      <c r="AO66" s="6"/>
      <c r="AP66" s="6"/>
      <c r="AQ66" s="3"/>
      <c r="AR66" s="5"/>
      <c r="AS66" s="3"/>
      <c r="AT66" s="3"/>
      <c r="AU66" s="2"/>
      <c r="AV66" s="3"/>
      <c r="AW66" s="3"/>
      <c r="AX66" s="3"/>
      <c r="AY66" s="3"/>
      <c r="AZ66" s="475">
        <f>Planning!U66</f>
      </c>
      <c r="BA66" s="474">
        <f>Planning!U66</f>
      </c>
      <c r="BB66" s="475">
        <f>Planning!V66</f>
      </c>
      <c r="BC66" s="474">
        <f>Planning!V66</f>
      </c>
      <c r="BD66" s="475">
        <f>Planning!W66</f>
      </c>
      <c r="BE66" s="474">
        <f>Planning!W66</f>
      </c>
      <c r="BF66" s="475">
        <f>Planning!X66</f>
      </c>
      <c r="BG66" s="474">
        <f>Planning!X66</f>
      </c>
      <c r="BH66" s="475">
        <f>Planning!Y66</f>
      </c>
      <c r="BI66" s="474">
        <f>Planning!Y66</f>
      </c>
      <c r="BJ66" s="475">
        <f>Planning!Z66</f>
      </c>
      <c r="BK66" s="476">
        <f>Planning!Z66</f>
      </c>
      <c r="BL66" s="486">
        <f>(BM64&amp;4)*1</f>
      </c>
      <c r="BM66" s="494"/>
      <c r="BN66" s="497"/>
      <c r="BO66" s="480">
        <f>IF(BM64=$AT$17,AS46,IF(BM64=$AT$18,AS53,SUMIFS(PlanVE_PerBook,PlanYear,BM64)/4))</f>
      </c>
      <c r="BP66" s="507">
        <f>IF(AND((LEFT(BL66,4))*1&gt;=$AT$18,BO66=0),NA(),IF($AZ$20=1,BO66/VE+BP65,BO66+BP65))</f>
      </c>
      <c r="BQ66" s="480">
        <f>AY29</f>
      </c>
      <c r="BR66" s="498">
        <f>IF(BL66&gt;=$AU$17,IF(OR(ISNA(BP66),BQ66=""),NA(),BQ66+BR65),0)</f>
      </c>
      <c r="BS66" s="11"/>
      <c r="BT66" s="1"/>
      <c r="BU66" s="1"/>
      <c r="BV66" s="1"/>
      <c r="BW66" s="1"/>
      <c r="BX66" s="1"/>
    </row>
    <row x14ac:dyDescent="0.25" r="67" customHeight="1" ht="12.75">
      <c r="A67" s="227"/>
      <c r="B67" s="227"/>
      <c r="C67" s="227"/>
      <c r="D67" s="227"/>
      <c r="E67" s="227"/>
      <c r="F67" s="227"/>
      <c r="G67" s="227"/>
      <c r="H67" s="227"/>
      <c r="I67" s="227"/>
      <c r="J67" s="227"/>
      <c r="K67" s="227"/>
      <c r="L67" s="227"/>
      <c r="M67" s="227"/>
      <c r="N67" s="227"/>
      <c r="O67" s="227"/>
      <c r="P67" s="491">
        <f>Planning!Q67</f>
      </c>
      <c r="Q67" s="469">
        <f>Planning!T67</f>
      </c>
      <c r="R67" s="470" t="s">
        <v>26</v>
      </c>
      <c r="S67" s="471">
        <v>2010</v>
      </c>
      <c r="T67" s="470"/>
      <c r="U67" s="471"/>
      <c r="V67" s="470"/>
      <c r="W67" s="471"/>
      <c r="X67" s="470"/>
      <c r="Y67" s="471"/>
      <c r="Z67" s="470"/>
      <c r="AA67" s="471"/>
      <c r="AB67" s="470"/>
      <c r="AC67" s="472"/>
      <c r="AD67" s="345"/>
      <c r="AE67" s="3"/>
      <c r="AF67" s="333"/>
      <c r="AG67" s="2"/>
      <c r="AH67" s="6"/>
      <c r="AI67" s="6"/>
      <c r="AJ67" s="6"/>
      <c r="AK67" s="6"/>
      <c r="AL67" s="6"/>
      <c r="AM67" s="6"/>
      <c r="AN67" s="6"/>
      <c r="AO67" s="6"/>
      <c r="AP67" s="6"/>
      <c r="AQ67" s="3"/>
      <c r="AR67" s="5"/>
      <c r="AS67" s="3"/>
      <c r="AT67" s="3"/>
      <c r="AU67" s="2"/>
      <c r="AV67" s="3"/>
      <c r="AW67" s="3"/>
      <c r="AX67" s="3"/>
      <c r="AY67" s="3"/>
      <c r="AZ67" s="475">
        <f>Planning!U67</f>
      </c>
      <c r="BA67" s="474">
        <f>Planning!U67</f>
      </c>
      <c r="BB67" s="475">
        <f>Planning!V67</f>
      </c>
      <c r="BC67" s="474">
        <f>Planning!V67</f>
      </c>
      <c r="BD67" s="475">
        <f>Planning!W67</f>
      </c>
      <c r="BE67" s="474">
        <f>Planning!W67</f>
      </c>
      <c r="BF67" s="475">
        <f>Planning!X67</f>
      </c>
      <c r="BG67" s="474">
        <f>Planning!X67</f>
      </c>
      <c r="BH67" s="475">
        <f>Planning!Y67</f>
      </c>
      <c r="BI67" s="474">
        <f>Planning!Y67</f>
      </c>
      <c r="BJ67" s="475">
        <f>Planning!Z67</f>
      </c>
      <c r="BK67" s="476">
        <f>Planning!Z67</f>
      </c>
      <c r="BL67" s="477">
        <f>(BM68&amp;1)*1</f>
      </c>
      <c r="BM67" s="489"/>
      <c r="BN67" s="497"/>
      <c r="BO67" s="480">
        <f>IF($BM$68=$AT$17,AS43,IF($BM$68=$AT$18,AS50,$BO$70))</f>
      </c>
      <c r="BP67" s="507">
        <f>IF(AND((LEFT(BL67,4))*1&gt;=$AT$18,BO67=0),NA(),IF($AZ$20=1,BO67/VE+BP66,BO67+BP66))</f>
      </c>
      <c r="BQ67" s="480">
        <f>AV30</f>
      </c>
      <c r="BR67" s="498">
        <f>IF(BL67&gt;=$AU$17,IF(OR(ISNA(BP67),BQ67=""),NA(),BQ67+BR66),0)</f>
      </c>
      <c r="BS67" s="11"/>
      <c r="BT67" s="1"/>
      <c r="BU67" s="1"/>
      <c r="BV67" s="1"/>
      <c r="BW67" s="1"/>
      <c r="BX67" s="1"/>
    </row>
    <row x14ac:dyDescent="0.25" r="68" customHeight="1" ht="12.75">
      <c r="A68" s="227"/>
      <c r="B68" s="227"/>
      <c r="C68" s="227"/>
      <c r="D68" s="227"/>
      <c r="E68" s="227"/>
      <c r="F68" s="227"/>
      <c r="G68" s="227"/>
      <c r="H68" s="227"/>
      <c r="I68" s="227"/>
      <c r="J68" s="227"/>
      <c r="K68" s="227"/>
      <c r="L68" s="227"/>
      <c r="M68" s="227"/>
      <c r="N68" s="227"/>
      <c r="O68" s="227"/>
      <c r="P68" s="491">
        <f>Planning!Q68</f>
      </c>
      <c r="Q68" s="469">
        <f>Planning!T68</f>
      </c>
      <c r="R68" s="470" t="s">
        <v>26</v>
      </c>
      <c r="S68" s="471">
        <v>2010</v>
      </c>
      <c r="T68" s="470"/>
      <c r="U68" s="471"/>
      <c r="V68" s="470"/>
      <c r="W68" s="471"/>
      <c r="X68" s="470"/>
      <c r="Y68" s="471"/>
      <c r="Z68" s="470"/>
      <c r="AA68" s="471"/>
      <c r="AB68" s="470"/>
      <c r="AC68" s="472"/>
      <c r="AD68" s="345"/>
      <c r="AE68" s="3"/>
      <c r="AF68" s="333"/>
      <c r="AG68" s="2"/>
      <c r="AH68" s="6"/>
      <c r="AI68" s="6"/>
      <c r="AJ68" s="6"/>
      <c r="AK68" s="6"/>
      <c r="AL68" s="6"/>
      <c r="AM68" s="6"/>
      <c r="AN68" s="6"/>
      <c r="AO68" s="6"/>
      <c r="AP68" s="6"/>
      <c r="AQ68" s="3"/>
      <c r="AR68" s="5"/>
      <c r="AS68" s="3"/>
      <c r="AT68" s="3"/>
      <c r="AU68" s="2"/>
      <c r="AV68" s="3"/>
      <c r="AW68" s="3"/>
      <c r="AX68" s="3"/>
      <c r="AY68" s="3"/>
      <c r="AZ68" s="475">
        <f>Planning!U68</f>
      </c>
      <c r="BA68" s="474">
        <f>Planning!U68</f>
      </c>
      <c r="BB68" s="475">
        <f>Planning!V68</f>
      </c>
      <c r="BC68" s="474">
        <f>Planning!V68</f>
      </c>
      <c r="BD68" s="475">
        <f>Planning!W68</f>
      </c>
      <c r="BE68" s="474">
        <f>Planning!W68</f>
      </c>
      <c r="BF68" s="475">
        <f>Planning!X68</f>
      </c>
      <c r="BG68" s="474">
        <f>Planning!X68</f>
      </c>
      <c r="BH68" s="475">
        <f>Planning!Y68</f>
      </c>
      <c r="BI68" s="474">
        <f>Planning!Y68</f>
      </c>
      <c r="BJ68" s="475">
        <f>Planning!Z68</f>
      </c>
      <c r="BK68" s="476">
        <f>Planning!Z68</f>
      </c>
      <c r="BL68" s="483">
        <f>(BM68&amp;2)*1</f>
      </c>
      <c r="BM68" s="492">
        <f>BM64+1</f>
      </c>
      <c r="BN68" s="497"/>
      <c r="BO68" s="480">
        <f>IF($BM$68=$AT$17,AS44,IF($BM$68=$AT$18,AS51,$BO$70))</f>
      </c>
      <c r="BP68" s="507">
        <f>IF(AND((LEFT(BL68,4))*1&gt;=$AT$18,BO68=0),NA(),IF($AZ$20=1,BO68/VE+BP67,BO68+BP67))</f>
      </c>
      <c r="BQ68" s="480">
        <f>AW30</f>
      </c>
      <c r="BR68" s="498">
        <f>IF(BL68&gt;=$AU$17,IF(OR(ISNA(BP68),BQ68=""),NA(),BQ68+BR67),0)</f>
      </c>
      <c r="BS68" s="11"/>
      <c r="BT68" s="1"/>
      <c r="BU68" s="1"/>
      <c r="BV68" s="1"/>
      <c r="BW68" s="1"/>
      <c r="BX68" s="1"/>
    </row>
    <row x14ac:dyDescent="0.25" r="69" customHeight="1" ht="12.75">
      <c r="A69" s="227"/>
      <c r="B69" s="227"/>
      <c r="C69" s="227"/>
      <c r="D69" s="227"/>
      <c r="E69" s="227"/>
      <c r="F69" s="227"/>
      <c r="G69" s="227"/>
      <c r="H69" s="227"/>
      <c r="I69" s="227"/>
      <c r="J69" s="227"/>
      <c r="K69" s="227"/>
      <c r="L69" s="227"/>
      <c r="M69" s="227"/>
      <c r="N69" s="227"/>
      <c r="O69" s="227"/>
      <c r="P69" s="491">
        <f>Planning!Q69</f>
      </c>
      <c r="Q69" s="469">
        <f>Planning!T69</f>
      </c>
      <c r="R69" s="470" t="s">
        <v>26</v>
      </c>
      <c r="S69" s="471">
        <v>2010</v>
      </c>
      <c r="T69" s="470"/>
      <c r="U69" s="471"/>
      <c r="V69" s="470"/>
      <c r="W69" s="471"/>
      <c r="X69" s="470"/>
      <c r="Y69" s="471"/>
      <c r="Z69" s="470"/>
      <c r="AA69" s="471"/>
      <c r="AB69" s="470"/>
      <c r="AC69" s="472"/>
      <c r="AD69" s="345"/>
      <c r="AE69" s="3"/>
      <c r="AF69" s="333"/>
      <c r="AG69" s="2"/>
      <c r="AH69" s="6"/>
      <c r="AI69" s="6"/>
      <c r="AJ69" s="6"/>
      <c r="AK69" s="6"/>
      <c r="AL69" s="6"/>
      <c r="AM69" s="6"/>
      <c r="AN69" s="6"/>
      <c r="AO69" s="6"/>
      <c r="AP69" s="6"/>
      <c r="AQ69" s="3"/>
      <c r="AR69" s="5"/>
      <c r="AS69" s="3"/>
      <c r="AT69" s="3"/>
      <c r="AU69" s="2"/>
      <c r="AV69" s="3"/>
      <c r="AW69" s="3"/>
      <c r="AX69" s="3"/>
      <c r="AY69" s="3"/>
      <c r="AZ69" s="475">
        <f>Planning!U69</f>
      </c>
      <c r="BA69" s="474">
        <f>Planning!U69</f>
      </c>
      <c r="BB69" s="475">
        <f>Planning!V69</f>
      </c>
      <c r="BC69" s="474">
        <f>Planning!V69</f>
      </c>
      <c r="BD69" s="475">
        <f>Planning!W69</f>
      </c>
      <c r="BE69" s="474">
        <f>Planning!W69</f>
      </c>
      <c r="BF69" s="475">
        <f>Planning!X69</f>
      </c>
      <c r="BG69" s="474">
        <f>Planning!X69</f>
      </c>
      <c r="BH69" s="475">
        <f>Planning!Y69</f>
      </c>
      <c r="BI69" s="474">
        <f>Planning!Y69</f>
      </c>
      <c r="BJ69" s="475">
        <f>Planning!Z69</f>
      </c>
      <c r="BK69" s="476">
        <f>Planning!Z69</f>
      </c>
      <c r="BL69" s="483">
        <f>(BM68&amp;3)*1</f>
      </c>
      <c r="BM69" s="492"/>
      <c r="BN69" s="497"/>
      <c r="BO69" s="480">
        <f>IF($BM$68=$AT$17,AS45,IF($BM$68=$AT$18,AS52,$BO$70))</f>
      </c>
      <c r="BP69" s="507">
        <f>IF(AND((LEFT(BL69,4))*1&gt;=$AT$18,BO69=0),NA(),IF($AZ$20=1,BO69/VE+BP68,BO69+BP68))</f>
      </c>
      <c r="BQ69" s="480">
        <f>AX30</f>
      </c>
      <c r="BR69" s="498">
        <f>IF(BL69&gt;=$AU$17,IF(OR(ISNA(BP69),BQ69=""),NA(),BQ69+BR68),0)</f>
      </c>
      <c r="BS69" s="11"/>
      <c r="BT69" s="1"/>
      <c r="BU69" s="1"/>
      <c r="BV69" s="1"/>
      <c r="BW69" s="1"/>
      <c r="BX69" s="1"/>
    </row>
    <row x14ac:dyDescent="0.25" r="70" customHeight="1" ht="12.75">
      <c r="A70" s="227"/>
      <c r="B70" s="227"/>
      <c r="C70" s="227"/>
      <c r="D70" s="227"/>
      <c r="E70" s="227"/>
      <c r="F70" s="227"/>
      <c r="G70" s="227"/>
      <c r="H70" s="227"/>
      <c r="I70" s="227"/>
      <c r="J70" s="227"/>
      <c r="K70" s="227"/>
      <c r="L70" s="227"/>
      <c r="M70" s="227"/>
      <c r="N70" s="227"/>
      <c r="O70" s="227"/>
      <c r="P70" s="491">
        <f>Planning!Q70</f>
      </c>
      <c r="Q70" s="469">
        <f>Planning!T70</f>
      </c>
      <c r="R70" s="470"/>
      <c r="S70" s="471"/>
      <c r="T70" s="470"/>
      <c r="U70" s="471"/>
      <c r="V70" s="470"/>
      <c r="W70" s="471"/>
      <c r="X70" s="470"/>
      <c r="Y70" s="471"/>
      <c r="Z70" s="470"/>
      <c r="AA70" s="471"/>
      <c r="AB70" s="470"/>
      <c r="AC70" s="472"/>
      <c r="AD70" s="345"/>
      <c r="AE70" s="3"/>
      <c r="AF70" s="333"/>
      <c r="AG70" s="2"/>
      <c r="AH70" s="6"/>
      <c r="AI70" s="6"/>
      <c r="AJ70" s="6"/>
      <c r="AK70" s="6"/>
      <c r="AL70" s="6"/>
      <c r="AM70" s="6"/>
      <c r="AN70" s="6"/>
      <c r="AO70" s="528"/>
      <c r="AP70" s="6"/>
      <c r="AQ70" s="3"/>
      <c r="AR70" s="5"/>
      <c r="AS70" s="3"/>
      <c r="AT70" s="3"/>
      <c r="AU70" s="2"/>
      <c r="AV70" s="3"/>
      <c r="AW70" s="3"/>
      <c r="AX70" s="3"/>
      <c r="AY70" s="3"/>
      <c r="AZ70" s="475">
        <f>Planning!U70</f>
      </c>
      <c r="BA70" s="474">
        <f>Planning!U70</f>
      </c>
      <c r="BB70" s="475">
        <f>Planning!V70</f>
      </c>
      <c r="BC70" s="474">
        <f>Planning!V70</f>
      </c>
      <c r="BD70" s="475">
        <f>Planning!W70</f>
      </c>
      <c r="BE70" s="474">
        <f>Planning!W70</f>
      </c>
      <c r="BF70" s="475">
        <f>Planning!X70</f>
      </c>
      <c r="BG70" s="474">
        <f>Planning!X70</f>
      </c>
      <c r="BH70" s="475">
        <f>Planning!Y70</f>
      </c>
      <c r="BI70" s="474">
        <f>Planning!Y70</f>
      </c>
      <c r="BJ70" s="475">
        <f>Planning!Z70</f>
      </c>
      <c r="BK70" s="476">
        <f>Planning!Z70</f>
      </c>
      <c r="BL70" s="486">
        <f>(BM68&amp;4)*1</f>
      </c>
      <c r="BM70" s="494"/>
      <c r="BN70" s="497"/>
      <c r="BO70" s="480">
        <f>IF(BM68=$AT$17,AS46,IF(BM68=$AT$18,AS53,SUMIFS(PlanVE_PerBook,PlanYear,BM68)/4))</f>
      </c>
      <c r="BP70" s="507">
        <f>IF(AND((LEFT(BL70,4))*1&gt;=$AT$18,BO70=0),NA(),IF($AZ$20=1,BO70/VE+BP69,BO70+BP69))</f>
      </c>
      <c r="BQ70" s="480">
        <f>AY30</f>
      </c>
      <c r="BR70" s="498">
        <f>IF(BL70&gt;=$AU$17,IF(OR(ISNA(BP70),BQ70=""),NA(),BQ70+BR69),0)</f>
      </c>
      <c r="BS70" s="110"/>
      <c r="BT70" s="1"/>
      <c r="BU70" s="1"/>
      <c r="BV70" s="1"/>
      <c r="BW70" s="1"/>
      <c r="BX70" s="1"/>
    </row>
    <row x14ac:dyDescent="0.25" r="71" customHeight="1" ht="12.75">
      <c r="A71" s="227"/>
      <c r="B71" s="227"/>
      <c r="C71" s="227"/>
      <c r="D71" s="227"/>
      <c r="E71" s="227"/>
      <c r="F71" s="227"/>
      <c r="G71" s="227"/>
      <c r="H71" s="227"/>
      <c r="I71" s="227"/>
      <c r="J71" s="227"/>
      <c r="K71" s="227"/>
      <c r="L71" s="227"/>
      <c r="M71" s="227"/>
      <c r="N71" s="227"/>
      <c r="O71" s="227"/>
      <c r="P71" s="491">
        <f>Planning!Q71</f>
      </c>
      <c r="Q71" s="469">
        <f>Planning!T71</f>
      </c>
      <c r="R71" s="470"/>
      <c r="S71" s="471"/>
      <c r="T71" s="470"/>
      <c r="U71" s="471"/>
      <c r="V71" s="470"/>
      <c r="W71" s="471"/>
      <c r="X71" s="470"/>
      <c r="Y71" s="471"/>
      <c r="Z71" s="470"/>
      <c r="AA71" s="471"/>
      <c r="AB71" s="470"/>
      <c r="AC71" s="472"/>
      <c r="AD71" s="345"/>
      <c r="AE71" s="3"/>
      <c r="AF71" s="333"/>
      <c r="AG71" s="2"/>
      <c r="AH71" s="6"/>
      <c r="AI71" s="6"/>
      <c r="AJ71" s="6"/>
      <c r="AK71" s="6"/>
      <c r="AL71" s="6"/>
      <c r="AM71" s="6"/>
      <c r="AN71" s="6"/>
      <c r="AO71" s="6"/>
      <c r="AP71" s="6"/>
      <c r="AQ71" s="3"/>
      <c r="AR71" s="5"/>
      <c r="AS71" s="3"/>
      <c r="AT71" s="3"/>
      <c r="AU71" s="2"/>
      <c r="AV71" s="3"/>
      <c r="AW71" s="3"/>
      <c r="AX71" s="3"/>
      <c r="AY71" s="3"/>
      <c r="AZ71" s="475">
        <f>Planning!U71</f>
      </c>
      <c r="BA71" s="474">
        <f>Planning!U71</f>
      </c>
      <c r="BB71" s="475">
        <f>Planning!V71</f>
      </c>
      <c r="BC71" s="474">
        <f>Planning!V71</f>
      </c>
      <c r="BD71" s="475">
        <f>Planning!W71</f>
      </c>
      <c r="BE71" s="474">
        <f>Planning!W71</f>
      </c>
      <c r="BF71" s="475">
        <f>Planning!X71</f>
      </c>
      <c r="BG71" s="474">
        <f>Planning!X71</f>
      </c>
      <c r="BH71" s="475">
        <f>Planning!Y71</f>
      </c>
      <c r="BI71" s="474">
        <f>Planning!Y71</f>
      </c>
      <c r="BJ71" s="475">
        <f>Planning!Z71</f>
      </c>
      <c r="BK71" s="476">
        <f>Planning!Z71</f>
      </c>
      <c r="BL71" s="477">
        <f>(BM72&amp;1)*1</f>
      </c>
      <c r="BM71" s="489"/>
      <c r="BN71" s="497"/>
      <c r="BO71" s="480">
        <f>IF($BM$72=$AT$17,AS43,IF($BM$72=$AT$18,AS50,$BO$74))</f>
      </c>
      <c r="BP71" s="507">
        <f>IF(AND((LEFT(BL71,4))*1&gt;=$AT$18,BO71=0),NA(),IF($AZ$20=1,BO71/VE+BP70,BO71+BP70))</f>
      </c>
      <c r="BQ71" s="480">
        <f>AV31</f>
      </c>
      <c r="BR71" s="498">
        <f>IF(BL71&gt;=$AU$17,IF(OR(ISNA(BP71),BQ71=""),NA(),BQ71+BR70),0)</f>
      </c>
      <c r="BS71" s="11"/>
      <c r="BT71" s="1"/>
      <c r="BU71" s="1"/>
      <c r="BV71" s="1"/>
      <c r="BW71" s="1"/>
      <c r="BX71" s="1"/>
    </row>
    <row x14ac:dyDescent="0.25" r="72" customHeight="1" ht="12.75">
      <c r="A72" s="227"/>
      <c r="B72" s="227"/>
      <c r="C72" s="227"/>
      <c r="D72" s="227"/>
      <c r="E72" s="227"/>
      <c r="F72" s="227"/>
      <c r="G72" s="227"/>
      <c r="H72" s="227"/>
      <c r="I72" s="227"/>
      <c r="J72" s="227"/>
      <c r="K72" s="227"/>
      <c r="L72" s="227"/>
      <c r="M72" s="227"/>
      <c r="N72" s="227"/>
      <c r="O72" s="227"/>
      <c r="P72" s="491">
        <f>Planning!Q72</f>
      </c>
      <c r="Q72" s="469">
        <f>Planning!T72</f>
      </c>
      <c r="R72" s="470"/>
      <c r="S72" s="471"/>
      <c r="T72" s="470"/>
      <c r="U72" s="471"/>
      <c r="V72" s="470"/>
      <c r="W72" s="471"/>
      <c r="X72" s="470"/>
      <c r="Y72" s="471"/>
      <c r="Z72" s="470"/>
      <c r="AA72" s="471"/>
      <c r="AB72" s="470"/>
      <c r="AC72" s="472"/>
      <c r="AD72" s="345"/>
      <c r="AE72" s="3"/>
      <c r="AF72" s="333"/>
      <c r="AG72" s="524"/>
      <c r="AH72" s="529"/>
      <c r="AI72" s="529"/>
      <c r="AJ72" s="529"/>
      <c r="AK72" s="529"/>
      <c r="AL72" s="6"/>
      <c r="AM72" s="529"/>
      <c r="AN72" s="6"/>
      <c r="AO72" s="6"/>
      <c r="AP72" s="6"/>
      <c r="AQ72" s="3"/>
      <c r="AR72" s="5"/>
      <c r="AS72" s="3"/>
      <c r="AT72" s="3"/>
      <c r="AU72" s="2"/>
      <c r="AV72" s="3"/>
      <c r="AW72" s="3"/>
      <c r="AX72" s="3"/>
      <c r="AY72" s="3"/>
      <c r="AZ72" s="475">
        <f>Planning!U72</f>
      </c>
      <c r="BA72" s="474">
        <f>Planning!U72</f>
      </c>
      <c r="BB72" s="475">
        <f>Planning!V72</f>
      </c>
      <c r="BC72" s="474">
        <f>Planning!V72</f>
      </c>
      <c r="BD72" s="475">
        <f>Planning!W72</f>
      </c>
      <c r="BE72" s="474">
        <f>Planning!W72</f>
      </c>
      <c r="BF72" s="475">
        <f>Planning!X72</f>
      </c>
      <c r="BG72" s="474">
        <f>Planning!X72</f>
      </c>
      <c r="BH72" s="475">
        <f>Planning!Y72</f>
      </c>
      <c r="BI72" s="474">
        <f>Planning!Y72</f>
      </c>
      <c r="BJ72" s="475">
        <f>Planning!Z72</f>
      </c>
      <c r="BK72" s="476">
        <f>Planning!Z72</f>
      </c>
      <c r="BL72" s="483">
        <f>(BM72&amp;2)*1</f>
      </c>
      <c r="BM72" s="492">
        <f>BM68+1</f>
      </c>
      <c r="BN72" s="497"/>
      <c r="BO72" s="480">
        <f>IF($BM$72=$AT$17,AS44,IF($BM$72=$AT$18,AS51,$BO$74))</f>
      </c>
      <c r="BP72" s="507">
        <f>IF(AND((LEFT(BL72,4))*1&gt;=$AT$18,BO72=0),NA(),IF($AZ$20=1,BO72/VE+BP71,BO72+BP71))</f>
      </c>
      <c r="BQ72" s="480">
        <f>AW31</f>
      </c>
      <c r="BR72" s="498">
        <f>IF(BL72&gt;=$AU$17,IF(OR(ISNA(BP72),BQ72=""),NA(),BQ72+BR71),0)</f>
      </c>
      <c r="BS72" s="11"/>
      <c r="BT72" s="1"/>
      <c r="BU72" s="1"/>
      <c r="BV72" s="1"/>
      <c r="BW72" s="1"/>
      <c r="BX72" s="1"/>
    </row>
    <row x14ac:dyDescent="0.25" r="73" customHeight="1" ht="12.75">
      <c r="A73" s="227"/>
      <c r="B73" s="227"/>
      <c r="C73" s="227"/>
      <c r="D73" s="227"/>
      <c r="E73" s="227"/>
      <c r="F73" s="227"/>
      <c r="G73" s="227"/>
      <c r="H73" s="227"/>
      <c r="I73" s="227"/>
      <c r="J73" s="227"/>
      <c r="K73" s="227"/>
      <c r="L73" s="227"/>
      <c r="M73" s="227"/>
      <c r="N73" s="227"/>
      <c r="O73" s="227"/>
      <c r="P73" s="491">
        <f>Planning!Q73</f>
      </c>
      <c r="Q73" s="469">
        <f>Planning!T73</f>
      </c>
      <c r="R73" s="470"/>
      <c r="S73" s="471"/>
      <c r="T73" s="470"/>
      <c r="U73" s="471"/>
      <c r="V73" s="470"/>
      <c r="W73" s="471"/>
      <c r="X73" s="470"/>
      <c r="Y73" s="471"/>
      <c r="Z73" s="470"/>
      <c r="AA73" s="471"/>
      <c r="AB73" s="470"/>
      <c r="AC73" s="472"/>
      <c r="AD73" s="345"/>
      <c r="AE73" s="3"/>
      <c r="AF73" s="530"/>
      <c r="AG73" s="2"/>
      <c r="AH73" s="6"/>
      <c r="AI73" s="6"/>
      <c r="AJ73" s="6"/>
      <c r="AK73" s="6"/>
      <c r="AL73" s="6"/>
      <c r="AM73" s="528"/>
      <c r="AN73" s="6"/>
      <c r="AO73" s="6"/>
      <c r="AP73" s="6"/>
      <c r="AQ73" s="3"/>
      <c r="AR73" s="5"/>
      <c r="AS73" s="3"/>
      <c r="AT73" s="3"/>
      <c r="AU73" s="2"/>
      <c r="AV73" s="3"/>
      <c r="AW73" s="3"/>
      <c r="AX73" s="3"/>
      <c r="AY73" s="3"/>
      <c r="AZ73" s="475">
        <f>Planning!U73</f>
      </c>
      <c r="BA73" s="474">
        <f>Planning!U73</f>
      </c>
      <c r="BB73" s="475">
        <f>Planning!V73</f>
      </c>
      <c r="BC73" s="474">
        <f>Planning!V73</f>
      </c>
      <c r="BD73" s="475">
        <f>Planning!W73</f>
      </c>
      <c r="BE73" s="474">
        <f>Planning!W73</f>
      </c>
      <c r="BF73" s="475">
        <f>Planning!X73</f>
      </c>
      <c r="BG73" s="474">
        <f>Planning!X73</f>
      </c>
      <c r="BH73" s="475">
        <f>Planning!Y73</f>
      </c>
      <c r="BI73" s="474">
        <f>Planning!Y73</f>
      </c>
      <c r="BJ73" s="475">
        <f>Planning!Z73</f>
      </c>
      <c r="BK73" s="476">
        <f>Planning!Z73</f>
      </c>
      <c r="BL73" s="483">
        <f>(BM72&amp;3)*1</f>
      </c>
      <c r="BM73" s="492"/>
      <c r="BN73" s="497"/>
      <c r="BO73" s="480">
        <f>IF($BM$72=$AT$17,AS45,IF($BM$72=$AT$18,AS52,$BO$74))</f>
      </c>
      <c r="BP73" s="507">
        <f>IF(AND((LEFT(BL73,4))*1&gt;=$AT$18,BO73=0),NA(),IF($AZ$20=1,BO73/VE+BP72,BO73+BP72))</f>
      </c>
      <c r="BQ73" s="480">
        <f>AX31</f>
      </c>
      <c r="BR73" s="498">
        <f>IF(BL73&gt;=$AU$17,IF(OR(ISNA(BP73),BQ73=""),NA(),BQ73+BR72),0)</f>
      </c>
      <c r="BS73" s="11"/>
      <c r="BT73" s="1"/>
      <c r="BU73" s="1"/>
      <c r="BV73" s="1"/>
      <c r="BW73" s="1"/>
      <c r="BX73" s="1"/>
    </row>
    <row x14ac:dyDescent="0.25" r="74" customHeight="1" ht="12.75">
      <c r="A74" s="227"/>
      <c r="B74" s="227"/>
      <c r="C74" s="227"/>
      <c r="D74" s="227"/>
      <c r="E74" s="227"/>
      <c r="F74" s="227"/>
      <c r="G74" s="227"/>
      <c r="H74" s="227"/>
      <c r="I74" s="227"/>
      <c r="J74" s="227"/>
      <c r="K74" s="227"/>
      <c r="L74" s="227"/>
      <c r="M74" s="227"/>
      <c r="N74" s="227"/>
      <c r="O74" s="227"/>
      <c r="P74" s="491">
        <f>Planning!Q74</f>
      </c>
      <c r="Q74" s="469">
        <f>Planning!T74</f>
      </c>
      <c r="R74" s="470"/>
      <c r="S74" s="471"/>
      <c r="T74" s="470"/>
      <c r="U74" s="471"/>
      <c r="V74" s="470"/>
      <c r="W74" s="471"/>
      <c r="X74" s="470"/>
      <c r="Y74" s="471"/>
      <c r="Z74" s="470"/>
      <c r="AA74" s="471"/>
      <c r="AB74" s="470"/>
      <c r="AC74" s="472"/>
      <c r="AD74" s="345"/>
      <c r="AE74" s="3"/>
      <c r="AF74" s="530"/>
      <c r="AG74" s="2"/>
      <c r="AH74" s="6"/>
      <c r="AI74" s="6"/>
      <c r="AJ74" s="6"/>
      <c r="AK74" s="6"/>
      <c r="AL74" s="6"/>
      <c r="AM74" s="528"/>
      <c r="AN74" s="6"/>
      <c r="AO74" s="6"/>
      <c r="AP74" s="6"/>
      <c r="AQ74" s="3"/>
      <c r="AR74" s="5"/>
      <c r="AS74" s="3"/>
      <c r="AT74" s="3"/>
      <c r="AU74" s="2"/>
      <c r="AV74" s="3"/>
      <c r="AW74" s="3"/>
      <c r="AX74" s="3"/>
      <c r="AY74" s="3"/>
      <c r="AZ74" s="475">
        <f>Planning!U74</f>
      </c>
      <c r="BA74" s="474">
        <f>Planning!U74</f>
      </c>
      <c r="BB74" s="475">
        <f>Planning!V74</f>
      </c>
      <c r="BC74" s="474">
        <f>Planning!V74</f>
      </c>
      <c r="BD74" s="475">
        <f>Planning!W74</f>
      </c>
      <c r="BE74" s="474">
        <f>Planning!W74</f>
      </c>
      <c r="BF74" s="475">
        <f>Planning!X74</f>
      </c>
      <c r="BG74" s="474">
        <f>Planning!X74</f>
      </c>
      <c r="BH74" s="475">
        <f>Planning!Y74</f>
      </c>
      <c r="BI74" s="474">
        <f>Planning!Y74</f>
      </c>
      <c r="BJ74" s="475">
        <f>Planning!Z74</f>
      </c>
      <c r="BK74" s="476">
        <f>Planning!Z74</f>
      </c>
      <c r="BL74" s="486">
        <f>(BM72&amp;4)*1</f>
      </c>
      <c r="BM74" s="494"/>
      <c r="BN74" s="497"/>
      <c r="BO74" s="480">
        <f>IF(BM72=$AT$17,AS46,IF(BM72=$AT$18,AS53,SUMIFS(PlanVE_PerBook,PlanYear,BM72)/4))</f>
      </c>
      <c r="BP74" s="507">
        <f>IF(AND((LEFT(BL74,4))*1&gt;=$AT$18,BO74=0),NA(),IF($AZ$20=1,BO74/VE+BP73,BO74+BP73))</f>
      </c>
      <c r="BQ74" s="480">
        <f>AY31</f>
      </c>
      <c r="BR74" s="498">
        <f>IF(BL74&gt;=$AU$17,IF(OR(ISNA(BP74),BQ74=""),NA(),BQ74+BR73),0)</f>
      </c>
      <c r="BS74" s="11"/>
      <c r="BT74" s="1"/>
      <c r="BU74" s="1"/>
      <c r="BV74" s="1"/>
      <c r="BW74" s="1"/>
      <c r="BX74" s="1"/>
    </row>
    <row x14ac:dyDescent="0.25" r="75" customHeight="1" ht="12.75">
      <c r="A75" s="227"/>
      <c r="B75" s="227"/>
      <c r="C75" s="227"/>
      <c r="D75" s="227"/>
      <c r="E75" s="227"/>
      <c r="F75" s="227"/>
      <c r="G75" s="227"/>
      <c r="H75" s="227"/>
      <c r="I75" s="227"/>
      <c r="J75" s="227"/>
      <c r="K75" s="227"/>
      <c r="L75" s="227"/>
      <c r="M75" s="227"/>
      <c r="N75" s="227"/>
      <c r="O75" s="227"/>
      <c r="P75" s="491">
        <f>Planning!Q75</f>
      </c>
      <c r="Q75" s="469">
        <f>Planning!T75</f>
      </c>
      <c r="R75" s="470"/>
      <c r="S75" s="471"/>
      <c r="T75" s="470"/>
      <c r="U75" s="471"/>
      <c r="V75" s="470"/>
      <c r="W75" s="471"/>
      <c r="X75" s="470"/>
      <c r="Y75" s="471"/>
      <c r="Z75" s="470"/>
      <c r="AA75" s="471"/>
      <c r="AB75" s="470"/>
      <c r="AC75" s="472"/>
      <c r="AD75" s="345"/>
      <c r="AE75" s="3"/>
      <c r="AF75" s="333"/>
      <c r="AG75" s="69"/>
      <c r="AH75" s="6"/>
      <c r="AI75" s="6"/>
      <c r="AJ75" s="6"/>
      <c r="AK75" s="6"/>
      <c r="AL75" s="6"/>
      <c r="AM75" s="6"/>
      <c r="AN75" s="6"/>
      <c r="AO75" s="6"/>
      <c r="AP75" s="6"/>
      <c r="AQ75" s="3"/>
      <c r="AR75" s="5"/>
      <c r="AS75" s="3"/>
      <c r="AT75" s="3"/>
      <c r="AU75" s="2"/>
      <c r="AV75" s="3"/>
      <c r="AW75" s="3"/>
      <c r="AX75" s="3"/>
      <c r="AY75" s="3"/>
      <c r="AZ75" s="475">
        <f>Planning!U75</f>
      </c>
      <c r="BA75" s="474">
        <f>Planning!U75</f>
      </c>
      <c r="BB75" s="475">
        <f>Planning!V75</f>
      </c>
      <c r="BC75" s="474">
        <f>Planning!V75</f>
      </c>
      <c r="BD75" s="475">
        <f>Planning!W75</f>
      </c>
      <c r="BE75" s="474">
        <f>Planning!W75</f>
      </c>
      <c r="BF75" s="475">
        <f>Planning!X75</f>
      </c>
      <c r="BG75" s="474">
        <f>Planning!X75</f>
      </c>
      <c r="BH75" s="475">
        <f>Planning!Y75</f>
      </c>
      <c r="BI75" s="474">
        <f>Planning!Y75</f>
      </c>
      <c r="BJ75" s="475">
        <f>Planning!Z75</f>
      </c>
      <c r="BK75" s="476">
        <f>Planning!Z75</f>
      </c>
      <c r="BL75" s="477">
        <f>(BM76&amp;1)*1</f>
      </c>
      <c r="BM75" s="489"/>
      <c r="BN75" s="497"/>
      <c r="BO75" s="480">
        <f>IF($BM$76=$AT$17,AS43,IF($BM$76=$AT$18,AS50,$BO$78))</f>
      </c>
      <c r="BP75" s="507">
        <f>IF(AND((LEFT(BL75,4))*1&gt;=$AT$18,BO75=0),NA(),IF($AZ$20=1,BO75/VE+BP74,BO75+BP74))</f>
      </c>
      <c r="BQ75" s="480">
        <f>AV32</f>
      </c>
      <c r="BR75" s="498">
        <f>IF(BL75&gt;=$AU$17,IF(OR(ISNA(BP75),BQ75=""),NA(),BQ75+BR74),0)</f>
      </c>
      <c r="BS75" s="11"/>
      <c r="BT75" s="1"/>
      <c r="BU75" s="1"/>
      <c r="BV75" s="1"/>
      <c r="BW75" s="1"/>
      <c r="BX75" s="1"/>
    </row>
    <row x14ac:dyDescent="0.25" r="76" customHeight="1" ht="12.75">
      <c r="A76" s="227"/>
      <c r="B76" s="227"/>
      <c r="C76" s="227"/>
      <c r="D76" s="227"/>
      <c r="E76" s="227"/>
      <c r="F76" s="227"/>
      <c r="G76" s="227"/>
      <c r="H76" s="227"/>
      <c r="I76" s="227"/>
      <c r="J76" s="227"/>
      <c r="K76" s="227"/>
      <c r="L76" s="227"/>
      <c r="M76" s="227"/>
      <c r="N76" s="227"/>
      <c r="O76" s="227"/>
      <c r="P76" s="491">
        <f>Planning!Q76</f>
      </c>
      <c r="Q76" s="469">
        <f>Planning!T76</f>
      </c>
      <c r="R76" s="470"/>
      <c r="S76" s="471"/>
      <c r="T76" s="470"/>
      <c r="U76" s="471"/>
      <c r="V76" s="470"/>
      <c r="W76" s="471"/>
      <c r="X76" s="470"/>
      <c r="Y76" s="471"/>
      <c r="Z76" s="470"/>
      <c r="AA76" s="471"/>
      <c r="AB76" s="470"/>
      <c r="AC76" s="472"/>
      <c r="AD76" s="345"/>
      <c r="AE76" s="3"/>
      <c r="AF76" s="333"/>
      <c r="AG76" s="2"/>
      <c r="AH76" s="6"/>
      <c r="AI76" s="6"/>
      <c r="AJ76" s="6"/>
      <c r="AK76" s="6"/>
      <c r="AL76" s="6"/>
      <c r="AM76" s="6"/>
      <c r="AN76" s="6"/>
      <c r="AO76" s="6"/>
      <c r="AP76" s="6"/>
      <c r="AQ76" s="3"/>
      <c r="AR76" s="5"/>
      <c r="AS76" s="3"/>
      <c r="AT76" s="3"/>
      <c r="AU76" s="2"/>
      <c r="AV76" s="3"/>
      <c r="AW76" s="3"/>
      <c r="AX76" s="3"/>
      <c r="AY76" s="3"/>
      <c r="AZ76" s="475">
        <f>Planning!U76</f>
      </c>
      <c r="BA76" s="474">
        <f>Planning!U76</f>
      </c>
      <c r="BB76" s="475">
        <f>Planning!V76</f>
      </c>
      <c r="BC76" s="474">
        <f>Planning!V76</f>
      </c>
      <c r="BD76" s="475">
        <f>Planning!W76</f>
      </c>
      <c r="BE76" s="474">
        <f>Planning!W76</f>
      </c>
      <c r="BF76" s="475">
        <f>Planning!X76</f>
      </c>
      <c r="BG76" s="474">
        <f>Planning!X76</f>
      </c>
      <c r="BH76" s="475">
        <f>Planning!Y76</f>
      </c>
      <c r="BI76" s="474">
        <f>Planning!Y76</f>
      </c>
      <c r="BJ76" s="475">
        <f>Planning!Z76</f>
      </c>
      <c r="BK76" s="476">
        <f>Planning!Z76</f>
      </c>
      <c r="BL76" s="483">
        <f>(BM76&amp;2)*1</f>
      </c>
      <c r="BM76" s="492">
        <f>BM72+1</f>
      </c>
      <c r="BN76" s="497"/>
      <c r="BO76" s="480">
        <f>IF($BM$76=$AT$17,AS44,IF($BM$76=$AT$18,AS51,$BO$78))</f>
      </c>
      <c r="BP76" s="507">
        <f>IF(AND((LEFT(BL76,4))*1&gt;=$AT$18,BO76=0),NA(),IF($AZ$20=1,BO76/VE+BP75,BO76+BP75))</f>
      </c>
      <c r="BQ76" s="480">
        <f>AW32</f>
      </c>
      <c r="BR76" s="498">
        <f>IF(BL76&gt;=$AU$17,IF(OR(ISNA(BP76),BQ76=""),NA(),BQ76+BR75),0)</f>
      </c>
      <c r="BS76" s="1"/>
      <c r="BT76" s="1"/>
      <c r="BU76" s="1"/>
      <c r="BV76" s="1"/>
      <c r="BW76" s="1"/>
      <c r="BX76" s="1"/>
    </row>
    <row x14ac:dyDescent="0.25" r="77" customHeight="1" ht="12.75">
      <c r="A77" s="227"/>
      <c r="B77" s="227"/>
      <c r="C77" s="227"/>
      <c r="D77" s="227"/>
      <c r="E77" s="227"/>
      <c r="F77" s="227"/>
      <c r="G77" s="227"/>
      <c r="H77" s="227"/>
      <c r="I77" s="227"/>
      <c r="J77" s="227"/>
      <c r="K77" s="227"/>
      <c r="L77" s="227"/>
      <c r="M77" s="227"/>
      <c r="N77" s="227"/>
      <c r="O77" s="227"/>
      <c r="P77" s="491">
        <f>Planning!Q77</f>
      </c>
      <c r="Q77" s="469">
        <f>Planning!T77</f>
      </c>
      <c r="R77" s="470"/>
      <c r="S77" s="471"/>
      <c r="T77" s="470"/>
      <c r="U77" s="471"/>
      <c r="V77" s="470"/>
      <c r="W77" s="471"/>
      <c r="X77" s="470"/>
      <c r="Y77" s="471"/>
      <c r="Z77" s="470"/>
      <c r="AA77" s="471"/>
      <c r="AB77" s="470"/>
      <c r="AC77" s="472"/>
      <c r="AD77" s="345"/>
      <c r="AE77" s="3"/>
      <c r="AF77" s="530"/>
      <c r="AG77" s="2"/>
      <c r="AH77" s="6"/>
      <c r="AI77" s="6"/>
      <c r="AJ77" s="6"/>
      <c r="AK77" s="6"/>
      <c r="AL77" s="6"/>
      <c r="AM77" s="6"/>
      <c r="AN77" s="6"/>
      <c r="AO77" s="6"/>
      <c r="AP77" s="6"/>
      <c r="AQ77" s="3"/>
      <c r="AR77" s="5"/>
      <c r="AS77" s="3"/>
      <c r="AT77" s="3"/>
      <c r="AU77" s="2"/>
      <c r="AV77" s="3"/>
      <c r="AW77" s="3"/>
      <c r="AX77" s="3"/>
      <c r="AY77" s="3"/>
      <c r="AZ77" s="475">
        <f>Planning!U77</f>
      </c>
      <c r="BA77" s="474">
        <f>Planning!U77</f>
      </c>
      <c r="BB77" s="475">
        <f>Planning!V77</f>
      </c>
      <c r="BC77" s="474">
        <f>Planning!V77</f>
      </c>
      <c r="BD77" s="475">
        <f>Planning!W77</f>
      </c>
      <c r="BE77" s="474">
        <f>Planning!W77</f>
      </c>
      <c r="BF77" s="475">
        <f>Planning!X77</f>
      </c>
      <c r="BG77" s="474">
        <f>Planning!X77</f>
      </c>
      <c r="BH77" s="475">
        <f>Planning!Y77</f>
      </c>
      <c r="BI77" s="474">
        <f>Planning!Y77</f>
      </c>
      <c r="BJ77" s="475">
        <f>Planning!Z77</f>
      </c>
      <c r="BK77" s="476">
        <f>Planning!Z77</f>
      </c>
      <c r="BL77" s="483">
        <f>(BM76&amp;3)*1</f>
      </c>
      <c r="BM77" s="492"/>
      <c r="BN77" s="497"/>
      <c r="BO77" s="480">
        <f>IF($BM$76=$AT$17,AS45,IF($BM$76=$AT$18,AS52,$BO$78))</f>
      </c>
      <c r="BP77" s="507">
        <f>IF(AND((LEFT(BL77,4))*1&gt;=$AT$18,BO77=0),NA(),IF($AZ$20=1,BO77/VE+BP76,BO77+BP76))</f>
      </c>
      <c r="BQ77" s="480">
        <f>AX32</f>
      </c>
      <c r="BR77" s="498">
        <f>IF(BL77&gt;=$AU$17,IF(OR(ISNA(BP77),BQ77=""),NA(),BQ77+BR76),0)</f>
      </c>
      <c r="BS77" s="1"/>
      <c r="BT77" s="1"/>
      <c r="BU77" s="1"/>
      <c r="BV77" s="1"/>
      <c r="BW77" s="1"/>
      <c r="BX77" s="1"/>
    </row>
    <row x14ac:dyDescent="0.25" r="78" customHeight="1" ht="12.75">
      <c r="A78" s="227"/>
      <c r="B78" s="227"/>
      <c r="C78" s="227"/>
      <c r="D78" s="227"/>
      <c r="E78" s="227"/>
      <c r="F78" s="227"/>
      <c r="G78" s="227"/>
      <c r="H78" s="227"/>
      <c r="I78" s="227"/>
      <c r="J78" s="227"/>
      <c r="K78" s="227"/>
      <c r="L78" s="227"/>
      <c r="M78" s="227"/>
      <c r="N78" s="227"/>
      <c r="O78" s="227"/>
      <c r="P78" s="491">
        <f>Planning!Q78</f>
      </c>
      <c r="Q78" s="469">
        <f>Planning!T78</f>
      </c>
      <c r="R78" s="470"/>
      <c r="S78" s="471"/>
      <c r="T78" s="470"/>
      <c r="U78" s="471"/>
      <c r="V78" s="470"/>
      <c r="W78" s="471"/>
      <c r="X78" s="470"/>
      <c r="Y78" s="471"/>
      <c r="Z78" s="470"/>
      <c r="AA78" s="471"/>
      <c r="AB78" s="470"/>
      <c r="AC78" s="472"/>
      <c r="AD78" s="345"/>
      <c r="AE78" s="3"/>
      <c r="AF78" s="530"/>
      <c r="AG78" s="2"/>
      <c r="AH78" s="6"/>
      <c r="AI78" s="6"/>
      <c r="AJ78" s="6"/>
      <c r="AK78" s="6"/>
      <c r="AL78" s="6"/>
      <c r="AM78" s="6"/>
      <c r="AN78" s="6"/>
      <c r="AO78" s="6"/>
      <c r="AP78" s="6"/>
      <c r="AQ78" s="3"/>
      <c r="AR78" s="5"/>
      <c r="AS78" s="3"/>
      <c r="AT78" s="3"/>
      <c r="AU78" s="2"/>
      <c r="AV78" s="3"/>
      <c r="AW78" s="3"/>
      <c r="AX78" s="3"/>
      <c r="AY78" s="3"/>
      <c r="AZ78" s="475">
        <f>Planning!U78</f>
      </c>
      <c r="BA78" s="474">
        <f>Planning!U78</f>
      </c>
      <c r="BB78" s="475">
        <f>Planning!V78</f>
      </c>
      <c r="BC78" s="474">
        <f>Planning!V78</f>
      </c>
      <c r="BD78" s="475">
        <f>Planning!W78</f>
      </c>
      <c r="BE78" s="474">
        <f>Planning!W78</f>
      </c>
      <c r="BF78" s="475">
        <f>Planning!X78</f>
      </c>
      <c r="BG78" s="474">
        <f>Planning!X78</f>
      </c>
      <c r="BH78" s="475">
        <f>Planning!Y78</f>
      </c>
      <c r="BI78" s="474">
        <f>Planning!Y78</f>
      </c>
      <c r="BJ78" s="475">
        <f>Planning!Z78</f>
      </c>
      <c r="BK78" s="476">
        <f>Planning!Z78</f>
      </c>
      <c r="BL78" s="486">
        <f>(BM76&amp;4)*1</f>
      </c>
      <c r="BM78" s="494"/>
      <c r="BN78" s="497"/>
      <c r="BO78" s="480">
        <f>IF(BM76=$AT$17,AS46,IF(BM76=$AT$18,AS53,SUMIFS(PlanVE_PerBook,PlanYear,BM76)/4))</f>
      </c>
      <c r="BP78" s="507">
        <f>IF(AND((LEFT(BL78,4))*1&gt;=$AT$18,BO78=0),NA(),IF($AZ$20=1,BO78/VE+BP77,BO78+BP77))</f>
      </c>
      <c r="BQ78" s="480">
        <f>AY32</f>
      </c>
      <c r="BR78" s="498">
        <f>IF(BL78&gt;=$AU$17,IF(OR(ISNA(BP78),BQ78=""),NA(),BQ78+BR77),0)</f>
      </c>
      <c r="BS78" s="1"/>
      <c r="BT78" s="1"/>
      <c r="BU78" s="1"/>
      <c r="BV78" s="1"/>
      <c r="BW78" s="1"/>
      <c r="BX78" s="1"/>
    </row>
    <row x14ac:dyDescent="0.25" r="79" customHeight="1" ht="12.75">
      <c r="A79" s="227"/>
      <c r="B79" s="227"/>
      <c r="C79" s="227"/>
      <c r="D79" s="227"/>
      <c r="E79" s="227"/>
      <c r="F79" s="227"/>
      <c r="G79" s="227"/>
      <c r="H79" s="227"/>
      <c r="I79" s="227"/>
      <c r="J79" s="227"/>
      <c r="K79" s="227"/>
      <c r="L79" s="227"/>
      <c r="M79" s="227"/>
      <c r="N79" s="227"/>
      <c r="O79" s="227"/>
      <c r="P79" s="491">
        <f>Planning!Q79</f>
      </c>
      <c r="Q79" s="469">
        <f>Planning!T79</f>
      </c>
      <c r="R79" s="470"/>
      <c r="S79" s="471"/>
      <c r="T79" s="470"/>
      <c r="U79" s="471"/>
      <c r="V79" s="470"/>
      <c r="W79" s="471"/>
      <c r="X79" s="470"/>
      <c r="Y79" s="471"/>
      <c r="Z79" s="470"/>
      <c r="AA79" s="471"/>
      <c r="AB79" s="470"/>
      <c r="AC79" s="472"/>
      <c r="AD79" s="345"/>
      <c r="AE79" s="3"/>
      <c r="AF79" s="333"/>
      <c r="AG79" s="2"/>
      <c r="AH79" s="6"/>
      <c r="AI79" s="6"/>
      <c r="AJ79" s="6"/>
      <c r="AK79" s="6"/>
      <c r="AL79" s="6"/>
      <c r="AM79" s="6"/>
      <c r="AN79" s="6"/>
      <c r="AO79" s="6"/>
      <c r="AP79" s="6"/>
      <c r="AQ79" s="3"/>
      <c r="AR79" s="5"/>
      <c r="AS79" s="3"/>
      <c r="AT79" s="3"/>
      <c r="AU79" s="2"/>
      <c r="AV79" s="3"/>
      <c r="AW79" s="3"/>
      <c r="AX79" s="3"/>
      <c r="AY79" s="3"/>
      <c r="AZ79" s="475">
        <f>Planning!U79</f>
      </c>
      <c r="BA79" s="474">
        <f>Planning!U79</f>
      </c>
      <c r="BB79" s="475">
        <f>Planning!V79</f>
      </c>
      <c r="BC79" s="474">
        <f>Planning!V79</f>
      </c>
      <c r="BD79" s="475">
        <f>Planning!W79</f>
      </c>
      <c r="BE79" s="474">
        <f>Planning!W79</f>
      </c>
      <c r="BF79" s="475">
        <f>Planning!X79</f>
      </c>
      <c r="BG79" s="474">
        <f>Planning!X79</f>
      </c>
      <c r="BH79" s="475">
        <f>Planning!Y79</f>
      </c>
      <c r="BI79" s="474">
        <f>Planning!Y79</f>
      </c>
      <c r="BJ79" s="475">
        <f>Planning!Z79</f>
      </c>
      <c r="BK79" s="476">
        <f>Planning!Z79</f>
      </c>
      <c r="BL79" s="477">
        <f>(BM80&amp;1)*1</f>
      </c>
      <c r="BM79" s="489"/>
      <c r="BN79" s="497"/>
      <c r="BO79" s="480">
        <f>IF($BM$80=$AT$17,AS43,IF($BM$80=$AT$18,AS50,$BO$82))</f>
      </c>
      <c r="BP79" s="507">
        <f>IF(AND((LEFT(BL79,4))*1&gt;=$AT$18,BO79=0),NA(),IF($AZ$20=1,BO79/VE+BP78,BO79+BP78))</f>
      </c>
      <c r="BQ79" s="480">
        <f>AV33</f>
      </c>
      <c r="BR79" s="498">
        <f>IF(BL79&gt;=$AU$17,IF(OR(ISNA(BP79),BQ79=""),NA(),BQ79+BR78),0)</f>
      </c>
      <c r="BS79" s="1"/>
      <c r="BT79" s="1"/>
      <c r="BU79" s="1"/>
      <c r="BV79" s="1"/>
      <c r="BW79" s="1"/>
      <c r="BX79" s="1"/>
    </row>
    <row x14ac:dyDescent="0.25" r="80" customHeight="1" ht="12.75">
      <c r="A80" s="227"/>
      <c r="B80" s="227"/>
      <c r="C80" s="227"/>
      <c r="D80" s="227"/>
      <c r="E80" s="227"/>
      <c r="F80" s="227"/>
      <c r="G80" s="227"/>
      <c r="H80" s="227"/>
      <c r="I80" s="227"/>
      <c r="J80" s="227"/>
      <c r="K80" s="227"/>
      <c r="L80" s="227"/>
      <c r="M80" s="227"/>
      <c r="N80" s="227"/>
      <c r="O80" s="227"/>
      <c r="P80" s="491">
        <f>Planning!Q80</f>
      </c>
      <c r="Q80" s="469">
        <f>Planning!T80</f>
      </c>
      <c r="R80" s="470"/>
      <c r="S80" s="471"/>
      <c r="T80" s="470"/>
      <c r="U80" s="471"/>
      <c r="V80" s="470"/>
      <c r="W80" s="471"/>
      <c r="X80" s="470"/>
      <c r="Y80" s="471"/>
      <c r="Z80" s="470"/>
      <c r="AA80" s="471"/>
      <c r="AB80" s="470"/>
      <c r="AC80" s="472"/>
      <c r="AD80" s="345"/>
      <c r="AE80" s="3"/>
      <c r="AF80" s="333"/>
      <c r="AG80" s="2"/>
      <c r="AH80" s="6"/>
      <c r="AI80" s="6"/>
      <c r="AJ80" s="6"/>
      <c r="AK80" s="6"/>
      <c r="AL80" s="6"/>
      <c r="AM80" s="6"/>
      <c r="AN80" s="6"/>
      <c r="AO80" s="6"/>
      <c r="AP80" s="6"/>
      <c r="AQ80" s="3"/>
      <c r="AR80" s="5"/>
      <c r="AS80" s="3"/>
      <c r="AT80" s="3"/>
      <c r="AU80" s="2"/>
      <c r="AV80" s="3"/>
      <c r="AW80" s="3"/>
      <c r="AX80" s="3"/>
      <c r="AY80" s="3"/>
      <c r="AZ80" s="475">
        <f>Planning!U80</f>
      </c>
      <c r="BA80" s="474">
        <f>Planning!U80</f>
      </c>
      <c r="BB80" s="475">
        <f>Planning!V80</f>
      </c>
      <c r="BC80" s="474">
        <f>Planning!V80</f>
      </c>
      <c r="BD80" s="475">
        <f>Planning!W80</f>
      </c>
      <c r="BE80" s="474">
        <f>Planning!W80</f>
      </c>
      <c r="BF80" s="475">
        <f>Planning!X80</f>
      </c>
      <c r="BG80" s="474">
        <f>Planning!X80</f>
      </c>
      <c r="BH80" s="475">
        <f>Planning!Y80</f>
      </c>
      <c r="BI80" s="474">
        <f>Planning!Y80</f>
      </c>
      <c r="BJ80" s="475">
        <f>Planning!Z80</f>
      </c>
      <c r="BK80" s="476">
        <f>Planning!Z80</f>
      </c>
      <c r="BL80" s="483">
        <f>(BM80&amp;2)*1</f>
      </c>
      <c r="BM80" s="492">
        <f>BM76+1</f>
      </c>
      <c r="BN80" s="497"/>
      <c r="BO80" s="480">
        <f>IF($BM$80=$AT$17,AS44,IF($BM$80=$AT$18,AS51,$BO$82))</f>
      </c>
      <c r="BP80" s="507">
        <f>IF(AND((LEFT(BL80,4))*1&gt;=$AT$18,BO80=0),NA(),IF($AZ$20=1,BO80/VE+BP79,BO80+BP79))</f>
      </c>
      <c r="BQ80" s="480">
        <f>AW33</f>
      </c>
      <c r="BR80" s="498">
        <f>IF(BL80&gt;=$AU$17,IF(OR(ISNA(BP80),BQ80=""),NA(),BQ80+BR79),0)</f>
      </c>
      <c r="BS80" s="1"/>
      <c r="BT80" s="1"/>
      <c r="BU80" s="1"/>
      <c r="BV80" s="1"/>
      <c r="BW80" s="1"/>
      <c r="BX80" s="1"/>
    </row>
    <row x14ac:dyDescent="0.25" r="81" customHeight="1" ht="12.75">
      <c r="A81" s="227"/>
      <c r="B81" s="227"/>
      <c r="C81" s="227"/>
      <c r="D81" s="227"/>
      <c r="E81" s="227"/>
      <c r="F81" s="227"/>
      <c r="G81" s="227"/>
      <c r="H81" s="227"/>
      <c r="I81" s="227"/>
      <c r="J81" s="227"/>
      <c r="K81" s="227"/>
      <c r="L81" s="227"/>
      <c r="M81" s="227"/>
      <c r="N81" s="227"/>
      <c r="O81" s="227"/>
      <c r="P81" s="491">
        <f>Planning!Q81</f>
      </c>
      <c r="Q81" s="469">
        <f>Planning!T81</f>
      </c>
      <c r="R81" s="470"/>
      <c r="S81" s="471"/>
      <c r="T81" s="470"/>
      <c r="U81" s="471"/>
      <c r="V81" s="470"/>
      <c r="W81" s="471"/>
      <c r="X81" s="470"/>
      <c r="Y81" s="471"/>
      <c r="Z81" s="470"/>
      <c r="AA81" s="471"/>
      <c r="AB81" s="470"/>
      <c r="AC81" s="472"/>
      <c r="AD81" s="345"/>
      <c r="AE81" s="3"/>
      <c r="AF81" s="333"/>
      <c r="AG81" s="2"/>
      <c r="AH81" s="6"/>
      <c r="AI81" s="6"/>
      <c r="AJ81" s="6"/>
      <c r="AK81" s="6"/>
      <c r="AL81" s="6"/>
      <c r="AM81" s="6"/>
      <c r="AN81" s="6"/>
      <c r="AO81" s="6"/>
      <c r="AP81" s="6"/>
      <c r="AQ81" s="3"/>
      <c r="AR81" s="5"/>
      <c r="AS81" s="3"/>
      <c r="AT81" s="3"/>
      <c r="AU81" s="2"/>
      <c r="AV81" s="3"/>
      <c r="AW81" s="3"/>
      <c r="AX81" s="3"/>
      <c r="AY81" s="3"/>
      <c r="AZ81" s="475">
        <f>Planning!U81</f>
      </c>
      <c r="BA81" s="474">
        <f>Planning!U81</f>
      </c>
      <c r="BB81" s="475">
        <f>Planning!V81</f>
      </c>
      <c r="BC81" s="474">
        <f>Planning!V81</f>
      </c>
      <c r="BD81" s="475">
        <f>Planning!W81</f>
      </c>
      <c r="BE81" s="474">
        <f>Planning!W81</f>
      </c>
      <c r="BF81" s="475">
        <f>Planning!X81</f>
      </c>
      <c r="BG81" s="474">
        <f>Planning!X81</f>
      </c>
      <c r="BH81" s="475">
        <f>Planning!Y81</f>
      </c>
      <c r="BI81" s="474">
        <f>Planning!Y81</f>
      </c>
      <c r="BJ81" s="475">
        <f>Planning!Z81</f>
      </c>
      <c r="BK81" s="476">
        <f>Planning!Z81</f>
      </c>
      <c r="BL81" s="483">
        <f>(BM80&amp;3)*1</f>
      </c>
      <c r="BM81" s="492"/>
      <c r="BN81" s="497"/>
      <c r="BO81" s="480">
        <f>IF($BM$80=$AT$17,AS45,IF($BM$80=$AT$18,AS52,$BO$82))</f>
      </c>
      <c r="BP81" s="507">
        <f>IF(AND((LEFT(BL81,4))*1&gt;=$AT$18,BO81=0),NA(),IF($AZ$20=1,BO81/VE+BP80,BO81+BP80))</f>
      </c>
      <c r="BQ81" s="480">
        <f>AX33</f>
      </c>
      <c r="BR81" s="498">
        <f>IF(BL81&gt;=$AU$17,IF(OR(ISNA(BP81),BQ81=""),NA(),BQ81+BR80),0)</f>
      </c>
      <c r="BS81" s="1"/>
      <c r="BT81" s="1"/>
      <c r="BU81" s="1"/>
      <c r="BV81" s="1"/>
      <c r="BW81" s="1"/>
      <c r="BX81" s="1"/>
    </row>
    <row x14ac:dyDescent="0.25" r="82" customHeight="1" ht="12.75">
      <c r="A82" s="227"/>
      <c r="B82" s="227"/>
      <c r="C82" s="227"/>
      <c r="D82" s="227"/>
      <c r="E82" s="227"/>
      <c r="F82" s="227"/>
      <c r="G82" s="227"/>
      <c r="H82" s="227"/>
      <c r="I82" s="227"/>
      <c r="J82" s="227"/>
      <c r="K82" s="227"/>
      <c r="L82" s="227"/>
      <c r="M82" s="227"/>
      <c r="N82" s="227"/>
      <c r="O82" s="227"/>
      <c r="P82" s="491">
        <f>Planning!Q82</f>
      </c>
      <c r="Q82" s="469">
        <f>Planning!T82</f>
      </c>
      <c r="R82" s="470"/>
      <c r="S82" s="471"/>
      <c r="T82" s="470"/>
      <c r="U82" s="471"/>
      <c r="V82" s="470"/>
      <c r="W82" s="471"/>
      <c r="X82" s="470"/>
      <c r="Y82" s="471"/>
      <c r="Z82" s="470"/>
      <c r="AA82" s="471"/>
      <c r="AB82" s="470"/>
      <c r="AC82" s="472"/>
      <c r="AD82" s="345"/>
      <c r="AE82" s="3"/>
      <c r="AF82" s="333"/>
      <c r="AG82" s="2"/>
      <c r="AH82" s="6"/>
      <c r="AI82" s="6"/>
      <c r="AJ82" s="6"/>
      <c r="AK82" s="6"/>
      <c r="AL82" s="6"/>
      <c r="AM82" s="6"/>
      <c r="AN82" s="6"/>
      <c r="AO82" s="6"/>
      <c r="AP82" s="6"/>
      <c r="AQ82" s="3"/>
      <c r="AR82" s="5"/>
      <c r="AS82" s="3"/>
      <c r="AT82" s="3"/>
      <c r="AU82" s="2"/>
      <c r="AV82" s="3"/>
      <c r="AW82" s="3"/>
      <c r="AX82" s="3"/>
      <c r="AY82" s="3"/>
      <c r="AZ82" s="475">
        <f>Planning!U82</f>
      </c>
      <c r="BA82" s="474">
        <f>Planning!U82</f>
      </c>
      <c r="BB82" s="475">
        <f>Planning!V82</f>
      </c>
      <c r="BC82" s="474">
        <f>Planning!V82</f>
      </c>
      <c r="BD82" s="475">
        <f>Planning!W82</f>
      </c>
      <c r="BE82" s="474">
        <f>Planning!W82</f>
      </c>
      <c r="BF82" s="475">
        <f>Planning!X82</f>
      </c>
      <c r="BG82" s="474">
        <f>Planning!X82</f>
      </c>
      <c r="BH82" s="475">
        <f>Planning!Y82</f>
      </c>
      <c r="BI82" s="474">
        <f>Planning!Y82</f>
      </c>
      <c r="BJ82" s="475">
        <f>Planning!Z82</f>
      </c>
      <c r="BK82" s="476">
        <f>Planning!Z82</f>
      </c>
      <c r="BL82" s="486">
        <f>(BM80&amp;4)*1</f>
      </c>
      <c r="BM82" s="494"/>
      <c r="BN82" s="497"/>
      <c r="BO82" s="480">
        <f>IF(BM80=$AT$17,AS46,IF(BM80=$AT$18,AS53,SUMIFS(PlanVE_PerBook,PlanYear,BM80)/4))</f>
      </c>
      <c r="BP82" s="507">
        <f>IF(AND((LEFT(BL82,4))*1&gt;=$AT$18,BO82=0),NA(),IF($AZ$20=1,BO82/VE+BP81,BO82+BP81))</f>
      </c>
      <c r="BQ82" s="480">
        <f>AY33</f>
      </c>
      <c r="BR82" s="498">
        <f>IF(BL82&gt;=$AU$17,IF(OR(ISNA(BP82),BQ82=""),NA(),BQ82+BR81),0)</f>
      </c>
      <c r="BS82" s="1"/>
      <c r="BT82" s="1"/>
      <c r="BU82" s="1"/>
      <c r="BV82" s="1"/>
      <c r="BW82" s="1"/>
      <c r="BX82" s="1"/>
    </row>
    <row x14ac:dyDescent="0.25" r="83" customHeight="1" ht="12.75">
      <c r="A83" s="227"/>
      <c r="B83" s="227"/>
      <c r="C83" s="227"/>
      <c r="D83" s="227"/>
      <c r="E83" s="227"/>
      <c r="F83" s="227"/>
      <c r="G83" s="227"/>
      <c r="H83" s="227"/>
      <c r="I83" s="227"/>
      <c r="J83" s="227"/>
      <c r="K83" s="227"/>
      <c r="L83" s="227"/>
      <c r="M83" s="227"/>
      <c r="N83" s="227"/>
      <c r="O83" s="227"/>
      <c r="P83" s="491">
        <f>Planning!Q83</f>
      </c>
      <c r="Q83" s="469">
        <f>Planning!T83</f>
      </c>
      <c r="R83" s="470"/>
      <c r="S83" s="471"/>
      <c r="T83" s="470"/>
      <c r="U83" s="471"/>
      <c r="V83" s="470"/>
      <c r="W83" s="471"/>
      <c r="X83" s="470"/>
      <c r="Y83" s="471"/>
      <c r="Z83" s="470"/>
      <c r="AA83" s="471"/>
      <c r="AB83" s="470"/>
      <c r="AC83" s="472"/>
      <c r="AD83" s="345"/>
      <c r="AE83" s="3"/>
      <c r="AF83" s="333"/>
      <c r="AG83" s="2"/>
      <c r="AH83" s="6"/>
      <c r="AI83" s="6"/>
      <c r="AJ83" s="6"/>
      <c r="AK83" s="6"/>
      <c r="AL83" s="6"/>
      <c r="AM83" s="6"/>
      <c r="AN83" s="6"/>
      <c r="AO83" s="6"/>
      <c r="AP83" s="6"/>
      <c r="AQ83" s="3"/>
      <c r="AR83" s="5"/>
      <c r="AS83" s="3"/>
      <c r="AT83" s="3"/>
      <c r="AU83" s="2"/>
      <c r="AV83" s="3"/>
      <c r="AW83" s="3"/>
      <c r="AX83" s="3"/>
      <c r="AY83" s="3"/>
      <c r="AZ83" s="475">
        <f>Planning!U83</f>
      </c>
      <c r="BA83" s="474">
        <f>Planning!U83</f>
      </c>
      <c r="BB83" s="475">
        <f>Planning!V83</f>
      </c>
      <c r="BC83" s="474">
        <f>Planning!V83</f>
      </c>
      <c r="BD83" s="475">
        <f>Planning!W83</f>
      </c>
      <c r="BE83" s="474">
        <f>Planning!W83</f>
      </c>
      <c r="BF83" s="475">
        <f>Planning!X83</f>
      </c>
      <c r="BG83" s="474">
        <f>Planning!X83</f>
      </c>
      <c r="BH83" s="475">
        <f>Planning!Y83</f>
      </c>
      <c r="BI83" s="474">
        <f>Planning!Y83</f>
      </c>
      <c r="BJ83" s="475">
        <f>Planning!Z83</f>
      </c>
      <c r="BK83" s="476">
        <f>Planning!Z83</f>
      </c>
      <c r="BL83" s="477">
        <f>(BM84&amp;1)*1</f>
      </c>
      <c r="BM83" s="489"/>
      <c r="BN83" s="497"/>
      <c r="BO83" s="480">
        <f>IF($BM$84=$AT$17,AS43,IF($BM$84=$AT$18,AS50,$BO$86))</f>
      </c>
      <c r="BP83" s="507">
        <f>IF(AND((LEFT(BL83,4))*1&gt;=$AT$18,BO83=0),NA(),IF($AZ$20=1,BO83/VE+BP82,BO83+BP82))</f>
      </c>
      <c r="BQ83" s="480">
        <f>AV34</f>
      </c>
      <c r="BR83" s="498">
        <f>IF(BL83&gt;=$AU$17,IF(OR(ISNA(BP83),BQ83=""),NA(),BQ83+BR82),0)</f>
      </c>
      <c r="BS83" s="1"/>
      <c r="BT83" s="1"/>
      <c r="BU83" s="1"/>
      <c r="BV83" s="1"/>
      <c r="BW83" s="1"/>
      <c r="BX83" s="1"/>
    </row>
    <row x14ac:dyDescent="0.25" r="84" customHeight="1" ht="12.75">
      <c r="A84" s="227"/>
      <c r="B84" s="227"/>
      <c r="C84" s="227"/>
      <c r="D84" s="227"/>
      <c r="E84" s="227"/>
      <c r="F84" s="227"/>
      <c r="G84" s="227"/>
      <c r="H84" s="227"/>
      <c r="I84" s="227"/>
      <c r="J84" s="227"/>
      <c r="K84" s="227"/>
      <c r="L84" s="227"/>
      <c r="M84" s="227"/>
      <c r="N84" s="227"/>
      <c r="O84" s="227"/>
      <c r="P84" s="491">
        <f>Planning!Q84</f>
      </c>
      <c r="Q84" s="469">
        <f>Planning!T84</f>
      </c>
      <c r="R84" s="470"/>
      <c r="S84" s="471"/>
      <c r="T84" s="470"/>
      <c r="U84" s="471"/>
      <c r="V84" s="470"/>
      <c r="W84" s="471"/>
      <c r="X84" s="470"/>
      <c r="Y84" s="471"/>
      <c r="Z84" s="470"/>
      <c r="AA84" s="471"/>
      <c r="AB84" s="470"/>
      <c r="AC84" s="472"/>
      <c r="AD84" s="345"/>
      <c r="AE84" s="3"/>
      <c r="AF84" s="333"/>
      <c r="AG84" s="2"/>
      <c r="AH84" s="6"/>
      <c r="AI84" s="6"/>
      <c r="AJ84" s="6"/>
      <c r="AK84" s="6"/>
      <c r="AL84" s="6"/>
      <c r="AM84" s="6"/>
      <c r="AN84" s="6"/>
      <c r="AO84" s="6"/>
      <c r="AP84" s="6"/>
      <c r="AQ84" s="3"/>
      <c r="AR84" s="5"/>
      <c r="AS84" s="3"/>
      <c r="AT84" s="3"/>
      <c r="AU84" s="2"/>
      <c r="AV84" s="3"/>
      <c r="AW84" s="3"/>
      <c r="AX84" s="3"/>
      <c r="AY84" s="3"/>
      <c r="AZ84" s="475">
        <f>Planning!U84</f>
      </c>
      <c r="BA84" s="474">
        <f>Planning!U84</f>
      </c>
      <c r="BB84" s="475">
        <f>Planning!V84</f>
      </c>
      <c r="BC84" s="474">
        <f>Planning!V84</f>
      </c>
      <c r="BD84" s="475">
        <f>Planning!W84</f>
      </c>
      <c r="BE84" s="474">
        <f>Planning!W84</f>
      </c>
      <c r="BF84" s="475">
        <f>Planning!X84</f>
      </c>
      <c r="BG84" s="474">
        <f>Planning!X84</f>
      </c>
      <c r="BH84" s="475">
        <f>Planning!Y84</f>
      </c>
      <c r="BI84" s="474">
        <f>Planning!Y84</f>
      </c>
      <c r="BJ84" s="475">
        <f>Planning!Z84</f>
      </c>
      <c r="BK84" s="476">
        <f>Planning!Z84</f>
      </c>
      <c r="BL84" s="483">
        <f>(BM84&amp;2)*1</f>
      </c>
      <c r="BM84" s="492">
        <f>BM80+1</f>
      </c>
      <c r="BN84" s="497"/>
      <c r="BO84" s="480">
        <f>IF($BM$84=$AT$17,AS44,IF($BM$84=$AT$18,AS51,$BO$86))</f>
      </c>
      <c r="BP84" s="507">
        <f>IF(AND((LEFT(BL84,4))*1&gt;=$AT$18,BO84=0),NA(),IF($AZ$20=1,BO84/VE+BP83,BO84+BP83))</f>
      </c>
      <c r="BQ84" s="480">
        <f>AW34</f>
      </c>
      <c r="BR84" s="498">
        <f>IF(BL84&gt;=$AU$17,IF(OR(ISNA(BP84),BQ84=""),NA(),BQ84+BR83),0)</f>
      </c>
      <c r="BS84" s="1"/>
      <c r="BT84" s="1"/>
      <c r="BU84" s="1"/>
      <c r="BV84" s="1"/>
      <c r="BW84" s="1"/>
      <c r="BX84" s="1"/>
    </row>
    <row x14ac:dyDescent="0.25" r="85" customHeight="1" ht="12.75">
      <c r="A85" s="227"/>
      <c r="B85" s="227"/>
      <c r="C85" s="227"/>
      <c r="D85" s="227"/>
      <c r="E85" s="227"/>
      <c r="F85" s="227"/>
      <c r="G85" s="227"/>
      <c r="H85" s="227"/>
      <c r="I85" s="227"/>
      <c r="J85" s="227"/>
      <c r="K85" s="227"/>
      <c r="L85" s="227"/>
      <c r="M85" s="227"/>
      <c r="N85" s="227"/>
      <c r="O85" s="227"/>
      <c r="P85" s="491">
        <f>Planning!Q85</f>
      </c>
      <c r="Q85" s="469">
        <f>Planning!T85</f>
      </c>
      <c r="R85" s="470"/>
      <c r="S85" s="471"/>
      <c r="T85" s="470"/>
      <c r="U85" s="471"/>
      <c r="V85" s="470"/>
      <c r="W85" s="471"/>
      <c r="X85" s="470"/>
      <c r="Y85" s="471"/>
      <c r="Z85" s="470"/>
      <c r="AA85" s="471"/>
      <c r="AB85" s="470"/>
      <c r="AC85" s="472"/>
      <c r="AD85" s="345"/>
      <c r="AE85" s="3"/>
      <c r="AF85" s="333"/>
      <c r="AG85" s="2"/>
      <c r="AH85" s="6"/>
      <c r="AI85" s="6"/>
      <c r="AJ85" s="6"/>
      <c r="AK85" s="6"/>
      <c r="AL85" s="6"/>
      <c r="AM85" s="6"/>
      <c r="AN85" s="6"/>
      <c r="AO85" s="6"/>
      <c r="AP85" s="6"/>
      <c r="AQ85" s="3"/>
      <c r="AR85" s="5"/>
      <c r="AS85" s="3"/>
      <c r="AT85" s="3"/>
      <c r="AU85" s="2"/>
      <c r="AV85" s="3"/>
      <c r="AW85" s="3"/>
      <c r="AX85" s="3"/>
      <c r="AY85" s="3"/>
      <c r="AZ85" s="475">
        <f>Planning!U85</f>
      </c>
      <c r="BA85" s="474">
        <f>Planning!U85</f>
      </c>
      <c r="BB85" s="475">
        <f>Planning!V85</f>
      </c>
      <c r="BC85" s="474">
        <f>Planning!V85</f>
      </c>
      <c r="BD85" s="475">
        <f>Planning!W85</f>
      </c>
      <c r="BE85" s="474">
        <f>Planning!W85</f>
      </c>
      <c r="BF85" s="475">
        <f>Planning!X85</f>
      </c>
      <c r="BG85" s="474">
        <f>Planning!X85</f>
      </c>
      <c r="BH85" s="475">
        <f>Planning!Y85</f>
      </c>
      <c r="BI85" s="474">
        <f>Planning!Y85</f>
      </c>
      <c r="BJ85" s="475">
        <f>Planning!Z85</f>
      </c>
      <c r="BK85" s="476">
        <f>Planning!Z85</f>
      </c>
      <c r="BL85" s="483">
        <f>(BM84&amp;3)*1</f>
      </c>
      <c r="BM85" s="492"/>
      <c r="BN85" s="497"/>
      <c r="BO85" s="480">
        <f>IF($BM$84=$AT$17,AS45,IF($BM$84=$AT$18,AS52,$BO$86))</f>
      </c>
      <c r="BP85" s="507">
        <f>IF(AND((LEFT(BL85,4))*1&gt;=$AT$18,BO85=0),NA(),IF($AZ$20=1,BO85/VE+BP84,BO85+BP84))</f>
      </c>
      <c r="BQ85" s="480">
        <f>AX34</f>
      </c>
      <c r="BR85" s="498">
        <f>IF(BL85&gt;=$AU$17,IF(OR(ISNA(BP85),BQ85=""),NA(),BQ85+BR84),0)</f>
      </c>
      <c r="BS85" s="1"/>
      <c r="BT85" s="1"/>
      <c r="BU85" s="1"/>
      <c r="BV85" s="1"/>
      <c r="BW85" s="1"/>
      <c r="BX85" s="1"/>
    </row>
    <row x14ac:dyDescent="0.25" r="86" customHeight="1" ht="12.75">
      <c r="A86" s="227"/>
      <c r="B86" s="227"/>
      <c r="C86" s="227"/>
      <c r="D86" s="227"/>
      <c r="E86" s="227"/>
      <c r="F86" s="227"/>
      <c r="G86" s="227"/>
      <c r="H86" s="227"/>
      <c r="I86" s="227"/>
      <c r="J86" s="227"/>
      <c r="K86" s="227"/>
      <c r="L86" s="227"/>
      <c r="M86" s="227"/>
      <c r="N86" s="227"/>
      <c r="O86" s="227"/>
      <c r="P86" s="491">
        <f>Planning!Q86</f>
      </c>
      <c r="Q86" s="469">
        <f>Planning!T86</f>
      </c>
      <c r="R86" s="470"/>
      <c r="S86" s="471"/>
      <c r="T86" s="470"/>
      <c r="U86" s="471"/>
      <c r="V86" s="470"/>
      <c r="W86" s="471"/>
      <c r="X86" s="470"/>
      <c r="Y86" s="471"/>
      <c r="Z86" s="470"/>
      <c r="AA86" s="471"/>
      <c r="AB86" s="470"/>
      <c r="AC86" s="472"/>
      <c r="AD86" s="345"/>
      <c r="AE86" s="3"/>
      <c r="AF86" s="333"/>
      <c r="AG86" s="2"/>
      <c r="AH86" s="6"/>
      <c r="AI86" s="6"/>
      <c r="AJ86" s="6"/>
      <c r="AK86" s="6"/>
      <c r="AL86" s="6"/>
      <c r="AM86" s="6"/>
      <c r="AN86" s="6"/>
      <c r="AO86" s="6"/>
      <c r="AP86" s="6"/>
      <c r="AQ86" s="3"/>
      <c r="AR86" s="5"/>
      <c r="AS86" s="3"/>
      <c r="AT86" s="3"/>
      <c r="AU86" s="2"/>
      <c r="AV86" s="3"/>
      <c r="AW86" s="3"/>
      <c r="AX86" s="3"/>
      <c r="AY86" s="3"/>
      <c r="AZ86" s="475">
        <f>Planning!U86</f>
      </c>
      <c r="BA86" s="474">
        <f>Planning!U86</f>
      </c>
      <c r="BB86" s="475">
        <f>Planning!V86</f>
      </c>
      <c r="BC86" s="474">
        <f>Planning!V86</f>
      </c>
      <c r="BD86" s="475">
        <f>Planning!W86</f>
      </c>
      <c r="BE86" s="474">
        <f>Planning!W86</f>
      </c>
      <c r="BF86" s="475">
        <f>Planning!X86</f>
      </c>
      <c r="BG86" s="474">
        <f>Planning!X86</f>
      </c>
      <c r="BH86" s="475">
        <f>Planning!Y86</f>
      </c>
      <c r="BI86" s="474">
        <f>Planning!Y86</f>
      </c>
      <c r="BJ86" s="475">
        <f>Planning!Z86</f>
      </c>
      <c r="BK86" s="476">
        <f>Planning!Z86</f>
      </c>
      <c r="BL86" s="486">
        <f>(BM84&amp;4)*1</f>
      </c>
      <c r="BM86" s="494"/>
      <c r="BN86" s="497"/>
      <c r="BO86" s="480">
        <f>IF(BM84=$AT$17,AS46,IF(BM84=$AT$18,AS53,SUMIFS(PlanVE_PerBook,PlanYear,BM84)/4))</f>
      </c>
      <c r="BP86" s="507">
        <f>IF(AND((LEFT(BL86,4))*1&gt;=$AT$18,BO86=0),NA(),IF($AZ$20=1,BO86/VE+BP85,BO86+BP85))</f>
      </c>
      <c r="BQ86" s="480">
        <f>AY34</f>
      </c>
      <c r="BR86" s="498">
        <f>IF(BL86&gt;=$AU$17,IF(OR(ISNA(BP86),BQ86=""),NA(),BQ86+BR85),0)</f>
      </c>
      <c r="BS86" s="1"/>
      <c r="BT86" s="1"/>
      <c r="BU86" s="1"/>
      <c r="BV86" s="1"/>
      <c r="BW86" s="1"/>
      <c r="BX86" s="1"/>
    </row>
    <row x14ac:dyDescent="0.25" r="87" customHeight="1" ht="12.75">
      <c r="A87" s="227"/>
      <c r="B87" s="227"/>
      <c r="C87" s="227"/>
      <c r="D87" s="227"/>
      <c r="E87" s="227"/>
      <c r="F87" s="227"/>
      <c r="G87" s="227"/>
      <c r="H87" s="227"/>
      <c r="I87" s="227"/>
      <c r="J87" s="227"/>
      <c r="K87" s="227"/>
      <c r="L87" s="227"/>
      <c r="M87" s="227"/>
      <c r="N87" s="227"/>
      <c r="O87" s="227"/>
      <c r="P87" s="491">
        <f>Planning!Q87</f>
      </c>
      <c r="Q87" s="469">
        <f>Planning!T87</f>
      </c>
      <c r="R87" s="470"/>
      <c r="S87" s="471"/>
      <c r="T87" s="470"/>
      <c r="U87" s="471"/>
      <c r="V87" s="470"/>
      <c r="W87" s="471"/>
      <c r="X87" s="470"/>
      <c r="Y87" s="471"/>
      <c r="Z87" s="470"/>
      <c r="AA87" s="471"/>
      <c r="AB87" s="470"/>
      <c r="AC87" s="472"/>
      <c r="AD87" s="345"/>
      <c r="AE87" s="3"/>
      <c r="AF87" s="333"/>
      <c r="AG87" s="2"/>
      <c r="AH87" s="6"/>
      <c r="AI87" s="6"/>
      <c r="AJ87" s="6"/>
      <c r="AK87" s="6"/>
      <c r="AL87" s="6"/>
      <c r="AM87" s="6"/>
      <c r="AN87" s="6"/>
      <c r="AO87" s="6"/>
      <c r="AP87" s="6"/>
      <c r="AQ87" s="3"/>
      <c r="AR87" s="5"/>
      <c r="AS87" s="3"/>
      <c r="AT87" s="3"/>
      <c r="AU87" s="2"/>
      <c r="AV87" s="3"/>
      <c r="AW87" s="3"/>
      <c r="AX87" s="3"/>
      <c r="AY87" s="3"/>
      <c r="AZ87" s="475">
        <f>Planning!U87</f>
      </c>
      <c r="BA87" s="474">
        <f>Planning!U87</f>
      </c>
      <c r="BB87" s="475">
        <f>Planning!V87</f>
      </c>
      <c r="BC87" s="474">
        <f>Planning!V87</f>
      </c>
      <c r="BD87" s="475">
        <f>Planning!W87</f>
      </c>
      <c r="BE87" s="474">
        <f>Planning!W87</f>
      </c>
      <c r="BF87" s="475">
        <f>Planning!X87</f>
      </c>
      <c r="BG87" s="474">
        <f>Planning!X87</f>
      </c>
      <c r="BH87" s="475">
        <f>Planning!Y87</f>
      </c>
      <c r="BI87" s="474">
        <f>Planning!Y87</f>
      </c>
      <c r="BJ87" s="475">
        <f>Planning!Z87</f>
      </c>
      <c r="BK87" s="476">
        <f>Planning!Z87</f>
      </c>
      <c r="BL87" s="477">
        <f>(BM88&amp;1)*1</f>
      </c>
      <c r="BM87" s="489"/>
      <c r="BN87" s="497"/>
      <c r="BO87" s="480">
        <f>IF($BM$88=$AT$17,AS43,IF($BM$88=$AT$18,AS50,$BO$90))</f>
      </c>
      <c r="BP87" s="507">
        <f>IF(AND((LEFT(BL87,4))*1&gt;=$AT$18,BO87=0),NA(),IF($AZ$20=1,BO87/VE+BP86,BO87+BP86))</f>
      </c>
      <c r="BQ87" s="480">
        <f>AV35</f>
      </c>
      <c r="BR87" s="498">
        <f>IF(BL87&gt;=$AU$17,IF(OR(ISNA(BP87),BQ87=""),NA(),BQ87+BR86),0)</f>
      </c>
      <c r="BS87" s="1"/>
      <c r="BT87" s="1"/>
      <c r="BU87" s="1"/>
      <c r="BV87" s="1"/>
      <c r="BW87" s="1"/>
      <c r="BX87" s="1"/>
    </row>
    <row x14ac:dyDescent="0.25" r="88" customHeight="1" ht="12.75">
      <c r="A88" s="227"/>
      <c r="B88" s="227"/>
      <c r="C88" s="227"/>
      <c r="D88" s="227"/>
      <c r="E88" s="227"/>
      <c r="F88" s="227"/>
      <c r="G88" s="227"/>
      <c r="H88" s="227"/>
      <c r="I88" s="227"/>
      <c r="J88" s="227"/>
      <c r="K88" s="227"/>
      <c r="L88" s="227"/>
      <c r="M88" s="227"/>
      <c r="N88" s="227"/>
      <c r="O88" s="227"/>
      <c r="P88" s="491">
        <f>Planning!Q88</f>
      </c>
      <c r="Q88" s="469">
        <f>Planning!T88</f>
      </c>
      <c r="R88" s="470"/>
      <c r="S88" s="471"/>
      <c r="T88" s="470"/>
      <c r="U88" s="471"/>
      <c r="V88" s="470"/>
      <c r="W88" s="471"/>
      <c r="X88" s="470"/>
      <c r="Y88" s="471"/>
      <c r="Z88" s="470"/>
      <c r="AA88" s="471"/>
      <c r="AB88" s="470"/>
      <c r="AC88" s="472"/>
      <c r="AD88" s="345"/>
      <c r="AE88" s="3"/>
      <c r="AF88" s="333"/>
      <c r="AG88" s="2"/>
      <c r="AH88" s="6"/>
      <c r="AI88" s="6"/>
      <c r="AJ88" s="6"/>
      <c r="AK88" s="6"/>
      <c r="AL88" s="6"/>
      <c r="AM88" s="6"/>
      <c r="AN88" s="6"/>
      <c r="AO88" s="6"/>
      <c r="AP88" s="6"/>
      <c r="AQ88" s="3"/>
      <c r="AR88" s="5"/>
      <c r="AS88" s="3"/>
      <c r="AT88" s="3"/>
      <c r="AU88" s="2"/>
      <c r="AV88" s="3"/>
      <c r="AW88" s="3"/>
      <c r="AX88" s="3"/>
      <c r="AY88" s="3"/>
      <c r="AZ88" s="475">
        <f>Planning!U88</f>
      </c>
      <c r="BA88" s="474">
        <f>Planning!U88</f>
      </c>
      <c r="BB88" s="475">
        <f>Planning!V88</f>
      </c>
      <c r="BC88" s="474">
        <f>Planning!V88</f>
      </c>
      <c r="BD88" s="475">
        <f>Planning!W88</f>
      </c>
      <c r="BE88" s="474">
        <f>Planning!W88</f>
      </c>
      <c r="BF88" s="475">
        <f>Planning!X88</f>
      </c>
      <c r="BG88" s="474">
        <f>Planning!X88</f>
      </c>
      <c r="BH88" s="475">
        <f>Planning!Y88</f>
      </c>
      <c r="BI88" s="474">
        <f>Planning!Y88</f>
      </c>
      <c r="BJ88" s="475">
        <f>Planning!Z88</f>
      </c>
      <c r="BK88" s="476">
        <f>Planning!Z88</f>
      </c>
      <c r="BL88" s="483">
        <f>(BM88&amp;2)*1</f>
      </c>
      <c r="BM88" s="492">
        <f>BM84+1</f>
      </c>
      <c r="BN88" s="497"/>
      <c r="BO88" s="480">
        <f>IF($BM$88=$AT$17,AS44,IF($BM$88=$AT$18,AS51,$BO$90))</f>
      </c>
      <c r="BP88" s="507">
        <f>IF(AND((LEFT(BL88,4))*1&gt;=$AT$18,BO88=0),NA(),IF($AZ$20=1,BO88/VE+BP87,BO88+BP87))</f>
      </c>
      <c r="BQ88" s="480">
        <f>AW35</f>
      </c>
      <c r="BR88" s="498">
        <f>IF(BL88&gt;=$AU$17,IF(OR(ISNA(BP88),BQ88=""),NA(),BQ88+BR87),0)</f>
      </c>
      <c r="BS88" s="1"/>
      <c r="BT88" s="1"/>
      <c r="BU88" s="1"/>
      <c r="BV88" s="1"/>
      <c r="BW88" s="1"/>
      <c r="BX88" s="1"/>
    </row>
    <row x14ac:dyDescent="0.25" r="89" customHeight="1" ht="12.75">
      <c r="A89" s="227"/>
      <c r="B89" s="227"/>
      <c r="C89" s="227"/>
      <c r="D89" s="227"/>
      <c r="E89" s="227"/>
      <c r="F89" s="227"/>
      <c r="G89" s="227"/>
      <c r="H89" s="227"/>
      <c r="I89" s="227"/>
      <c r="J89" s="227"/>
      <c r="K89" s="227"/>
      <c r="L89" s="227"/>
      <c r="M89" s="227"/>
      <c r="N89" s="227"/>
      <c r="O89" s="227"/>
      <c r="P89" s="531" t="s">
        <v>307</v>
      </c>
      <c r="Q89" s="532"/>
      <c r="R89" s="533"/>
      <c r="S89" s="534"/>
      <c r="T89" s="533"/>
      <c r="U89" s="534"/>
      <c r="V89" s="533"/>
      <c r="W89" s="534"/>
      <c r="X89" s="533"/>
      <c r="Y89" s="534"/>
      <c r="Z89" s="533"/>
      <c r="AA89" s="534"/>
      <c r="AB89" s="532"/>
      <c r="AC89" s="535"/>
      <c r="AD89" s="228"/>
      <c r="AE89" s="3"/>
      <c r="AF89" s="333"/>
      <c r="AG89" s="2"/>
      <c r="AH89" s="6"/>
      <c r="AI89" s="6"/>
      <c r="AJ89" s="6"/>
      <c r="AK89" s="6"/>
      <c r="AL89" s="6"/>
      <c r="AM89" s="6"/>
      <c r="AN89" s="6"/>
      <c r="AO89" s="6"/>
      <c r="AP89" s="6"/>
      <c r="AQ89" s="3"/>
      <c r="AR89" s="5"/>
      <c r="AS89" s="3"/>
      <c r="AT89" s="3"/>
      <c r="AU89" s="2"/>
      <c r="AV89" s="3"/>
      <c r="AW89" s="3"/>
      <c r="AX89" s="3"/>
      <c r="AY89" s="3"/>
      <c r="AZ89" s="3"/>
      <c r="BA89" s="3"/>
      <c r="BB89" s="3"/>
      <c r="BC89" s="3"/>
      <c r="BD89" s="3"/>
      <c r="BE89" s="3"/>
      <c r="BF89" s="3"/>
      <c r="BG89" s="3"/>
      <c r="BH89" s="3"/>
      <c r="BI89" s="3"/>
      <c r="BJ89" s="475"/>
      <c r="BK89" s="476"/>
      <c r="BL89" s="483">
        <f>(BM88&amp;3)*1</f>
      </c>
      <c r="BM89" s="492"/>
      <c r="BN89" s="497"/>
      <c r="BO89" s="480">
        <f>IF($BM$88=$AT$17,AS45,IF($BM$88=$AT$18,AS52,$BO$90))</f>
      </c>
      <c r="BP89" s="507">
        <f>IF(AND((LEFT(BL89,4))*1&gt;=$AT$18,BO89=0),NA(),IF($AZ$20=1,BO89/VE+BP88,BO89+BP88))</f>
      </c>
      <c r="BQ89" s="480">
        <f>AX35</f>
      </c>
      <c r="BR89" s="498">
        <f>IF(BL89&gt;=$AU$17,IF(OR(ISNA(BP89),BQ89=""),NA(),BQ89+BR88),0)</f>
      </c>
      <c r="BS89" s="1"/>
      <c r="BT89" s="1"/>
      <c r="BU89" s="1"/>
      <c r="BV89" s="1"/>
      <c r="BW89" s="1"/>
      <c r="BX89" s="1"/>
    </row>
    <row x14ac:dyDescent="0.25" r="90" customHeight="1" ht="12.75">
      <c r="A90" s="227"/>
      <c r="B90" s="227"/>
      <c r="C90" s="227"/>
      <c r="D90" s="227"/>
      <c r="E90" s="227"/>
      <c r="F90" s="227"/>
      <c r="G90" s="227"/>
      <c r="H90" s="227"/>
      <c r="I90" s="227"/>
      <c r="J90" s="227"/>
      <c r="K90" s="227"/>
      <c r="L90" s="227"/>
      <c r="M90" s="227"/>
      <c r="N90" s="227"/>
      <c r="O90" s="227"/>
      <c r="P90" s="536">
        <f>IF(ISBLANK(Planning!Q93),"",Planning!Q93)</f>
      </c>
      <c r="Q90" s="537"/>
      <c r="R90" s="538"/>
      <c r="S90" s="539"/>
      <c r="T90" s="538"/>
      <c r="U90" s="539"/>
      <c r="V90" s="538"/>
      <c r="W90" s="539"/>
      <c r="X90" s="538"/>
      <c r="Y90" s="540"/>
      <c r="Z90" s="538"/>
      <c r="AA90" s="541"/>
      <c r="AB90" s="542"/>
      <c r="AC90" s="472"/>
      <c r="AD90" s="228"/>
      <c r="AE90" s="3"/>
      <c r="AF90" s="333"/>
      <c r="AG90" s="2"/>
      <c r="AH90" s="6"/>
      <c r="AI90" s="6"/>
      <c r="AJ90" s="6"/>
      <c r="AK90" s="6"/>
      <c r="AL90" s="6"/>
      <c r="AM90" s="6"/>
      <c r="AN90" s="6"/>
      <c r="AO90" s="6"/>
      <c r="AP90" s="6"/>
      <c r="AQ90" s="3"/>
      <c r="AR90" s="5"/>
      <c r="AS90" s="3"/>
      <c r="AT90" s="3"/>
      <c r="AU90" s="2"/>
      <c r="AV90" s="3"/>
      <c r="AW90" s="3"/>
      <c r="AX90" s="3"/>
      <c r="AY90" s="3"/>
      <c r="AZ90" s="3"/>
      <c r="BA90" s="3"/>
      <c r="BB90" s="3"/>
      <c r="BC90" s="3"/>
      <c r="BD90" s="3"/>
      <c r="BE90" s="3"/>
      <c r="BF90" s="3"/>
      <c r="BG90" s="3"/>
      <c r="BH90" s="3"/>
      <c r="BI90" s="3"/>
      <c r="BJ90" s="475">
        <f>Planning!Z93</f>
      </c>
      <c r="BK90" s="476">
        <f>Planning!Z93</f>
      </c>
      <c r="BL90" s="486">
        <f>(BM88&amp;4)*1</f>
      </c>
      <c r="BM90" s="494"/>
      <c r="BN90" s="497"/>
      <c r="BO90" s="480">
        <f>IF(BM88=$AT$17,AS46,IF(BM88=$AT$18,AS53,SUMIFS(PlanVE_PerBook,PlanYear,BM88)/4))</f>
      </c>
      <c r="BP90" s="507">
        <f>IF(AND((LEFT(BL90,4))*1&gt;=$AT$18,BO90=0),NA(),IF($AZ$20=1,BO90/VE+BP89,BO90+BP89))</f>
      </c>
      <c r="BQ90" s="480">
        <f>AY35</f>
      </c>
      <c r="BR90" s="498">
        <f>IF(BL90&gt;=$AU$17,IF(OR(ISNA(BP90),BQ90=""),NA(),BQ90+BR89),0)</f>
      </c>
      <c r="BS90" s="1"/>
      <c r="BT90" s="1"/>
      <c r="BU90" s="1"/>
      <c r="BV90" s="1"/>
      <c r="BW90" s="1"/>
      <c r="BX90" s="1"/>
    </row>
    <row x14ac:dyDescent="0.25" r="91" customHeight="1" ht="12.75">
      <c r="A91" s="227"/>
      <c r="B91" s="227"/>
      <c r="C91" s="227"/>
      <c r="D91" s="227"/>
      <c r="E91" s="227"/>
      <c r="F91" s="227"/>
      <c r="G91" s="227"/>
      <c r="H91" s="227"/>
      <c r="I91" s="227"/>
      <c r="J91" s="227"/>
      <c r="K91" s="227"/>
      <c r="L91" s="227"/>
      <c r="M91" s="227"/>
      <c r="N91" s="227"/>
      <c r="O91" s="227"/>
      <c r="P91" s="543">
        <f>IF(ISBLANK(Planning!Q94),"",Planning!Q94)</f>
      </c>
      <c r="Q91" s="544"/>
      <c r="R91" s="545"/>
      <c r="S91" s="546"/>
      <c r="T91" s="545"/>
      <c r="U91" s="546"/>
      <c r="V91" s="545"/>
      <c r="W91" s="546"/>
      <c r="X91" s="545"/>
      <c r="Y91" s="547"/>
      <c r="Z91" s="545"/>
      <c r="AA91" s="548"/>
      <c r="AB91" s="542"/>
      <c r="AC91" s="472"/>
      <c r="AD91" s="228"/>
      <c r="AE91" s="3"/>
      <c r="AF91" s="333"/>
      <c r="AG91" s="2"/>
      <c r="AH91" s="6"/>
      <c r="AI91" s="6"/>
      <c r="AJ91" s="6"/>
      <c r="AK91" s="6"/>
      <c r="AL91" s="6"/>
      <c r="AM91" s="6"/>
      <c r="AN91" s="6"/>
      <c r="AO91" s="6"/>
      <c r="AP91" s="6"/>
      <c r="AQ91" s="3"/>
      <c r="AR91" s="5"/>
      <c r="AS91" s="3"/>
      <c r="AT91" s="3"/>
      <c r="AU91" s="2"/>
      <c r="AV91" s="3"/>
      <c r="AW91" s="3"/>
      <c r="AX91" s="3"/>
      <c r="AY91" s="3"/>
      <c r="AZ91" s="3"/>
      <c r="BA91" s="3"/>
      <c r="BB91" s="3"/>
      <c r="BC91" s="3"/>
      <c r="BD91" s="3"/>
      <c r="BE91" s="3"/>
      <c r="BF91" s="3"/>
      <c r="BG91" s="3"/>
      <c r="BH91" s="3"/>
      <c r="BI91" s="3"/>
      <c r="BJ91" s="475">
        <f>Planning!Z94</f>
      </c>
      <c r="BK91" s="476">
        <f>Planning!Z94</f>
      </c>
      <c r="BL91" s="477">
        <f>(BM92&amp;1)*1</f>
      </c>
      <c r="BM91" s="489"/>
      <c r="BN91" s="497"/>
      <c r="BO91" s="480">
        <f>IF($BM$92=$AT$17,AS43,IF($BM$92=$AT$18,AS50,$BO$94))</f>
      </c>
      <c r="BP91" s="507">
        <f>IF(AND((LEFT(BL91,4))*1&gt;=$AT$18,BO91=0),NA(),IF($AZ$20=1,BO91/VE+BP90,BO91+BP90))</f>
      </c>
      <c r="BQ91" s="480">
        <f>AV36</f>
      </c>
      <c r="BR91" s="498">
        <f>IF(BL91&gt;=$AU$17,IF(OR(ISNA(BP91),BQ91=""),NA(),BQ91+BR90),0)</f>
      </c>
      <c r="BS91" s="1"/>
      <c r="BT91" s="1"/>
      <c r="BU91" s="1"/>
      <c r="BV91" s="1"/>
      <c r="BW91" s="1"/>
      <c r="BX91" s="1"/>
    </row>
    <row x14ac:dyDescent="0.25" r="92" customHeight="1" ht="12.75">
      <c r="A92" s="227"/>
      <c r="B92" s="227"/>
      <c r="C92" s="227"/>
      <c r="D92" s="227"/>
      <c r="E92" s="227"/>
      <c r="F92" s="227"/>
      <c r="G92" s="227"/>
      <c r="H92" s="227"/>
      <c r="I92" s="227"/>
      <c r="J92" s="227"/>
      <c r="K92" s="227"/>
      <c r="L92" s="227"/>
      <c r="M92" s="227"/>
      <c r="N92" s="227"/>
      <c r="O92" s="227"/>
      <c r="P92" s="543">
        <f>IF(ISBLANK(Planning!Q95),"",Planning!Q95)</f>
      </c>
      <c r="Q92" s="544"/>
      <c r="R92" s="545"/>
      <c r="S92" s="546"/>
      <c r="T92" s="545"/>
      <c r="U92" s="546"/>
      <c r="V92" s="545"/>
      <c r="W92" s="546"/>
      <c r="X92" s="545"/>
      <c r="Y92" s="547"/>
      <c r="Z92" s="545"/>
      <c r="AA92" s="548"/>
      <c r="AB92" s="542"/>
      <c r="AC92" s="472"/>
      <c r="AD92" s="228"/>
      <c r="AE92" s="3"/>
      <c r="AF92" s="333"/>
      <c r="AG92" s="2"/>
      <c r="AH92" s="6"/>
      <c r="AI92" s="6"/>
      <c r="AJ92" s="6"/>
      <c r="AK92" s="6"/>
      <c r="AL92" s="6"/>
      <c r="AM92" s="6"/>
      <c r="AN92" s="6"/>
      <c r="AO92" s="6"/>
      <c r="AP92" s="6"/>
      <c r="AQ92" s="3"/>
      <c r="AR92" s="5"/>
      <c r="AS92" s="3"/>
      <c r="AT92" s="3"/>
      <c r="AU92" s="2"/>
      <c r="AV92" s="3"/>
      <c r="AW92" s="3"/>
      <c r="AX92" s="3"/>
      <c r="AY92" s="3"/>
      <c r="AZ92" s="3"/>
      <c r="BA92" s="3"/>
      <c r="BB92" s="3"/>
      <c r="BC92" s="3"/>
      <c r="BD92" s="3"/>
      <c r="BE92" s="3"/>
      <c r="BF92" s="3"/>
      <c r="BG92" s="3"/>
      <c r="BH92" s="3"/>
      <c r="BI92" s="3"/>
      <c r="BJ92" s="475">
        <f>Planning!Z95</f>
      </c>
      <c r="BK92" s="476">
        <f>Planning!Z95</f>
      </c>
      <c r="BL92" s="483">
        <f>(BM92&amp;2)*1</f>
      </c>
      <c r="BM92" s="492">
        <f>BM88+1</f>
      </c>
      <c r="BN92" s="497"/>
      <c r="BO92" s="480">
        <f>IF($BM$92=$AT$17,AS44,IF($BM$92=$AT$18,AS51,$BO$94))</f>
      </c>
      <c r="BP92" s="549">
        <f>IF(AND((LEFT(BL92,4))*1&gt;=$AT$18,BO92=0),NA(),IF($AZ$20=1,BO92/VE+BP91,BO92+BP91))</f>
      </c>
      <c r="BQ92" s="480">
        <f>AW36</f>
      </c>
      <c r="BR92" s="498">
        <f>IF(BL92&gt;=$AU$17,IF(OR(ISNA(BP92),BQ92=""),NA(),BQ92+BR91),0)</f>
      </c>
      <c r="BS92" s="1"/>
      <c r="BT92" s="1"/>
      <c r="BU92" s="1"/>
      <c r="BV92" s="1"/>
      <c r="BW92" s="1"/>
      <c r="BX92" s="1"/>
    </row>
    <row x14ac:dyDescent="0.25" r="93" customHeight="1" ht="12.75">
      <c r="A93" s="227"/>
      <c r="B93" s="227"/>
      <c r="C93" s="227"/>
      <c r="D93" s="227"/>
      <c r="E93" s="227"/>
      <c r="F93" s="227"/>
      <c r="G93" s="227"/>
      <c r="H93" s="227"/>
      <c r="I93" s="227"/>
      <c r="J93" s="227"/>
      <c r="K93" s="227"/>
      <c r="L93" s="227"/>
      <c r="M93" s="227"/>
      <c r="N93" s="227"/>
      <c r="O93" s="227"/>
      <c r="P93" s="543">
        <f>IF(ISBLANK(Planning!Q96),"",Planning!Q96)</f>
      </c>
      <c r="Q93" s="544"/>
      <c r="R93" s="545"/>
      <c r="S93" s="546"/>
      <c r="T93" s="545"/>
      <c r="U93" s="546"/>
      <c r="V93" s="545"/>
      <c r="W93" s="546"/>
      <c r="X93" s="545"/>
      <c r="Y93" s="547"/>
      <c r="Z93" s="545"/>
      <c r="AA93" s="548"/>
      <c r="AB93" s="542"/>
      <c r="AC93" s="472"/>
      <c r="AD93" s="228"/>
      <c r="AE93" s="3"/>
      <c r="AF93" s="333"/>
      <c r="AG93" s="2"/>
      <c r="AH93" s="6"/>
      <c r="AI93" s="6"/>
      <c r="AJ93" s="6"/>
      <c r="AK93" s="6"/>
      <c r="AL93" s="6"/>
      <c r="AM93" s="6"/>
      <c r="AN93" s="6"/>
      <c r="AO93" s="6"/>
      <c r="AP93" s="6"/>
      <c r="AQ93" s="3"/>
      <c r="AR93" s="5"/>
      <c r="AS93" s="3"/>
      <c r="AT93" s="3"/>
      <c r="AU93" s="2"/>
      <c r="AV93" s="3"/>
      <c r="AW93" s="3"/>
      <c r="AX93" s="3"/>
      <c r="AY93" s="3"/>
      <c r="AZ93" s="3"/>
      <c r="BA93" s="3"/>
      <c r="BB93" s="3"/>
      <c r="BC93" s="3"/>
      <c r="BD93" s="3"/>
      <c r="BE93" s="3"/>
      <c r="BF93" s="3"/>
      <c r="BG93" s="3"/>
      <c r="BH93" s="3"/>
      <c r="BI93" s="3"/>
      <c r="BJ93" s="475">
        <f>Planning!Z96</f>
      </c>
      <c r="BK93" s="476">
        <f>Planning!Z96</f>
      </c>
      <c r="BL93" s="483">
        <f>(BM92&amp;3)*1</f>
      </c>
      <c r="BM93" s="492"/>
      <c r="BN93" s="497"/>
      <c r="BO93" s="480">
        <f>IF($BM$92=$AT$17,AS45,IF($BM$92=$AT$18,AS52,$BO$94))</f>
      </c>
      <c r="BP93" s="549">
        <f>IF(AND((LEFT(BL93,4))*1&gt;=$AT$18,BO93=0),NA(),IF($AZ$20=1,BO93/VE+BP92,BO93+BP92))</f>
      </c>
      <c r="BQ93" s="480">
        <f>AX36</f>
      </c>
      <c r="BR93" s="498">
        <f>IF(BL93&gt;=$AU$17,IF(OR(ISNA(BP93),BQ93=""),NA(),BQ93+BR92),0)</f>
      </c>
      <c r="BS93" s="1"/>
      <c r="BT93" s="1"/>
      <c r="BU93" s="1"/>
      <c r="BV93" s="1"/>
      <c r="BW93" s="1"/>
      <c r="BX93" s="1"/>
    </row>
    <row x14ac:dyDescent="0.25" r="94" customHeight="1" ht="17.25">
      <c r="A94" s="227"/>
      <c r="B94" s="227"/>
      <c r="C94" s="227"/>
      <c r="D94" s="227"/>
      <c r="E94" s="227"/>
      <c r="F94" s="227"/>
      <c r="G94" s="227"/>
      <c r="H94" s="227"/>
      <c r="I94" s="227"/>
      <c r="J94" s="227"/>
      <c r="K94" s="227"/>
      <c r="L94" s="227"/>
      <c r="M94" s="227"/>
      <c r="N94" s="227"/>
      <c r="O94" s="227"/>
      <c r="P94" s="543">
        <f>IF(ISBLANK(Planning!Q97),"",Planning!Q97)</f>
      </c>
      <c r="Q94" s="544"/>
      <c r="R94" s="545"/>
      <c r="S94" s="546"/>
      <c r="T94" s="545"/>
      <c r="U94" s="546"/>
      <c r="V94" s="545"/>
      <c r="W94" s="546"/>
      <c r="X94" s="545"/>
      <c r="Y94" s="547"/>
      <c r="Z94" s="545"/>
      <c r="AA94" s="548"/>
      <c r="AB94" s="542"/>
      <c r="AC94" s="472"/>
      <c r="AD94" s="228"/>
      <c r="AE94" s="3"/>
      <c r="AF94" s="333"/>
      <c r="AG94" s="2"/>
      <c r="AH94" s="6"/>
      <c r="AI94" s="6"/>
      <c r="AJ94" s="6"/>
      <c r="AK94" s="6"/>
      <c r="AL94" s="6"/>
      <c r="AM94" s="6"/>
      <c r="AN94" s="6"/>
      <c r="AO94" s="6"/>
      <c r="AP94" s="6"/>
      <c r="AQ94" s="3"/>
      <c r="AR94" s="5"/>
      <c r="AS94" s="3"/>
      <c r="AT94" s="3"/>
      <c r="AU94" s="2"/>
      <c r="AV94" s="3"/>
      <c r="AW94" s="3"/>
      <c r="AX94" s="3"/>
      <c r="AY94" s="3"/>
      <c r="AZ94" s="3"/>
      <c r="BA94" s="3"/>
      <c r="BB94" s="3"/>
      <c r="BC94" s="3"/>
      <c r="BD94" s="3"/>
      <c r="BE94" s="3"/>
      <c r="BF94" s="3"/>
      <c r="BG94" s="3"/>
      <c r="BH94" s="3"/>
      <c r="BI94" s="3"/>
      <c r="BJ94" s="475">
        <f>Planning!Z97</f>
      </c>
      <c r="BK94" s="476">
        <f>Planning!Z97</f>
      </c>
      <c r="BL94" s="486">
        <f>(BM92&amp;4)*1</f>
      </c>
      <c r="BM94" s="494"/>
      <c r="BN94" s="497"/>
      <c r="BO94" s="480">
        <f>IF(BM92=$AT$17,AS46,IF(BM92=$AT$18,AS53,SUMIFS(PlanVE_PerBook,PlanYear,BM92)/4))</f>
      </c>
      <c r="BP94" s="549">
        <f>IF(AND((LEFT(BL94,4))*1&gt;=$AT$18,BO94=0),NA(),IF($AZ$20=1,BO94/VE+BP93,BO94+BP93))</f>
      </c>
      <c r="BQ94" s="480">
        <f>AY36</f>
      </c>
      <c r="BR94" s="498">
        <f>IF(BL94&gt;=$AU$17,IF(OR(ISNA(BP94),BQ94=""),NA(),BQ94+BR93),0)</f>
      </c>
      <c r="BS94" s="1"/>
      <c r="BT94" s="1"/>
      <c r="BU94" s="1"/>
      <c r="BV94" s="1"/>
      <c r="BW94" s="1"/>
      <c r="BX94" s="1"/>
    </row>
    <row x14ac:dyDescent="0.25" r="95" customHeight="1" ht="17.25">
      <c r="A95" s="227"/>
      <c r="B95" s="227"/>
      <c r="C95" s="227"/>
      <c r="D95" s="227"/>
      <c r="E95" s="227"/>
      <c r="F95" s="227"/>
      <c r="G95" s="227"/>
      <c r="H95" s="227"/>
      <c r="I95" s="227"/>
      <c r="J95" s="227"/>
      <c r="K95" s="227"/>
      <c r="L95" s="227"/>
      <c r="M95" s="227"/>
      <c r="N95" s="227"/>
      <c r="O95" s="227"/>
      <c r="P95" s="550"/>
      <c r="Q95" s="550"/>
      <c r="R95" s="551"/>
      <c r="S95" s="552"/>
      <c r="T95" s="551"/>
      <c r="U95" s="552"/>
      <c r="V95" s="551"/>
      <c r="W95" s="552"/>
      <c r="X95" s="551"/>
      <c r="Y95" s="552"/>
      <c r="Z95" s="551"/>
      <c r="AA95" s="552"/>
      <c r="AB95" s="553"/>
      <c r="AC95" s="554"/>
      <c r="AD95" s="228"/>
      <c r="AE95" s="3"/>
      <c r="AF95" s="333"/>
      <c r="AG95" s="2"/>
      <c r="AH95" s="6"/>
      <c r="AI95" s="6"/>
      <c r="AJ95" s="6"/>
      <c r="AK95" s="6"/>
      <c r="AL95" s="6"/>
      <c r="AM95" s="6"/>
      <c r="AN95" s="6"/>
      <c r="AO95" s="6"/>
      <c r="AP95" s="6"/>
      <c r="AQ95" s="3"/>
      <c r="AR95" s="5"/>
      <c r="AS95" s="3"/>
      <c r="AT95" s="3"/>
      <c r="AU95" s="2"/>
      <c r="AV95" s="3"/>
      <c r="AW95" s="3"/>
      <c r="AX95" s="3"/>
      <c r="AY95" s="3"/>
      <c r="AZ95" s="3"/>
      <c r="BA95" s="3"/>
      <c r="BB95" s="3"/>
      <c r="BC95" s="3"/>
      <c r="BD95" s="3"/>
      <c r="BE95" s="3"/>
      <c r="BF95" s="3"/>
      <c r="BG95" s="3"/>
      <c r="BH95" s="3"/>
      <c r="BI95" s="3"/>
      <c r="BJ95" s="3"/>
      <c r="BK95" s="3"/>
      <c r="BL95" s="477">
        <f>(BM96&amp;1)*1</f>
      </c>
      <c r="BM95" s="489"/>
      <c r="BN95" s="497"/>
      <c r="BO95" s="480">
        <f>IF($BM$96=$AT$17,AS43,IF($BM$96=$AT$18,AS50,$BO$98))</f>
      </c>
      <c r="BP95" s="549">
        <f>IF(AND((LEFT(BL95,4))*1&gt;=$AT$18,BO95=0),NA(),IF($AZ$20=1,BO95/VE+BP94,BO95+BP94))</f>
      </c>
      <c r="BQ95" s="480">
        <f>AV38</f>
      </c>
      <c r="BR95" s="498">
        <f>IF(BL95&gt;=$AU$17,IF(OR(ISNA(BP95),BQ95=""),NA(),BQ95+BR94),0)</f>
      </c>
      <c r="BS95" s="1"/>
      <c r="BT95" s="1"/>
      <c r="BU95" s="1"/>
      <c r="BV95" s="1"/>
      <c r="BW95" s="1"/>
      <c r="BX95" s="1"/>
    </row>
    <row x14ac:dyDescent="0.25" r="96" customHeight="1" ht="12.5">
      <c r="A96" s="227"/>
      <c r="B96" s="227"/>
      <c r="C96" s="227"/>
      <c r="D96" s="227"/>
      <c r="E96" s="227"/>
      <c r="F96" s="227"/>
      <c r="G96" s="227"/>
      <c r="H96" s="227"/>
      <c r="I96" s="227"/>
      <c r="J96" s="227"/>
      <c r="K96" s="227"/>
      <c r="L96" s="227"/>
      <c r="M96" s="227"/>
      <c r="N96" s="227"/>
      <c r="O96" s="227"/>
      <c r="P96" s="555" t="s">
        <v>308</v>
      </c>
      <c r="Q96" s="556"/>
      <c r="R96" s="557"/>
      <c r="S96" s="558"/>
      <c r="T96" s="557"/>
      <c r="U96" s="558"/>
      <c r="V96" s="557"/>
      <c r="W96" s="558"/>
      <c r="X96" s="557"/>
      <c r="Y96" s="558"/>
      <c r="Z96" s="557"/>
      <c r="AA96" s="558"/>
      <c r="AB96" s="556"/>
      <c r="AC96" s="559"/>
      <c r="AD96" s="228"/>
      <c r="AE96" s="3"/>
      <c r="AF96" s="333"/>
      <c r="AG96" s="2"/>
      <c r="AH96" s="6"/>
      <c r="AI96" s="6"/>
      <c r="AJ96" s="6"/>
      <c r="AK96" s="6"/>
      <c r="AL96" s="6"/>
      <c r="AM96" s="6"/>
      <c r="AN96" s="6"/>
      <c r="AO96" s="6"/>
      <c r="AP96" s="6"/>
      <c r="AQ96" s="3"/>
      <c r="AR96" s="5"/>
      <c r="AS96" s="3"/>
      <c r="AT96" s="3"/>
      <c r="AU96" s="2"/>
      <c r="AV96" s="3"/>
      <c r="AW96" s="3"/>
      <c r="AX96" s="3"/>
      <c r="AY96" s="3"/>
      <c r="AZ96" s="3"/>
      <c r="BA96" s="3"/>
      <c r="BB96" s="3"/>
      <c r="BC96" s="3"/>
      <c r="BD96" s="3"/>
      <c r="BE96" s="3"/>
      <c r="BF96" s="3"/>
      <c r="BG96" s="3"/>
      <c r="BH96" s="3"/>
      <c r="BI96" s="3"/>
      <c r="BJ96" s="3"/>
      <c r="BK96" s="3"/>
      <c r="BL96" s="483">
        <f>(BM96&amp;2)*1</f>
      </c>
      <c r="BM96" s="492">
        <f>BM92+1</f>
      </c>
      <c r="BN96" s="497"/>
      <c r="BO96" s="480">
        <f>IF($BM$96=$AT$17,AS44,IF($BM$96=$AT$18,AS51,$BO$98))</f>
      </c>
      <c r="BP96" s="549">
        <f>IF(AND((LEFT(BL96,4))*1&gt;=$AT$18,BO96=0),NA(),IF($AZ$20=1,BO96/VE+BP95,BO96+BP95))</f>
      </c>
      <c r="BQ96" s="480">
        <f>AW38</f>
      </c>
      <c r="BR96" s="498">
        <f>IF(BL96&gt;=$AU$17,IF(OR(ISNA(BP96),BQ96=""),NA(),BQ96+BR95),0)</f>
      </c>
      <c r="BS96" s="1"/>
      <c r="BT96" s="1"/>
      <c r="BU96" s="1"/>
      <c r="BV96" s="1"/>
      <c r="BW96" s="1"/>
      <c r="BX96" s="1"/>
    </row>
    <row x14ac:dyDescent="0.25" r="97" customHeight="1" ht="13">
      <c r="A97" s="227"/>
      <c r="B97" s="227"/>
      <c r="C97" s="227"/>
      <c r="D97" s="227"/>
      <c r="E97" s="227"/>
      <c r="F97" s="227"/>
      <c r="G97" s="227"/>
      <c r="H97" s="227"/>
      <c r="I97" s="227"/>
      <c r="J97" s="227"/>
      <c r="K97" s="227"/>
      <c r="L97" s="227"/>
      <c r="M97" s="227"/>
      <c r="N97" s="227"/>
      <c r="O97" s="227"/>
      <c r="P97" s="560"/>
      <c r="Q97" s="561"/>
      <c r="R97" s="562"/>
      <c r="S97" s="563"/>
      <c r="T97" s="562"/>
      <c r="U97" s="563"/>
      <c r="V97" s="562"/>
      <c r="W97" s="563"/>
      <c r="X97" s="562"/>
      <c r="Y97" s="563"/>
      <c r="Z97" s="562"/>
      <c r="AA97" s="563"/>
      <c r="AB97" s="561"/>
      <c r="AC97" s="564"/>
      <c r="AD97" s="228"/>
      <c r="AE97" s="3"/>
      <c r="AF97" s="333"/>
      <c r="AG97" s="2"/>
      <c r="AH97" s="6"/>
      <c r="AI97" s="6"/>
      <c r="AJ97" s="6"/>
      <c r="AK97" s="6"/>
      <c r="AL97" s="6"/>
      <c r="AM97" s="6"/>
      <c r="AN97" s="6"/>
      <c r="AO97" s="6"/>
      <c r="AP97" s="6"/>
      <c r="AQ97" s="3"/>
      <c r="AR97" s="5"/>
      <c r="AS97" s="3"/>
      <c r="AT97" s="3"/>
      <c r="AU97" s="2"/>
      <c r="AV97" s="3"/>
      <c r="AW97" s="3"/>
      <c r="AX97" s="3"/>
      <c r="AY97" s="3"/>
      <c r="AZ97" s="3"/>
      <c r="BA97" s="3"/>
      <c r="BB97" s="3"/>
      <c r="BC97" s="3"/>
      <c r="BD97" s="3"/>
      <c r="BE97" s="3"/>
      <c r="BF97" s="3"/>
      <c r="BG97" s="3"/>
      <c r="BH97" s="3"/>
      <c r="BI97" s="3"/>
      <c r="BJ97" s="3"/>
      <c r="BK97" s="3"/>
      <c r="BL97" s="483">
        <f>(BM96&amp;3)*1</f>
      </c>
      <c r="BM97" s="492"/>
      <c r="BN97" s="497"/>
      <c r="BO97" s="480">
        <f>IF($BM$96=$AT$17,AS45,IF($BM$96=$AT$18,AS52,$BO$98))</f>
      </c>
      <c r="BP97" s="549">
        <f>IF(AND((LEFT(BL97,4))*1&gt;=$AT$18,BO97=0),NA(),IF($AZ$20=1,BO97/VE+BP96,BO97+BP96))</f>
      </c>
      <c r="BQ97" s="480">
        <f>AX38</f>
      </c>
      <c r="BR97" s="498">
        <f>IF(BL97&gt;=$AU$17,IF(OR(ISNA(BP97),BQ97=""),NA(),BQ97+BR96),0)</f>
      </c>
      <c r="BS97" s="1"/>
      <c r="BT97" s="1"/>
      <c r="BU97" s="1"/>
      <c r="BV97" s="1"/>
      <c r="BW97" s="1"/>
      <c r="BX97" s="1"/>
    </row>
    <row x14ac:dyDescent="0.25" r="98" customHeight="1" ht="15">
      <c r="A98" s="227"/>
      <c r="B98" s="227"/>
      <c r="C98" s="227"/>
      <c r="D98" s="227"/>
      <c r="E98" s="227"/>
      <c r="F98" s="227"/>
      <c r="G98" s="227"/>
      <c r="H98" s="227"/>
      <c r="I98" s="227"/>
      <c r="J98" s="227"/>
      <c r="K98" s="227"/>
      <c r="L98" s="227"/>
      <c r="M98" s="227"/>
      <c r="N98" s="227"/>
      <c r="O98" s="227"/>
      <c r="P98" s="565"/>
      <c r="Q98" s="566"/>
      <c r="R98" s="567"/>
      <c r="S98" s="568"/>
      <c r="T98" s="567"/>
      <c r="U98" s="568"/>
      <c r="V98" s="567"/>
      <c r="W98" s="568"/>
      <c r="X98" s="567"/>
      <c r="Y98" s="568"/>
      <c r="Z98" s="567"/>
      <c r="AA98" s="568"/>
      <c r="AB98" s="566"/>
      <c r="AC98" s="569"/>
      <c r="AD98" s="228"/>
      <c r="AE98" s="3"/>
      <c r="AF98" s="333"/>
      <c r="AG98" s="2"/>
      <c r="AH98" s="6"/>
      <c r="AI98" s="6"/>
      <c r="AJ98" s="6"/>
      <c r="AK98" s="6"/>
      <c r="AL98" s="6"/>
      <c r="AM98" s="6"/>
      <c r="AN98" s="6"/>
      <c r="AO98" s="6"/>
      <c r="AP98" s="6"/>
      <c r="AQ98" s="3"/>
      <c r="AR98" s="5"/>
      <c r="AS98" s="3"/>
      <c r="AT98" s="3"/>
      <c r="AU98" s="2"/>
      <c r="AV98" s="3"/>
      <c r="AW98" s="3"/>
      <c r="AX98" s="3"/>
      <c r="AY98" s="3"/>
      <c r="AZ98" s="3"/>
      <c r="BA98" s="3"/>
      <c r="BB98" s="3"/>
      <c r="BC98" s="3"/>
      <c r="BD98" s="3"/>
      <c r="BE98" s="3"/>
      <c r="BF98" s="3"/>
      <c r="BG98" s="3"/>
      <c r="BH98" s="3"/>
      <c r="BI98" s="3"/>
      <c r="BJ98" s="3"/>
      <c r="BK98" s="3"/>
      <c r="BL98" s="486">
        <f>(BM96&amp;4)*1</f>
      </c>
      <c r="BM98" s="494"/>
      <c r="BN98" s="497"/>
      <c r="BO98" s="480">
        <f>IF(BM96=$AT$17,AS46,IF(BM96=$AT$18,AS53,SUMIFS(PlanVE_PerBook,PlanYear,BM96)/4))</f>
      </c>
      <c r="BP98" s="549">
        <f>IF(AND((LEFT(BL98,4))*1&gt;=$AT$18,BO98=0),NA(),IF($AZ$20=1,BO98/VE+BP97,BO98+BP97))</f>
      </c>
      <c r="BQ98" s="480">
        <f>AY38</f>
      </c>
      <c r="BR98" s="498">
        <f>IF(BL98&gt;=$AU$17,IF(OR(ISNA(BP98),BQ98=""),NA(),BQ98+BR97),0)</f>
      </c>
      <c r="BS98" s="1"/>
      <c r="BT98" s="1"/>
      <c r="BU98" s="1"/>
      <c r="BV98" s="1"/>
      <c r="BW98" s="1"/>
      <c r="BX98" s="1"/>
    </row>
    <row x14ac:dyDescent="0.25" r="99" customHeight="1" ht="14.5">
      <c r="A99" s="227"/>
      <c r="B99" s="227"/>
      <c r="C99" s="227"/>
      <c r="D99" s="227"/>
      <c r="E99" s="227"/>
      <c r="F99" s="227"/>
      <c r="G99" s="227"/>
      <c r="H99" s="227"/>
      <c r="I99" s="227"/>
      <c r="J99" s="227"/>
      <c r="K99" s="227"/>
      <c r="L99" s="227"/>
      <c r="M99" s="227"/>
      <c r="N99" s="227"/>
      <c r="O99" s="227"/>
      <c r="P99" s="570"/>
      <c r="Q99" s="571"/>
      <c r="R99" s="572"/>
      <c r="S99" s="573"/>
      <c r="T99" s="572"/>
      <c r="U99" s="573"/>
      <c r="V99" s="572"/>
      <c r="W99" s="573"/>
      <c r="X99" s="572"/>
      <c r="Y99" s="573"/>
      <c r="Z99" s="572"/>
      <c r="AA99" s="573"/>
      <c r="AB99" s="571"/>
      <c r="AC99" s="574"/>
      <c r="AD99" s="228"/>
      <c r="AE99" s="3"/>
      <c r="AF99" s="333"/>
      <c r="AG99" s="2"/>
      <c r="AH99" s="6"/>
      <c r="AI99" s="6"/>
      <c r="AJ99" s="6"/>
      <c r="AK99" s="6"/>
      <c r="AL99" s="6"/>
      <c r="AM99" s="6"/>
      <c r="AN99" s="6"/>
      <c r="AO99" s="6"/>
      <c r="AP99" s="6"/>
      <c r="AQ99" s="3"/>
      <c r="AR99" s="5"/>
      <c r="AS99" s="3"/>
      <c r="AT99" s="3"/>
      <c r="AU99" s="2"/>
      <c r="AV99" s="3"/>
      <c r="AW99" s="3"/>
      <c r="AX99" s="3"/>
      <c r="AY99" s="3"/>
      <c r="AZ99" s="3"/>
      <c r="BA99" s="3"/>
      <c r="BB99" s="3"/>
      <c r="BC99" s="3"/>
      <c r="BD99" s="3"/>
      <c r="BE99" s="3"/>
      <c r="BF99" s="3"/>
      <c r="BG99" s="3"/>
      <c r="BH99" s="3"/>
      <c r="BI99" s="3"/>
      <c r="BJ99" s="3"/>
      <c r="BK99" s="3"/>
      <c r="BL99" s="477">
        <f>(BM100&amp;1)*1</f>
      </c>
      <c r="BM99" s="489"/>
      <c r="BN99" s="497"/>
      <c r="BO99" s="480">
        <f>IF($BM$100=$AT$17,AS43,IF($BM$100=$AT$18,AS50,$BO$102))</f>
      </c>
      <c r="BP99" s="549">
        <f>IF(AND((LEFT(BL99,4))*1&gt;=$AT$18,BO99=0),NA(),IF($AZ$20=1,BO99/VE+BP98,BO99+BP98))</f>
      </c>
      <c r="BQ99" s="480">
        <f>AV39</f>
      </c>
      <c r="BR99" s="498">
        <f>IF(BL99&gt;=$AU$17,IF(OR(ISNA(BP99),BQ99=""),NA(),BQ99+BR98),0)</f>
      </c>
      <c r="BS99" s="1"/>
      <c r="BT99" s="1"/>
      <c r="BU99" s="1"/>
      <c r="BV99" s="1"/>
      <c r="BW99" s="1"/>
      <c r="BX99" s="1"/>
    </row>
    <row x14ac:dyDescent="0.25" r="100" customHeight="1" ht="14.5">
      <c r="A100" s="227"/>
      <c r="B100" s="227"/>
      <c r="C100" s="227"/>
      <c r="D100" s="227"/>
      <c r="E100" s="227"/>
      <c r="F100" s="227"/>
      <c r="G100" s="227"/>
      <c r="H100" s="227"/>
      <c r="I100" s="227"/>
      <c r="J100" s="227"/>
      <c r="K100" s="227"/>
      <c r="L100" s="227"/>
      <c r="M100" s="227"/>
      <c r="N100" s="227"/>
      <c r="O100" s="227"/>
      <c r="P100" s="570"/>
      <c r="Q100" s="571"/>
      <c r="R100" s="572"/>
      <c r="S100" s="573"/>
      <c r="T100" s="572"/>
      <c r="U100" s="573"/>
      <c r="V100" s="572"/>
      <c r="W100" s="573"/>
      <c r="X100" s="572"/>
      <c r="Y100" s="573"/>
      <c r="Z100" s="572"/>
      <c r="AA100" s="573"/>
      <c r="AB100" s="571"/>
      <c r="AC100" s="574"/>
      <c r="AD100" s="228"/>
      <c r="AE100" s="3"/>
      <c r="AF100" s="333"/>
      <c r="AG100" s="2"/>
      <c r="AH100" s="6"/>
      <c r="AI100" s="6"/>
      <c r="AJ100" s="6"/>
      <c r="AK100" s="6"/>
      <c r="AL100" s="6"/>
      <c r="AM100" s="6"/>
      <c r="AN100" s="6"/>
      <c r="AO100" s="6"/>
      <c r="AP100" s="6"/>
      <c r="AQ100" s="3"/>
      <c r="AR100" s="5"/>
      <c r="AS100" s="3"/>
      <c r="AT100" s="3"/>
      <c r="AU100" s="2"/>
      <c r="AV100" s="3"/>
      <c r="AW100" s="3"/>
      <c r="AX100" s="3"/>
      <c r="AY100" s="3"/>
      <c r="AZ100" s="3"/>
      <c r="BA100" s="3"/>
      <c r="BB100" s="3"/>
      <c r="BC100" s="3"/>
      <c r="BD100" s="3"/>
      <c r="BE100" s="3"/>
      <c r="BF100" s="3"/>
      <c r="BG100" s="3"/>
      <c r="BH100" s="3"/>
      <c r="BI100" s="3"/>
      <c r="BJ100" s="3"/>
      <c r="BK100" s="3"/>
      <c r="BL100" s="483">
        <f>(BM100&amp;2)*1</f>
      </c>
      <c r="BM100" s="492">
        <f>BM96+1</f>
      </c>
      <c r="BN100" s="497"/>
      <c r="BO100" s="480">
        <f>IF($BM$100=$AT$17,AS44,IF($BM$100=$AT$18,AS51,$BO$102))</f>
      </c>
      <c r="BP100" s="549">
        <f>IF(AND((LEFT(BL100,4))*1&gt;=$AT$18,BO100=0),NA(),IF($AZ$20=1,BO100/VE+BP99,BO100+BP99))</f>
      </c>
      <c r="BQ100" s="480">
        <f>AW39</f>
      </c>
      <c r="BR100" s="498">
        <f>IF(BL100&gt;=$AU$17,IF(OR(ISNA(BP100),BQ100=""),NA(),BQ100+BR99),0)</f>
      </c>
      <c r="BS100" s="1"/>
      <c r="BT100" s="1"/>
      <c r="BU100" s="1"/>
      <c r="BV100" s="1"/>
      <c r="BW100" s="1"/>
      <c r="BX100" s="1"/>
    </row>
    <row x14ac:dyDescent="0.25" r="101" customHeight="1" ht="14.5">
      <c r="A101" s="227"/>
      <c r="B101" s="227"/>
      <c r="C101" s="227"/>
      <c r="D101" s="227"/>
      <c r="E101" s="227"/>
      <c r="F101" s="227"/>
      <c r="G101" s="227"/>
      <c r="H101" s="227"/>
      <c r="I101" s="227"/>
      <c r="J101" s="227"/>
      <c r="K101" s="227"/>
      <c r="L101" s="227"/>
      <c r="M101" s="227"/>
      <c r="N101" s="227"/>
      <c r="O101" s="227"/>
      <c r="P101" s="570"/>
      <c r="Q101" s="571"/>
      <c r="R101" s="572"/>
      <c r="S101" s="573"/>
      <c r="T101" s="572"/>
      <c r="U101" s="573"/>
      <c r="V101" s="572"/>
      <c r="W101" s="573"/>
      <c r="X101" s="572"/>
      <c r="Y101" s="573"/>
      <c r="Z101" s="572"/>
      <c r="AA101" s="573"/>
      <c r="AB101" s="571"/>
      <c r="AC101" s="574"/>
      <c r="AD101" s="228"/>
      <c r="AE101" s="3"/>
      <c r="AF101" s="333"/>
      <c r="AG101" s="2"/>
      <c r="AH101" s="6"/>
      <c r="AI101" s="6"/>
      <c r="AJ101" s="6"/>
      <c r="AK101" s="6"/>
      <c r="AL101" s="6"/>
      <c r="AM101" s="6"/>
      <c r="AN101" s="6"/>
      <c r="AO101" s="6"/>
      <c r="AP101" s="6"/>
      <c r="AQ101" s="3"/>
      <c r="AR101" s="5"/>
      <c r="AS101" s="3"/>
      <c r="AT101" s="3"/>
      <c r="AU101" s="2"/>
      <c r="AV101" s="3"/>
      <c r="AW101" s="3"/>
      <c r="AX101" s="3"/>
      <c r="AY101" s="3"/>
      <c r="AZ101" s="3"/>
      <c r="BA101" s="3"/>
      <c r="BB101" s="3"/>
      <c r="BC101" s="3"/>
      <c r="BD101" s="3"/>
      <c r="BE101" s="3"/>
      <c r="BF101" s="3"/>
      <c r="BG101" s="3"/>
      <c r="BH101" s="3"/>
      <c r="BI101" s="3"/>
      <c r="BJ101" s="3"/>
      <c r="BK101" s="3"/>
      <c r="BL101" s="483">
        <f>(BM100&amp;3)*1</f>
      </c>
      <c r="BM101" s="492"/>
      <c r="BN101" s="497"/>
      <c r="BO101" s="480">
        <f>IF($BM$100=$AT$17,AS45,IF($BM$100=$AT$18,AS52,$BO$102))</f>
      </c>
      <c r="BP101" s="549">
        <f>IF(AND((LEFT(BL101,4))*1&gt;=$AT$18,BO101=0),NA(),IF($AZ$20=1,BO101/VE+BP100,BO101+BP100))</f>
      </c>
      <c r="BQ101" s="480">
        <f>AX39</f>
      </c>
      <c r="BR101" s="498">
        <f>IF(BL101&gt;=$AU$17,IF(OR(ISNA(BP101),BQ101=""),NA(),BQ101+BR100),0)</f>
      </c>
      <c r="BS101" s="1"/>
      <c r="BT101" s="1"/>
      <c r="BU101" s="1"/>
      <c r="BV101" s="1"/>
      <c r="BW101" s="1"/>
      <c r="BX101" s="1"/>
    </row>
    <row x14ac:dyDescent="0.25" r="102" customHeight="1" ht="15">
      <c r="A102" s="227"/>
      <c r="B102" s="227"/>
      <c r="C102" s="227"/>
      <c r="D102" s="227"/>
      <c r="E102" s="227"/>
      <c r="F102" s="227"/>
      <c r="G102" s="227"/>
      <c r="H102" s="227"/>
      <c r="I102" s="227"/>
      <c r="J102" s="227"/>
      <c r="K102" s="227"/>
      <c r="L102" s="227"/>
      <c r="M102" s="227"/>
      <c r="N102" s="227"/>
      <c r="O102" s="227"/>
      <c r="P102" s="570"/>
      <c r="Q102" s="571"/>
      <c r="R102" s="572"/>
      <c r="S102" s="573"/>
      <c r="T102" s="572"/>
      <c r="U102" s="573"/>
      <c r="V102" s="572"/>
      <c r="W102" s="573"/>
      <c r="X102" s="572"/>
      <c r="Y102" s="573"/>
      <c r="Z102" s="572"/>
      <c r="AA102" s="573"/>
      <c r="AB102" s="571"/>
      <c r="AC102" s="574"/>
      <c r="AD102" s="228"/>
      <c r="AE102" s="3"/>
      <c r="AF102" s="333"/>
      <c r="AG102" s="2"/>
      <c r="AH102" s="6"/>
      <c r="AI102" s="6"/>
      <c r="AJ102" s="6"/>
      <c r="AK102" s="6"/>
      <c r="AL102" s="6"/>
      <c r="AM102" s="6"/>
      <c r="AN102" s="6"/>
      <c r="AO102" s="6"/>
      <c r="AP102" s="6"/>
      <c r="AQ102" s="3"/>
      <c r="AR102" s="5"/>
      <c r="AS102" s="3"/>
      <c r="AT102" s="3"/>
      <c r="AU102" s="2"/>
      <c r="AV102" s="3"/>
      <c r="AW102" s="3"/>
      <c r="AX102" s="3"/>
      <c r="AY102" s="3"/>
      <c r="AZ102" s="3"/>
      <c r="BA102" s="3"/>
      <c r="BB102" s="3"/>
      <c r="BC102" s="3"/>
      <c r="BD102" s="3"/>
      <c r="BE102" s="3"/>
      <c r="BF102" s="3"/>
      <c r="BG102" s="3"/>
      <c r="BH102" s="3"/>
      <c r="BI102" s="3"/>
      <c r="BJ102" s="3"/>
      <c r="BK102" s="3"/>
      <c r="BL102" s="486">
        <f>(BM100&amp;4)*1</f>
      </c>
      <c r="BM102" s="494"/>
      <c r="BN102" s="495"/>
      <c r="BO102" s="575">
        <f>IF(BM100=$AT$17,AS46,IF(BM100=$AT$18,AS53,SUMIFS(PlanVE_PerBook,PlanYear,BM100)/4))</f>
      </c>
      <c r="BP102" s="576">
        <f>IF(AND((LEFT(BL102,4))*1&gt;=$AT$18,BO102=0),NA(),IF($AZ$20=1,BO102/VE+BP101,BO102+BP101))</f>
      </c>
      <c r="BQ102" s="575">
        <f>AY39</f>
      </c>
      <c r="BR102" s="576">
        <f>IF(BL102&gt;=$AU$17,IF(OR(ISNA(BP102),BQ102=""),NA(),BQ102+BR101),0)</f>
      </c>
      <c r="BS102" s="1"/>
      <c r="BT102" s="1"/>
      <c r="BU102" s="1"/>
      <c r="BV102" s="1"/>
      <c r="BW102" s="1"/>
      <c r="BX102" s="1"/>
    </row>
    <row x14ac:dyDescent="0.25" r="103" customHeight="1" ht="14.5">
      <c r="A103" s="227"/>
      <c r="B103" s="227"/>
      <c r="C103" s="227"/>
      <c r="D103" s="227"/>
      <c r="E103" s="227"/>
      <c r="F103" s="227"/>
      <c r="G103" s="227"/>
      <c r="H103" s="227"/>
      <c r="I103" s="227"/>
      <c r="J103" s="227"/>
      <c r="K103" s="227"/>
      <c r="L103" s="227"/>
      <c r="M103" s="227"/>
      <c r="N103" s="227"/>
      <c r="O103" s="227"/>
      <c r="P103" s="570"/>
      <c r="Q103" s="571"/>
      <c r="R103" s="572"/>
      <c r="S103" s="573"/>
      <c r="T103" s="572"/>
      <c r="U103" s="573"/>
      <c r="V103" s="572"/>
      <c r="W103" s="573"/>
      <c r="X103" s="572"/>
      <c r="Y103" s="573"/>
      <c r="Z103" s="572"/>
      <c r="AA103" s="573"/>
      <c r="AB103" s="571"/>
      <c r="AC103" s="574"/>
      <c r="AD103" s="228"/>
      <c r="AE103" s="3"/>
      <c r="AF103" s="333"/>
      <c r="AG103" s="2"/>
      <c r="AH103" s="6"/>
      <c r="AI103" s="6"/>
      <c r="AJ103" s="6"/>
      <c r="AK103" s="6"/>
      <c r="AL103" s="6"/>
      <c r="AM103" s="6"/>
      <c r="AN103" s="6"/>
      <c r="AO103" s="6"/>
      <c r="AP103" s="6"/>
      <c r="AQ103" s="3"/>
      <c r="AR103" s="5"/>
      <c r="AS103" s="3"/>
      <c r="AT103" s="3"/>
      <c r="AU103" s="2"/>
      <c r="AV103" s="3"/>
      <c r="AW103" s="3"/>
      <c r="AX103" s="3"/>
      <c r="AY103" s="3"/>
      <c r="AZ103" s="3"/>
      <c r="BA103" s="3"/>
      <c r="BB103" s="3"/>
      <c r="BC103" s="3"/>
      <c r="BD103" s="3"/>
      <c r="BE103" s="3"/>
      <c r="BF103" s="3"/>
      <c r="BG103" s="3"/>
      <c r="BH103" s="3"/>
      <c r="BI103" s="3"/>
      <c r="BJ103" s="3"/>
      <c r="BK103" s="3"/>
      <c r="BL103" s="145"/>
      <c r="BM103" s="69"/>
      <c r="BN103" s="11"/>
      <c r="BO103" s="334"/>
      <c r="BP103" s="39"/>
      <c r="BQ103" s="39"/>
      <c r="BR103" s="334"/>
      <c r="BS103" s="1"/>
      <c r="BT103" s="1"/>
      <c r="BU103" s="1"/>
      <c r="BV103" s="1"/>
      <c r="BW103" s="1"/>
      <c r="BX103" s="1"/>
    </row>
    <row x14ac:dyDescent="0.25" r="104" customHeight="1" ht="14.5">
      <c r="A104" s="227"/>
      <c r="B104" s="227"/>
      <c r="C104" s="227"/>
      <c r="D104" s="227"/>
      <c r="E104" s="227"/>
      <c r="F104" s="227"/>
      <c r="G104" s="227"/>
      <c r="H104" s="227"/>
      <c r="I104" s="227"/>
      <c r="J104" s="227"/>
      <c r="K104" s="227"/>
      <c r="L104" s="227"/>
      <c r="M104" s="227"/>
      <c r="N104" s="227"/>
      <c r="O104" s="227"/>
      <c r="P104" s="570"/>
      <c r="Q104" s="571"/>
      <c r="R104" s="572"/>
      <c r="S104" s="573"/>
      <c r="T104" s="572"/>
      <c r="U104" s="573"/>
      <c r="V104" s="572"/>
      <c r="W104" s="573"/>
      <c r="X104" s="572"/>
      <c r="Y104" s="573"/>
      <c r="Z104" s="572"/>
      <c r="AA104" s="573"/>
      <c r="AB104" s="571"/>
      <c r="AC104" s="574"/>
      <c r="AD104" s="228"/>
      <c r="AE104" s="3"/>
      <c r="AF104" s="333"/>
      <c r="AG104" s="2"/>
      <c r="AH104" s="6"/>
      <c r="AI104" s="6"/>
      <c r="AJ104" s="6"/>
      <c r="AK104" s="6"/>
      <c r="AL104" s="6"/>
      <c r="AM104" s="6"/>
      <c r="AN104" s="6"/>
      <c r="AO104" s="6"/>
      <c r="AP104" s="6"/>
      <c r="AQ104" s="3"/>
      <c r="AR104" s="5"/>
      <c r="AS104" s="3"/>
      <c r="AT104" s="3"/>
      <c r="AU104" s="2"/>
      <c r="AV104" s="3"/>
      <c r="AW104" s="3"/>
      <c r="AX104" s="3"/>
      <c r="AY104" s="3"/>
      <c r="AZ104" s="3"/>
      <c r="BA104" s="3"/>
      <c r="BB104" s="3"/>
      <c r="BC104" s="3"/>
      <c r="BD104" s="3"/>
      <c r="BE104" s="3"/>
      <c r="BF104" s="3"/>
      <c r="BG104" s="3"/>
      <c r="BH104" s="3"/>
      <c r="BI104" s="3"/>
      <c r="BJ104" s="3"/>
      <c r="BK104" s="3"/>
      <c r="BL104" s="145"/>
      <c r="BM104" s="69"/>
      <c r="BN104" s="11"/>
      <c r="BO104" s="334"/>
      <c r="BP104" s="334"/>
      <c r="BQ104" s="334"/>
      <c r="BR104" s="334"/>
      <c r="BS104" s="1"/>
      <c r="BT104" s="1"/>
      <c r="BU104" s="1"/>
      <c r="BV104" s="1"/>
      <c r="BW104" s="1"/>
      <c r="BX104" s="1"/>
    </row>
    <row x14ac:dyDescent="0.25" r="105" customHeight="1" ht="14.5">
      <c r="A105" s="227"/>
      <c r="B105" s="227"/>
      <c r="C105" s="227"/>
      <c r="D105" s="227"/>
      <c r="E105" s="227"/>
      <c r="F105" s="227"/>
      <c r="G105" s="227"/>
      <c r="H105" s="227"/>
      <c r="I105" s="227"/>
      <c r="J105" s="227"/>
      <c r="K105" s="227"/>
      <c r="L105" s="227"/>
      <c r="M105" s="227"/>
      <c r="N105" s="227"/>
      <c r="O105" s="227"/>
      <c r="P105" s="570"/>
      <c r="Q105" s="571"/>
      <c r="R105" s="572"/>
      <c r="S105" s="573"/>
      <c r="T105" s="572"/>
      <c r="U105" s="573"/>
      <c r="V105" s="572"/>
      <c r="W105" s="573"/>
      <c r="X105" s="572"/>
      <c r="Y105" s="573"/>
      <c r="Z105" s="572"/>
      <c r="AA105" s="573"/>
      <c r="AB105" s="571"/>
      <c r="AC105" s="574"/>
      <c r="AD105" s="228"/>
      <c r="AE105" s="3"/>
      <c r="AF105" s="530"/>
      <c r="AG105" s="2"/>
      <c r="AH105" s="6"/>
      <c r="AI105" s="6"/>
      <c r="AJ105" s="6"/>
      <c r="AK105" s="6"/>
      <c r="AL105" s="6"/>
      <c r="AM105" s="6"/>
      <c r="AN105" s="6"/>
      <c r="AO105" s="6"/>
      <c r="AP105" s="6"/>
      <c r="AQ105" s="3"/>
      <c r="AR105" s="5"/>
      <c r="AS105" s="3"/>
      <c r="AT105" s="3"/>
      <c r="AU105" s="2"/>
      <c r="AV105" s="3"/>
      <c r="AW105" s="3"/>
      <c r="AX105" s="3"/>
      <c r="AY105" s="3"/>
      <c r="AZ105" s="3"/>
      <c r="BA105" s="3"/>
      <c r="BB105" s="3"/>
      <c r="BC105" s="3"/>
      <c r="BD105" s="3"/>
      <c r="BE105" s="3"/>
      <c r="BF105" s="3"/>
      <c r="BG105" s="3"/>
      <c r="BH105" s="3"/>
      <c r="BI105" s="3"/>
      <c r="BJ105" s="3"/>
      <c r="BK105" s="3"/>
      <c r="BL105" s="145"/>
      <c r="BM105" s="69"/>
      <c r="BN105" s="11"/>
      <c r="BO105" s="334"/>
      <c r="BP105" s="334"/>
      <c r="BQ105" s="334"/>
      <c r="BR105" s="334"/>
      <c r="BS105" s="1"/>
      <c r="BT105" s="1"/>
      <c r="BU105" s="1"/>
      <c r="BV105" s="1"/>
      <c r="BW105" s="1"/>
      <c r="BX105" s="1"/>
    </row>
    <row x14ac:dyDescent="0.25" r="106" customHeight="1" ht="14.5">
      <c r="A106" s="227"/>
      <c r="B106" s="227"/>
      <c r="C106" s="227"/>
      <c r="D106" s="227"/>
      <c r="E106" s="227"/>
      <c r="F106" s="227"/>
      <c r="G106" s="227"/>
      <c r="H106" s="227"/>
      <c r="I106" s="227"/>
      <c r="J106" s="227"/>
      <c r="K106" s="227"/>
      <c r="L106" s="227"/>
      <c r="M106" s="227"/>
      <c r="N106" s="227"/>
      <c r="O106" s="227"/>
      <c r="P106" s="570"/>
      <c r="Q106" s="571"/>
      <c r="R106" s="572"/>
      <c r="S106" s="573"/>
      <c r="T106" s="572"/>
      <c r="U106" s="573"/>
      <c r="V106" s="572"/>
      <c r="W106" s="573"/>
      <c r="X106" s="572"/>
      <c r="Y106" s="573"/>
      <c r="Z106" s="572"/>
      <c r="AA106" s="573"/>
      <c r="AB106" s="571"/>
      <c r="AC106" s="574"/>
      <c r="AD106" s="228"/>
      <c r="AE106" s="3"/>
      <c r="AF106" s="530"/>
      <c r="AG106" s="2"/>
      <c r="AH106" s="6"/>
      <c r="AI106" s="6"/>
      <c r="AJ106" s="6"/>
      <c r="AK106" s="6"/>
      <c r="AL106" s="6"/>
      <c r="AM106" s="6"/>
      <c r="AN106" s="6"/>
      <c r="AO106" s="6"/>
      <c r="AP106" s="6"/>
      <c r="AQ106" s="3"/>
      <c r="AR106" s="5"/>
      <c r="AS106" s="3"/>
      <c r="AT106" s="3"/>
      <c r="AU106" s="2"/>
      <c r="AV106" s="3"/>
      <c r="AW106" s="3"/>
      <c r="AX106" s="3"/>
      <c r="AY106" s="3"/>
      <c r="AZ106" s="3"/>
      <c r="BA106" s="3"/>
      <c r="BB106" s="3"/>
      <c r="BC106" s="3"/>
      <c r="BD106" s="3"/>
      <c r="BE106" s="3"/>
      <c r="BF106" s="3"/>
      <c r="BG106" s="3"/>
      <c r="BH106" s="3"/>
      <c r="BI106" s="3"/>
      <c r="BJ106" s="3"/>
      <c r="BK106" s="3"/>
      <c r="BL106" s="145"/>
      <c r="BM106" s="69"/>
      <c r="BN106" s="11"/>
      <c r="BO106" s="334"/>
      <c r="BP106" s="334"/>
      <c r="BQ106" s="334"/>
      <c r="BR106" s="334"/>
      <c r="BS106" s="1"/>
      <c r="BT106" s="1"/>
      <c r="BU106" s="1"/>
      <c r="BV106" s="1"/>
      <c r="BW106" s="1"/>
      <c r="BX106" s="1"/>
    </row>
    <row x14ac:dyDescent="0.25" r="107" customHeight="1" ht="14.5">
      <c r="A107" s="227"/>
      <c r="B107" s="227"/>
      <c r="C107" s="227"/>
      <c r="D107" s="227"/>
      <c r="E107" s="227"/>
      <c r="F107" s="227"/>
      <c r="G107" s="227"/>
      <c r="H107" s="227"/>
      <c r="I107" s="227"/>
      <c r="J107" s="227"/>
      <c r="K107" s="227"/>
      <c r="L107" s="227"/>
      <c r="M107" s="227"/>
      <c r="N107" s="227"/>
      <c r="O107" s="227"/>
      <c r="P107" s="570"/>
      <c r="Q107" s="571"/>
      <c r="R107" s="572"/>
      <c r="S107" s="573"/>
      <c r="T107" s="572"/>
      <c r="U107" s="573"/>
      <c r="V107" s="572"/>
      <c r="W107" s="573"/>
      <c r="X107" s="572"/>
      <c r="Y107" s="573"/>
      <c r="Z107" s="572"/>
      <c r="AA107" s="573"/>
      <c r="AB107" s="571"/>
      <c r="AC107" s="574"/>
      <c r="AD107" s="228"/>
      <c r="AE107" s="3"/>
      <c r="AF107" s="333"/>
      <c r="AG107" s="2"/>
      <c r="AH107" s="6"/>
      <c r="AI107" s="6"/>
      <c r="AJ107" s="6"/>
      <c r="AK107" s="6"/>
      <c r="AL107" s="6"/>
      <c r="AM107" s="6"/>
      <c r="AN107" s="6"/>
      <c r="AO107" s="6"/>
      <c r="AP107" s="6"/>
      <c r="AQ107" s="3"/>
      <c r="AR107" s="5"/>
      <c r="AS107" s="3"/>
      <c r="AT107" s="3"/>
      <c r="AU107" s="2"/>
      <c r="AV107" s="3"/>
      <c r="AW107" s="3"/>
      <c r="AX107" s="3"/>
      <c r="AY107" s="3"/>
      <c r="AZ107" s="3"/>
      <c r="BA107" s="3"/>
      <c r="BB107" s="3"/>
      <c r="BC107" s="3"/>
      <c r="BD107" s="3"/>
      <c r="BE107" s="3"/>
      <c r="BF107" s="3"/>
      <c r="BG107" s="3"/>
      <c r="BH107" s="3"/>
      <c r="BI107" s="3"/>
      <c r="BJ107" s="3"/>
      <c r="BK107" s="3"/>
      <c r="BL107" s="145"/>
      <c r="BM107" s="69"/>
      <c r="BN107" s="11"/>
      <c r="BO107" s="334"/>
      <c r="BP107" s="334"/>
      <c r="BQ107" s="334"/>
      <c r="BR107" s="334"/>
      <c r="BS107" s="1"/>
      <c r="BT107" s="1"/>
      <c r="BU107" s="1"/>
      <c r="BV107" s="1"/>
      <c r="BW107" s="1"/>
      <c r="BX107" s="1"/>
    </row>
    <row x14ac:dyDescent="0.25" r="108" customHeight="1" ht="14.5" customFormat="1" s="230">
      <c r="A108" s="229"/>
      <c r="B108" s="229"/>
      <c r="C108" s="229"/>
      <c r="D108" s="229"/>
      <c r="E108" s="229"/>
      <c r="F108" s="229"/>
      <c r="G108" s="229"/>
      <c r="H108" s="229"/>
      <c r="I108" s="229"/>
      <c r="J108" s="229"/>
      <c r="K108" s="229"/>
      <c r="L108" s="229"/>
      <c r="M108" s="229"/>
      <c r="N108" s="229"/>
      <c r="O108" s="229"/>
      <c r="P108" s="570"/>
      <c r="Q108" s="571"/>
      <c r="R108" s="572"/>
      <c r="S108" s="573"/>
      <c r="T108" s="572"/>
      <c r="U108" s="573"/>
      <c r="V108" s="572"/>
      <c r="W108" s="573"/>
      <c r="X108" s="572"/>
      <c r="Y108" s="573"/>
      <c r="Z108" s="572"/>
      <c r="AA108" s="573"/>
      <c r="AB108" s="571"/>
      <c r="AC108" s="574"/>
      <c r="AD108" s="229"/>
      <c r="AE108" s="577"/>
      <c r="AF108" s="578"/>
      <c r="AG108" s="8"/>
      <c r="AH108" s="579"/>
      <c r="AI108" s="579"/>
      <c r="AJ108" s="579"/>
      <c r="AK108" s="579"/>
      <c r="AL108" s="579"/>
      <c r="AM108" s="579"/>
      <c r="AN108" s="579"/>
      <c r="AO108" s="579"/>
      <c r="AP108" s="579"/>
      <c r="AQ108" s="577"/>
      <c r="AR108" s="580"/>
      <c r="AS108" s="577"/>
      <c r="AT108" s="577"/>
      <c r="AU108" s="8"/>
      <c r="AV108" s="577"/>
      <c r="AW108" s="577"/>
      <c r="AX108" s="577"/>
      <c r="AY108" s="577"/>
      <c r="AZ108" s="577"/>
      <c r="BA108" s="577"/>
      <c r="BB108" s="577"/>
      <c r="BC108" s="577"/>
      <c r="BD108" s="577"/>
      <c r="BE108" s="577"/>
      <c r="BF108" s="577"/>
      <c r="BG108" s="577"/>
      <c r="BH108" s="577"/>
      <c r="BI108" s="577"/>
      <c r="BJ108" s="577"/>
      <c r="BK108" s="577"/>
      <c r="BL108" s="577"/>
      <c r="BM108" s="8"/>
      <c r="BN108" s="229"/>
      <c r="BO108" s="581"/>
      <c r="BP108" s="581"/>
      <c r="BQ108" s="581"/>
      <c r="BR108" s="581"/>
      <c r="BS108" s="229"/>
      <c r="BT108" s="229"/>
      <c r="BU108" s="229"/>
      <c r="BV108" s="229"/>
      <c r="BW108" s="229"/>
      <c r="BX108" s="229"/>
    </row>
    <row x14ac:dyDescent="0.25" r="109" customHeight="1" ht="14.5" customFormat="1" s="230">
      <c r="A109" s="229"/>
      <c r="B109" s="229"/>
      <c r="C109" s="229"/>
      <c r="D109" s="229"/>
      <c r="E109" s="229"/>
      <c r="F109" s="229"/>
      <c r="G109" s="229"/>
      <c r="H109" s="229"/>
      <c r="I109" s="229"/>
      <c r="J109" s="229"/>
      <c r="K109" s="229"/>
      <c r="L109" s="229"/>
      <c r="M109" s="229"/>
      <c r="N109" s="229"/>
      <c r="O109" s="229"/>
      <c r="P109" s="570"/>
      <c r="Q109" s="571"/>
      <c r="R109" s="572"/>
      <c r="S109" s="573"/>
      <c r="T109" s="572"/>
      <c r="U109" s="573"/>
      <c r="V109" s="572"/>
      <c r="W109" s="573"/>
      <c r="X109" s="572"/>
      <c r="Y109" s="573"/>
      <c r="Z109" s="572"/>
      <c r="AA109" s="573"/>
      <c r="AB109" s="571"/>
      <c r="AC109" s="574"/>
      <c r="AD109" s="229"/>
      <c r="AE109" s="577"/>
      <c r="AF109" s="578"/>
      <c r="AG109" s="8"/>
      <c r="AH109" s="579"/>
      <c r="AI109" s="579"/>
      <c r="AJ109" s="579"/>
      <c r="AK109" s="579"/>
      <c r="AL109" s="579"/>
      <c r="AM109" s="579"/>
      <c r="AN109" s="579"/>
      <c r="AO109" s="579"/>
      <c r="AP109" s="579"/>
      <c r="AQ109" s="577"/>
      <c r="AR109" s="580"/>
      <c r="AS109" s="577"/>
      <c r="AT109" s="577"/>
      <c r="AU109" s="8"/>
      <c r="AV109" s="577"/>
      <c r="AW109" s="577"/>
      <c r="AX109" s="577"/>
      <c r="AY109" s="577"/>
      <c r="AZ109" s="577"/>
      <c r="BA109" s="577"/>
      <c r="BB109" s="577"/>
      <c r="BC109" s="577"/>
      <c r="BD109" s="577"/>
      <c r="BE109" s="577"/>
      <c r="BF109" s="577"/>
      <c r="BG109" s="577"/>
      <c r="BH109" s="577"/>
      <c r="BI109" s="577"/>
      <c r="BJ109" s="577"/>
      <c r="BK109" s="577"/>
      <c r="BL109" s="577"/>
      <c r="BM109" s="8"/>
      <c r="BN109" s="229"/>
      <c r="BO109" s="581"/>
      <c r="BP109" s="581"/>
      <c r="BQ109" s="581"/>
      <c r="BR109" s="581"/>
      <c r="BS109" s="229"/>
      <c r="BT109" s="229"/>
      <c r="BU109" s="229"/>
      <c r="BV109" s="229"/>
      <c r="BW109" s="229"/>
      <c r="BX109" s="229"/>
    </row>
    <row x14ac:dyDescent="0.25" r="110" customHeight="1" ht="14.5" customFormat="1" s="230">
      <c r="A110" s="229"/>
      <c r="B110" s="229"/>
      <c r="C110" s="229"/>
      <c r="D110" s="229"/>
      <c r="E110" s="229"/>
      <c r="F110" s="229"/>
      <c r="G110" s="229"/>
      <c r="H110" s="229"/>
      <c r="I110" s="229"/>
      <c r="J110" s="229"/>
      <c r="K110" s="229"/>
      <c r="L110" s="229"/>
      <c r="M110" s="229"/>
      <c r="N110" s="229"/>
      <c r="O110" s="229"/>
      <c r="P110" s="570"/>
      <c r="Q110" s="571"/>
      <c r="R110" s="572"/>
      <c r="S110" s="573"/>
      <c r="T110" s="572"/>
      <c r="U110" s="573"/>
      <c r="V110" s="572"/>
      <c r="W110" s="573"/>
      <c r="X110" s="572"/>
      <c r="Y110" s="573"/>
      <c r="Z110" s="572"/>
      <c r="AA110" s="573"/>
      <c r="AB110" s="571"/>
      <c r="AC110" s="574"/>
      <c r="AD110" s="229"/>
      <c r="AE110" s="577"/>
      <c r="AF110" s="578"/>
      <c r="AG110" s="8"/>
      <c r="AH110" s="579"/>
      <c r="AI110" s="579"/>
      <c r="AJ110" s="579"/>
      <c r="AK110" s="579"/>
      <c r="AL110" s="579"/>
      <c r="AM110" s="579"/>
      <c r="AN110" s="579"/>
      <c r="AO110" s="579"/>
      <c r="AP110" s="579"/>
      <c r="AQ110" s="577"/>
      <c r="AR110" s="580"/>
      <c r="AS110" s="577"/>
      <c r="AT110" s="577"/>
      <c r="AU110" s="8"/>
      <c r="AV110" s="577"/>
      <c r="AW110" s="577"/>
      <c r="AX110" s="577"/>
      <c r="AY110" s="577"/>
      <c r="AZ110" s="577"/>
      <c r="BA110" s="577"/>
      <c r="BB110" s="577"/>
      <c r="BC110" s="577"/>
      <c r="BD110" s="577"/>
      <c r="BE110" s="577"/>
      <c r="BF110" s="577"/>
      <c r="BG110" s="577"/>
      <c r="BH110" s="577"/>
      <c r="BI110" s="577"/>
      <c r="BJ110" s="577"/>
      <c r="BK110" s="577"/>
      <c r="BL110" s="577"/>
      <c r="BM110" s="8"/>
      <c r="BN110" s="229"/>
      <c r="BO110" s="581"/>
      <c r="BP110" s="581"/>
      <c r="BQ110" s="581"/>
      <c r="BR110" s="581"/>
      <c r="BS110" s="229"/>
      <c r="BT110" s="229"/>
      <c r="BU110" s="229"/>
      <c r="BV110" s="229"/>
      <c r="BW110" s="229"/>
      <c r="BX110" s="229"/>
    </row>
    <row x14ac:dyDescent="0.25" r="111" customHeight="1" ht="14.5" customFormat="1" s="230">
      <c r="A111" s="229"/>
      <c r="B111" s="229"/>
      <c r="C111" s="229"/>
      <c r="D111" s="229"/>
      <c r="E111" s="229"/>
      <c r="F111" s="229"/>
      <c r="G111" s="229"/>
      <c r="H111" s="229"/>
      <c r="I111" s="229"/>
      <c r="J111" s="229"/>
      <c r="K111" s="229"/>
      <c r="L111" s="229"/>
      <c r="M111" s="229"/>
      <c r="N111" s="229"/>
      <c r="O111" s="229"/>
      <c r="P111" s="570"/>
      <c r="Q111" s="571"/>
      <c r="R111" s="572"/>
      <c r="S111" s="573"/>
      <c r="T111" s="572"/>
      <c r="U111" s="573"/>
      <c r="V111" s="572"/>
      <c r="W111" s="573"/>
      <c r="X111" s="572"/>
      <c r="Y111" s="573"/>
      <c r="Z111" s="572"/>
      <c r="AA111" s="573"/>
      <c r="AB111" s="571"/>
      <c r="AC111" s="574"/>
      <c r="AD111" s="229"/>
      <c r="AE111" s="577"/>
      <c r="AF111" s="578"/>
      <c r="AG111" s="8"/>
      <c r="AH111" s="579"/>
      <c r="AI111" s="579"/>
      <c r="AJ111" s="579"/>
      <c r="AK111" s="579"/>
      <c r="AL111" s="579"/>
      <c r="AM111" s="579"/>
      <c r="AN111" s="579"/>
      <c r="AO111" s="579"/>
      <c r="AP111" s="579"/>
      <c r="AQ111" s="577"/>
      <c r="AR111" s="580"/>
      <c r="AS111" s="577"/>
      <c r="AT111" s="577"/>
      <c r="AU111" s="8"/>
      <c r="AV111" s="577"/>
      <c r="AW111" s="577"/>
      <c r="AX111" s="577"/>
      <c r="AY111" s="577"/>
      <c r="AZ111" s="577"/>
      <c r="BA111" s="577"/>
      <c r="BB111" s="577"/>
      <c r="BC111" s="577"/>
      <c r="BD111" s="577"/>
      <c r="BE111" s="577"/>
      <c r="BF111" s="577"/>
      <c r="BG111" s="577"/>
      <c r="BH111" s="577"/>
      <c r="BI111" s="577"/>
      <c r="BJ111" s="577"/>
      <c r="BK111" s="577"/>
      <c r="BL111" s="577"/>
      <c r="BM111" s="8"/>
      <c r="BN111" s="229"/>
      <c r="BO111" s="581"/>
      <c r="BP111" s="581"/>
      <c r="BQ111" s="581"/>
      <c r="BR111" s="581"/>
      <c r="BS111" s="229"/>
      <c r="BT111" s="229"/>
      <c r="BU111" s="229"/>
      <c r="BV111" s="229"/>
      <c r="BW111" s="229"/>
      <c r="BX111" s="229"/>
    </row>
    <row x14ac:dyDescent="0.25" r="112" customHeight="1" ht="14.5" customFormat="1" s="230">
      <c r="A112" s="229"/>
      <c r="B112" s="229"/>
      <c r="C112" s="229"/>
      <c r="D112" s="229"/>
      <c r="E112" s="229"/>
      <c r="F112" s="229"/>
      <c r="G112" s="229"/>
      <c r="H112" s="229"/>
      <c r="I112" s="229"/>
      <c r="J112" s="229"/>
      <c r="K112" s="229"/>
      <c r="L112" s="229"/>
      <c r="M112" s="229"/>
      <c r="N112" s="229"/>
      <c r="O112" s="229"/>
      <c r="P112" s="570"/>
      <c r="Q112" s="571"/>
      <c r="R112" s="572"/>
      <c r="S112" s="573"/>
      <c r="T112" s="572"/>
      <c r="U112" s="573"/>
      <c r="V112" s="572"/>
      <c r="W112" s="573"/>
      <c r="X112" s="572"/>
      <c r="Y112" s="573"/>
      <c r="Z112" s="572"/>
      <c r="AA112" s="573"/>
      <c r="AB112" s="571"/>
      <c r="AC112" s="574"/>
      <c r="AD112" s="229"/>
      <c r="AE112" s="577"/>
      <c r="AF112" s="578"/>
      <c r="AG112" s="8"/>
      <c r="AH112" s="579"/>
      <c r="AI112" s="579"/>
      <c r="AJ112" s="579"/>
      <c r="AK112" s="579"/>
      <c r="AL112" s="579"/>
      <c r="AM112" s="579"/>
      <c r="AN112" s="579"/>
      <c r="AO112" s="579"/>
      <c r="AP112" s="579"/>
      <c r="AQ112" s="577"/>
      <c r="AR112" s="580"/>
      <c r="AS112" s="577"/>
      <c r="AT112" s="577"/>
      <c r="AU112" s="8"/>
      <c r="AV112" s="577"/>
      <c r="AW112" s="577"/>
      <c r="AX112" s="577"/>
      <c r="AY112" s="577"/>
      <c r="AZ112" s="577"/>
      <c r="BA112" s="577"/>
      <c r="BB112" s="577"/>
      <c r="BC112" s="577"/>
      <c r="BD112" s="577"/>
      <c r="BE112" s="577"/>
      <c r="BF112" s="577"/>
      <c r="BG112" s="577"/>
      <c r="BH112" s="577"/>
      <c r="BI112" s="577"/>
      <c r="BJ112" s="577"/>
      <c r="BK112" s="577"/>
      <c r="BL112" s="577"/>
      <c r="BM112" s="8"/>
      <c r="BN112" s="229"/>
      <c r="BO112" s="581"/>
      <c r="BP112" s="581"/>
      <c r="BQ112" s="581"/>
      <c r="BR112" s="581"/>
      <c r="BS112" s="229"/>
      <c r="BT112" s="229"/>
      <c r="BU112" s="229"/>
      <c r="BV112" s="229"/>
      <c r="BW112" s="229"/>
      <c r="BX112" s="229"/>
    </row>
    <row x14ac:dyDescent="0.25" r="113" customHeight="1" ht="14.5" customFormat="1" s="230">
      <c r="A113" s="229"/>
      <c r="B113" s="229"/>
      <c r="C113" s="229"/>
      <c r="D113" s="229"/>
      <c r="E113" s="229"/>
      <c r="F113" s="229"/>
      <c r="G113" s="229"/>
      <c r="H113" s="229"/>
      <c r="I113" s="229"/>
      <c r="J113" s="229"/>
      <c r="K113" s="229"/>
      <c r="L113" s="229"/>
      <c r="M113" s="229"/>
      <c r="N113" s="229"/>
      <c r="O113" s="229"/>
      <c r="P113" s="570"/>
      <c r="Q113" s="571"/>
      <c r="R113" s="572"/>
      <c r="S113" s="573"/>
      <c r="T113" s="572"/>
      <c r="U113" s="573"/>
      <c r="V113" s="572"/>
      <c r="W113" s="573"/>
      <c r="X113" s="572"/>
      <c r="Y113" s="573"/>
      <c r="Z113" s="572"/>
      <c r="AA113" s="573"/>
      <c r="AB113" s="571"/>
      <c r="AC113" s="574"/>
      <c r="AD113" s="229"/>
      <c r="AE113" s="577"/>
      <c r="AF113" s="578"/>
      <c r="AG113" s="8"/>
      <c r="AH113" s="579"/>
      <c r="AI113" s="579"/>
      <c r="AJ113" s="579"/>
      <c r="AK113" s="579"/>
      <c r="AL113" s="579"/>
      <c r="AM113" s="579"/>
      <c r="AN113" s="579"/>
      <c r="AO113" s="579"/>
      <c r="AP113" s="579"/>
      <c r="AQ113" s="577"/>
      <c r="AR113" s="580"/>
      <c r="AS113" s="577"/>
      <c r="AT113" s="577"/>
      <c r="AU113" s="8"/>
      <c r="AV113" s="577"/>
      <c r="AW113" s="577"/>
      <c r="AX113" s="577"/>
      <c r="AY113" s="577"/>
      <c r="AZ113" s="577"/>
      <c r="BA113" s="577"/>
      <c r="BB113" s="577"/>
      <c r="BC113" s="577"/>
      <c r="BD113" s="577"/>
      <c r="BE113" s="577"/>
      <c r="BF113" s="577"/>
      <c r="BG113" s="577"/>
      <c r="BH113" s="577"/>
      <c r="BI113" s="577"/>
      <c r="BJ113" s="577"/>
      <c r="BK113" s="577"/>
      <c r="BL113" s="577"/>
      <c r="BM113" s="8"/>
      <c r="BN113" s="229"/>
      <c r="BO113" s="581"/>
      <c r="BP113" s="581"/>
      <c r="BQ113" s="581"/>
      <c r="BR113" s="581"/>
      <c r="BS113" s="229"/>
      <c r="BT113" s="229"/>
      <c r="BU113" s="229"/>
      <c r="BV113" s="229"/>
      <c r="BW113" s="229"/>
      <c r="BX113" s="229"/>
    </row>
    <row x14ac:dyDescent="0.25" r="114" customHeight="1" ht="14.5" customFormat="1" s="230">
      <c r="A114" s="229"/>
      <c r="B114" s="229"/>
      <c r="C114" s="229"/>
      <c r="D114" s="229"/>
      <c r="E114" s="229"/>
      <c r="F114" s="229"/>
      <c r="G114" s="229"/>
      <c r="H114" s="229"/>
      <c r="I114" s="229"/>
      <c r="J114" s="229"/>
      <c r="K114" s="229"/>
      <c r="L114" s="229"/>
      <c r="M114" s="229"/>
      <c r="N114" s="229"/>
      <c r="O114" s="229"/>
      <c r="P114" s="570"/>
      <c r="Q114" s="571"/>
      <c r="R114" s="572"/>
      <c r="S114" s="573"/>
      <c r="T114" s="572"/>
      <c r="U114" s="573"/>
      <c r="V114" s="572"/>
      <c r="W114" s="573"/>
      <c r="X114" s="572"/>
      <c r="Y114" s="573"/>
      <c r="Z114" s="572"/>
      <c r="AA114" s="573"/>
      <c r="AB114" s="571"/>
      <c r="AC114" s="574"/>
      <c r="AD114" s="229"/>
      <c r="AE114" s="577"/>
      <c r="AF114" s="578"/>
      <c r="AG114" s="8"/>
      <c r="AH114" s="579"/>
      <c r="AI114" s="579"/>
      <c r="AJ114" s="579"/>
      <c r="AK114" s="579"/>
      <c r="AL114" s="579"/>
      <c r="AM114" s="579"/>
      <c r="AN114" s="579"/>
      <c r="AO114" s="579"/>
      <c r="AP114" s="579"/>
      <c r="AQ114" s="577"/>
      <c r="AR114" s="580"/>
      <c r="AS114" s="577"/>
      <c r="AT114" s="577"/>
      <c r="AU114" s="8"/>
      <c r="AV114" s="577"/>
      <c r="AW114" s="577"/>
      <c r="AX114" s="577"/>
      <c r="AY114" s="577"/>
      <c r="AZ114" s="577"/>
      <c r="BA114" s="577"/>
      <c r="BB114" s="577"/>
      <c r="BC114" s="577"/>
      <c r="BD114" s="577"/>
      <c r="BE114" s="577"/>
      <c r="BF114" s="577"/>
      <c r="BG114" s="577"/>
      <c r="BH114" s="577"/>
      <c r="BI114" s="577"/>
      <c r="BJ114" s="577"/>
      <c r="BK114" s="577"/>
      <c r="BL114" s="577"/>
      <c r="BM114" s="8"/>
      <c r="BN114" s="229"/>
      <c r="BO114" s="581"/>
      <c r="BP114" s="581"/>
      <c r="BQ114" s="581"/>
      <c r="BR114" s="581"/>
      <c r="BS114" s="229"/>
      <c r="BT114" s="229"/>
      <c r="BU114" s="229"/>
      <c r="BV114" s="229"/>
      <c r="BW114" s="229"/>
      <c r="BX114" s="229"/>
    </row>
    <row x14ac:dyDescent="0.25" r="115" customHeight="1" ht="14.5" customFormat="1" s="230">
      <c r="A115" s="229"/>
      <c r="B115" s="229"/>
      <c r="C115" s="229"/>
      <c r="D115" s="229"/>
      <c r="E115" s="229"/>
      <c r="F115" s="229"/>
      <c r="G115" s="229"/>
      <c r="H115" s="229"/>
      <c r="I115" s="229"/>
      <c r="J115" s="229"/>
      <c r="K115" s="229"/>
      <c r="L115" s="229"/>
      <c r="M115" s="229"/>
      <c r="N115" s="229"/>
      <c r="O115" s="229"/>
      <c r="P115" s="582"/>
      <c r="Q115" s="583"/>
      <c r="R115" s="584"/>
      <c r="S115" s="585"/>
      <c r="T115" s="584"/>
      <c r="U115" s="585"/>
      <c r="V115" s="584"/>
      <c r="W115" s="585"/>
      <c r="X115" s="584"/>
      <c r="Y115" s="585"/>
      <c r="Z115" s="584"/>
      <c r="AA115" s="585"/>
      <c r="AB115" s="583"/>
      <c r="AC115" s="586"/>
      <c r="AD115" s="229"/>
      <c r="AE115" s="577"/>
      <c r="AF115" s="578"/>
      <c r="AG115" s="8"/>
      <c r="AH115" s="579"/>
      <c r="AI115" s="579"/>
      <c r="AJ115" s="579"/>
      <c r="AK115" s="579"/>
      <c r="AL115" s="579"/>
      <c r="AM115" s="579"/>
      <c r="AN115" s="579"/>
      <c r="AO115" s="579"/>
      <c r="AP115" s="579"/>
      <c r="AQ115" s="577"/>
      <c r="AR115" s="580"/>
      <c r="AS115" s="577"/>
      <c r="AT115" s="577"/>
      <c r="AU115" s="8"/>
      <c r="AV115" s="577"/>
      <c r="AW115" s="577"/>
      <c r="AX115" s="577"/>
      <c r="AY115" s="577"/>
      <c r="AZ115" s="577"/>
      <c r="BA115" s="577"/>
      <c r="BB115" s="577"/>
      <c r="BC115" s="577"/>
      <c r="BD115" s="577"/>
      <c r="BE115" s="577"/>
      <c r="BF115" s="577"/>
      <c r="BG115" s="577"/>
      <c r="BH115" s="577"/>
      <c r="BI115" s="577"/>
      <c r="BJ115" s="577"/>
      <c r="BK115" s="577"/>
      <c r="BL115" s="577"/>
      <c r="BM115" s="8"/>
      <c r="BN115" s="229"/>
      <c r="BO115" s="581"/>
      <c r="BP115" s="581"/>
      <c r="BQ115" s="581"/>
      <c r="BR115" s="581"/>
      <c r="BS115" s="229"/>
      <c r="BT115" s="229"/>
      <c r="BU115" s="229"/>
      <c r="BV115" s="229"/>
      <c r="BW115" s="229"/>
      <c r="BX115" s="229"/>
    </row>
    <row x14ac:dyDescent="0.25" r="116" customHeight="1" ht="17.25">
      <c r="A116" s="227"/>
      <c r="B116" s="227"/>
      <c r="C116" s="227"/>
      <c r="D116" s="227"/>
      <c r="E116" s="227"/>
      <c r="F116" s="227"/>
      <c r="G116" s="227"/>
      <c r="H116" s="227"/>
      <c r="I116" s="227"/>
      <c r="J116" s="227"/>
      <c r="K116" s="227"/>
      <c r="L116" s="227"/>
      <c r="M116" s="227"/>
      <c r="N116" s="227"/>
      <c r="O116" s="227"/>
      <c r="P116" s="69"/>
      <c r="Q116" s="69"/>
      <c r="R116" s="181"/>
      <c r="S116" s="145"/>
      <c r="T116" s="181"/>
      <c r="U116" s="145"/>
      <c r="V116" s="181"/>
      <c r="W116" s="145"/>
      <c r="X116" s="181"/>
      <c r="Y116" s="145"/>
      <c r="Z116" s="181"/>
      <c r="AA116" s="145"/>
      <c r="AB116" s="69"/>
      <c r="AC116" s="11"/>
      <c r="AD116" s="228"/>
      <c r="AE116" s="3"/>
      <c r="AF116" s="333"/>
      <c r="AG116" s="2"/>
      <c r="AH116" s="6"/>
      <c r="AI116" s="6"/>
      <c r="AJ116" s="6"/>
      <c r="AK116" s="6"/>
      <c r="AL116" s="6"/>
      <c r="AM116" s="6"/>
      <c r="AN116" s="6"/>
      <c r="AO116" s="6"/>
      <c r="AP116" s="6"/>
      <c r="AQ116" s="3"/>
      <c r="AR116" s="5"/>
      <c r="AS116" s="3"/>
      <c r="AT116" s="3"/>
      <c r="AU116" s="2"/>
      <c r="AV116" s="3"/>
      <c r="AW116" s="3"/>
      <c r="AX116" s="3"/>
      <c r="AY116" s="3"/>
      <c r="AZ116" s="3"/>
      <c r="BA116" s="3"/>
      <c r="BB116" s="3"/>
      <c r="BC116" s="3"/>
      <c r="BD116" s="3"/>
      <c r="BE116" s="3"/>
      <c r="BF116" s="3"/>
      <c r="BG116" s="3"/>
      <c r="BH116" s="3"/>
      <c r="BI116" s="3"/>
      <c r="BJ116" s="3"/>
      <c r="BK116" s="3"/>
      <c r="BL116" s="3"/>
      <c r="BM116" s="2"/>
      <c r="BN116" s="1"/>
      <c r="BO116" s="334"/>
      <c r="BP116" s="334"/>
      <c r="BQ116" s="334"/>
      <c r="BR116" s="334"/>
      <c r="BS116" s="1"/>
      <c r="BT116" s="1"/>
      <c r="BU116" s="1"/>
      <c r="BV116" s="1"/>
      <c r="BW116" s="1"/>
      <c r="BX116" s="1"/>
    </row>
    <row x14ac:dyDescent="0.25" r="117" customHeight="1" ht="17.25">
      <c r="A117" s="227"/>
      <c r="B117" s="227"/>
      <c r="C117" s="227"/>
      <c r="D117" s="227"/>
      <c r="E117" s="227"/>
      <c r="F117" s="227"/>
      <c r="G117" s="227"/>
      <c r="H117" s="227"/>
      <c r="I117" s="227"/>
      <c r="J117" s="227"/>
      <c r="K117" s="227"/>
      <c r="L117" s="227"/>
      <c r="M117" s="227"/>
      <c r="N117" s="227"/>
      <c r="O117" s="227"/>
      <c r="P117" s="69"/>
      <c r="Q117" s="69"/>
      <c r="R117" s="181"/>
      <c r="S117" s="145"/>
      <c r="T117" s="181"/>
      <c r="U117" s="145"/>
      <c r="V117" s="181"/>
      <c r="W117" s="145"/>
      <c r="X117" s="181"/>
      <c r="Y117" s="145"/>
      <c r="Z117" s="181"/>
      <c r="AA117" s="145"/>
      <c r="AB117" s="69"/>
      <c r="AC117" s="11"/>
      <c r="AD117" s="228"/>
      <c r="AE117" s="3"/>
      <c r="AF117" s="333"/>
      <c r="AG117" s="2"/>
      <c r="AH117" s="6"/>
      <c r="AI117" s="6"/>
      <c r="AJ117" s="6"/>
      <c r="AK117" s="6"/>
      <c r="AL117" s="6"/>
      <c r="AM117" s="6"/>
      <c r="AN117" s="6"/>
      <c r="AO117" s="6"/>
      <c r="AP117" s="6"/>
      <c r="AQ117" s="3"/>
      <c r="AR117" s="5"/>
      <c r="AS117" s="3"/>
      <c r="AT117" s="3"/>
      <c r="AU117" s="2"/>
      <c r="AV117" s="3"/>
      <c r="AW117" s="3"/>
      <c r="AX117" s="3"/>
      <c r="AY117" s="3"/>
      <c r="AZ117" s="3"/>
      <c r="BA117" s="3"/>
      <c r="BB117" s="3"/>
      <c r="BC117" s="3"/>
      <c r="BD117" s="3"/>
      <c r="BE117" s="3"/>
      <c r="BF117" s="3"/>
      <c r="BG117" s="3"/>
      <c r="BH117" s="3"/>
      <c r="BI117" s="3"/>
      <c r="BJ117" s="3"/>
      <c r="BK117" s="3"/>
      <c r="BL117" s="3"/>
      <c r="BM117" s="2"/>
      <c r="BN117" s="1"/>
      <c r="BO117" s="334"/>
      <c r="BP117" s="334"/>
      <c r="BQ117" s="334"/>
      <c r="BR117" s="334"/>
      <c r="BS117" s="1"/>
      <c r="BT117" s="1"/>
      <c r="BU117" s="1"/>
      <c r="BV117" s="1"/>
      <c r="BW117" s="1"/>
      <c r="BX117" s="1"/>
    </row>
    <row x14ac:dyDescent="0.25" r="118" customHeight="1" ht="17.25">
      <c r="A118" s="227"/>
      <c r="B118" s="227"/>
      <c r="C118" s="227"/>
      <c r="D118" s="227"/>
      <c r="E118" s="227"/>
      <c r="F118" s="227"/>
      <c r="G118" s="227"/>
      <c r="H118" s="227"/>
      <c r="I118" s="227"/>
      <c r="J118" s="227"/>
      <c r="K118" s="227"/>
      <c r="L118" s="227"/>
      <c r="M118" s="227"/>
      <c r="N118" s="227"/>
      <c r="O118" s="227"/>
      <c r="P118" s="69"/>
      <c r="Q118" s="69"/>
      <c r="R118" s="181"/>
      <c r="S118" s="145"/>
      <c r="T118" s="181"/>
      <c r="U118" s="145"/>
      <c r="V118" s="181"/>
      <c r="W118" s="145"/>
      <c r="X118" s="181"/>
      <c r="Y118" s="145"/>
      <c r="Z118" s="181"/>
      <c r="AA118" s="145"/>
      <c r="AB118" s="69"/>
      <c r="AC118" s="11"/>
      <c r="AD118" s="228"/>
      <c r="AE118" s="3"/>
      <c r="AF118" s="333"/>
      <c r="AG118" s="2"/>
      <c r="AH118" s="6"/>
      <c r="AI118" s="6"/>
      <c r="AJ118" s="6"/>
      <c r="AK118" s="6"/>
      <c r="AL118" s="6"/>
      <c r="AM118" s="6"/>
      <c r="AN118" s="6"/>
      <c r="AO118" s="6"/>
      <c r="AP118" s="6"/>
      <c r="AQ118" s="3"/>
      <c r="AR118" s="5"/>
      <c r="AS118" s="3"/>
      <c r="AT118" s="3"/>
      <c r="AU118" s="2"/>
      <c r="AV118" s="3"/>
      <c r="AW118" s="3"/>
      <c r="AX118" s="3"/>
      <c r="AY118" s="3"/>
      <c r="AZ118" s="3"/>
      <c r="BA118" s="3"/>
      <c r="BB118" s="3"/>
      <c r="BC118" s="3"/>
      <c r="BD118" s="3"/>
      <c r="BE118" s="3"/>
      <c r="BF118" s="3"/>
      <c r="BG118" s="3"/>
      <c r="BH118" s="3"/>
      <c r="BI118" s="3"/>
      <c r="BJ118" s="3"/>
      <c r="BK118" s="3"/>
      <c r="BL118" s="3"/>
      <c r="BM118" s="2"/>
      <c r="BN118" s="1"/>
      <c r="BO118" s="334"/>
      <c r="BP118" s="334"/>
      <c r="BQ118" s="334"/>
      <c r="BR118" s="334"/>
      <c r="BS118" s="1"/>
      <c r="BT118" s="1"/>
      <c r="BU118" s="1"/>
      <c r="BV118" s="1"/>
      <c r="BW118" s="1"/>
      <c r="BX118" s="1"/>
    </row>
    <row x14ac:dyDescent="0.25" r="119" customHeight="1" ht="17.25">
      <c r="A119" s="227"/>
      <c r="B119" s="227"/>
      <c r="C119" s="227"/>
      <c r="D119" s="227"/>
      <c r="E119" s="227"/>
      <c r="F119" s="227"/>
      <c r="G119" s="227"/>
      <c r="H119" s="227"/>
      <c r="I119" s="227"/>
      <c r="J119" s="227"/>
      <c r="K119" s="227"/>
      <c r="L119" s="227"/>
      <c r="M119" s="227"/>
      <c r="N119" s="227"/>
      <c r="O119" s="227"/>
      <c r="P119" s="69"/>
      <c r="Q119" s="69"/>
      <c r="R119" s="181"/>
      <c r="S119" s="145"/>
      <c r="T119" s="181"/>
      <c r="U119" s="145"/>
      <c r="V119" s="181"/>
      <c r="W119" s="145"/>
      <c r="X119" s="181"/>
      <c r="Y119" s="145"/>
      <c r="Z119" s="181"/>
      <c r="AA119" s="145"/>
      <c r="AB119" s="69"/>
      <c r="AC119" s="11"/>
      <c r="AD119" s="228"/>
      <c r="AE119" s="3"/>
      <c r="AF119" s="333"/>
      <c r="AG119" s="2"/>
      <c r="AH119" s="6"/>
      <c r="AI119" s="6"/>
      <c r="AJ119" s="6"/>
      <c r="AK119" s="6"/>
      <c r="AL119" s="6"/>
      <c r="AM119" s="6"/>
      <c r="AN119" s="6"/>
      <c r="AO119" s="6"/>
      <c r="AP119" s="6"/>
      <c r="AQ119" s="3"/>
      <c r="AR119" s="5"/>
      <c r="AS119" s="3"/>
      <c r="AT119" s="3"/>
      <c r="AU119" s="2"/>
      <c r="AV119" s="3"/>
      <c r="AW119" s="3"/>
      <c r="AX119" s="3"/>
      <c r="AY119" s="3"/>
      <c r="AZ119" s="3"/>
      <c r="BA119" s="3"/>
      <c r="BB119" s="3"/>
      <c r="BC119" s="3"/>
      <c r="BD119" s="3"/>
      <c r="BE119" s="3"/>
      <c r="BF119" s="3"/>
      <c r="BG119" s="3"/>
      <c r="BH119" s="3"/>
      <c r="BI119" s="3"/>
      <c r="BJ119" s="3"/>
      <c r="BK119" s="3"/>
      <c r="BL119" s="3"/>
      <c r="BM119" s="2"/>
      <c r="BN119" s="1"/>
      <c r="BO119" s="334"/>
      <c r="BP119" s="334"/>
      <c r="BQ119" s="334"/>
      <c r="BR119" s="334"/>
      <c r="BS119" s="1"/>
      <c r="BT119" s="1"/>
      <c r="BU119" s="1"/>
      <c r="BV119" s="1"/>
      <c r="BW119" s="1"/>
      <c r="BX119" s="1"/>
    </row>
    <row x14ac:dyDescent="0.25" r="120" customHeight="1" ht="17.25">
      <c r="A120" s="227"/>
      <c r="B120" s="227"/>
      <c r="C120" s="227"/>
      <c r="D120" s="227"/>
      <c r="E120" s="227"/>
      <c r="F120" s="227"/>
      <c r="G120" s="227"/>
      <c r="H120" s="227"/>
      <c r="I120" s="227"/>
      <c r="J120" s="227"/>
      <c r="K120" s="227"/>
      <c r="L120" s="227"/>
      <c r="M120" s="227"/>
      <c r="N120" s="227"/>
      <c r="O120" s="227"/>
      <c r="P120" s="69"/>
      <c r="Q120" s="69"/>
      <c r="R120" s="181"/>
      <c r="S120" s="145"/>
      <c r="T120" s="181"/>
      <c r="U120" s="145"/>
      <c r="V120" s="181"/>
      <c r="W120" s="145"/>
      <c r="X120" s="181"/>
      <c r="Y120" s="145"/>
      <c r="Z120" s="181"/>
      <c r="AA120" s="145"/>
      <c r="AB120" s="69"/>
      <c r="AC120" s="11"/>
      <c r="AD120" s="228"/>
      <c r="AE120" s="3"/>
      <c r="AF120" s="333"/>
      <c r="AG120" s="2"/>
      <c r="AH120" s="6"/>
      <c r="AI120" s="6"/>
      <c r="AJ120" s="6"/>
      <c r="AK120" s="6"/>
      <c r="AL120" s="6"/>
      <c r="AM120" s="6"/>
      <c r="AN120" s="6"/>
      <c r="AO120" s="6"/>
      <c r="AP120" s="6"/>
      <c r="AQ120" s="3"/>
      <c r="AR120" s="5"/>
      <c r="AS120" s="3"/>
      <c r="AT120" s="3"/>
      <c r="AU120" s="2"/>
      <c r="AV120" s="3"/>
      <c r="AW120" s="3"/>
      <c r="AX120" s="3"/>
      <c r="AY120" s="3"/>
      <c r="AZ120" s="3"/>
      <c r="BA120" s="3"/>
      <c r="BB120" s="3"/>
      <c r="BC120" s="3"/>
      <c r="BD120" s="3"/>
      <c r="BE120" s="3"/>
      <c r="BF120" s="3"/>
      <c r="BG120" s="3"/>
      <c r="BH120" s="3"/>
      <c r="BI120" s="3"/>
      <c r="BJ120" s="3"/>
      <c r="BK120" s="3"/>
      <c r="BL120" s="3"/>
      <c r="BM120" s="2"/>
      <c r="BN120" s="1"/>
      <c r="BO120" s="334"/>
      <c r="BP120" s="334"/>
      <c r="BQ120" s="334"/>
      <c r="BR120" s="334"/>
      <c r="BS120" s="1"/>
      <c r="BT120" s="1"/>
      <c r="BU120" s="1"/>
      <c r="BV120" s="1"/>
      <c r="BW120" s="1"/>
      <c r="BX120" s="1"/>
    </row>
    <row x14ac:dyDescent="0.25" r="121" customHeight="1" ht="17.25">
      <c r="A121" s="227"/>
      <c r="B121" s="227"/>
      <c r="C121" s="227"/>
      <c r="D121" s="227"/>
      <c r="E121" s="227"/>
      <c r="F121" s="227"/>
      <c r="G121" s="227"/>
      <c r="H121" s="227"/>
      <c r="I121" s="227"/>
      <c r="J121" s="227"/>
      <c r="K121" s="227"/>
      <c r="L121" s="227"/>
      <c r="M121" s="227"/>
      <c r="N121" s="227"/>
      <c r="O121" s="227"/>
      <c r="P121" s="69"/>
      <c r="Q121" s="69"/>
      <c r="R121" s="181"/>
      <c r="S121" s="145"/>
      <c r="T121" s="181"/>
      <c r="U121" s="145"/>
      <c r="V121" s="181"/>
      <c r="W121" s="145"/>
      <c r="X121" s="181"/>
      <c r="Y121" s="145"/>
      <c r="Z121" s="181"/>
      <c r="AA121" s="145"/>
      <c r="AB121" s="69"/>
      <c r="AC121" s="11"/>
      <c r="AD121" s="228"/>
      <c r="AE121" s="3"/>
      <c r="AF121" s="333"/>
      <c r="AG121" s="2"/>
      <c r="AH121" s="6"/>
      <c r="AI121" s="6"/>
      <c r="AJ121" s="6"/>
      <c r="AK121" s="6"/>
      <c r="AL121" s="6"/>
      <c r="AM121" s="6"/>
      <c r="AN121" s="6"/>
      <c r="AO121" s="6"/>
      <c r="AP121" s="6"/>
      <c r="AQ121" s="3"/>
      <c r="AR121" s="5"/>
      <c r="AS121" s="3"/>
      <c r="AT121" s="3"/>
      <c r="AU121" s="2"/>
      <c r="AV121" s="3"/>
      <c r="AW121" s="3"/>
      <c r="AX121" s="3"/>
      <c r="AY121" s="3"/>
      <c r="AZ121" s="3"/>
      <c r="BA121" s="3"/>
      <c r="BB121" s="3"/>
      <c r="BC121" s="3"/>
      <c r="BD121" s="3"/>
      <c r="BE121" s="3"/>
      <c r="BF121" s="3"/>
      <c r="BG121" s="3"/>
      <c r="BH121" s="3"/>
      <c r="BI121" s="3"/>
      <c r="BJ121" s="3"/>
      <c r="BK121" s="3"/>
      <c r="BL121" s="3"/>
      <c r="BM121" s="2"/>
      <c r="BN121" s="1"/>
      <c r="BO121" s="334"/>
      <c r="BP121" s="334"/>
      <c r="BQ121" s="334"/>
      <c r="BR121" s="334"/>
      <c r="BS121" s="1"/>
      <c r="BT121" s="1"/>
      <c r="BU121" s="1"/>
      <c r="BV121" s="1"/>
      <c r="BW121" s="1"/>
      <c r="BX121" s="1"/>
    </row>
    <row x14ac:dyDescent="0.25" r="122" customHeight="1" ht="17.25">
      <c r="A122" s="227"/>
      <c r="B122" s="227"/>
      <c r="C122" s="227"/>
      <c r="D122" s="227"/>
      <c r="E122" s="227"/>
      <c r="F122" s="227"/>
      <c r="G122" s="227"/>
      <c r="H122" s="227"/>
      <c r="I122" s="227"/>
      <c r="J122" s="227"/>
      <c r="K122" s="227"/>
      <c r="L122" s="227"/>
      <c r="M122" s="227"/>
      <c r="N122" s="227"/>
      <c r="O122" s="227"/>
      <c r="P122" s="69"/>
      <c r="Q122" s="69"/>
      <c r="R122" s="181"/>
      <c r="S122" s="145"/>
      <c r="T122" s="181"/>
      <c r="U122" s="145"/>
      <c r="V122" s="181"/>
      <c r="W122" s="145"/>
      <c r="X122" s="181"/>
      <c r="Y122" s="145"/>
      <c r="Z122" s="181"/>
      <c r="AA122" s="145"/>
      <c r="AB122" s="69"/>
      <c r="AC122" s="11"/>
      <c r="AD122" s="228"/>
      <c r="AE122" s="3"/>
      <c r="AF122" s="333"/>
      <c r="AG122" s="2"/>
      <c r="AH122" s="6"/>
      <c r="AI122" s="6"/>
      <c r="AJ122" s="6"/>
      <c r="AK122" s="6"/>
      <c r="AL122" s="6"/>
      <c r="AM122" s="6"/>
      <c r="AN122" s="6"/>
      <c r="AO122" s="6"/>
      <c r="AP122" s="6"/>
      <c r="AQ122" s="3"/>
      <c r="AR122" s="5"/>
      <c r="AS122" s="3"/>
      <c r="AT122" s="3"/>
      <c r="AU122" s="2"/>
      <c r="AV122" s="3"/>
      <c r="AW122" s="3"/>
      <c r="AX122" s="3"/>
      <c r="AY122" s="3"/>
      <c r="AZ122" s="3"/>
      <c r="BA122" s="3"/>
      <c r="BB122" s="3"/>
      <c r="BC122" s="3"/>
      <c r="BD122" s="3"/>
      <c r="BE122" s="3"/>
      <c r="BF122" s="3"/>
      <c r="BG122" s="3"/>
      <c r="BH122" s="3"/>
      <c r="BI122" s="3"/>
      <c r="BJ122" s="3"/>
      <c r="BK122" s="3"/>
      <c r="BL122" s="3"/>
      <c r="BM122" s="2"/>
      <c r="BN122" s="1"/>
      <c r="BO122" s="334"/>
      <c r="BP122" s="334"/>
      <c r="BQ122" s="334"/>
      <c r="BR122" s="334"/>
      <c r="BS122" s="1"/>
      <c r="BT122" s="1"/>
      <c r="BU122" s="1"/>
      <c r="BV122" s="1"/>
      <c r="BW122" s="1"/>
      <c r="BX122" s="1"/>
    </row>
    <row x14ac:dyDescent="0.25" r="123" customHeight="1" ht="17.25">
      <c r="A123" s="227"/>
      <c r="B123" s="227"/>
      <c r="C123" s="227"/>
      <c r="D123" s="227"/>
      <c r="E123" s="227"/>
      <c r="F123" s="227"/>
      <c r="G123" s="227"/>
      <c r="H123" s="227"/>
      <c r="I123" s="227"/>
      <c r="J123" s="227"/>
      <c r="K123" s="227"/>
      <c r="L123" s="227"/>
      <c r="M123" s="227"/>
      <c r="N123" s="227"/>
      <c r="O123" s="227"/>
      <c r="P123" s="69"/>
      <c r="Q123" s="69"/>
      <c r="R123" s="181"/>
      <c r="S123" s="145"/>
      <c r="T123" s="181"/>
      <c r="U123" s="145"/>
      <c r="V123" s="181"/>
      <c r="W123" s="145"/>
      <c r="X123" s="181"/>
      <c r="Y123" s="145"/>
      <c r="Z123" s="181"/>
      <c r="AA123" s="145"/>
      <c r="AB123" s="69"/>
      <c r="AC123" s="11"/>
      <c r="AD123" s="228"/>
      <c r="AE123" s="3"/>
      <c r="AF123" s="333"/>
      <c r="AG123" s="2"/>
      <c r="AH123" s="6"/>
      <c r="AI123" s="6"/>
      <c r="AJ123" s="6"/>
      <c r="AK123" s="6"/>
      <c r="AL123" s="6"/>
      <c r="AM123" s="6"/>
      <c r="AN123" s="6"/>
      <c r="AO123" s="6"/>
      <c r="AP123" s="6"/>
      <c r="AQ123" s="3"/>
      <c r="AR123" s="5"/>
      <c r="AS123" s="3"/>
      <c r="AT123" s="3"/>
      <c r="AU123" s="2"/>
      <c r="AV123" s="3"/>
      <c r="AW123" s="3"/>
      <c r="AX123" s="3"/>
      <c r="AY123" s="3"/>
      <c r="AZ123" s="3"/>
      <c r="BA123" s="3"/>
      <c r="BB123" s="3"/>
      <c r="BC123" s="3"/>
      <c r="BD123" s="3"/>
      <c r="BE123" s="3"/>
      <c r="BF123" s="3"/>
      <c r="BG123" s="3"/>
      <c r="BH123" s="3"/>
      <c r="BI123" s="3"/>
      <c r="BJ123" s="3"/>
      <c r="BK123" s="3"/>
      <c r="BL123" s="3"/>
      <c r="BM123" s="2"/>
      <c r="BN123" s="1"/>
      <c r="BO123" s="334"/>
      <c r="BP123" s="334"/>
      <c r="BQ123" s="334"/>
      <c r="BR123" s="334"/>
      <c r="BS123" s="1"/>
      <c r="BT123" s="1"/>
      <c r="BU123" s="1"/>
      <c r="BV123" s="1"/>
      <c r="BW123" s="1"/>
      <c r="BX123" s="1"/>
    </row>
    <row x14ac:dyDescent="0.25" r="124" customHeight="1" ht="17.25">
      <c r="A124" s="227"/>
      <c r="B124" s="227"/>
      <c r="C124" s="227"/>
      <c r="D124" s="227"/>
      <c r="E124" s="227"/>
      <c r="F124" s="227"/>
      <c r="G124" s="227"/>
      <c r="H124" s="227"/>
      <c r="I124" s="227"/>
      <c r="J124" s="227"/>
      <c r="K124" s="227"/>
      <c r="L124" s="227"/>
      <c r="M124" s="227"/>
      <c r="N124" s="227"/>
      <c r="O124" s="227"/>
      <c r="P124" s="69"/>
      <c r="Q124" s="69"/>
      <c r="R124" s="181"/>
      <c r="S124" s="145"/>
      <c r="T124" s="181"/>
      <c r="U124" s="145"/>
      <c r="V124" s="181"/>
      <c r="W124" s="145"/>
      <c r="X124" s="181"/>
      <c r="Y124" s="145"/>
      <c r="Z124" s="181"/>
      <c r="AA124" s="145"/>
      <c r="AB124" s="69"/>
      <c r="AC124" s="11"/>
      <c r="AD124" s="228"/>
      <c r="AE124" s="3"/>
      <c r="AF124" s="333"/>
      <c r="AG124" s="2"/>
      <c r="AH124" s="6"/>
      <c r="AI124" s="6"/>
      <c r="AJ124" s="6"/>
      <c r="AK124" s="6"/>
      <c r="AL124" s="6"/>
      <c r="AM124" s="6"/>
      <c r="AN124" s="6"/>
      <c r="AO124" s="6"/>
      <c r="AP124" s="6"/>
      <c r="AQ124" s="3"/>
      <c r="AR124" s="5"/>
      <c r="AS124" s="3"/>
      <c r="AT124" s="3"/>
      <c r="AU124" s="2"/>
      <c r="AV124" s="3"/>
      <c r="AW124" s="3"/>
      <c r="AX124" s="3"/>
      <c r="AY124" s="3"/>
      <c r="AZ124" s="3"/>
      <c r="BA124" s="3"/>
      <c r="BB124" s="3"/>
      <c r="BC124" s="3"/>
      <c r="BD124" s="3"/>
      <c r="BE124" s="3"/>
      <c r="BF124" s="3"/>
      <c r="BG124" s="3"/>
      <c r="BH124" s="3"/>
      <c r="BI124" s="3"/>
      <c r="BJ124" s="3"/>
      <c r="BK124" s="3"/>
      <c r="BL124" s="3"/>
      <c r="BM124" s="2"/>
      <c r="BN124" s="1"/>
      <c r="BO124" s="334"/>
      <c r="BP124" s="334"/>
      <c r="BQ124" s="334"/>
      <c r="BR124" s="334"/>
      <c r="BS124" s="1"/>
      <c r="BT124" s="1"/>
      <c r="BU124" s="1"/>
      <c r="BV124" s="1"/>
      <c r="BW124" s="1"/>
      <c r="BX124" s="1"/>
    </row>
    <row x14ac:dyDescent="0.25" r="125" customHeight="1" ht="17.25">
      <c r="A125" s="227"/>
      <c r="B125" s="227"/>
      <c r="C125" s="227"/>
      <c r="D125" s="227"/>
      <c r="E125" s="227"/>
      <c r="F125" s="227"/>
      <c r="G125" s="227"/>
      <c r="H125" s="227"/>
      <c r="I125" s="227"/>
      <c r="J125" s="227"/>
      <c r="K125" s="227"/>
      <c r="L125" s="227"/>
      <c r="M125" s="227"/>
      <c r="N125" s="227"/>
      <c r="O125" s="227"/>
      <c r="P125" s="69"/>
      <c r="Q125" s="69"/>
      <c r="R125" s="181"/>
      <c r="S125" s="145"/>
      <c r="T125" s="181"/>
      <c r="U125" s="145"/>
      <c r="V125" s="181"/>
      <c r="W125" s="145"/>
      <c r="X125" s="181"/>
      <c r="Y125" s="145"/>
      <c r="Z125" s="181"/>
      <c r="AA125" s="145"/>
      <c r="AB125" s="69"/>
      <c r="AC125" s="11"/>
      <c r="AD125" s="228"/>
      <c r="AE125" s="3"/>
      <c r="AF125" s="333"/>
      <c r="AG125" s="2"/>
      <c r="AH125" s="6"/>
      <c r="AI125" s="6"/>
      <c r="AJ125" s="6"/>
      <c r="AK125" s="6"/>
      <c r="AL125" s="6"/>
      <c r="AM125" s="6"/>
      <c r="AN125" s="6"/>
      <c r="AO125" s="6"/>
      <c r="AP125" s="6"/>
      <c r="AQ125" s="3"/>
      <c r="AR125" s="5"/>
      <c r="AS125" s="3"/>
      <c r="AT125" s="3"/>
      <c r="AU125" s="2"/>
      <c r="AV125" s="3"/>
      <c r="AW125" s="3"/>
      <c r="AX125" s="3"/>
      <c r="AY125" s="3"/>
      <c r="AZ125" s="3"/>
      <c r="BA125" s="3"/>
      <c r="BB125" s="3"/>
      <c r="BC125" s="3"/>
      <c r="BD125" s="3"/>
      <c r="BE125" s="3"/>
      <c r="BF125" s="3"/>
      <c r="BG125" s="3"/>
      <c r="BH125" s="3"/>
      <c r="BI125" s="3"/>
      <c r="BJ125" s="3"/>
      <c r="BK125" s="3"/>
      <c r="BL125" s="3"/>
      <c r="BM125" s="2"/>
      <c r="BN125" s="1"/>
      <c r="BO125" s="334"/>
      <c r="BP125" s="334"/>
      <c r="BQ125" s="334"/>
      <c r="BR125" s="334"/>
      <c r="BS125" s="1"/>
      <c r="BT125" s="1"/>
      <c r="BU125" s="1"/>
      <c r="BV125" s="1"/>
      <c r="BW125" s="1"/>
      <c r="BX125" s="1"/>
    </row>
    <row x14ac:dyDescent="0.25" r="126" customHeight="1" ht="17.25">
      <c r="A126" s="227"/>
      <c r="B126" s="227"/>
      <c r="C126" s="227"/>
      <c r="D126" s="227"/>
      <c r="E126" s="227"/>
      <c r="F126" s="227"/>
      <c r="G126" s="227"/>
      <c r="H126" s="227"/>
      <c r="I126" s="227"/>
      <c r="J126" s="227"/>
      <c r="K126" s="227"/>
      <c r="L126" s="227"/>
      <c r="M126" s="227"/>
      <c r="N126" s="227"/>
      <c r="O126" s="227"/>
      <c r="P126" s="69"/>
      <c r="Q126" s="69"/>
      <c r="R126" s="181"/>
      <c r="S126" s="145"/>
      <c r="T126" s="181"/>
      <c r="U126" s="145"/>
      <c r="V126" s="181"/>
      <c r="W126" s="145"/>
      <c r="X126" s="181"/>
      <c r="Y126" s="145"/>
      <c r="Z126" s="181"/>
      <c r="AA126" s="145"/>
      <c r="AB126" s="69"/>
      <c r="AC126" s="11"/>
      <c r="AD126" s="228"/>
      <c r="AE126" s="3"/>
      <c r="AF126" s="333"/>
      <c r="AG126" s="2"/>
      <c r="AH126" s="6"/>
      <c r="AI126" s="6"/>
      <c r="AJ126" s="6"/>
      <c r="AK126" s="6"/>
      <c r="AL126" s="6"/>
      <c r="AM126" s="6"/>
      <c r="AN126" s="6"/>
      <c r="AO126" s="6"/>
      <c r="AP126" s="6"/>
      <c r="AQ126" s="3"/>
      <c r="AR126" s="5"/>
      <c r="AS126" s="3"/>
      <c r="AT126" s="3"/>
      <c r="AU126" s="2"/>
      <c r="AV126" s="3"/>
      <c r="AW126" s="3"/>
      <c r="AX126" s="3"/>
      <c r="AY126" s="3"/>
      <c r="AZ126" s="3"/>
      <c r="BA126" s="3"/>
      <c r="BB126" s="3"/>
      <c r="BC126" s="3"/>
      <c r="BD126" s="3"/>
      <c r="BE126" s="3"/>
      <c r="BF126" s="3"/>
      <c r="BG126" s="3"/>
      <c r="BH126" s="3"/>
      <c r="BI126" s="3"/>
      <c r="BJ126" s="3"/>
      <c r="BK126" s="3"/>
      <c r="BL126" s="3"/>
      <c r="BM126" s="2"/>
      <c r="BN126" s="1"/>
      <c r="BO126" s="334"/>
      <c r="BP126" s="334"/>
      <c r="BQ126" s="334"/>
      <c r="BR126" s="334"/>
      <c r="BS126" s="1"/>
      <c r="BT126" s="1"/>
      <c r="BU126" s="1"/>
      <c r="BV126" s="1"/>
      <c r="BW126" s="1"/>
      <c r="BX126" s="1"/>
    </row>
    <row x14ac:dyDescent="0.25" r="127" customHeight="1" ht="17.25">
      <c r="A127" s="227"/>
      <c r="B127" s="227"/>
      <c r="C127" s="227"/>
      <c r="D127" s="227"/>
      <c r="E127" s="227"/>
      <c r="F127" s="227"/>
      <c r="G127" s="227"/>
      <c r="H127" s="227"/>
      <c r="I127" s="227"/>
      <c r="J127" s="227"/>
      <c r="K127" s="227"/>
      <c r="L127" s="227"/>
      <c r="M127" s="227"/>
      <c r="N127" s="227"/>
      <c r="O127" s="227"/>
      <c r="P127" s="69"/>
      <c r="Q127" s="69"/>
      <c r="R127" s="181"/>
      <c r="S127" s="145"/>
      <c r="T127" s="181"/>
      <c r="U127" s="145"/>
      <c r="V127" s="181"/>
      <c r="W127" s="145"/>
      <c r="X127" s="181"/>
      <c r="Y127" s="145"/>
      <c r="Z127" s="181"/>
      <c r="AA127" s="145"/>
      <c r="AB127" s="69"/>
      <c r="AC127" s="11"/>
      <c r="AD127" s="228"/>
      <c r="AE127" s="3"/>
      <c r="AF127" s="333"/>
      <c r="AG127" s="2"/>
      <c r="AH127" s="6"/>
      <c r="AI127" s="6"/>
      <c r="AJ127" s="6"/>
      <c r="AK127" s="6"/>
      <c r="AL127" s="6"/>
      <c r="AM127" s="6"/>
      <c r="AN127" s="6"/>
      <c r="AO127" s="6"/>
      <c r="AP127" s="6"/>
      <c r="AQ127" s="3"/>
      <c r="AR127" s="5"/>
      <c r="AS127" s="3"/>
      <c r="AT127" s="3"/>
      <c r="AU127" s="2"/>
      <c r="AV127" s="3"/>
      <c r="AW127" s="3"/>
      <c r="AX127" s="3"/>
      <c r="AY127" s="3"/>
      <c r="AZ127" s="3"/>
      <c r="BA127" s="3"/>
      <c r="BB127" s="3"/>
      <c r="BC127" s="3"/>
      <c r="BD127" s="3"/>
      <c r="BE127" s="3"/>
      <c r="BF127" s="3"/>
      <c r="BG127" s="3"/>
      <c r="BH127" s="3"/>
      <c r="BI127" s="3"/>
      <c r="BJ127" s="3"/>
      <c r="BK127" s="3"/>
      <c r="BL127" s="3"/>
      <c r="BM127" s="2"/>
      <c r="BN127" s="1"/>
      <c r="BO127" s="334"/>
      <c r="BP127" s="334"/>
      <c r="BQ127" s="334"/>
      <c r="BR127" s="334"/>
      <c r="BS127" s="1"/>
      <c r="BT127" s="1"/>
      <c r="BU127" s="1"/>
      <c r="BV127" s="1"/>
      <c r="BW127" s="1"/>
      <c r="BX127" s="1"/>
    </row>
    <row x14ac:dyDescent="0.25" r="128" customHeight="1" ht="17.25">
      <c r="A128" s="227"/>
      <c r="B128" s="227"/>
      <c r="C128" s="227"/>
      <c r="D128" s="227"/>
      <c r="E128" s="227"/>
      <c r="F128" s="227"/>
      <c r="G128" s="227"/>
      <c r="H128" s="227"/>
      <c r="I128" s="227"/>
      <c r="J128" s="227"/>
      <c r="K128" s="227"/>
      <c r="L128" s="227"/>
      <c r="M128" s="227"/>
      <c r="N128" s="227"/>
      <c r="O128" s="227"/>
      <c r="P128" s="69"/>
      <c r="Q128" s="69"/>
      <c r="R128" s="181"/>
      <c r="S128" s="145"/>
      <c r="T128" s="181"/>
      <c r="U128" s="145"/>
      <c r="V128" s="181"/>
      <c r="W128" s="145"/>
      <c r="X128" s="181"/>
      <c r="Y128" s="145"/>
      <c r="Z128" s="181"/>
      <c r="AA128" s="145"/>
      <c r="AB128" s="69"/>
      <c r="AC128" s="11"/>
      <c r="AD128" s="228"/>
      <c r="AE128" s="3"/>
      <c r="AF128" s="333"/>
      <c r="AG128" s="2"/>
      <c r="AH128" s="6"/>
      <c r="AI128" s="6"/>
      <c r="AJ128" s="6"/>
      <c r="AK128" s="6"/>
      <c r="AL128" s="6"/>
      <c r="AM128" s="6"/>
      <c r="AN128" s="6"/>
      <c r="AO128" s="6"/>
      <c r="AP128" s="6"/>
      <c r="AQ128" s="3"/>
      <c r="AR128" s="5"/>
      <c r="AS128" s="3"/>
      <c r="AT128" s="3"/>
      <c r="AU128" s="2"/>
      <c r="AV128" s="3"/>
      <c r="AW128" s="3"/>
      <c r="AX128" s="3"/>
      <c r="AY128" s="3"/>
      <c r="AZ128" s="3"/>
      <c r="BA128" s="3"/>
      <c r="BB128" s="3"/>
      <c r="BC128" s="3"/>
      <c r="BD128" s="3"/>
      <c r="BE128" s="3"/>
      <c r="BF128" s="3"/>
      <c r="BG128" s="3"/>
      <c r="BH128" s="3"/>
      <c r="BI128" s="3"/>
      <c r="BJ128" s="3"/>
      <c r="BK128" s="3"/>
      <c r="BL128" s="3"/>
      <c r="BM128" s="2"/>
      <c r="BN128" s="1"/>
      <c r="BO128" s="334"/>
      <c r="BP128" s="334"/>
      <c r="BQ128" s="334"/>
      <c r="BR128" s="334"/>
      <c r="BS128" s="1"/>
      <c r="BT128" s="1"/>
      <c r="BU128" s="1"/>
      <c r="BV128" s="1"/>
      <c r="BW128" s="1"/>
      <c r="BX128" s="1"/>
    </row>
    <row x14ac:dyDescent="0.25" r="129" customHeight="1" ht="17.25">
      <c r="A129" s="227"/>
      <c r="B129" s="227"/>
      <c r="C129" s="227"/>
      <c r="D129" s="227"/>
      <c r="E129" s="227"/>
      <c r="F129" s="227"/>
      <c r="G129" s="227"/>
      <c r="H129" s="227"/>
      <c r="I129" s="227"/>
      <c r="J129" s="227"/>
      <c r="K129" s="227"/>
      <c r="L129" s="227"/>
      <c r="M129" s="227"/>
      <c r="N129" s="227"/>
      <c r="O129" s="227"/>
      <c r="P129" s="69"/>
      <c r="Q129" s="69"/>
      <c r="R129" s="181"/>
      <c r="S129" s="145"/>
      <c r="T129" s="181"/>
      <c r="U129" s="145"/>
      <c r="V129" s="181"/>
      <c r="W129" s="145"/>
      <c r="X129" s="181"/>
      <c r="Y129" s="145"/>
      <c r="Z129" s="181"/>
      <c r="AA129" s="145"/>
      <c r="AB129" s="69"/>
      <c r="AC129" s="11"/>
      <c r="AD129" s="228"/>
      <c r="AE129" s="3"/>
      <c r="AF129" s="333"/>
      <c r="AG129" s="2"/>
      <c r="AH129" s="6"/>
      <c r="AI129" s="6"/>
      <c r="AJ129" s="6"/>
      <c r="AK129" s="6"/>
      <c r="AL129" s="6"/>
      <c r="AM129" s="6"/>
      <c r="AN129" s="6"/>
      <c r="AO129" s="6"/>
      <c r="AP129" s="6"/>
      <c r="AQ129" s="3"/>
      <c r="AR129" s="5"/>
      <c r="AS129" s="3"/>
      <c r="AT129" s="3"/>
      <c r="AU129" s="2"/>
      <c r="AV129" s="3"/>
      <c r="AW129" s="3"/>
      <c r="AX129" s="3"/>
      <c r="AY129" s="3"/>
      <c r="AZ129" s="3"/>
      <c r="BA129" s="3"/>
      <c r="BB129" s="3"/>
      <c r="BC129" s="3"/>
      <c r="BD129" s="3"/>
      <c r="BE129" s="3"/>
      <c r="BF129" s="3"/>
      <c r="BG129" s="3"/>
      <c r="BH129" s="3"/>
      <c r="BI129" s="3"/>
      <c r="BJ129" s="3"/>
      <c r="BK129" s="3"/>
      <c r="BL129" s="3"/>
      <c r="BM129" s="2"/>
      <c r="BN129" s="1"/>
      <c r="BO129" s="334"/>
      <c r="BP129" s="334"/>
      <c r="BQ129" s="334"/>
      <c r="BR129" s="334"/>
      <c r="BS129" s="1"/>
      <c r="BT129" s="1"/>
      <c r="BU129" s="1"/>
      <c r="BV129" s="1"/>
      <c r="BW129" s="1"/>
      <c r="BX129" s="1"/>
    </row>
    <row x14ac:dyDescent="0.25" r="130" customHeight="1" ht="17.25">
      <c r="A130" s="227"/>
      <c r="B130" s="227"/>
      <c r="C130" s="227"/>
      <c r="D130" s="227"/>
      <c r="E130" s="227"/>
      <c r="F130" s="227"/>
      <c r="G130" s="227"/>
      <c r="H130" s="227"/>
      <c r="I130" s="227"/>
      <c r="J130" s="227"/>
      <c r="K130" s="227"/>
      <c r="L130" s="227"/>
      <c r="M130" s="227"/>
      <c r="N130" s="227"/>
      <c r="O130" s="227"/>
      <c r="P130" s="69"/>
      <c r="Q130" s="69"/>
      <c r="R130" s="181"/>
      <c r="S130" s="145"/>
      <c r="T130" s="181"/>
      <c r="U130" s="145"/>
      <c r="V130" s="181"/>
      <c r="W130" s="145"/>
      <c r="X130" s="181"/>
      <c r="Y130" s="145"/>
      <c r="Z130" s="181"/>
      <c r="AA130" s="145"/>
      <c r="AB130" s="69"/>
      <c r="AC130" s="11"/>
      <c r="AD130" s="228"/>
      <c r="AE130" s="3"/>
      <c r="AF130" s="333"/>
      <c r="AG130" s="2"/>
      <c r="AH130" s="6"/>
      <c r="AI130" s="6"/>
      <c r="AJ130" s="6"/>
      <c r="AK130" s="6"/>
      <c r="AL130" s="6"/>
      <c r="AM130" s="6"/>
      <c r="AN130" s="6"/>
      <c r="AO130" s="6"/>
      <c r="AP130" s="6"/>
      <c r="AQ130" s="3"/>
      <c r="AR130" s="5"/>
      <c r="AS130" s="3"/>
      <c r="AT130" s="3"/>
      <c r="AU130" s="2"/>
      <c r="AV130" s="3"/>
      <c r="AW130" s="3"/>
      <c r="AX130" s="3"/>
      <c r="AY130" s="3"/>
      <c r="AZ130" s="3"/>
      <c r="BA130" s="3"/>
      <c r="BB130" s="3"/>
      <c r="BC130" s="3"/>
      <c r="BD130" s="3"/>
      <c r="BE130" s="3"/>
      <c r="BF130" s="3"/>
      <c r="BG130" s="3"/>
      <c r="BH130" s="3"/>
      <c r="BI130" s="3"/>
      <c r="BJ130" s="3"/>
      <c r="BK130" s="3"/>
      <c r="BL130" s="3"/>
      <c r="BM130" s="2"/>
      <c r="BN130" s="1"/>
      <c r="BO130" s="334"/>
      <c r="BP130" s="334"/>
      <c r="BQ130" s="334"/>
      <c r="BR130" s="334"/>
      <c r="BS130" s="1"/>
      <c r="BT130" s="1"/>
      <c r="BU130" s="1"/>
      <c r="BV130" s="1"/>
      <c r="BW130" s="1"/>
      <c r="BX130" s="1"/>
    </row>
    <row x14ac:dyDescent="0.25" r="131" customHeight="1" ht="17.25">
      <c r="A131" s="227"/>
      <c r="B131" s="227"/>
      <c r="C131" s="227"/>
      <c r="D131" s="227"/>
      <c r="E131" s="227"/>
      <c r="F131" s="227"/>
      <c r="G131" s="227"/>
      <c r="H131" s="227"/>
      <c r="I131" s="227"/>
      <c r="J131" s="227"/>
      <c r="K131" s="227"/>
      <c r="L131" s="227"/>
      <c r="M131" s="227"/>
      <c r="N131" s="227"/>
      <c r="O131" s="227"/>
      <c r="P131" s="69"/>
      <c r="Q131" s="69"/>
      <c r="R131" s="181"/>
      <c r="S131" s="145"/>
      <c r="T131" s="181"/>
      <c r="U131" s="145"/>
      <c r="V131" s="181"/>
      <c r="W131" s="145"/>
      <c r="X131" s="181"/>
      <c r="Y131" s="145"/>
      <c r="Z131" s="181"/>
      <c r="AA131" s="145"/>
      <c r="AB131" s="69"/>
      <c r="AC131" s="11"/>
      <c r="AD131" s="228"/>
      <c r="AE131" s="3"/>
      <c r="AF131" s="333"/>
      <c r="AG131" s="2"/>
      <c r="AH131" s="6"/>
      <c r="AI131" s="6"/>
      <c r="AJ131" s="6"/>
      <c r="AK131" s="6"/>
      <c r="AL131" s="6"/>
      <c r="AM131" s="6"/>
      <c r="AN131" s="6"/>
      <c r="AO131" s="6"/>
      <c r="AP131" s="6"/>
      <c r="AQ131" s="3"/>
      <c r="AR131" s="5"/>
      <c r="AS131" s="3"/>
      <c r="AT131" s="3"/>
      <c r="AU131" s="2"/>
      <c r="AV131" s="3"/>
      <c r="AW131" s="3"/>
      <c r="AX131" s="3"/>
      <c r="AY131" s="3"/>
      <c r="AZ131" s="3"/>
      <c r="BA131" s="3"/>
      <c r="BB131" s="3"/>
      <c r="BC131" s="3"/>
      <c r="BD131" s="3"/>
      <c r="BE131" s="3"/>
      <c r="BF131" s="3"/>
      <c r="BG131" s="3"/>
      <c r="BH131" s="3"/>
      <c r="BI131" s="3"/>
      <c r="BJ131" s="3"/>
      <c r="BK131" s="3"/>
      <c r="BL131" s="3"/>
      <c r="BM131" s="2"/>
      <c r="BN131" s="1"/>
      <c r="BO131" s="334"/>
      <c r="BP131" s="334"/>
      <c r="BQ131" s="334"/>
      <c r="BR131" s="334"/>
      <c r="BS131" s="1"/>
      <c r="BT131" s="1"/>
      <c r="BU131" s="1"/>
      <c r="BV131" s="1"/>
      <c r="BW131" s="1"/>
      <c r="BX131" s="1"/>
    </row>
    <row x14ac:dyDescent="0.25" r="132" customHeight="1" ht="17.25">
      <c r="A132" s="227"/>
      <c r="B132" s="227"/>
      <c r="C132" s="227"/>
      <c r="D132" s="227"/>
      <c r="E132" s="227"/>
      <c r="F132" s="227"/>
      <c r="G132" s="227"/>
      <c r="H132" s="227"/>
      <c r="I132" s="227"/>
      <c r="J132" s="227"/>
      <c r="K132" s="227"/>
      <c r="L132" s="227"/>
      <c r="M132" s="227"/>
      <c r="N132" s="227"/>
      <c r="O132" s="227"/>
      <c r="P132" s="69"/>
      <c r="Q132" s="69"/>
      <c r="R132" s="181"/>
      <c r="S132" s="145"/>
      <c r="T132" s="181"/>
      <c r="U132" s="145"/>
      <c r="V132" s="181"/>
      <c r="W132" s="145"/>
      <c r="X132" s="181"/>
      <c r="Y132" s="145"/>
      <c r="Z132" s="181"/>
      <c r="AA132" s="145"/>
      <c r="AB132" s="69"/>
      <c r="AC132" s="11"/>
      <c r="AD132" s="228"/>
      <c r="AE132" s="145"/>
      <c r="AF132" s="530"/>
      <c r="AG132" s="69"/>
      <c r="AH132" s="528"/>
      <c r="AI132" s="528"/>
      <c r="AJ132" s="528"/>
      <c r="AK132" s="528"/>
      <c r="AL132" s="528"/>
      <c r="AM132" s="528"/>
      <c r="AN132" s="528"/>
      <c r="AO132" s="528"/>
      <c r="AP132" s="528"/>
      <c r="AQ132" s="3"/>
      <c r="AR132" s="5"/>
      <c r="AS132" s="3"/>
      <c r="AT132" s="3"/>
      <c r="AU132" s="2"/>
      <c r="AV132" s="3"/>
      <c r="AW132" s="3"/>
      <c r="AX132" s="3"/>
      <c r="AY132" s="3"/>
      <c r="AZ132" s="3"/>
      <c r="BA132" s="3"/>
      <c r="BB132" s="3"/>
      <c r="BC132" s="3"/>
      <c r="BD132" s="3"/>
      <c r="BE132" s="3"/>
      <c r="BF132" s="3"/>
      <c r="BG132" s="3"/>
      <c r="BH132" s="3"/>
      <c r="BI132" s="3"/>
      <c r="BJ132" s="3"/>
      <c r="BK132" s="3"/>
      <c r="BL132" s="3"/>
      <c r="BM132" s="2"/>
      <c r="BN132" s="1"/>
      <c r="BO132" s="334"/>
      <c r="BP132" s="334"/>
      <c r="BQ132" s="334"/>
      <c r="BR132" s="334"/>
      <c r="BS132" s="1"/>
      <c r="BT132" s="1"/>
      <c r="BU132" s="1"/>
      <c r="BV132" s="1"/>
      <c r="BW132" s="1"/>
      <c r="BX132" s="1"/>
    </row>
    <row x14ac:dyDescent="0.25" r="133" customHeight="1" ht="17.25">
      <c r="A133" s="227"/>
      <c r="B133" s="227"/>
      <c r="C133" s="227"/>
      <c r="D133" s="227"/>
      <c r="E133" s="227"/>
      <c r="F133" s="227"/>
      <c r="G133" s="227"/>
      <c r="H133" s="227"/>
      <c r="I133" s="227"/>
      <c r="J133" s="227"/>
      <c r="K133" s="227"/>
      <c r="L133" s="227"/>
      <c r="M133" s="227"/>
      <c r="N133" s="227"/>
      <c r="O133" s="227"/>
      <c r="P133" s="69"/>
      <c r="Q133" s="69"/>
      <c r="R133" s="181"/>
      <c r="S133" s="145"/>
      <c r="T133" s="181"/>
      <c r="U133" s="145"/>
      <c r="V133" s="181"/>
      <c r="W133" s="145"/>
      <c r="X133" s="181"/>
      <c r="Y133" s="145"/>
      <c r="Z133" s="181"/>
      <c r="AA133" s="145"/>
      <c r="AB133" s="69"/>
      <c r="AC133" s="11"/>
      <c r="AD133" s="228"/>
      <c r="AE133" s="145"/>
      <c r="AF133" s="530"/>
      <c r="AG133" s="69"/>
      <c r="AH133" s="528"/>
      <c r="AI133" s="528"/>
      <c r="AJ133" s="528"/>
      <c r="AK133" s="528"/>
      <c r="AL133" s="528"/>
      <c r="AM133" s="528"/>
      <c r="AN133" s="528"/>
      <c r="AO133" s="528"/>
      <c r="AP133" s="528"/>
      <c r="AQ133" s="3"/>
      <c r="AR133" s="5"/>
      <c r="AS133" s="3"/>
      <c r="AT133" s="3"/>
      <c r="AU133" s="2"/>
      <c r="AV133" s="3"/>
      <c r="AW133" s="3"/>
      <c r="AX133" s="3"/>
      <c r="AY133" s="3"/>
      <c r="AZ133" s="3"/>
      <c r="BA133" s="3"/>
      <c r="BB133" s="3"/>
      <c r="BC133" s="3"/>
      <c r="BD133" s="3"/>
      <c r="BE133" s="3"/>
      <c r="BF133" s="3"/>
      <c r="BG133" s="3"/>
      <c r="BH133" s="3"/>
      <c r="BI133" s="3"/>
      <c r="BJ133" s="3"/>
      <c r="BK133" s="3"/>
      <c r="BL133" s="3"/>
      <c r="BM133" s="2"/>
      <c r="BN133" s="1"/>
      <c r="BO133" s="334"/>
      <c r="BP133" s="334"/>
      <c r="BQ133" s="334"/>
      <c r="BR133" s="334"/>
      <c r="BS133" s="1"/>
      <c r="BT133" s="1"/>
      <c r="BU133" s="1"/>
      <c r="BV133" s="1"/>
      <c r="BW133" s="1"/>
      <c r="BX133" s="1"/>
    </row>
    <row x14ac:dyDescent="0.25" r="134" customHeight="1" ht="17.25">
      <c r="A134" s="227"/>
      <c r="B134" s="227"/>
      <c r="C134" s="227"/>
      <c r="D134" s="227"/>
      <c r="E134" s="227"/>
      <c r="F134" s="227"/>
      <c r="G134" s="227"/>
      <c r="H134" s="227"/>
      <c r="I134" s="227"/>
      <c r="J134" s="227"/>
      <c r="K134" s="227"/>
      <c r="L134" s="227"/>
      <c r="M134" s="227"/>
      <c r="N134" s="227"/>
      <c r="O134" s="227"/>
      <c r="P134" s="69"/>
      <c r="Q134" s="69"/>
      <c r="R134" s="181"/>
      <c r="S134" s="145"/>
      <c r="T134" s="181"/>
      <c r="U134" s="145"/>
      <c r="V134" s="181"/>
      <c r="W134" s="145"/>
      <c r="X134" s="181"/>
      <c r="Y134" s="145"/>
      <c r="Z134" s="181"/>
      <c r="AA134" s="145"/>
      <c r="AB134" s="69"/>
      <c r="AC134" s="11"/>
      <c r="AD134" s="228"/>
      <c r="AE134" s="145"/>
      <c r="AF134" s="530"/>
      <c r="AG134" s="69"/>
      <c r="AH134" s="528"/>
      <c r="AI134" s="528"/>
      <c r="AJ134" s="528"/>
      <c r="AK134" s="528"/>
      <c r="AL134" s="528"/>
      <c r="AM134" s="528"/>
      <c r="AN134" s="528"/>
      <c r="AO134" s="528"/>
      <c r="AP134" s="528"/>
      <c r="AQ134" s="3"/>
      <c r="AR134" s="5"/>
      <c r="AS134" s="3"/>
      <c r="AT134" s="3"/>
      <c r="AU134" s="2"/>
      <c r="AV134" s="3"/>
      <c r="AW134" s="3"/>
      <c r="AX134" s="3"/>
      <c r="AY134" s="3"/>
      <c r="AZ134" s="3"/>
      <c r="BA134" s="3"/>
      <c r="BB134" s="3"/>
      <c r="BC134" s="3"/>
      <c r="BD134" s="3"/>
      <c r="BE134" s="3"/>
      <c r="BF134" s="3"/>
      <c r="BG134" s="3"/>
      <c r="BH134" s="3"/>
      <c r="BI134" s="3"/>
      <c r="BJ134" s="3"/>
      <c r="BK134" s="3"/>
      <c r="BL134" s="3"/>
      <c r="BM134" s="2"/>
      <c r="BN134" s="1"/>
      <c r="BO134" s="334"/>
      <c r="BP134" s="334"/>
      <c r="BQ134" s="334"/>
      <c r="BR134" s="334"/>
      <c r="BS134" s="1"/>
      <c r="BT134" s="1"/>
      <c r="BU134" s="1"/>
      <c r="BV134" s="1"/>
      <c r="BW134" s="1"/>
      <c r="BX134" s="1"/>
    </row>
    <row x14ac:dyDescent="0.25" r="135" customHeight="1" ht="17.25">
      <c r="A135" s="227"/>
      <c r="B135" s="227"/>
      <c r="C135" s="227"/>
      <c r="D135" s="227"/>
      <c r="E135" s="227"/>
      <c r="F135" s="227"/>
      <c r="G135" s="227"/>
      <c r="H135" s="227"/>
      <c r="I135" s="227"/>
      <c r="J135" s="227"/>
      <c r="K135" s="227"/>
      <c r="L135" s="227"/>
      <c r="M135" s="227"/>
      <c r="N135" s="227"/>
      <c r="O135" s="227"/>
      <c r="P135" s="69"/>
      <c r="Q135" s="69"/>
      <c r="R135" s="181"/>
      <c r="S135" s="145"/>
      <c r="T135" s="181"/>
      <c r="U135" s="145"/>
      <c r="V135" s="181"/>
      <c r="W135" s="145"/>
      <c r="X135" s="181"/>
      <c r="Y135" s="145"/>
      <c r="Z135" s="181"/>
      <c r="AA135" s="145"/>
      <c r="AB135" s="69"/>
      <c r="AC135" s="11"/>
      <c r="AD135" s="228"/>
      <c r="AE135" s="145"/>
      <c r="AF135" s="39"/>
      <c r="AG135" s="69"/>
      <c r="AH135" s="528"/>
      <c r="AI135" s="528"/>
      <c r="AJ135" s="528"/>
      <c r="AK135" s="528"/>
      <c r="AL135" s="528"/>
      <c r="AM135" s="528"/>
      <c r="AN135" s="528"/>
      <c r="AO135" s="528"/>
      <c r="AP135" s="528"/>
      <c r="AQ135" s="3"/>
      <c r="AR135" s="5"/>
      <c r="AS135" s="3"/>
      <c r="AT135" s="3"/>
      <c r="AU135" s="2"/>
      <c r="AV135" s="3"/>
      <c r="AW135" s="3"/>
      <c r="AX135" s="3"/>
      <c r="AY135" s="3"/>
      <c r="AZ135" s="3"/>
      <c r="BA135" s="3"/>
      <c r="BB135" s="3"/>
      <c r="BC135" s="3"/>
      <c r="BD135" s="3"/>
      <c r="BE135" s="3"/>
      <c r="BF135" s="3"/>
      <c r="BG135" s="3"/>
      <c r="BH135" s="3"/>
      <c r="BI135" s="3"/>
      <c r="BJ135" s="3"/>
      <c r="BK135" s="3"/>
      <c r="BL135" s="3"/>
      <c r="BM135" s="2"/>
      <c r="BN135" s="1"/>
      <c r="BO135" s="334"/>
      <c r="BP135" s="334"/>
      <c r="BQ135" s="334"/>
      <c r="BR135" s="334"/>
      <c r="BS135" s="1"/>
      <c r="BT135" s="1"/>
      <c r="BU135" s="1"/>
      <c r="BV135" s="1"/>
      <c r="BW135" s="1"/>
      <c r="BX135" s="1"/>
    </row>
    <row x14ac:dyDescent="0.25" r="136" customHeight="1" ht="17.25">
      <c r="A136" s="227"/>
      <c r="B136" s="227"/>
      <c r="C136" s="227"/>
      <c r="D136" s="227"/>
      <c r="E136" s="227"/>
      <c r="F136" s="227"/>
      <c r="G136" s="227"/>
      <c r="H136" s="227"/>
      <c r="I136" s="227"/>
      <c r="J136" s="227"/>
      <c r="K136" s="227"/>
      <c r="L136" s="227"/>
      <c r="M136" s="227"/>
      <c r="N136" s="227"/>
      <c r="O136" s="227"/>
      <c r="P136" s="69"/>
      <c r="Q136" s="69"/>
      <c r="R136" s="181"/>
      <c r="S136" s="145"/>
      <c r="T136" s="181"/>
      <c r="U136" s="145"/>
      <c r="V136" s="181"/>
      <c r="W136" s="145"/>
      <c r="X136" s="181"/>
      <c r="Y136" s="145"/>
      <c r="Z136" s="181"/>
      <c r="AA136" s="145"/>
      <c r="AB136" s="69"/>
      <c r="AC136" s="11"/>
      <c r="AD136" s="228"/>
      <c r="AE136" s="145"/>
      <c r="AF136" s="107"/>
      <c r="AG136" s="69"/>
      <c r="AH136" s="528"/>
      <c r="AI136" s="528"/>
      <c r="AJ136" s="528"/>
      <c r="AK136" s="528"/>
      <c r="AL136" s="528"/>
      <c r="AM136" s="528"/>
      <c r="AN136" s="528"/>
      <c r="AO136" s="528"/>
      <c r="AP136" s="528"/>
      <c r="AQ136" s="3"/>
      <c r="AR136" s="5"/>
      <c r="AS136" s="3"/>
      <c r="AT136" s="3"/>
      <c r="AU136" s="2"/>
      <c r="AV136" s="3"/>
      <c r="AW136" s="3"/>
      <c r="AX136" s="3"/>
      <c r="AY136" s="3"/>
      <c r="AZ136" s="3"/>
      <c r="BA136" s="3"/>
      <c r="BB136" s="3"/>
      <c r="BC136" s="3"/>
      <c r="BD136" s="3"/>
      <c r="BE136" s="3"/>
      <c r="BF136" s="3"/>
      <c r="BG136" s="3"/>
      <c r="BH136" s="3"/>
      <c r="BI136" s="3"/>
      <c r="BJ136" s="3"/>
      <c r="BK136" s="3"/>
      <c r="BL136" s="3"/>
      <c r="BM136" s="2"/>
      <c r="BN136" s="1"/>
      <c r="BO136" s="334"/>
      <c r="BP136" s="334"/>
      <c r="BQ136" s="334"/>
      <c r="BR136" s="334"/>
      <c r="BS136" s="1"/>
      <c r="BT136" s="1"/>
      <c r="BU136" s="1"/>
      <c r="BV136" s="1"/>
      <c r="BW136" s="1"/>
      <c r="BX136" s="1"/>
    </row>
    <row x14ac:dyDescent="0.25" r="137" customHeight="1" ht="17.25">
      <c r="A137" s="227"/>
      <c r="B137" s="227"/>
      <c r="C137" s="227"/>
      <c r="D137" s="227"/>
      <c r="E137" s="227"/>
      <c r="F137" s="227"/>
      <c r="G137" s="227"/>
      <c r="H137" s="227"/>
      <c r="I137" s="227"/>
      <c r="J137" s="227"/>
      <c r="K137" s="227"/>
      <c r="L137" s="227"/>
      <c r="M137" s="227"/>
      <c r="N137" s="227"/>
      <c r="O137" s="227"/>
      <c r="P137" s="69"/>
      <c r="Q137" s="69"/>
      <c r="R137" s="181"/>
      <c r="S137" s="145"/>
      <c r="T137" s="181"/>
      <c r="U137" s="145"/>
      <c r="V137" s="181"/>
      <c r="W137" s="145"/>
      <c r="X137" s="181"/>
      <c r="Y137" s="145"/>
      <c r="Z137" s="181"/>
      <c r="AA137" s="145"/>
      <c r="AB137" s="69"/>
      <c r="AC137" s="11"/>
      <c r="AD137" s="228"/>
      <c r="AE137" s="145"/>
      <c r="AF137" s="530"/>
      <c r="AG137" s="69"/>
      <c r="AH137" s="528"/>
      <c r="AI137" s="528"/>
      <c r="AJ137" s="528"/>
      <c r="AK137" s="528"/>
      <c r="AL137" s="528"/>
      <c r="AM137" s="528"/>
      <c r="AN137" s="528"/>
      <c r="AO137" s="528"/>
      <c r="AP137" s="528"/>
      <c r="AQ137" s="3"/>
      <c r="AR137" s="5"/>
      <c r="AS137" s="3"/>
      <c r="AT137" s="3"/>
      <c r="AU137" s="2"/>
      <c r="AV137" s="3"/>
      <c r="AW137" s="3"/>
      <c r="AX137" s="3"/>
      <c r="AY137" s="3"/>
      <c r="AZ137" s="3"/>
      <c r="BA137" s="3"/>
      <c r="BB137" s="3"/>
      <c r="BC137" s="3"/>
      <c r="BD137" s="3"/>
      <c r="BE137" s="3"/>
      <c r="BF137" s="3"/>
      <c r="BG137" s="3"/>
      <c r="BH137" s="3"/>
      <c r="BI137" s="3"/>
      <c r="BJ137" s="3"/>
      <c r="BK137" s="3"/>
      <c r="BL137" s="3"/>
      <c r="BM137" s="2"/>
      <c r="BN137" s="1"/>
      <c r="BO137" s="334"/>
      <c r="BP137" s="334"/>
      <c r="BQ137" s="334"/>
      <c r="BR137" s="334"/>
      <c r="BS137" s="1"/>
      <c r="BT137" s="1"/>
      <c r="BU137" s="1"/>
      <c r="BV137" s="1"/>
      <c r="BW137" s="1"/>
      <c r="BX137" s="1"/>
    </row>
    <row x14ac:dyDescent="0.25" r="138" customHeight="1" ht="17.25">
      <c r="A138" s="227"/>
      <c r="B138" s="227"/>
      <c r="C138" s="227"/>
      <c r="D138" s="227"/>
      <c r="E138" s="227"/>
      <c r="F138" s="227"/>
      <c r="G138" s="227"/>
      <c r="H138" s="227"/>
      <c r="I138" s="227"/>
      <c r="J138" s="227"/>
      <c r="K138" s="227"/>
      <c r="L138" s="227"/>
      <c r="M138" s="227"/>
      <c r="N138" s="227"/>
      <c r="O138" s="227"/>
      <c r="P138" s="69"/>
      <c r="Q138" s="69"/>
      <c r="R138" s="181"/>
      <c r="S138" s="145"/>
      <c r="T138" s="181"/>
      <c r="U138" s="145"/>
      <c r="V138" s="181"/>
      <c r="W138" s="145"/>
      <c r="X138" s="181"/>
      <c r="Y138" s="145"/>
      <c r="Z138" s="181"/>
      <c r="AA138" s="145"/>
      <c r="AB138" s="69"/>
      <c r="AC138" s="11"/>
      <c r="AD138" s="228"/>
      <c r="AE138" s="145"/>
      <c r="AF138" s="530"/>
      <c r="AG138" s="69"/>
      <c r="AH138" s="528"/>
      <c r="AI138" s="528"/>
      <c r="AJ138" s="528"/>
      <c r="AK138" s="528"/>
      <c r="AL138" s="528"/>
      <c r="AM138" s="528"/>
      <c r="AN138" s="528"/>
      <c r="AO138" s="528"/>
      <c r="AP138" s="528"/>
      <c r="AQ138" s="3"/>
      <c r="AR138" s="5"/>
      <c r="AS138" s="3"/>
      <c r="AT138" s="3"/>
      <c r="AU138" s="2"/>
      <c r="AV138" s="3"/>
      <c r="AW138" s="3"/>
      <c r="AX138" s="3"/>
      <c r="AY138" s="3"/>
      <c r="AZ138" s="3"/>
      <c r="BA138" s="3"/>
      <c r="BB138" s="3"/>
      <c r="BC138" s="3"/>
      <c r="BD138" s="3"/>
      <c r="BE138" s="3"/>
      <c r="BF138" s="3"/>
      <c r="BG138" s="3"/>
      <c r="BH138" s="3"/>
      <c r="BI138" s="3"/>
      <c r="BJ138" s="3"/>
      <c r="BK138" s="3"/>
      <c r="BL138" s="3"/>
      <c r="BM138" s="2"/>
      <c r="BN138" s="1"/>
      <c r="BO138" s="334"/>
      <c r="BP138" s="334"/>
      <c r="BQ138" s="334"/>
      <c r="BR138" s="334"/>
      <c r="BS138" s="1"/>
      <c r="BT138" s="1"/>
      <c r="BU138" s="1"/>
      <c r="BV138" s="1"/>
      <c r="BW138" s="1"/>
      <c r="BX138" s="1"/>
    </row>
    <row x14ac:dyDescent="0.25" r="139" customHeight="1" ht="17.25">
      <c r="A139" s="227"/>
      <c r="B139" s="227"/>
      <c r="C139" s="227"/>
      <c r="D139" s="227"/>
      <c r="E139" s="227"/>
      <c r="F139" s="227"/>
      <c r="G139" s="227"/>
      <c r="H139" s="227"/>
      <c r="I139" s="227"/>
      <c r="J139" s="227"/>
      <c r="K139" s="227"/>
      <c r="L139" s="227"/>
      <c r="M139" s="227"/>
      <c r="N139" s="227"/>
      <c r="O139" s="227"/>
      <c r="P139" s="69"/>
      <c r="Q139" s="69"/>
      <c r="R139" s="181"/>
      <c r="S139" s="145"/>
      <c r="T139" s="181"/>
      <c r="U139" s="145"/>
      <c r="V139" s="181"/>
      <c r="W139" s="145"/>
      <c r="X139" s="181"/>
      <c r="Y139" s="145"/>
      <c r="Z139" s="181"/>
      <c r="AA139" s="145"/>
      <c r="AB139" s="69"/>
      <c r="AC139" s="11"/>
      <c r="AD139" s="228"/>
      <c r="AE139" s="145"/>
      <c r="AF139" s="530"/>
      <c r="AG139" s="69"/>
      <c r="AH139" s="528"/>
      <c r="AI139" s="528"/>
      <c r="AJ139" s="528"/>
      <c r="AK139" s="528"/>
      <c r="AL139" s="528"/>
      <c r="AM139" s="528"/>
      <c r="AN139" s="528"/>
      <c r="AO139" s="528"/>
      <c r="AP139" s="528"/>
      <c r="AQ139" s="3"/>
      <c r="AR139" s="5"/>
      <c r="AS139" s="3"/>
      <c r="AT139" s="3"/>
      <c r="AU139" s="2"/>
      <c r="AV139" s="3"/>
      <c r="AW139" s="3"/>
      <c r="AX139" s="3"/>
      <c r="AY139" s="3"/>
      <c r="AZ139" s="3"/>
      <c r="BA139" s="3"/>
      <c r="BB139" s="3"/>
      <c r="BC139" s="3"/>
      <c r="BD139" s="3"/>
      <c r="BE139" s="3"/>
      <c r="BF139" s="3"/>
      <c r="BG139" s="3"/>
      <c r="BH139" s="3"/>
      <c r="BI139" s="3"/>
      <c r="BJ139" s="3"/>
      <c r="BK139" s="3"/>
      <c r="BL139" s="3"/>
      <c r="BM139" s="2"/>
      <c r="BN139" s="1"/>
      <c r="BO139" s="334"/>
      <c r="BP139" s="334"/>
      <c r="BQ139" s="334"/>
      <c r="BR139" s="334"/>
      <c r="BS139" s="1"/>
      <c r="BT139" s="1"/>
      <c r="BU139" s="1"/>
      <c r="BV139" s="1"/>
      <c r="BW139" s="1"/>
      <c r="BX139" s="1"/>
    </row>
    <row x14ac:dyDescent="0.25" r="140" customHeight="1" ht="17.25">
      <c r="A140" s="227"/>
      <c r="B140" s="227"/>
      <c r="C140" s="227"/>
      <c r="D140" s="227"/>
      <c r="E140" s="227"/>
      <c r="F140" s="227"/>
      <c r="G140" s="227"/>
      <c r="H140" s="227"/>
      <c r="I140" s="227"/>
      <c r="J140" s="227"/>
      <c r="K140" s="227"/>
      <c r="L140" s="227"/>
      <c r="M140" s="227"/>
      <c r="N140" s="227"/>
      <c r="O140" s="227"/>
      <c r="P140" s="69"/>
      <c r="Q140" s="69"/>
      <c r="R140" s="181"/>
      <c r="S140" s="145"/>
      <c r="T140" s="181"/>
      <c r="U140" s="145"/>
      <c r="V140" s="181"/>
      <c r="W140" s="145"/>
      <c r="X140" s="181"/>
      <c r="Y140" s="145"/>
      <c r="Z140" s="181"/>
      <c r="AA140" s="145"/>
      <c r="AB140" s="69"/>
      <c r="AC140" s="11"/>
      <c r="AD140" s="228"/>
      <c r="AE140" s="145"/>
      <c r="AF140" s="530"/>
      <c r="AG140" s="69"/>
      <c r="AH140" s="528"/>
      <c r="AI140" s="528"/>
      <c r="AJ140" s="528"/>
      <c r="AK140" s="528"/>
      <c r="AL140" s="528"/>
      <c r="AM140" s="528"/>
      <c r="AN140" s="528"/>
      <c r="AO140" s="528"/>
      <c r="AP140" s="528"/>
      <c r="AQ140" s="3"/>
      <c r="AR140" s="5"/>
      <c r="AS140" s="3"/>
      <c r="AT140" s="3"/>
      <c r="AU140" s="2"/>
      <c r="AV140" s="3"/>
      <c r="AW140" s="3"/>
      <c r="AX140" s="3"/>
      <c r="AY140" s="3"/>
      <c r="AZ140" s="3"/>
      <c r="BA140" s="3"/>
      <c r="BB140" s="3"/>
      <c r="BC140" s="3"/>
      <c r="BD140" s="3"/>
      <c r="BE140" s="3"/>
      <c r="BF140" s="3"/>
      <c r="BG140" s="3"/>
      <c r="BH140" s="3"/>
      <c r="BI140" s="3"/>
      <c r="BJ140" s="3"/>
      <c r="BK140" s="3"/>
      <c r="BL140" s="3"/>
      <c r="BM140" s="2"/>
      <c r="BN140" s="1"/>
      <c r="BO140" s="334"/>
      <c r="BP140" s="334"/>
      <c r="BQ140" s="334"/>
      <c r="BR140" s="334"/>
      <c r="BS140" s="1"/>
      <c r="BT140" s="1"/>
      <c r="BU140" s="1"/>
      <c r="BV140" s="1"/>
      <c r="BW140" s="1"/>
      <c r="BX140" s="1"/>
    </row>
    <row x14ac:dyDescent="0.25" r="141" customHeight="1" ht="17.25">
      <c r="A141" s="227"/>
      <c r="B141" s="227"/>
      <c r="C141" s="227"/>
      <c r="D141" s="227"/>
      <c r="E141" s="227"/>
      <c r="F141" s="227"/>
      <c r="G141" s="227"/>
      <c r="H141" s="227"/>
      <c r="I141" s="227"/>
      <c r="J141" s="227"/>
      <c r="K141" s="227"/>
      <c r="L141" s="227"/>
      <c r="M141" s="227"/>
      <c r="N141" s="227"/>
      <c r="O141" s="227"/>
      <c r="P141" s="69"/>
      <c r="Q141" s="69"/>
      <c r="R141" s="181"/>
      <c r="S141" s="145"/>
      <c r="T141" s="181"/>
      <c r="U141" s="145"/>
      <c r="V141" s="181"/>
      <c r="W141" s="145"/>
      <c r="X141" s="181"/>
      <c r="Y141" s="145"/>
      <c r="Z141" s="181"/>
      <c r="AA141" s="145"/>
      <c r="AB141" s="69"/>
      <c r="AC141" s="11"/>
      <c r="AD141" s="228"/>
      <c r="AE141" s="145"/>
      <c r="AF141" s="530"/>
      <c r="AG141" s="69"/>
      <c r="AH141" s="528"/>
      <c r="AI141" s="528"/>
      <c r="AJ141" s="528"/>
      <c r="AK141" s="528"/>
      <c r="AL141" s="528"/>
      <c r="AM141" s="528"/>
      <c r="AN141" s="528"/>
      <c r="AO141" s="528"/>
      <c r="AP141" s="528"/>
      <c r="AQ141" s="3"/>
      <c r="AR141" s="5"/>
      <c r="AS141" s="3"/>
      <c r="AT141" s="3"/>
      <c r="AU141" s="2"/>
      <c r="AV141" s="3"/>
      <c r="AW141" s="3"/>
      <c r="AX141" s="3"/>
      <c r="AY141" s="3"/>
      <c r="AZ141" s="3"/>
      <c r="BA141" s="3"/>
      <c r="BB141" s="3"/>
      <c r="BC141" s="3"/>
      <c r="BD141" s="3"/>
      <c r="BE141" s="3"/>
      <c r="BF141" s="3"/>
      <c r="BG141" s="3"/>
      <c r="BH141" s="3"/>
      <c r="BI141" s="3"/>
      <c r="BJ141" s="3"/>
      <c r="BK141" s="3"/>
      <c r="BL141" s="3"/>
      <c r="BM141" s="2"/>
      <c r="BN141" s="1"/>
      <c r="BO141" s="334"/>
      <c r="BP141" s="334"/>
      <c r="BQ141" s="334"/>
      <c r="BR141" s="334"/>
      <c r="BS141" s="1"/>
      <c r="BT141" s="1"/>
      <c r="BU141" s="1"/>
      <c r="BV141" s="1"/>
      <c r="BW141" s="1"/>
      <c r="BX141" s="1"/>
    </row>
    <row x14ac:dyDescent="0.25" r="142" customHeight="1" ht="17.25">
      <c r="A142" s="227"/>
      <c r="B142" s="227"/>
      <c r="C142" s="227"/>
      <c r="D142" s="227"/>
      <c r="E142" s="227"/>
      <c r="F142" s="227"/>
      <c r="G142" s="227"/>
      <c r="H142" s="227"/>
      <c r="I142" s="227"/>
      <c r="J142" s="227"/>
      <c r="K142" s="227"/>
      <c r="L142" s="227"/>
      <c r="M142" s="227"/>
      <c r="N142" s="227"/>
      <c r="O142" s="227"/>
      <c r="P142" s="69"/>
      <c r="Q142" s="69"/>
      <c r="R142" s="181"/>
      <c r="S142" s="145"/>
      <c r="T142" s="181"/>
      <c r="U142" s="145"/>
      <c r="V142" s="181"/>
      <c r="W142" s="145"/>
      <c r="X142" s="181"/>
      <c r="Y142" s="145"/>
      <c r="Z142" s="181"/>
      <c r="AA142" s="145"/>
      <c r="AB142" s="69"/>
      <c r="AC142" s="11"/>
      <c r="AD142" s="228"/>
      <c r="AE142" s="145"/>
      <c r="AF142" s="530"/>
      <c r="AG142" s="69"/>
      <c r="AH142" s="528"/>
      <c r="AI142" s="528"/>
      <c r="AJ142" s="528"/>
      <c r="AK142" s="528"/>
      <c r="AL142" s="528"/>
      <c r="AM142" s="528"/>
      <c r="AN142" s="528"/>
      <c r="AO142" s="528"/>
      <c r="AP142" s="528"/>
      <c r="AQ142" s="3"/>
      <c r="AR142" s="5"/>
      <c r="AS142" s="3"/>
      <c r="AT142" s="3"/>
      <c r="AU142" s="2"/>
      <c r="AV142" s="3"/>
      <c r="AW142" s="3"/>
      <c r="AX142" s="3"/>
      <c r="AY142" s="3"/>
      <c r="AZ142" s="3"/>
      <c r="BA142" s="3"/>
      <c r="BB142" s="3"/>
      <c r="BC142" s="3"/>
      <c r="BD142" s="3"/>
      <c r="BE142" s="3"/>
      <c r="BF142" s="3"/>
      <c r="BG142" s="3"/>
      <c r="BH142" s="3"/>
      <c r="BI142" s="3"/>
      <c r="BJ142" s="3"/>
      <c r="BK142" s="3"/>
      <c r="BL142" s="3"/>
      <c r="BM142" s="2"/>
      <c r="BN142" s="1"/>
      <c r="BO142" s="334"/>
      <c r="BP142" s="334"/>
      <c r="BQ142" s="334"/>
      <c r="BR142" s="334"/>
      <c r="BS142" s="1"/>
      <c r="BT142" s="1"/>
      <c r="BU142" s="1"/>
      <c r="BV142" s="1"/>
      <c r="BW142" s="1"/>
      <c r="BX142" s="1"/>
    </row>
    <row x14ac:dyDescent="0.25" r="143" customHeight="1" ht="17.25">
      <c r="A143" s="227"/>
      <c r="B143" s="227"/>
      <c r="C143" s="227"/>
      <c r="D143" s="227"/>
      <c r="E143" s="227"/>
      <c r="F143" s="227"/>
      <c r="G143" s="227"/>
      <c r="H143" s="227"/>
      <c r="I143" s="227"/>
      <c r="J143" s="227"/>
      <c r="K143" s="227"/>
      <c r="L143" s="227"/>
      <c r="M143" s="227"/>
      <c r="N143" s="227"/>
      <c r="O143" s="227"/>
      <c r="P143" s="69"/>
      <c r="Q143" s="69"/>
      <c r="R143" s="181"/>
      <c r="S143" s="145"/>
      <c r="T143" s="181"/>
      <c r="U143" s="145"/>
      <c r="V143" s="181"/>
      <c r="W143" s="145"/>
      <c r="X143" s="181"/>
      <c r="Y143" s="145"/>
      <c r="Z143" s="181"/>
      <c r="AA143" s="145"/>
      <c r="AB143" s="69"/>
      <c r="AC143" s="11"/>
      <c r="AD143" s="228"/>
      <c r="AE143" s="145"/>
      <c r="AF143" s="530"/>
      <c r="AG143" s="69"/>
      <c r="AH143" s="528"/>
      <c r="AI143" s="528"/>
      <c r="AJ143" s="528"/>
      <c r="AK143" s="528"/>
      <c r="AL143" s="528"/>
      <c r="AM143" s="528"/>
      <c r="AN143" s="528"/>
      <c r="AO143" s="528"/>
      <c r="AP143" s="528"/>
      <c r="AQ143" s="3"/>
      <c r="AR143" s="5"/>
      <c r="AS143" s="3"/>
      <c r="AT143" s="3"/>
      <c r="AU143" s="2"/>
      <c r="AV143" s="3"/>
      <c r="AW143" s="3"/>
      <c r="AX143" s="3"/>
      <c r="AY143" s="3"/>
      <c r="AZ143" s="3"/>
      <c r="BA143" s="3"/>
      <c r="BB143" s="3"/>
      <c r="BC143" s="3"/>
      <c r="BD143" s="3"/>
      <c r="BE143" s="3"/>
      <c r="BF143" s="3"/>
      <c r="BG143" s="3"/>
      <c r="BH143" s="3"/>
      <c r="BI143" s="3"/>
      <c r="BJ143" s="3"/>
      <c r="BK143" s="3"/>
      <c r="BL143" s="3"/>
      <c r="BM143" s="2"/>
      <c r="BN143" s="1"/>
      <c r="BO143" s="334"/>
      <c r="BP143" s="334"/>
      <c r="BQ143" s="334"/>
      <c r="BR143" s="334"/>
      <c r="BS143" s="1"/>
      <c r="BT143" s="1"/>
      <c r="BU143" s="1"/>
      <c r="BV143" s="1"/>
      <c r="BW143" s="1"/>
      <c r="BX143" s="1"/>
    </row>
    <row x14ac:dyDescent="0.25" r="144" customHeight="1" ht="17.25">
      <c r="A144" s="227"/>
      <c r="B144" s="227"/>
      <c r="C144" s="227"/>
      <c r="D144" s="227"/>
      <c r="E144" s="227"/>
      <c r="F144" s="227"/>
      <c r="G144" s="227"/>
      <c r="H144" s="227"/>
      <c r="I144" s="227"/>
      <c r="J144" s="227"/>
      <c r="K144" s="227"/>
      <c r="L144" s="227"/>
      <c r="M144" s="227"/>
      <c r="N144" s="227"/>
      <c r="O144" s="227"/>
      <c r="P144" s="69"/>
      <c r="Q144" s="69"/>
      <c r="R144" s="181"/>
      <c r="S144" s="145"/>
      <c r="T144" s="181"/>
      <c r="U144" s="145"/>
      <c r="V144" s="181"/>
      <c r="W144" s="145"/>
      <c r="X144" s="181"/>
      <c r="Y144" s="145"/>
      <c r="Z144" s="181"/>
      <c r="AA144" s="145"/>
      <c r="AB144" s="69"/>
      <c r="AC144" s="11"/>
      <c r="AD144" s="228"/>
      <c r="AE144" s="145"/>
      <c r="AF144" s="530"/>
      <c r="AG144" s="69"/>
      <c r="AH144" s="528"/>
      <c r="AI144" s="528"/>
      <c r="AJ144" s="528"/>
      <c r="AK144" s="528"/>
      <c r="AL144" s="528"/>
      <c r="AM144" s="528"/>
      <c r="AN144" s="528"/>
      <c r="AO144" s="528"/>
      <c r="AP144" s="528"/>
      <c r="AQ144" s="3"/>
      <c r="AR144" s="5"/>
      <c r="AS144" s="3"/>
      <c r="AT144" s="3"/>
      <c r="AU144" s="2"/>
      <c r="AV144" s="3"/>
      <c r="AW144" s="3"/>
      <c r="AX144" s="3"/>
      <c r="AY144" s="3"/>
      <c r="AZ144" s="3"/>
      <c r="BA144" s="3"/>
      <c r="BB144" s="3"/>
      <c r="BC144" s="3"/>
      <c r="BD144" s="3"/>
      <c r="BE144" s="3"/>
      <c r="BF144" s="3"/>
      <c r="BG144" s="3"/>
      <c r="BH144" s="3"/>
      <c r="BI144" s="3"/>
      <c r="BJ144" s="3"/>
      <c r="BK144" s="3"/>
      <c r="BL144" s="3"/>
      <c r="BM144" s="2"/>
      <c r="BN144" s="1"/>
      <c r="BO144" s="334"/>
      <c r="BP144" s="334"/>
      <c r="BQ144" s="334"/>
      <c r="BR144" s="334"/>
      <c r="BS144" s="1"/>
      <c r="BT144" s="1"/>
      <c r="BU144" s="1"/>
      <c r="BV144" s="1"/>
      <c r="BW144" s="1"/>
      <c r="BX144" s="1"/>
    </row>
    <row x14ac:dyDescent="0.25" r="145" customHeight="1" ht="17.25">
      <c r="A145" s="227"/>
      <c r="B145" s="227"/>
      <c r="C145" s="227"/>
      <c r="D145" s="227"/>
      <c r="E145" s="227"/>
      <c r="F145" s="227"/>
      <c r="G145" s="227"/>
      <c r="H145" s="227"/>
      <c r="I145" s="227"/>
      <c r="J145" s="227"/>
      <c r="K145" s="227"/>
      <c r="L145" s="227"/>
      <c r="M145" s="227"/>
      <c r="N145" s="227"/>
      <c r="O145" s="227"/>
      <c r="P145" s="69"/>
      <c r="Q145" s="69"/>
      <c r="R145" s="181"/>
      <c r="S145" s="145"/>
      <c r="T145" s="181"/>
      <c r="U145" s="145"/>
      <c r="V145" s="181"/>
      <c r="W145" s="145"/>
      <c r="X145" s="181"/>
      <c r="Y145" s="145"/>
      <c r="Z145" s="181"/>
      <c r="AA145" s="145"/>
      <c r="AB145" s="69"/>
      <c r="AC145" s="11"/>
      <c r="AD145" s="228"/>
      <c r="AE145" s="145"/>
      <c r="AF145" s="530"/>
      <c r="AG145" s="69"/>
      <c r="AH145" s="528"/>
      <c r="AI145" s="528"/>
      <c r="AJ145" s="528"/>
      <c r="AK145" s="528"/>
      <c r="AL145" s="528"/>
      <c r="AM145" s="528"/>
      <c r="AN145" s="528"/>
      <c r="AO145" s="528"/>
      <c r="AP145" s="528"/>
      <c r="AQ145" s="3"/>
      <c r="AR145" s="5"/>
      <c r="AS145" s="3"/>
      <c r="AT145" s="3"/>
      <c r="AU145" s="2"/>
      <c r="AV145" s="3"/>
      <c r="AW145" s="3"/>
      <c r="AX145" s="3"/>
      <c r="AY145" s="3"/>
      <c r="AZ145" s="3"/>
      <c r="BA145" s="3"/>
      <c r="BB145" s="3"/>
      <c r="BC145" s="3"/>
      <c r="BD145" s="3"/>
      <c r="BE145" s="3"/>
      <c r="BF145" s="3"/>
      <c r="BG145" s="3"/>
      <c r="BH145" s="3"/>
      <c r="BI145" s="3"/>
      <c r="BJ145" s="3"/>
      <c r="BK145" s="3"/>
      <c r="BL145" s="3"/>
      <c r="BM145" s="2"/>
      <c r="BN145" s="1"/>
      <c r="BO145" s="334"/>
      <c r="BP145" s="334"/>
      <c r="BQ145" s="334"/>
      <c r="BR145" s="334"/>
      <c r="BS145" s="1"/>
      <c r="BT145" s="1"/>
      <c r="BU145" s="1"/>
      <c r="BV145" s="1"/>
      <c r="BW145" s="1"/>
      <c r="BX145" s="1"/>
    </row>
    <row x14ac:dyDescent="0.25" r="146" customHeight="1" ht="17.25">
      <c r="A146" s="227"/>
      <c r="B146" s="227"/>
      <c r="C146" s="227"/>
      <c r="D146" s="227"/>
      <c r="E146" s="227"/>
      <c r="F146" s="227"/>
      <c r="G146" s="227"/>
      <c r="H146" s="227"/>
      <c r="I146" s="227"/>
      <c r="J146" s="227"/>
      <c r="K146" s="227"/>
      <c r="L146" s="227"/>
      <c r="M146" s="227"/>
      <c r="N146" s="227"/>
      <c r="O146" s="227"/>
      <c r="P146" s="69"/>
      <c r="Q146" s="69"/>
      <c r="R146" s="181"/>
      <c r="S146" s="145"/>
      <c r="T146" s="181"/>
      <c r="U146" s="145"/>
      <c r="V146" s="181"/>
      <c r="W146" s="145"/>
      <c r="X146" s="181"/>
      <c r="Y146" s="145"/>
      <c r="Z146" s="181"/>
      <c r="AA146" s="145"/>
      <c r="AB146" s="69"/>
      <c r="AC146" s="11"/>
      <c r="AD146" s="228"/>
      <c r="AE146" s="145"/>
      <c r="AF146" s="530"/>
      <c r="AG146" s="69"/>
      <c r="AH146" s="528"/>
      <c r="AI146" s="528"/>
      <c r="AJ146" s="528"/>
      <c r="AK146" s="528"/>
      <c r="AL146" s="528"/>
      <c r="AM146" s="528"/>
      <c r="AN146" s="528"/>
      <c r="AO146" s="528"/>
      <c r="AP146" s="528"/>
      <c r="AQ146" s="3"/>
      <c r="AR146" s="5"/>
      <c r="AS146" s="3"/>
      <c r="AT146" s="3"/>
      <c r="AU146" s="2"/>
      <c r="AV146" s="3"/>
      <c r="AW146" s="3"/>
      <c r="AX146" s="3"/>
      <c r="AY146" s="3"/>
      <c r="AZ146" s="3"/>
      <c r="BA146" s="3"/>
      <c r="BB146" s="3"/>
      <c r="BC146" s="3"/>
      <c r="BD146" s="3"/>
      <c r="BE146" s="3"/>
      <c r="BF146" s="3"/>
      <c r="BG146" s="3"/>
      <c r="BH146" s="3"/>
      <c r="BI146" s="3"/>
      <c r="BJ146" s="3"/>
      <c r="BK146" s="3"/>
      <c r="BL146" s="3"/>
      <c r="BM146" s="2"/>
      <c r="BN146" s="1"/>
      <c r="BO146" s="334"/>
      <c r="BP146" s="334"/>
      <c r="BQ146" s="334"/>
      <c r="BR146" s="334"/>
      <c r="BS146" s="1"/>
      <c r="BT146" s="1"/>
      <c r="BU146" s="1"/>
      <c r="BV146" s="1"/>
      <c r="BW146" s="1"/>
      <c r="BX146" s="1"/>
    </row>
    <row x14ac:dyDescent="0.25" r="147" customHeight="1" ht="17.25">
      <c r="A147" s="227"/>
      <c r="B147" s="227"/>
      <c r="C147" s="227"/>
      <c r="D147" s="227"/>
      <c r="E147" s="227"/>
      <c r="F147" s="227"/>
      <c r="G147" s="227"/>
      <c r="H147" s="227"/>
      <c r="I147" s="227"/>
      <c r="J147" s="227"/>
      <c r="K147" s="227"/>
      <c r="L147" s="227"/>
      <c r="M147" s="227"/>
      <c r="N147" s="227"/>
      <c r="O147" s="227"/>
      <c r="P147" s="69"/>
      <c r="Q147" s="69"/>
      <c r="R147" s="181"/>
      <c r="S147" s="145"/>
      <c r="T147" s="181"/>
      <c r="U147" s="145"/>
      <c r="V147" s="181"/>
      <c r="W147" s="145"/>
      <c r="X147" s="181"/>
      <c r="Y147" s="145"/>
      <c r="Z147" s="181"/>
      <c r="AA147" s="145"/>
      <c r="AB147" s="69"/>
      <c r="AC147" s="11"/>
      <c r="AD147" s="228"/>
      <c r="AE147" s="145"/>
      <c r="AF147" s="530"/>
      <c r="AG147" s="69"/>
      <c r="AH147" s="528"/>
      <c r="AI147" s="528"/>
      <c r="AJ147" s="528"/>
      <c r="AK147" s="528"/>
      <c r="AL147" s="528"/>
      <c r="AM147" s="528"/>
      <c r="AN147" s="528"/>
      <c r="AO147" s="528"/>
      <c r="AP147" s="528"/>
      <c r="AQ147" s="3"/>
      <c r="AR147" s="5"/>
      <c r="AS147" s="3"/>
      <c r="AT147" s="3"/>
      <c r="AU147" s="2"/>
      <c r="AV147" s="3"/>
      <c r="AW147" s="3"/>
      <c r="AX147" s="3"/>
      <c r="AY147" s="3"/>
      <c r="AZ147" s="3"/>
      <c r="BA147" s="3"/>
      <c r="BB147" s="3"/>
      <c r="BC147" s="3"/>
      <c r="BD147" s="3"/>
      <c r="BE147" s="3"/>
      <c r="BF147" s="3"/>
      <c r="BG147" s="3"/>
      <c r="BH147" s="3"/>
      <c r="BI147" s="3"/>
      <c r="BJ147" s="3"/>
      <c r="BK147" s="3"/>
      <c r="BL147" s="3"/>
      <c r="BM147" s="2"/>
      <c r="BN147" s="1"/>
      <c r="BO147" s="334"/>
      <c r="BP147" s="334"/>
      <c r="BQ147" s="334"/>
      <c r="BR147" s="334"/>
      <c r="BS147" s="1"/>
      <c r="BT147" s="1"/>
      <c r="BU147" s="1"/>
      <c r="BV147" s="1"/>
      <c r="BW147" s="1"/>
      <c r="BX147" s="1"/>
    </row>
    <row x14ac:dyDescent="0.25" r="148" customHeight="1" ht="17.25">
      <c r="A148" s="227"/>
      <c r="B148" s="227"/>
      <c r="C148" s="227"/>
      <c r="D148" s="227"/>
      <c r="E148" s="227"/>
      <c r="F148" s="227"/>
      <c r="G148" s="227"/>
      <c r="H148" s="227"/>
      <c r="I148" s="227"/>
      <c r="J148" s="227"/>
      <c r="K148" s="227"/>
      <c r="L148" s="227"/>
      <c r="M148" s="227"/>
      <c r="N148" s="227"/>
      <c r="O148" s="227"/>
      <c r="P148" s="69"/>
      <c r="Q148" s="69"/>
      <c r="R148" s="181"/>
      <c r="S148" s="145"/>
      <c r="T148" s="181"/>
      <c r="U148" s="145"/>
      <c r="V148" s="181"/>
      <c r="W148" s="145"/>
      <c r="X148" s="181"/>
      <c r="Y148" s="145"/>
      <c r="Z148" s="181"/>
      <c r="AA148" s="145"/>
      <c r="AB148" s="69"/>
      <c r="AC148" s="11"/>
      <c r="AD148" s="228"/>
      <c r="AE148" s="145"/>
      <c r="AF148" s="530"/>
      <c r="AG148" s="69"/>
      <c r="AH148" s="528"/>
      <c r="AI148" s="528"/>
      <c r="AJ148" s="528"/>
      <c r="AK148" s="528"/>
      <c r="AL148" s="528"/>
      <c r="AM148" s="528"/>
      <c r="AN148" s="528"/>
      <c r="AO148" s="528"/>
      <c r="AP148" s="528"/>
      <c r="AQ148" s="3"/>
      <c r="AR148" s="5"/>
      <c r="AS148" s="3"/>
      <c r="AT148" s="3"/>
      <c r="AU148" s="2"/>
      <c r="AV148" s="3"/>
      <c r="AW148" s="3"/>
      <c r="AX148" s="3"/>
      <c r="AY148" s="3"/>
      <c r="AZ148" s="3"/>
      <c r="BA148" s="3"/>
      <c r="BB148" s="3"/>
      <c r="BC148" s="3"/>
      <c r="BD148" s="3"/>
      <c r="BE148" s="3"/>
      <c r="BF148" s="3"/>
      <c r="BG148" s="3"/>
      <c r="BH148" s="3"/>
      <c r="BI148" s="3"/>
      <c r="BJ148" s="3"/>
      <c r="BK148" s="3"/>
      <c r="BL148" s="3"/>
      <c r="BM148" s="2"/>
      <c r="BN148" s="1"/>
      <c r="BO148" s="334"/>
      <c r="BP148" s="334"/>
      <c r="BQ148" s="334"/>
      <c r="BR148" s="334"/>
      <c r="BS148" s="1"/>
      <c r="BT148" s="1"/>
      <c r="BU148" s="1"/>
      <c r="BV148" s="1"/>
      <c r="BW148" s="1"/>
      <c r="BX148" s="1"/>
    </row>
    <row x14ac:dyDescent="0.25" r="149" customHeight="1" ht="17.25">
      <c r="A149" s="227"/>
      <c r="B149" s="227"/>
      <c r="C149" s="227"/>
      <c r="D149" s="227"/>
      <c r="E149" s="227"/>
      <c r="F149" s="227"/>
      <c r="G149" s="227"/>
      <c r="H149" s="227"/>
      <c r="I149" s="227"/>
      <c r="J149" s="227"/>
      <c r="K149" s="227"/>
      <c r="L149" s="227"/>
      <c r="M149" s="227"/>
      <c r="N149" s="227"/>
      <c r="O149" s="227"/>
      <c r="P149" s="69"/>
      <c r="Q149" s="69"/>
      <c r="R149" s="181"/>
      <c r="S149" s="145"/>
      <c r="T149" s="181"/>
      <c r="U149" s="145"/>
      <c r="V149" s="181"/>
      <c r="W149" s="145"/>
      <c r="X149" s="181"/>
      <c r="Y149" s="145"/>
      <c r="Z149" s="181"/>
      <c r="AA149" s="145"/>
      <c r="AB149" s="69"/>
      <c r="AC149" s="11"/>
      <c r="AD149" s="228"/>
      <c r="AE149" s="145"/>
      <c r="AF149" s="530"/>
      <c r="AG149" s="69"/>
      <c r="AH149" s="528"/>
      <c r="AI149" s="528"/>
      <c r="AJ149" s="528"/>
      <c r="AK149" s="528"/>
      <c r="AL149" s="528"/>
      <c r="AM149" s="528"/>
      <c r="AN149" s="528"/>
      <c r="AO149" s="528"/>
      <c r="AP149" s="528"/>
      <c r="AQ149" s="3"/>
      <c r="AR149" s="5"/>
      <c r="AS149" s="3"/>
      <c r="AT149" s="3"/>
      <c r="AU149" s="2"/>
      <c r="AV149" s="3"/>
      <c r="AW149" s="3"/>
      <c r="AX149" s="3"/>
      <c r="AY149" s="3"/>
      <c r="AZ149" s="3"/>
      <c r="BA149" s="3"/>
      <c r="BB149" s="3"/>
      <c r="BC149" s="3"/>
      <c r="BD149" s="3"/>
      <c r="BE149" s="3"/>
      <c r="BF149" s="3"/>
      <c r="BG149" s="3"/>
      <c r="BH149" s="3"/>
      <c r="BI149" s="3"/>
      <c r="BJ149" s="3"/>
      <c r="BK149" s="3"/>
      <c r="BL149" s="3"/>
      <c r="BM149" s="2"/>
      <c r="BN149" s="1"/>
      <c r="BO149" s="334"/>
      <c r="BP149" s="334"/>
      <c r="BQ149" s="334"/>
      <c r="BR149" s="334"/>
      <c r="BS149" s="1"/>
      <c r="BT149" s="1"/>
      <c r="BU149" s="1"/>
      <c r="BV149" s="1"/>
      <c r="BW149" s="1"/>
      <c r="BX149" s="1"/>
    </row>
    <row x14ac:dyDescent="0.25" r="150" customHeight="1" ht="17.25">
      <c r="A150" s="227"/>
      <c r="B150" s="227"/>
      <c r="C150" s="227"/>
      <c r="D150" s="227"/>
      <c r="E150" s="227"/>
      <c r="F150" s="227"/>
      <c r="G150" s="227"/>
      <c r="H150" s="227"/>
      <c r="I150" s="227"/>
      <c r="J150" s="227"/>
      <c r="K150" s="227"/>
      <c r="L150" s="227"/>
      <c r="M150" s="227"/>
      <c r="N150" s="227"/>
      <c r="O150" s="227"/>
      <c r="P150" s="69"/>
      <c r="Q150" s="69"/>
      <c r="R150" s="181"/>
      <c r="S150" s="145"/>
      <c r="T150" s="181"/>
      <c r="U150" s="145"/>
      <c r="V150" s="181"/>
      <c r="W150" s="145"/>
      <c r="X150" s="181"/>
      <c r="Y150" s="145"/>
      <c r="Z150" s="181"/>
      <c r="AA150" s="145"/>
      <c r="AB150" s="69"/>
      <c r="AC150" s="11"/>
      <c r="AD150" s="228"/>
      <c r="AE150" s="145"/>
      <c r="AF150" s="530"/>
      <c r="AG150" s="69"/>
      <c r="AH150" s="528"/>
      <c r="AI150" s="528"/>
      <c r="AJ150" s="528"/>
      <c r="AK150" s="528"/>
      <c r="AL150" s="528"/>
      <c r="AM150" s="528"/>
      <c r="AN150" s="528"/>
      <c r="AO150" s="528"/>
      <c r="AP150" s="528"/>
      <c r="AQ150" s="3"/>
      <c r="AR150" s="5"/>
      <c r="AS150" s="3"/>
      <c r="AT150" s="3"/>
      <c r="AU150" s="2"/>
      <c r="AV150" s="3"/>
      <c r="AW150" s="3"/>
      <c r="AX150" s="3"/>
      <c r="AY150" s="3"/>
      <c r="AZ150" s="3"/>
      <c r="BA150" s="3"/>
      <c r="BB150" s="3"/>
      <c r="BC150" s="3"/>
      <c r="BD150" s="3"/>
      <c r="BE150" s="3"/>
      <c r="BF150" s="3"/>
      <c r="BG150" s="3"/>
      <c r="BH150" s="3"/>
      <c r="BI150" s="3"/>
      <c r="BJ150" s="3"/>
      <c r="BK150" s="3"/>
      <c r="BL150" s="3"/>
      <c r="BM150" s="2"/>
      <c r="BN150" s="1"/>
      <c r="BO150" s="334"/>
      <c r="BP150" s="334"/>
      <c r="BQ150" s="334"/>
      <c r="BR150" s="334"/>
      <c r="BS150" s="1"/>
      <c r="BT150" s="1"/>
      <c r="BU150" s="1"/>
      <c r="BV150" s="1"/>
      <c r="BW150" s="1"/>
      <c r="BX150" s="1"/>
    </row>
    <row x14ac:dyDescent="0.25" r="151" customHeight="1" ht="17.25">
      <c r="A151" s="227"/>
      <c r="B151" s="227"/>
      <c r="C151" s="227"/>
      <c r="D151" s="227"/>
      <c r="E151" s="227"/>
      <c r="F151" s="227"/>
      <c r="G151" s="227"/>
      <c r="H151" s="227"/>
      <c r="I151" s="227"/>
      <c r="J151" s="227"/>
      <c r="K151" s="227"/>
      <c r="L151" s="227"/>
      <c r="M151" s="227"/>
      <c r="N151" s="227"/>
      <c r="O151" s="227"/>
      <c r="P151" s="69"/>
      <c r="Q151" s="69"/>
      <c r="R151" s="181"/>
      <c r="S151" s="145"/>
      <c r="T151" s="181"/>
      <c r="U151" s="145"/>
      <c r="V151" s="181"/>
      <c r="W151" s="145"/>
      <c r="X151" s="181"/>
      <c r="Y151" s="145"/>
      <c r="Z151" s="181"/>
      <c r="AA151" s="145"/>
      <c r="AB151" s="69"/>
      <c r="AC151" s="11"/>
      <c r="AD151" s="228"/>
      <c r="AE151" s="145"/>
      <c r="AF151" s="530"/>
      <c r="AG151" s="69"/>
      <c r="AH151" s="528"/>
      <c r="AI151" s="528"/>
      <c r="AJ151" s="528"/>
      <c r="AK151" s="528"/>
      <c r="AL151" s="528"/>
      <c r="AM151" s="528"/>
      <c r="AN151" s="528"/>
      <c r="AO151" s="528"/>
      <c r="AP151" s="528"/>
      <c r="AQ151" s="3"/>
      <c r="AR151" s="5"/>
      <c r="AS151" s="3"/>
      <c r="AT151" s="3"/>
      <c r="AU151" s="2"/>
      <c r="AV151" s="3"/>
      <c r="AW151" s="3"/>
      <c r="AX151" s="3"/>
      <c r="AY151" s="3"/>
      <c r="AZ151" s="3"/>
      <c r="BA151" s="3"/>
      <c r="BB151" s="3"/>
      <c r="BC151" s="3"/>
      <c r="BD151" s="3"/>
      <c r="BE151" s="3"/>
      <c r="BF151" s="3"/>
      <c r="BG151" s="3"/>
      <c r="BH151" s="3"/>
      <c r="BI151" s="3"/>
      <c r="BJ151" s="3"/>
      <c r="BK151" s="3"/>
      <c r="BL151" s="3"/>
      <c r="BM151" s="2"/>
      <c r="BN151" s="1"/>
      <c r="BO151" s="334"/>
      <c r="BP151" s="334"/>
      <c r="BQ151" s="334"/>
      <c r="BR151" s="334"/>
      <c r="BS151" s="1"/>
      <c r="BT151" s="1"/>
      <c r="BU151" s="1"/>
      <c r="BV151" s="1"/>
      <c r="BW151" s="1"/>
      <c r="BX151" s="1"/>
    </row>
    <row x14ac:dyDescent="0.25" r="152" customHeight="1" ht="17.25">
      <c r="A152" s="227"/>
      <c r="B152" s="227"/>
      <c r="C152" s="227"/>
      <c r="D152" s="227"/>
      <c r="E152" s="227"/>
      <c r="F152" s="227"/>
      <c r="G152" s="227"/>
      <c r="H152" s="227"/>
      <c r="I152" s="227"/>
      <c r="J152" s="227"/>
      <c r="K152" s="227"/>
      <c r="L152" s="227"/>
      <c r="M152" s="227"/>
      <c r="N152" s="227"/>
      <c r="O152" s="227"/>
      <c r="P152" s="69"/>
      <c r="Q152" s="69"/>
      <c r="R152" s="181"/>
      <c r="S152" s="145"/>
      <c r="T152" s="181"/>
      <c r="U152" s="145"/>
      <c r="V152" s="181"/>
      <c r="W152" s="145"/>
      <c r="X152" s="181"/>
      <c r="Y152" s="145"/>
      <c r="Z152" s="181"/>
      <c r="AA152" s="145"/>
      <c r="AB152" s="69"/>
      <c r="AC152" s="11"/>
      <c r="AD152" s="11"/>
      <c r="AE152" s="145"/>
      <c r="AF152" s="530"/>
      <c r="AG152" s="69"/>
      <c r="AH152" s="528"/>
      <c r="AI152" s="528"/>
      <c r="AJ152" s="528"/>
      <c r="AK152" s="528"/>
      <c r="AL152" s="528"/>
      <c r="AM152" s="528"/>
      <c r="AN152" s="528"/>
      <c r="AO152" s="528"/>
      <c r="AP152" s="528"/>
      <c r="AQ152" s="3"/>
      <c r="AR152" s="5"/>
      <c r="AS152" s="3"/>
      <c r="AT152" s="3"/>
      <c r="AU152" s="2"/>
      <c r="AV152" s="3"/>
      <c r="AW152" s="3"/>
      <c r="AX152" s="3"/>
      <c r="AY152" s="3"/>
      <c r="AZ152" s="3"/>
      <c r="BA152" s="3"/>
      <c r="BB152" s="3"/>
      <c r="BC152" s="3"/>
      <c r="BD152" s="3"/>
      <c r="BE152" s="3"/>
      <c r="BF152" s="3"/>
      <c r="BG152" s="3"/>
      <c r="BH152" s="3"/>
      <c r="BI152" s="3"/>
      <c r="BJ152" s="3"/>
      <c r="BK152" s="3"/>
      <c r="BL152" s="3"/>
      <c r="BM152" s="2"/>
      <c r="BN152" s="1"/>
      <c r="BO152" s="334"/>
      <c r="BP152" s="334"/>
      <c r="BQ152" s="334"/>
      <c r="BR152" s="334"/>
      <c r="BS152" s="1"/>
      <c r="BT152" s="1"/>
      <c r="BU152" s="1"/>
      <c r="BV152" s="1"/>
      <c r="BW152" s="1"/>
      <c r="BX152" s="1"/>
    </row>
    <row x14ac:dyDescent="0.25" r="153" customHeight="1" ht="17.25">
      <c r="A153" s="227"/>
      <c r="B153" s="227"/>
      <c r="C153" s="227"/>
      <c r="D153" s="227"/>
      <c r="E153" s="227"/>
      <c r="F153" s="227"/>
      <c r="G153" s="227"/>
      <c r="H153" s="227"/>
      <c r="I153" s="227"/>
      <c r="J153" s="227"/>
      <c r="K153" s="227"/>
      <c r="L153" s="227"/>
      <c r="M153" s="227"/>
      <c r="N153" s="227"/>
      <c r="O153" s="227"/>
      <c r="P153" s="69"/>
      <c r="Q153" s="69"/>
      <c r="R153" s="181"/>
      <c r="S153" s="145"/>
      <c r="T153" s="181"/>
      <c r="U153" s="145"/>
      <c r="V153" s="181"/>
      <c r="W153" s="145"/>
      <c r="X153" s="181"/>
      <c r="Y153" s="145"/>
      <c r="Z153" s="181"/>
      <c r="AA153" s="145"/>
      <c r="AB153" s="69"/>
      <c r="AC153" s="11"/>
      <c r="AD153" s="11"/>
      <c r="AE153" s="145"/>
      <c r="AF153" s="530"/>
      <c r="AG153" s="69"/>
      <c r="AH153" s="528"/>
      <c r="AI153" s="528"/>
      <c r="AJ153" s="528"/>
      <c r="AK153" s="528"/>
      <c r="AL153" s="528"/>
      <c r="AM153" s="528"/>
      <c r="AN153" s="528"/>
      <c r="AO153" s="528"/>
      <c r="AP153" s="528"/>
      <c r="AQ153" s="3"/>
      <c r="AR153" s="5"/>
      <c r="AS153" s="3"/>
      <c r="AT153" s="3"/>
      <c r="AU153" s="2"/>
      <c r="AV153" s="3"/>
      <c r="AW153" s="3"/>
      <c r="AX153" s="3"/>
      <c r="AY153" s="3"/>
      <c r="AZ153" s="3"/>
      <c r="BA153" s="3"/>
      <c r="BB153" s="3"/>
      <c r="BC153" s="3"/>
      <c r="BD153" s="3"/>
      <c r="BE153" s="3"/>
      <c r="BF153" s="3"/>
      <c r="BG153" s="3"/>
      <c r="BH153" s="3"/>
      <c r="BI153" s="3"/>
      <c r="BJ153" s="3"/>
      <c r="BK153" s="3"/>
      <c r="BL153" s="3"/>
      <c r="BM153" s="2"/>
      <c r="BN153" s="1"/>
      <c r="BO153" s="334"/>
      <c r="BP153" s="334"/>
      <c r="BQ153" s="334"/>
      <c r="BR153" s="334"/>
      <c r="BS153" s="1"/>
      <c r="BT153" s="1"/>
      <c r="BU153" s="1"/>
      <c r="BV153" s="1"/>
      <c r="BW153" s="1"/>
      <c r="BX153" s="1"/>
    </row>
    <row x14ac:dyDescent="0.25" r="154" customHeight="1" ht="17.25">
      <c r="A154" s="227"/>
      <c r="B154" s="227"/>
      <c r="C154" s="227"/>
      <c r="D154" s="227"/>
      <c r="E154" s="227"/>
      <c r="F154" s="227"/>
      <c r="G154" s="227"/>
      <c r="H154" s="227"/>
      <c r="I154" s="227"/>
      <c r="J154" s="227"/>
      <c r="K154" s="227"/>
      <c r="L154" s="227"/>
      <c r="M154" s="227"/>
      <c r="N154" s="227"/>
      <c r="O154" s="227"/>
      <c r="P154" s="69"/>
      <c r="Q154" s="69"/>
      <c r="R154" s="181"/>
      <c r="S154" s="145"/>
      <c r="T154" s="181"/>
      <c r="U154" s="145"/>
      <c r="V154" s="181"/>
      <c r="W154" s="145"/>
      <c r="X154" s="181"/>
      <c r="Y154" s="145"/>
      <c r="Z154" s="181"/>
      <c r="AA154" s="145"/>
      <c r="AB154" s="69"/>
      <c r="AC154" s="11"/>
      <c r="AD154" s="11"/>
      <c r="AE154" s="145"/>
      <c r="AF154" s="530"/>
      <c r="AG154" s="69"/>
      <c r="AH154" s="528"/>
      <c r="AI154" s="528"/>
      <c r="AJ154" s="528"/>
      <c r="AK154" s="528"/>
      <c r="AL154" s="528"/>
      <c r="AM154" s="528"/>
      <c r="AN154" s="528"/>
      <c r="AO154" s="528"/>
      <c r="AP154" s="528"/>
      <c r="AQ154" s="3"/>
      <c r="AR154" s="5"/>
      <c r="AS154" s="3"/>
      <c r="AT154" s="3"/>
      <c r="AU154" s="2"/>
      <c r="AV154" s="3"/>
      <c r="AW154" s="3"/>
      <c r="AX154" s="3"/>
      <c r="AY154" s="3"/>
      <c r="AZ154" s="3"/>
      <c r="BA154" s="3"/>
      <c r="BB154" s="3"/>
      <c r="BC154" s="3"/>
      <c r="BD154" s="3"/>
      <c r="BE154" s="3"/>
      <c r="BF154" s="3"/>
      <c r="BG154" s="3"/>
      <c r="BH154" s="3"/>
      <c r="BI154" s="3"/>
      <c r="BJ154" s="3"/>
      <c r="BK154" s="3"/>
      <c r="BL154" s="3"/>
      <c r="BM154" s="2"/>
      <c r="BN154" s="1"/>
      <c r="BO154" s="334"/>
      <c r="BP154" s="334"/>
      <c r="BQ154" s="334"/>
      <c r="BR154" s="334"/>
      <c r="BS154" s="1"/>
      <c r="BT154" s="1"/>
      <c r="BU154" s="1"/>
      <c r="BV154" s="1"/>
      <c r="BW154" s="1"/>
      <c r="BX154" s="1"/>
    </row>
    <row x14ac:dyDescent="0.25" r="155" customHeight="1" ht="17.25">
      <c r="A155" s="227"/>
      <c r="B155" s="227"/>
      <c r="C155" s="227"/>
      <c r="D155" s="227"/>
      <c r="E155" s="227"/>
      <c r="F155" s="227"/>
      <c r="G155" s="227"/>
      <c r="H155" s="227"/>
      <c r="I155" s="227"/>
      <c r="J155" s="227"/>
      <c r="K155" s="227"/>
      <c r="L155" s="227"/>
      <c r="M155" s="227"/>
      <c r="N155" s="227"/>
      <c r="O155" s="227"/>
      <c r="P155" s="69"/>
      <c r="Q155" s="69"/>
      <c r="R155" s="181"/>
      <c r="S155" s="145"/>
      <c r="T155" s="181"/>
      <c r="U155" s="145"/>
      <c r="V155" s="181"/>
      <c r="W155" s="145"/>
      <c r="X155" s="181"/>
      <c r="Y155" s="145"/>
      <c r="Z155" s="181"/>
      <c r="AA155" s="145"/>
      <c r="AB155" s="69"/>
      <c r="AC155" s="11"/>
      <c r="AD155" s="11"/>
      <c r="AE155" s="145"/>
      <c r="AF155" s="530"/>
      <c r="AG155" s="69"/>
      <c r="AH155" s="528"/>
      <c r="AI155" s="528"/>
      <c r="AJ155" s="528"/>
      <c r="AK155" s="528"/>
      <c r="AL155" s="528"/>
      <c r="AM155" s="528"/>
      <c r="AN155" s="528"/>
      <c r="AO155" s="528"/>
      <c r="AP155" s="528"/>
      <c r="AQ155" s="3"/>
      <c r="AR155" s="5"/>
      <c r="AS155" s="3"/>
      <c r="AT155" s="3"/>
      <c r="AU155" s="2"/>
      <c r="AV155" s="3"/>
      <c r="AW155" s="3"/>
      <c r="AX155" s="3"/>
      <c r="AY155" s="3"/>
      <c r="AZ155" s="3"/>
      <c r="BA155" s="3"/>
      <c r="BB155" s="3"/>
      <c r="BC155" s="3"/>
      <c r="BD155" s="3"/>
      <c r="BE155" s="3"/>
      <c r="BF155" s="3"/>
      <c r="BG155" s="3"/>
      <c r="BH155" s="3"/>
      <c r="BI155" s="3"/>
      <c r="BJ155" s="3"/>
      <c r="BK155" s="3"/>
      <c r="BL155" s="3"/>
      <c r="BM155" s="2"/>
      <c r="BN155" s="1"/>
      <c r="BO155" s="334"/>
      <c r="BP155" s="334"/>
      <c r="BQ155" s="334"/>
      <c r="BR155" s="334"/>
      <c r="BS155" s="1"/>
      <c r="BT155" s="1"/>
      <c r="BU155" s="1"/>
      <c r="BV155" s="1"/>
      <c r="BW155" s="1"/>
      <c r="BX155" s="1"/>
    </row>
    <row x14ac:dyDescent="0.25" r="156" customHeight="1" ht="17.25">
      <c r="A156" s="227"/>
      <c r="B156" s="227"/>
      <c r="C156" s="227"/>
      <c r="D156" s="227"/>
      <c r="E156" s="227"/>
      <c r="F156" s="227"/>
      <c r="G156" s="227"/>
      <c r="H156" s="227"/>
      <c r="I156" s="227"/>
      <c r="J156" s="227"/>
      <c r="K156" s="227"/>
      <c r="L156" s="227"/>
      <c r="M156" s="227"/>
      <c r="N156" s="227"/>
      <c r="O156" s="227"/>
      <c r="P156" s="69"/>
      <c r="Q156" s="69"/>
      <c r="R156" s="181"/>
      <c r="S156" s="145"/>
      <c r="T156" s="181"/>
      <c r="U156" s="145"/>
      <c r="V156" s="181"/>
      <c r="W156" s="145"/>
      <c r="X156" s="181"/>
      <c r="Y156" s="145"/>
      <c r="Z156" s="181"/>
      <c r="AA156" s="145"/>
      <c r="AB156" s="69"/>
      <c r="AC156" s="11"/>
      <c r="AD156" s="11"/>
      <c r="AE156" s="145"/>
      <c r="AF156" s="530"/>
      <c r="AG156" s="69"/>
      <c r="AH156" s="528"/>
      <c r="AI156" s="528"/>
      <c r="AJ156" s="528"/>
      <c r="AK156" s="528"/>
      <c r="AL156" s="528"/>
      <c r="AM156" s="528"/>
      <c r="AN156" s="528"/>
      <c r="AO156" s="528"/>
      <c r="AP156" s="528"/>
      <c r="AQ156" s="3"/>
      <c r="AR156" s="5"/>
      <c r="AS156" s="3"/>
      <c r="AT156" s="3"/>
      <c r="AU156" s="2"/>
      <c r="AV156" s="3"/>
      <c r="AW156" s="3"/>
      <c r="AX156" s="3"/>
      <c r="AY156" s="3"/>
      <c r="AZ156" s="3"/>
      <c r="BA156" s="3"/>
      <c r="BB156" s="3"/>
      <c r="BC156" s="3"/>
      <c r="BD156" s="3"/>
      <c r="BE156" s="3"/>
      <c r="BF156" s="3"/>
      <c r="BG156" s="3"/>
      <c r="BH156" s="3"/>
      <c r="BI156" s="3"/>
      <c r="BJ156" s="3"/>
      <c r="BK156" s="3"/>
      <c r="BL156" s="3"/>
      <c r="BM156" s="2"/>
      <c r="BN156" s="1"/>
      <c r="BO156" s="334"/>
      <c r="BP156" s="334"/>
      <c r="BQ156" s="334"/>
      <c r="BR156" s="334"/>
      <c r="BS156" s="1"/>
      <c r="BT156" s="1"/>
      <c r="BU156" s="1"/>
      <c r="BV156" s="1"/>
      <c r="BW156" s="1"/>
      <c r="BX156" s="1"/>
    </row>
    <row x14ac:dyDescent="0.25" r="157" customHeight="1" ht="17.25">
      <c r="A157" s="227"/>
      <c r="B157" s="227"/>
      <c r="C157" s="227"/>
      <c r="D157" s="227"/>
      <c r="E157" s="227"/>
      <c r="F157" s="227"/>
      <c r="G157" s="227"/>
      <c r="H157" s="227"/>
      <c r="I157" s="227"/>
      <c r="J157" s="227"/>
      <c r="K157" s="227"/>
      <c r="L157" s="227"/>
      <c r="M157" s="227"/>
      <c r="N157" s="227"/>
      <c r="O157" s="227"/>
      <c r="P157" s="69"/>
      <c r="Q157" s="69"/>
      <c r="R157" s="181"/>
      <c r="S157" s="145"/>
      <c r="T157" s="181"/>
      <c r="U157" s="145"/>
      <c r="V157" s="181"/>
      <c r="W157" s="145"/>
      <c r="X157" s="181"/>
      <c r="Y157" s="145"/>
      <c r="Z157" s="181"/>
      <c r="AA157" s="145"/>
      <c r="AB157" s="69"/>
      <c r="AC157" s="11"/>
      <c r="AD157" s="11"/>
      <c r="AE157" s="145"/>
      <c r="AF157" s="530"/>
      <c r="AG157" s="69"/>
      <c r="AH157" s="528"/>
      <c r="AI157" s="528"/>
      <c r="AJ157" s="528"/>
      <c r="AK157" s="528"/>
      <c r="AL157" s="528"/>
      <c r="AM157" s="528"/>
      <c r="AN157" s="528"/>
      <c r="AO157" s="528"/>
      <c r="AP157" s="528"/>
      <c r="AQ157" s="3"/>
      <c r="AR157" s="5"/>
      <c r="AS157" s="3"/>
      <c r="AT157" s="3"/>
      <c r="AU157" s="2"/>
      <c r="AV157" s="3"/>
      <c r="AW157" s="3"/>
      <c r="AX157" s="3"/>
      <c r="AY157" s="3"/>
      <c r="AZ157" s="3"/>
      <c r="BA157" s="3"/>
      <c r="BB157" s="3"/>
      <c r="BC157" s="3"/>
      <c r="BD157" s="3"/>
      <c r="BE157" s="3"/>
      <c r="BF157" s="3"/>
      <c r="BG157" s="3"/>
      <c r="BH157" s="3"/>
      <c r="BI157" s="3"/>
      <c r="BJ157" s="3"/>
      <c r="BK157" s="3"/>
      <c r="BL157" s="3"/>
      <c r="BM157" s="2"/>
      <c r="BN157" s="1"/>
      <c r="BO157" s="334"/>
      <c r="BP157" s="334"/>
      <c r="BQ157" s="334"/>
      <c r="BR157" s="334"/>
      <c r="BS157" s="1"/>
      <c r="BT157" s="1"/>
      <c r="BU157" s="1"/>
      <c r="BV157" s="1"/>
      <c r="BW157" s="1"/>
      <c r="BX157" s="1"/>
    </row>
    <row x14ac:dyDescent="0.25" r="158" customHeight="1" ht="17.25">
      <c r="A158" s="227"/>
      <c r="B158" s="227"/>
      <c r="C158" s="227"/>
      <c r="D158" s="227"/>
      <c r="E158" s="227"/>
      <c r="F158" s="227"/>
      <c r="G158" s="227"/>
      <c r="H158" s="227"/>
      <c r="I158" s="227"/>
      <c r="J158" s="227"/>
      <c r="K158" s="227"/>
      <c r="L158" s="227"/>
      <c r="M158" s="227"/>
      <c r="N158" s="227"/>
      <c r="O158" s="227"/>
      <c r="P158" s="69"/>
      <c r="Q158" s="69"/>
      <c r="R158" s="181"/>
      <c r="S158" s="145"/>
      <c r="T158" s="181"/>
      <c r="U158" s="145"/>
      <c r="V158" s="181"/>
      <c r="W158" s="145"/>
      <c r="X158" s="181"/>
      <c r="Y158" s="145"/>
      <c r="Z158" s="181"/>
      <c r="AA158" s="145"/>
      <c r="AB158" s="69"/>
      <c r="AC158" s="11"/>
      <c r="AD158" s="11"/>
      <c r="AE158" s="145"/>
      <c r="AF158" s="530"/>
      <c r="AG158" s="69"/>
      <c r="AH158" s="528"/>
      <c r="AI158" s="528"/>
      <c r="AJ158" s="528"/>
      <c r="AK158" s="528"/>
      <c r="AL158" s="528"/>
      <c r="AM158" s="528"/>
      <c r="AN158" s="528"/>
      <c r="AO158" s="528"/>
      <c r="AP158" s="528"/>
      <c r="AQ158" s="3"/>
      <c r="AR158" s="5"/>
      <c r="AS158" s="3"/>
      <c r="AT158" s="3"/>
      <c r="AU158" s="2"/>
      <c r="AV158" s="3"/>
      <c r="AW158" s="3"/>
      <c r="AX158" s="3"/>
      <c r="AY158" s="3"/>
      <c r="AZ158" s="3"/>
      <c r="BA158" s="3"/>
      <c r="BB158" s="3"/>
      <c r="BC158" s="3"/>
      <c r="BD158" s="3"/>
      <c r="BE158" s="3"/>
      <c r="BF158" s="3"/>
      <c r="BG158" s="3"/>
      <c r="BH158" s="3"/>
      <c r="BI158" s="3"/>
      <c r="BJ158" s="3"/>
      <c r="BK158" s="3"/>
      <c r="BL158" s="3"/>
      <c r="BM158" s="2"/>
      <c r="BN158" s="1"/>
      <c r="BO158" s="334"/>
      <c r="BP158" s="334"/>
      <c r="BQ158" s="334"/>
      <c r="BR158" s="334"/>
      <c r="BS158" s="1"/>
      <c r="BT158" s="1"/>
      <c r="BU158" s="1"/>
      <c r="BV158" s="1"/>
      <c r="BW158" s="1"/>
      <c r="BX158" s="1"/>
    </row>
    <row x14ac:dyDescent="0.25" r="159" customHeight="1" ht="17.25">
      <c r="A159" s="227"/>
      <c r="B159" s="227"/>
      <c r="C159" s="227"/>
      <c r="D159" s="227"/>
      <c r="E159" s="227"/>
      <c r="F159" s="227"/>
      <c r="G159" s="227"/>
      <c r="H159" s="227"/>
      <c r="I159" s="227"/>
      <c r="J159" s="227"/>
      <c r="K159" s="227"/>
      <c r="L159" s="227"/>
      <c r="M159" s="227"/>
      <c r="N159" s="227"/>
      <c r="O159" s="227"/>
      <c r="P159" s="69"/>
      <c r="Q159" s="69"/>
      <c r="R159" s="181"/>
      <c r="S159" s="145"/>
      <c r="T159" s="181"/>
      <c r="U159" s="145"/>
      <c r="V159" s="181"/>
      <c r="W159" s="145"/>
      <c r="X159" s="181"/>
      <c r="Y159" s="145"/>
      <c r="Z159" s="181"/>
      <c r="AA159" s="145"/>
      <c r="AB159" s="69"/>
      <c r="AC159" s="11"/>
      <c r="AD159" s="11"/>
      <c r="AE159" s="145"/>
      <c r="AF159" s="530"/>
      <c r="AG159" s="69"/>
      <c r="AH159" s="528"/>
      <c r="AI159" s="528"/>
      <c r="AJ159" s="528"/>
      <c r="AK159" s="528"/>
      <c r="AL159" s="528"/>
      <c r="AM159" s="528"/>
      <c r="AN159" s="528"/>
      <c r="AO159" s="528"/>
      <c r="AP159" s="528"/>
      <c r="AQ159" s="3"/>
      <c r="AR159" s="5"/>
      <c r="AS159" s="3"/>
      <c r="AT159" s="3"/>
      <c r="AU159" s="2"/>
      <c r="AV159" s="3"/>
      <c r="AW159" s="3"/>
      <c r="AX159" s="3"/>
      <c r="AY159" s="3"/>
      <c r="AZ159" s="3"/>
      <c r="BA159" s="3"/>
      <c r="BB159" s="3"/>
      <c r="BC159" s="3"/>
      <c r="BD159" s="3"/>
      <c r="BE159" s="3"/>
      <c r="BF159" s="3"/>
      <c r="BG159" s="3"/>
      <c r="BH159" s="3"/>
      <c r="BI159" s="3"/>
      <c r="BJ159" s="3"/>
      <c r="BK159" s="3"/>
      <c r="BL159" s="3"/>
      <c r="BM159" s="2"/>
      <c r="BN159" s="1"/>
      <c r="BO159" s="334"/>
      <c r="BP159" s="334"/>
      <c r="BQ159" s="334"/>
      <c r="BR159" s="334"/>
      <c r="BS159" s="1"/>
      <c r="BT159" s="1"/>
      <c r="BU159" s="1"/>
      <c r="BV159" s="1"/>
      <c r="BW159" s="1"/>
      <c r="BX159" s="1"/>
    </row>
    <row x14ac:dyDescent="0.25" r="160" customHeight="1" ht="17.25">
      <c r="A160" s="227"/>
      <c r="B160" s="227"/>
      <c r="C160" s="227"/>
      <c r="D160" s="227"/>
      <c r="E160" s="227"/>
      <c r="F160" s="227"/>
      <c r="G160" s="227"/>
      <c r="H160" s="227"/>
      <c r="I160" s="227"/>
      <c r="J160" s="227"/>
      <c r="K160" s="227"/>
      <c r="L160" s="227"/>
      <c r="M160" s="227"/>
      <c r="N160" s="227"/>
      <c r="O160" s="227"/>
      <c r="P160" s="69"/>
      <c r="Q160" s="69"/>
      <c r="R160" s="181"/>
      <c r="S160" s="145"/>
      <c r="T160" s="181"/>
      <c r="U160" s="145"/>
      <c r="V160" s="181"/>
      <c r="W160" s="145"/>
      <c r="X160" s="181"/>
      <c r="Y160" s="145"/>
      <c r="Z160" s="181"/>
      <c r="AA160" s="145"/>
      <c r="AB160" s="69"/>
      <c r="AC160" s="11"/>
      <c r="AD160" s="11"/>
      <c r="AE160" s="145"/>
      <c r="AF160" s="530"/>
      <c r="AG160" s="69"/>
      <c r="AH160" s="528"/>
      <c r="AI160" s="528"/>
      <c r="AJ160" s="528"/>
      <c r="AK160" s="528"/>
      <c r="AL160" s="528"/>
      <c r="AM160" s="528"/>
      <c r="AN160" s="528"/>
      <c r="AO160" s="528"/>
      <c r="AP160" s="528"/>
      <c r="AQ160" s="3"/>
      <c r="AR160" s="5"/>
      <c r="AS160" s="3"/>
      <c r="AT160" s="3"/>
      <c r="AU160" s="2"/>
      <c r="AV160" s="3"/>
      <c r="AW160" s="3"/>
      <c r="AX160" s="3"/>
      <c r="AY160" s="3"/>
      <c r="AZ160" s="3"/>
      <c r="BA160" s="3"/>
      <c r="BB160" s="3"/>
      <c r="BC160" s="3"/>
      <c r="BD160" s="3"/>
      <c r="BE160" s="3"/>
      <c r="BF160" s="3"/>
      <c r="BG160" s="3"/>
      <c r="BH160" s="3"/>
      <c r="BI160" s="3"/>
      <c r="BJ160" s="3"/>
      <c r="BK160" s="3"/>
      <c r="BL160" s="3"/>
      <c r="BM160" s="2"/>
      <c r="BN160" s="1"/>
      <c r="BO160" s="334"/>
      <c r="BP160" s="334"/>
      <c r="BQ160" s="334"/>
      <c r="BR160" s="334"/>
      <c r="BS160" s="1"/>
      <c r="BT160" s="1"/>
      <c r="BU160" s="1"/>
      <c r="BV160" s="1"/>
      <c r="BW160" s="1"/>
      <c r="BX160" s="1"/>
    </row>
    <row x14ac:dyDescent="0.25" r="161" customHeight="1" ht="17.25">
      <c r="A161" s="227"/>
      <c r="B161" s="227"/>
      <c r="C161" s="227"/>
      <c r="D161" s="227"/>
      <c r="E161" s="227"/>
      <c r="F161" s="227"/>
      <c r="G161" s="227"/>
      <c r="H161" s="227"/>
      <c r="I161" s="227"/>
      <c r="J161" s="227"/>
      <c r="K161" s="227"/>
      <c r="L161" s="227"/>
      <c r="M161" s="227"/>
      <c r="N161" s="227"/>
      <c r="O161" s="227"/>
      <c r="P161" s="69"/>
      <c r="Q161" s="69"/>
      <c r="R161" s="181"/>
      <c r="S161" s="145"/>
      <c r="T161" s="181"/>
      <c r="U161" s="145"/>
      <c r="V161" s="181"/>
      <c r="W161" s="145"/>
      <c r="X161" s="181"/>
      <c r="Y161" s="145"/>
      <c r="Z161" s="181"/>
      <c r="AA161" s="145"/>
      <c r="AB161" s="69"/>
      <c r="AC161" s="11"/>
      <c r="AD161" s="11"/>
      <c r="AE161" s="145"/>
      <c r="AF161" s="530"/>
      <c r="AG161" s="69"/>
      <c r="AH161" s="528"/>
      <c r="AI161" s="528"/>
      <c r="AJ161" s="528"/>
      <c r="AK161" s="528"/>
      <c r="AL161" s="528"/>
      <c r="AM161" s="528"/>
      <c r="AN161" s="528"/>
      <c r="AO161" s="528"/>
      <c r="AP161" s="528"/>
      <c r="AQ161" s="3"/>
      <c r="AR161" s="5"/>
      <c r="AS161" s="3"/>
      <c r="AT161" s="3"/>
      <c r="AU161" s="2"/>
      <c r="AV161" s="3"/>
      <c r="AW161" s="3"/>
      <c r="AX161" s="3"/>
      <c r="AY161" s="3"/>
      <c r="AZ161" s="3"/>
      <c r="BA161" s="3"/>
      <c r="BB161" s="3"/>
      <c r="BC161" s="3"/>
      <c r="BD161" s="3"/>
      <c r="BE161" s="3"/>
      <c r="BF161" s="3"/>
      <c r="BG161" s="3"/>
      <c r="BH161" s="3"/>
      <c r="BI161" s="3"/>
      <c r="BJ161" s="3"/>
      <c r="BK161" s="3"/>
      <c r="BL161" s="3"/>
      <c r="BM161" s="2"/>
      <c r="BN161" s="1"/>
      <c r="BO161" s="334"/>
      <c r="BP161" s="334"/>
      <c r="BQ161" s="334"/>
      <c r="BR161" s="334"/>
      <c r="BS161" s="1"/>
      <c r="BT161" s="1"/>
      <c r="BU161" s="1"/>
      <c r="BV161" s="1"/>
      <c r="BW161" s="1"/>
      <c r="BX161" s="1"/>
    </row>
    <row x14ac:dyDescent="0.25" r="162" customHeight="1" ht="17.25">
      <c r="A162" s="227"/>
      <c r="B162" s="227"/>
      <c r="C162" s="227"/>
      <c r="D162" s="227"/>
      <c r="E162" s="227"/>
      <c r="F162" s="227"/>
      <c r="G162" s="227"/>
      <c r="H162" s="227"/>
      <c r="I162" s="227"/>
      <c r="J162" s="227"/>
      <c r="K162" s="227"/>
      <c r="L162" s="227"/>
      <c r="M162" s="227"/>
      <c r="N162" s="227"/>
      <c r="O162" s="227"/>
      <c r="P162" s="69"/>
      <c r="Q162" s="69"/>
      <c r="R162" s="181"/>
      <c r="S162" s="145"/>
      <c r="T162" s="181"/>
      <c r="U162" s="145"/>
      <c r="V162" s="181"/>
      <c r="W162" s="145"/>
      <c r="X162" s="181"/>
      <c r="Y162" s="145"/>
      <c r="Z162" s="181"/>
      <c r="AA162" s="145"/>
      <c r="AB162" s="69"/>
      <c r="AC162" s="11"/>
      <c r="AD162" s="11"/>
      <c r="AE162" s="145"/>
      <c r="AF162" s="530"/>
      <c r="AG162" s="69"/>
      <c r="AH162" s="528"/>
      <c r="AI162" s="528"/>
      <c r="AJ162" s="528"/>
      <c r="AK162" s="528"/>
      <c r="AL162" s="528"/>
      <c r="AM162" s="528"/>
      <c r="AN162" s="528"/>
      <c r="AO162" s="528"/>
      <c r="AP162" s="528"/>
      <c r="AQ162" s="3"/>
      <c r="AR162" s="5"/>
      <c r="AS162" s="3"/>
      <c r="AT162" s="3"/>
      <c r="AU162" s="2"/>
      <c r="AV162" s="3"/>
      <c r="AW162" s="3"/>
      <c r="AX162" s="3"/>
      <c r="AY162" s="3"/>
      <c r="AZ162" s="3"/>
      <c r="BA162" s="3"/>
      <c r="BB162" s="3"/>
      <c r="BC162" s="3"/>
      <c r="BD162" s="3"/>
      <c r="BE162" s="3"/>
      <c r="BF162" s="3"/>
      <c r="BG162" s="3"/>
      <c r="BH162" s="3"/>
      <c r="BI162" s="3"/>
      <c r="BJ162" s="3"/>
      <c r="BK162" s="3"/>
      <c r="BL162" s="3"/>
      <c r="BM162" s="2"/>
      <c r="BN162" s="1"/>
      <c r="BO162" s="334"/>
      <c r="BP162" s="334"/>
      <c r="BQ162" s="334"/>
      <c r="BR162" s="334"/>
      <c r="BS162" s="1"/>
      <c r="BT162" s="1"/>
      <c r="BU162" s="1"/>
      <c r="BV162" s="1"/>
      <c r="BW162" s="1"/>
      <c r="BX162" s="1"/>
    </row>
    <row x14ac:dyDescent="0.25" r="163" customHeight="1" ht="17.25">
      <c r="A163" s="227"/>
      <c r="B163" s="227"/>
      <c r="C163" s="227"/>
      <c r="D163" s="227"/>
      <c r="E163" s="227"/>
      <c r="F163" s="227"/>
      <c r="G163" s="227"/>
      <c r="H163" s="227"/>
      <c r="I163" s="227"/>
      <c r="J163" s="227"/>
      <c r="K163" s="227"/>
      <c r="L163" s="227"/>
      <c r="M163" s="227"/>
      <c r="N163" s="227"/>
      <c r="O163" s="227"/>
      <c r="P163" s="69"/>
      <c r="Q163" s="69"/>
      <c r="R163" s="181"/>
      <c r="S163" s="145"/>
      <c r="T163" s="181"/>
      <c r="U163" s="145"/>
      <c r="V163" s="181"/>
      <c r="W163" s="145"/>
      <c r="X163" s="181"/>
      <c r="Y163" s="145"/>
      <c r="Z163" s="181"/>
      <c r="AA163" s="145"/>
      <c r="AB163" s="69"/>
      <c r="AC163" s="11"/>
      <c r="AD163" s="11"/>
      <c r="AE163" s="145"/>
      <c r="AF163" s="530"/>
      <c r="AG163" s="69"/>
      <c r="AH163" s="528"/>
      <c r="AI163" s="528"/>
      <c r="AJ163" s="528"/>
      <c r="AK163" s="528"/>
      <c r="AL163" s="528"/>
      <c r="AM163" s="528"/>
      <c r="AN163" s="528"/>
      <c r="AO163" s="528"/>
      <c r="AP163" s="528"/>
      <c r="AQ163" s="3"/>
      <c r="AR163" s="5"/>
      <c r="AS163" s="3"/>
      <c r="AT163" s="3"/>
      <c r="AU163" s="2"/>
      <c r="AV163" s="3"/>
      <c r="AW163" s="3"/>
      <c r="AX163" s="3"/>
      <c r="AY163" s="3"/>
      <c r="AZ163" s="3"/>
      <c r="BA163" s="3"/>
      <c r="BB163" s="3"/>
      <c r="BC163" s="3"/>
      <c r="BD163" s="3"/>
      <c r="BE163" s="3"/>
      <c r="BF163" s="3"/>
      <c r="BG163" s="3"/>
      <c r="BH163" s="3"/>
      <c r="BI163" s="3"/>
      <c r="BJ163" s="3"/>
      <c r="BK163" s="3"/>
      <c r="BL163" s="3"/>
      <c r="BM163" s="2"/>
      <c r="BN163" s="1"/>
      <c r="BO163" s="334"/>
      <c r="BP163" s="334"/>
      <c r="BQ163" s="334"/>
      <c r="BR163" s="334"/>
      <c r="BS163" s="1"/>
      <c r="BT163" s="1"/>
      <c r="BU163" s="1"/>
      <c r="BV163" s="1"/>
      <c r="BW163" s="1"/>
      <c r="BX163" s="1"/>
    </row>
    <row x14ac:dyDescent="0.25" r="164" customHeight="1" ht="17.25">
      <c r="A164" s="227"/>
      <c r="B164" s="227"/>
      <c r="C164" s="227"/>
      <c r="D164" s="227"/>
      <c r="E164" s="227"/>
      <c r="F164" s="227"/>
      <c r="G164" s="227"/>
      <c r="H164" s="227"/>
      <c r="I164" s="227"/>
      <c r="J164" s="227"/>
      <c r="K164" s="227"/>
      <c r="L164" s="227"/>
      <c r="M164" s="227"/>
      <c r="N164" s="227"/>
      <c r="O164" s="227"/>
      <c r="P164" s="69"/>
      <c r="Q164" s="69"/>
      <c r="R164" s="181"/>
      <c r="S164" s="145"/>
      <c r="T164" s="181"/>
      <c r="U164" s="145"/>
      <c r="V164" s="181"/>
      <c r="W164" s="145"/>
      <c r="X164" s="181"/>
      <c r="Y164" s="145"/>
      <c r="Z164" s="181"/>
      <c r="AA164" s="145"/>
      <c r="AB164" s="69"/>
      <c r="AC164" s="11"/>
      <c r="AD164" s="11"/>
      <c r="AE164" s="145"/>
      <c r="AF164" s="530"/>
      <c r="AG164" s="69"/>
      <c r="AH164" s="528"/>
      <c r="AI164" s="528"/>
      <c r="AJ164" s="528"/>
      <c r="AK164" s="528"/>
      <c r="AL164" s="528"/>
      <c r="AM164" s="528"/>
      <c r="AN164" s="528"/>
      <c r="AO164" s="528"/>
      <c r="AP164" s="528"/>
      <c r="AQ164" s="3"/>
      <c r="AR164" s="5"/>
      <c r="AS164" s="3"/>
      <c r="AT164" s="3"/>
      <c r="AU164" s="2"/>
      <c r="AV164" s="3"/>
      <c r="AW164" s="3"/>
      <c r="AX164" s="3"/>
      <c r="AY164" s="3"/>
      <c r="AZ164" s="3"/>
      <c r="BA164" s="3"/>
      <c r="BB164" s="3"/>
      <c r="BC164" s="3"/>
      <c r="BD164" s="3"/>
      <c r="BE164" s="3"/>
      <c r="BF164" s="3"/>
      <c r="BG164" s="3"/>
      <c r="BH164" s="3"/>
      <c r="BI164" s="3"/>
      <c r="BJ164" s="3"/>
      <c r="BK164" s="3"/>
      <c r="BL164" s="3"/>
      <c r="BM164" s="2"/>
      <c r="BN164" s="1"/>
      <c r="BO164" s="334"/>
      <c r="BP164" s="334"/>
      <c r="BQ164" s="334"/>
      <c r="BR164" s="334"/>
      <c r="BS164" s="1"/>
      <c r="BT164" s="1"/>
      <c r="BU164" s="1"/>
      <c r="BV164" s="1"/>
      <c r="BW164" s="1"/>
      <c r="BX164" s="1"/>
    </row>
    <row x14ac:dyDescent="0.25" r="165" customHeight="1" ht="17.25">
      <c r="A165" s="227"/>
      <c r="B165" s="227"/>
      <c r="C165" s="227"/>
      <c r="D165" s="227"/>
      <c r="E165" s="227"/>
      <c r="F165" s="227"/>
      <c r="G165" s="227"/>
      <c r="H165" s="227"/>
      <c r="I165" s="227"/>
      <c r="J165" s="227"/>
      <c r="K165" s="227"/>
      <c r="L165" s="227"/>
      <c r="M165" s="227"/>
      <c r="N165" s="227"/>
      <c r="O165" s="227"/>
      <c r="P165" s="69"/>
      <c r="Q165" s="69"/>
      <c r="R165" s="181"/>
      <c r="S165" s="145"/>
      <c r="T165" s="181"/>
      <c r="U165" s="145"/>
      <c r="V165" s="181"/>
      <c r="W165" s="145"/>
      <c r="X165" s="181"/>
      <c r="Y165" s="145"/>
      <c r="Z165" s="181"/>
      <c r="AA165" s="145"/>
      <c r="AB165" s="69"/>
      <c r="AC165" s="11"/>
      <c r="AD165" s="11"/>
      <c r="AE165" s="145"/>
      <c r="AF165" s="530"/>
      <c r="AG165" s="69"/>
      <c r="AH165" s="528"/>
      <c r="AI165" s="528"/>
      <c r="AJ165" s="528"/>
      <c r="AK165" s="528"/>
      <c r="AL165" s="528"/>
      <c r="AM165" s="528"/>
      <c r="AN165" s="528"/>
      <c r="AO165" s="528"/>
      <c r="AP165" s="528"/>
      <c r="AQ165" s="3"/>
      <c r="AR165" s="5"/>
      <c r="AS165" s="3"/>
      <c r="AT165" s="3"/>
      <c r="AU165" s="2"/>
      <c r="AV165" s="3"/>
      <c r="AW165" s="3"/>
      <c r="AX165" s="3"/>
      <c r="AY165" s="3"/>
      <c r="AZ165" s="3"/>
      <c r="BA165" s="3"/>
      <c r="BB165" s="3"/>
      <c r="BC165" s="3"/>
      <c r="BD165" s="3"/>
      <c r="BE165" s="3"/>
      <c r="BF165" s="3"/>
      <c r="BG165" s="3"/>
      <c r="BH165" s="3"/>
      <c r="BI165" s="3"/>
      <c r="BJ165" s="3"/>
      <c r="BK165" s="3"/>
      <c r="BL165" s="3"/>
      <c r="BM165" s="2"/>
      <c r="BN165" s="1"/>
      <c r="BO165" s="334"/>
      <c r="BP165" s="334"/>
      <c r="BQ165" s="334"/>
      <c r="BR165" s="334"/>
      <c r="BS165" s="1"/>
      <c r="BT165" s="1"/>
      <c r="BU165" s="1"/>
      <c r="BV165" s="1"/>
      <c r="BW165" s="1"/>
      <c r="BX165" s="1"/>
    </row>
    <row x14ac:dyDescent="0.25" r="166" customHeight="1" ht="17.25">
      <c r="A166" s="227"/>
      <c r="B166" s="227"/>
      <c r="C166" s="227"/>
      <c r="D166" s="227"/>
      <c r="E166" s="227"/>
      <c r="F166" s="227"/>
      <c r="G166" s="227"/>
      <c r="H166" s="227"/>
      <c r="I166" s="227"/>
      <c r="J166" s="227"/>
      <c r="K166" s="227"/>
      <c r="L166" s="227"/>
      <c r="M166" s="227"/>
      <c r="N166" s="227"/>
      <c r="O166" s="227"/>
      <c r="P166" s="69"/>
      <c r="Q166" s="69"/>
      <c r="R166" s="181"/>
      <c r="S166" s="145"/>
      <c r="T166" s="181"/>
      <c r="U166" s="145"/>
      <c r="V166" s="181"/>
      <c r="W166" s="145"/>
      <c r="X166" s="181"/>
      <c r="Y166" s="145"/>
      <c r="Z166" s="181"/>
      <c r="AA166" s="145"/>
      <c r="AB166" s="69"/>
      <c r="AC166" s="11"/>
      <c r="AD166" s="11"/>
      <c r="AE166" s="145"/>
      <c r="AF166" s="530"/>
      <c r="AG166" s="69"/>
      <c r="AH166" s="528"/>
      <c r="AI166" s="528"/>
      <c r="AJ166" s="528"/>
      <c r="AK166" s="528"/>
      <c r="AL166" s="528"/>
      <c r="AM166" s="528"/>
      <c r="AN166" s="528"/>
      <c r="AO166" s="528"/>
      <c r="AP166" s="528"/>
      <c r="AQ166" s="3"/>
      <c r="AR166" s="5"/>
      <c r="AS166" s="3"/>
      <c r="AT166" s="3"/>
      <c r="AU166" s="2"/>
      <c r="AV166" s="3"/>
      <c r="AW166" s="3"/>
      <c r="AX166" s="3"/>
      <c r="AY166" s="3"/>
      <c r="AZ166" s="3"/>
      <c r="BA166" s="3"/>
      <c r="BB166" s="3"/>
      <c r="BC166" s="3"/>
      <c r="BD166" s="3"/>
      <c r="BE166" s="3"/>
      <c r="BF166" s="3"/>
      <c r="BG166" s="3"/>
      <c r="BH166" s="3"/>
      <c r="BI166" s="3"/>
      <c r="BJ166" s="3"/>
      <c r="BK166" s="3"/>
      <c r="BL166" s="3"/>
      <c r="BM166" s="2"/>
      <c r="BN166" s="1"/>
      <c r="BO166" s="334"/>
      <c r="BP166" s="334"/>
      <c r="BQ166" s="334"/>
      <c r="BR166" s="334"/>
      <c r="BS166" s="1"/>
      <c r="BT166" s="1"/>
      <c r="BU166" s="1"/>
      <c r="BV166" s="1"/>
      <c r="BW166" s="1"/>
      <c r="BX166" s="1"/>
    </row>
    <row x14ac:dyDescent="0.25" r="167" customHeight="1" ht="17.25">
      <c r="A167" s="227"/>
      <c r="B167" s="227"/>
      <c r="C167" s="227"/>
      <c r="D167" s="227"/>
      <c r="E167" s="227"/>
      <c r="F167" s="227"/>
      <c r="G167" s="227"/>
      <c r="H167" s="227"/>
      <c r="I167" s="227"/>
      <c r="J167" s="227"/>
      <c r="K167" s="227"/>
      <c r="L167" s="227"/>
      <c r="M167" s="227"/>
      <c r="N167" s="227"/>
      <c r="O167" s="227"/>
      <c r="P167" s="69"/>
      <c r="Q167" s="69"/>
      <c r="R167" s="181"/>
      <c r="S167" s="145"/>
      <c r="T167" s="181"/>
      <c r="U167" s="145"/>
      <c r="V167" s="181"/>
      <c r="W167" s="145"/>
      <c r="X167" s="181"/>
      <c r="Y167" s="145"/>
      <c r="Z167" s="181"/>
      <c r="AA167" s="145"/>
      <c r="AB167" s="69"/>
      <c r="AC167" s="11"/>
      <c r="AD167" s="11"/>
      <c r="AE167" s="145"/>
      <c r="AF167" s="530"/>
      <c r="AG167" s="69"/>
      <c r="AH167" s="528"/>
      <c r="AI167" s="528"/>
      <c r="AJ167" s="528"/>
      <c r="AK167" s="528"/>
      <c r="AL167" s="528"/>
      <c r="AM167" s="528"/>
      <c r="AN167" s="528"/>
      <c r="AO167" s="528"/>
      <c r="AP167" s="528"/>
      <c r="AQ167" s="3"/>
      <c r="AR167" s="5"/>
      <c r="AS167" s="3"/>
      <c r="AT167" s="3"/>
      <c r="AU167" s="2"/>
      <c r="AV167" s="3"/>
      <c r="AW167" s="3"/>
      <c r="AX167" s="3"/>
      <c r="AY167" s="3"/>
      <c r="AZ167" s="3"/>
      <c r="BA167" s="3"/>
      <c r="BB167" s="3"/>
      <c r="BC167" s="3"/>
      <c r="BD167" s="3"/>
      <c r="BE167" s="3"/>
      <c r="BF167" s="3"/>
      <c r="BG167" s="3"/>
      <c r="BH167" s="3"/>
      <c r="BI167" s="3"/>
      <c r="BJ167" s="3"/>
      <c r="BK167" s="3"/>
      <c r="BL167" s="3"/>
      <c r="BM167" s="2"/>
      <c r="BN167" s="1"/>
      <c r="BO167" s="334"/>
      <c r="BP167" s="334"/>
      <c r="BQ167" s="334"/>
      <c r="BR167" s="334"/>
      <c r="BS167" s="1"/>
      <c r="BT167" s="1"/>
      <c r="BU167" s="1"/>
      <c r="BV167" s="1"/>
      <c r="BW167" s="1"/>
      <c r="BX167" s="1"/>
    </row>
    <row x14ac:dyDescent="0.25" r="168" customHeight="1" ht="17.25">
      <c r="A168" s="227"/>
      <c r="B168" s="227"/>
      <c r="C168" s="227"/>
      <c r="D168" s="227"/>
      <c r="E168" s="227"/>
      <c r="F168" s="227"/>
      <c r="G168" s="227"/>
      <c r="H168" s="227"/>
      <c r="I168" s="227"/>
      <c r="J168" s="227"/>
      <c r="K168" s="227"/>
      <c r="L168" s="227"/>
      <c r="M168" s="227"/>
      <c r="N168" s="227"/>
      <c r="O168" s="227"/>
      <c r="P168" s="69"/>
      <c r="Q168" s="69"/>
      <c r="R168" s="181"/>
      <c r="S168" s="145"/>
      <c r="T168" s="181"/>
      <c r="U168" s="145"/>
      <c r="V168" s="181"/>
      <c r="W168" s="145"/>
      <c r="X168" s="181"/>
      <c r="Y168" s="145"/>
      <c r="Z168" s="181"/>
      <c r="AA168" s="145"/>
      <c r="AB168" s="69"/>
      <c r="AC168" s="11"/>
      <c r="AD168" s="11"/>
      <c r="AE168" s="145"/>
      <c r="AF168" s="530"/>
      <c r="AG168" s="69"/>
      <c r="AH168" s="528"/>
      <c r="AI168" s="528"/>
      <c r="AJ168" s="528"/>
      <c r="AK168" s="528"/>
      <c r="AL168" s="528"/>
      <c r="AM168" s="528"/>
      <c r="AN168" s="528"/>
      <c r="AO168" s="528"/>
      <c r="AP168" s="528"/>
      <c r="AQ168" s="3"/>
      <c r="AR168" s="5"/>
      <c r="AS168" s="3"/>
      <c r="AT168" s="3"/>
      <c r="AU168" s="2"/>
      <c r="AV168" s="3"/>
      <c r="AW168" s="3"/>
      <c r="AX168" s="3"/>
      <c r="AY168" s="3"/>
      <c r="AZ168" s="3"/>
      <c r="BA168" s="3"/>
      <c r="BB168" s="3"/>
      <c r="BC168" s="3"/>
      <c r="BD168" s="3"/>
      <c r="BE168" s="3"/>
      <c r="BF168" s="3"/>
      <c r="BG168" s="3"/>
      <c r="BH168" s="3"/>
      <c r="BI168" s="3"/>
      <c r="BJ168" s="3"/>
      <c r="BK168" s="3"/>
      <c r="BL168" s="3"/>
      <c r="BM168" s="2"/>
      <c r="BN168" s="1"/>
      <c r="BO168" s="334"/>
      <c r="BP168" s="334"/>
      <c r="BQ168" s="334"/>
      <c r="BR168" s="334"/>
      <c r="BS168" s="1"/>
      <c r="BT168" s="1"/>
      <c r="BU168" s="1"/>
      <c r="BV168" s="1"/>
      <c r="BW168" s="1"/>
      <c r="BX168" s="1"/>
    </row>
    <row x14ac:dyDescent="0.25" r="169" customHeight="1" ht="17.25">
      <c r="A169" s="227"/>
      <c r="B169" s="227"/>
      <c r="C169" s="227"/>
      <c r="D169" s="227"/>
      <c r="E169" s="227"/>
      <c r="F169" s="227"/>
      <c r="G169" s="227"/>
      <c r="H169" s="227"/>
      <c r="I169" s="227"/>
      <c r="J169" s="227"/>
      <c r="K169" s="227"/>
      <c r="L169" s="227"/>
      <c r="M169" s="227"/>
      <c r="N169" s="227"/>
      <c r="O169" s="227"/>
      <c r="P169" s="69"/>
      <c r="Q169" s="69"/>
      <c r="R169" s="181"/>
      <c r="S169" s="145"/>
      <c r="T169" s="181"/>
      <c r="U169" s="145"/>
      <c r="V169" s="181"/>
      <c r="W169" s="145"/>
      <c r="X169" s="181"/>
      <c r="Y169" s="145"/>
      <c r="Z169" s="181"/>
      <c r="AA169" s="145"/>
      <c r="AB169" s="69"/>
      <c r="AC169" s="11"/>
      <c r="AD169" s="11"/>
      <c r="AE169" s="145"/>
      <c r="AF169" s="530"/>
      <c r="AG169" s="69"/>
      <c r="AH169" s="528"/>
      <c r="AI169" s="528"/>
      <c r="AJ169" s="528"/>
      <c r="AK169" s="528"/>
      <c r="AL169" s="528"/>
      <c r="AM169" s="528"/>
      <c r="AN169" s="528"/>
      <c r="AO169" s="528"/>
      <c r="AP169" s="528"/>
      <c r="AQ169" s="3"/>
      <c r="AR169" s="5"/>
      <c r="AS169" s="3"/>
      <c r="AT169" s="3"/>
      <c r="AU169" s="2"/>
      <c r="AV169" s="3"/>
      <c r="AW169" s="3"/>
      <c r="AX169" s="3"/>
      <c r="AY169" s="3"/>
      <c r="AZ169" s="3"/>
      <c r="BA169" s="3"/>
      <c r="BB169" s="3"/>
      <c r="BC169" s="3"/>
      <c r="BD169" s="3"/>
      <c r="BE169" s="3"/>
      <c r="BF169" s="3"/>
      <c r="BG169" s="3"/>
      <c r="BH169" s="3"/>
      <c r="BI169" s="3"/>
      <c r="BJ169" s="3"/>
      <c r="BK169" s="3"/>
      <c r="BL169" s="3"/>
      <c r="BM169" s="2"/>
      <c r="BN169" s="1"/>
      <c r="BO169" s="334"/>
      <c r="BP169" s="334"/>
      <c r="BQ169" s="334"/>
      <c r="BR169" s="334"/>
      <c r="BS169" s="1"/>
      <c r="BT169" s="1"/>
      <c r="BU169" s="1"/>
      <c r="BV169" s="1"/>
      <c r="BW169" s="1"/>
      <c r="BX169" s="1"/>
    </row>
    <row x14ac:dyDescent="0.25" r="170" customHeight="1" ht="17.25">
      <c r="A170" s="227"/>
      <c r="B170" s="227"/>
      <c r="C170" s="227"/>
      <c r="D170" s="227"/>
      <c r="E170" s="227"/>
      <c r="F170" s="227"/>
      <c r="G170" s="227"/>
      <c r="H170" s="227"/>
      <c r="I170" s="227"/>
      <c r="J170" s="227"/>
      <c r="K170" s="227"/>
      <c r="L170" s="227"/>
      <c r="M170" s="227"/>
      <c r="N170" s="227"/>
      <c r="O170" s="227"/>
      <c r="P170" s="69"/>
      <c r="Q170" s="69"/>
      <c r="R170" s="181"/>
      <c r="S170" s="145"/>
      <c r="T170" s="181"/>
      <c r="U170" s="145"/>
      <c r="V170" s="181"/>
      <c r="W170" s="145"/>
      <c r="X170" s="181"/>
      <c r="Y170" s="145"/>
      <c r="Z170" s="181"/>
      <c r="AA170" s="145"/>
      <c r="AB170" s="69"/>
      <c r="AC170" s="11"/>
      <c r="AD170" s="11"/>
      <c r="AE170" s="145"/>
      <c r="AF170" s="530"/>
      <c r="AG170" s="69"/>
      <c r="AH170" s="528"/>
      <c r="AI170" s="528"/>
      <c r="AJ170" s="528"/>
      <c r="AK170" s="528"/>
      <c r="AL170" s="528"/>
      <c r="AM170" s="528"/>
      <c r="AN170" s="528"/>
      <c r="AO170" s="528"/>
      <c r="AP170" s="528"/>
      <c r="AQ170" s="3"/>
      <c r="AR170" s="5"/>
      <c r="AS170" s="3"/>
      <c r="AT170" s="3"/>
      <c r="AU170" s="2"/>
      <c r="AV170" s="3"/>
      <c r="AW170" s="3"/>
      <c r="AX170" s="3"/>
      <c r="AY170" s="3"/>
      <c r="AZ170" s="3"/>
      <c r="BA170" s="3"/>
      <c r="BB170" s="3"/>
      <c r="BC170" s="3"/>
      <c r="BD170" s="3"/>
      <c r="BE170" s="3"/>
      <c r="BF170" s="3"/>
      <c r="BG170" s="3"/>
      <c r="BH170" s="3"/>
      <c r="BI170" s="3"/>
      <c r="BJ170" s="3"/>
      <c r="BK170" s="3"/>
      <c r="BL170" s="3"/>
      <c r="BM170" s="2"/>
      <c r="BN170" s="1"/>
      <c r="BO170" s="334"/>
      <c r="BP170" s="334"/>
      <c r="BQ170" s="334"/>
      <c r="BR170" s="334"/>
      <c r="BS170" s="1"/>
      <c r="BT170" s="1"/>
      <c r="BU170" s="1"/>
      <c r="BV170" s="1"/>
      <c r="BW170" s="1"/>
      <c r="BX170" s="1"/>
    </row>
    <row x14ac:dyDescent="0.25" r="171" customHeight="1" ht="17.25">
      <c r="A171" s="227"/>
      <c r="B171" s="227"/>
      <c r="C171" s="227"/>
      <c r="D171" s="227"/>
      <c r="E171" s="227"/>
      <c r="F171" s="227"/>
      <c r="G171" s="227"/>
      <c r="H171" s="227"/>
      <c r="I171" s="227"/>
      <c r="J171" s="227"/>
      <c r="K171" s="227"/>
      <c r="L171" s="227"/>
      <c r="M171" s="227"/>
      <c r="N171" s="227"/>
      <c r="O171" s="227"/>
      <c r="P171" s="69"/>
      <c r="Q171" s="69"/>
      <c r="R171" s="181"/>
      <c r="S171" s="145"/>
      <c r="T171" s="181"/>
      <c r="U171" s="145"/>
      <c r="V171" s="181"/>
      <c r="W171" s="145"/>
      <c r="X171" s="181"/>
      <c r="Y171" s="145"/>
      <c r="Z171" s="181"/>
      <c r="AA171" s="145"/>
      <c r="AB171" s="69"/>
      <c r="AC171" s="11"/>
      <c r="AD171" s="11"/>
      <c r="AE171" s="145"/>
      <c r="AF171" s="530"/>
      <c r="AG171" s="69"/>
      <c r="AH171" s="528"/>
      <c r="AI171" s="528"/>
      <c r="AJ171" s="528"/>
      <c r="AK171" s="528"/>
      <c r="AL171" s="528"/>
      <c r="AM171" s="528"/>
      <c r="AN171" s="528"/>
      <c r="AO171" s="528"/>
      <c r="AP171" s="528"/>
      <c r="AQ171" s="3"/>
      <c r="AR171" s="5"/>
      <c r="AS171" s="3"/>
      <c r="AT171" s="3"/>
      <c r="AU171" s="2"/>
      <c r="AV171" s="3"/>
      <c r="AW171" s="3"/>
      <c r="AX171" s="3"/>
      <c r="AY171" s="3"/>
      <c r="AZ171" s="3"/>
      <c r="BA171" s="3"/>
      <c r="BB171" s="3"/>
      <c r="BC171" s="3"/>
      <c r="BD171" s="3"/>
      <c r="BE171" s="3"/>
      <c r="BF171" s="3"/>
      <c r="BG171" s="3"/>
      <c r="BH171" s="3"/>
      <c r="BI171" s="3"/>
      <c r="BJ171" s="3"/>
      <c r="BK171" s="3"/>
      <c r="BL171" s="3"/>
      <c r="BM171" s="2"/>
      <c r="BN171" s="1"/>
      <c r="BO171" s="334"/>
      <c r="BP171" s="334"/>
      <c r="BQ171" s="334"/>
      <c r="BR171" s="334"/>
      <c r="BS171" s="1"/>
      <c r="BT171" s="1"/>
      <c r="BU171" s="1"/>
      <c r="BV171" s="1"/>
      <c r="BW171" s="1"/>
      <c r="BX171" s="1"/>
    </row>
    <row x14ac:dyDescent="0.25" r="172" customHeight="1" ht="17.25">
      <c r="A172" s="227"/>
      <c r="B172" s="227"/>
      <c r="C172" s="227"/>
      <c r="D172" s="227"/>
      <c r="E172" s="227"/>
      <c r="F172" s="227"/>
      <c r="G172" s="227"/>
      <c r="H172" s="227"/>
      <c r="I172" s="227"/>
      <c r="J172" s="227"/>
      <c r="K172" s="227"/>
      <c r="L172" s="227"/>
      <c r="M172" s="227"/>
      <c r="N172" s="227"/>
      <c r="O172" s="227"/>
      <c r="P172" s="69"/>
      <c r="Q172" s="69"/>
      <c r="R172" s="181"/>
      <c r="S172" s="145"/>
      <c r="T172" s="181"/>
      <c r="U172" s="145"/>
      <c r="V172" s="181"/>
      <c r="W172" s="145"/>
      <c r="X172" s="181"/>
      <c r="Y172" s="145"/>
      <c r="Z172" s="181"/>
      <c r="AA172" s="145"/>
      <c r="AB172" s="69"/>
      <c r="AC172" s="11"/>
      <c r="AD172" s="11"/>
      <c r="AE172" s="145"/>
      <c r="AF172" s="530"/>
      <c r="AG172" s="69"/>
      <c r="AH172" s="528"/>
      <c r="AI172" s="528"/>
      <c r="AJ172" s="528"/>
      <c r="AK172" s="528"/>
      <c r="AL172" s="528"/>
      <c r="AM172" s="528"/>
      <c r="AN172" s="528"/>
      <c r="AO172" s="528"/>
      <c r="AP172" s="528"/>
      <c r="AQ172" s="3"/>
      <c r="AR172" s="5"/>
      <c r="AS172" s="3"/>
      <c r="AT172" s="3"/>
      <c r="AU172" s="2"/>
      <c r="AV172" s="3"/>
      <c r="AW172" s="3"/>
      <c r="AX172" s="3"/>
      <c r="AY172" s="3"/>
      <c r="AZ172" s="3"/>
      <c r="BA172" s="3"/>
      <c r="BB172" s="3"/>
      <c r="BC172" s="3"/>
      <c r="BD172" s="3"/>
      <c r="BE172" s="3"/>
      <c r="BF172" s="3"/>
      <c r="BG172" s="3"/>
      <c r="BH172" s="3"/>
      <c r="BI172" s="3"/>
      <c r="BJ172" s="3"/>
      <c r="BK172" s="3"/>
      <c r="BL172" s="3"/>
      <c r="BM172" s="2"/>
      <c r="BN172" s="1"/>
      <c r="BO172" s="334"/>
      <c r="BP172" s="334"/>
      <c r="BQ172" s="334"/>
      <c r="BR172" s="334"/>
      <c r="BS172" s="1"/>
      <c r="BT172" s="1"/>
      <c r="BU172" s="1"/>
      <c r="BV172" s="1"/>
      <c r="BW172" s="1"/>
      <c r="BX172" s="1"/>
    </row>
    <row x14ac:dyDescent="0.25" r="173" customHeight="1" ht="17.25">
      <c r="A173" s="227"/>
      <c r="B173" s="227"/>
      <c r="C173" s="227"/>
      <c r="D173" s="227"/>
      <c r="E173" s="227"/>
      <c r="F173" s="227"/>
      <c r="G173" s="227"/>
      <c r="H173" s="227"/>
      <c r="I173" s="227"/>
      <c r="J173" s="227"/>
      <c r="K173" s="227"/>
      <c r="L173" s="227"/>
      <c r="M173" s="227"/>
      <c r="N173" s="227"/>
      <c r="O173" s="227"/>
      <c r="P173" s="69"/>
      <c r="Q173" s="69"/>
      <c r="R173" s="181"/>
      <c r="S173" s="145"/>
      <c r="T173" s="181"/>
      <c r="U173" s="145"/>
      <c r="V173" s="181"/>
      <c r="W173" s="145"/>
      <c r="X173" s="181"/>
      <c r="Y173" s="145"/>
      <c r="Z173" s="181"/>
      <c r="AA173" s="145"/>
      <c r="AB173" s="69"/>
      <c r="AC173" s="11"/>
      <c r="AD173" s="11"/>
      <c r="AE173" s="145"/>
      <c r="AF173" s="530"/>
      <c r="AG173" s="69"/>
      <c r="AH173" s="528"/>
      <c r="AI173" s="528"/>
      <c r="AJ173" s="528"/>
      <c r="AK173" s="528"/>
      <c r="AL173" s="528"/>
      <c r="AM173" s="528"/>
      <c r="AN173" s="528"/>
      <c r="AO173" s="528"/>
      <c r="AP173" s="528"/>
      <c r="AQ173" s="3"/>
      <c r="AR173" s="5"/>
      <c r="AS173" s="3"/>
      <c r="AT173" s="3"/>
      <c r="AU173" s="2"/>
      <c r="AV173" s="3"/>
      <c r="AW173" s="3"/>
      <c r="AX173" s="3"/>
      <c r="AY173" s="3"/>
      <c r="AZ173" s="3"/>
      <c r="BA173" s="3"/>
      <c r="BB173" s="3"/>
      <c r="BC173" s="3"/>
      <c r="BD173" s="3"/>
      <c r="BE173" s="3"/>
      <c r="BF173" s="3"/>
      <c r="BG173" s="3"/>
      <c r="BH173" s="3"/>
      <c r="BI173" s="3"/>
      <c r="BJ173" s="3"/>
      <c r="BK173" s="3"/>
      <c r="BL173" s="3"/>
      <c r="BM173" s="2"/>
      <c r="BN173" s="1"/>
      <c r="BO173" s="334"/>
      <c r="BP173" s="334"/>
      <c r="BQ173" s="334"/>
      <c r="BR173" s="334"/>
      <c r="BS173" s="1"/>
      <c r="BT173" s="1"/>
      <c r="BU173" s="1"/>
      <c r="BV173" s="1"/>
      <c r="BW173" s="1"/>
      <c r="BX173" s="1"/>
    </row>
    <row x14ac:dyDescent="0.25" r="174" customHeight="1" ht="17.25">
      <c r="A174" s="227"/>
      <c r="B174" s="227"/>
      <c r="C174" s="227"/>
      <c r="D174" s="227"/>
      <c r="E174" s="227"/>
      <c r="F174" s="227"/>
      <c r="G174" s="227"/>
      <c r="H174" s="227"/>
      <c r="I174" s="227"/>
      <c r="J174" s="227"/>
      <c r="K174" s="227"/>
      <c r="L174" s="227"/>
      <c r="M174" s="227"/>
      <c r="N174" s="227"/>
      <c r="O174" s="227"/>
      <c r="P174" s="69"/>
      <c r="Q174" s="69"/>
      <c r="R174" s="181"/>
      <c r="S174" s="145"/>
      <c r="T174" s="181"/>
      <c r="U174" s="145"/>
      <c r="V174" s="181"/>
      <c r="W174" s="145"/>
      <c r="X174" s="181"/>
      <c r="Y174" s="145"/>
      <c r="Z174" s="181"/>
      <c r="AA174" s="145"/>
      <c r="AB174" s="69"/>
      <c r="AC174" s="11"/>
      <c r="AD174" s="11"/>
      <c r="AE174" s="145"/>
      <c r="AF174" s="530"/>
      <c r="AG174" s="69"/>
      <c r="AH174" s="528"/>
      <c r="AI174" s="528"/>
      <c r="AJ174" s="528"/>
      <c r="AK174" s="528"/>
      <c r="AL174" s="528"/>
      <c r="AM174" s="528"/>
      <c r="AN174" s="528"/>
      <c r="AO174" s="528"/>
      <c r="AP174" s="528"/>
      <c r="AQ174" s="3"/>
      <c r="AR174" s="5"/>
      <c r="AS174" s="3"/>
      <c r="AT174" s="3"/>
      <c r="AU174" s="2"/>
      <c r="AV174" s="3"/>
      <c r="AW174" s="3"/>
      <c r="AX174" s="3"/>
      <c r="AY174" s="3"/>
      <c r="AZ174" s="3"/>
      <c r="BA174" s="3"/>
      <c r="BB174" s="3"/>
      <c r="BC174" s="3"/>
      <c r="BD174" s="3"/>
      <c r="BE174" s="3"/>
      <c r="BF174" s="3"/>
      <c r="BG174" s="3"/>
      <c r="BH174" s="3"/>
      <c r="BI174" s="3"/>
      <c r="BJ174" s="3"/>
      <c r="BK174" s="3"/>
      <c r="BL174" s="3"/>
      <c r="BM174" s="2"/>
      <c r="BN174" s="1"/>
      <c r="BO174" s="334"/>
      <c r="BP174" s="334"/>
      <c r="BQ174" s="334"/>
      <c r="BR174" s="334"/>
      <c r="BS174" s="1"/>
      <c r="BT174" s="1"/>
      <c r="BU174" s="1"/>
      <c r="BV174" s="1"/>
      <c r="BW174" s="1"/>
      <c r="BX174" s="1"/>
    </row>
    <row x14ac:dyDescent="0.25" r="175" customHeight="1" ht="17.25">
      <c r="A175" s="227"/>
      <c r="B175" s="227"/>
      <c r="C175" s="227"/>
      <c r="D175" s="227"/>
      <c r="E175" s="227"/>
      <c r="F175" s="227"/>
      <c r="G175" s="227"/>
      <c r="H175" s="227"/>
      <c r="I175" s="227"/>
      <c r="J175" s="227"/>
      <c r="K175" s="227"/>
      <c r="L175" s="227"/>
      <c r="M175" s="227"/>
      <c r="N175" s="227"/>
      <c r="O175" s="227"/>
      <c r="P175" s="69"/>
      <c r="Q175" s="69"/>
      <c r="R175" s="181"/>
      <c r="S175" s="145"/>
      <c r="T175" s="181"/>
      <c r="U175" s="145"/>
      <c r="V175" s="181"/>
      <c r="W175" s="145"/>
      <c r="X175" s="181"/>
      <c r="Y175" s="145"/>
      <c r="Z175" s="181"/>
      <c r="AA175" s="145"/>
      <c r="AB175" s="69"/>
      <c r="AC175" s="11"/>
      <c r="AD175" s="11"/>
      <c r="AE175" s="145"/>
      <c r="AF175" s="530"/>
      <c r="AG175" s="69"/>
      <c r="AH175" s="528"/>
      <c r="AI175" s="528"/>
      <c r="AJ175" s="528"/>
      <c r="AK175" s="528"/>
      <c r="AL175" s="528"/>
      <c r="AM175" s="528"/>
      <c r="AN175" s="528"/>
      <c r="AO175" s="528"/>
      <c r="AP175" s="528"/>
      <c r="AQ175" s="3"/>
      <c r="AR175" s="5"/>
      <c r="AS175" s="3"/>
      <c r="AT175" s="3"/>
      <c r="AU175" s="2"/>
      <c r="AV175" s="3"/>
      <c r="AW175" s="3"/>
      <c r="AX175" s="3"/>
      <c r="AY175" s="3"/>
      <c r="AZ175" s="3"/>
      <c r="BA175" s="3"/>
      <c r="BB175" s="3"/>
      <c r="BC175" s="3"/>
      <c r="BD175" s="3"/>
      <c r="BE175" s="3"/>
      <c r="BF175" s="3"/>
      <c r="BG175" s="3"/>
      <c r="BH175" s="3"/>
      <c r="BI175" s="3"/>
      <c r="BJ175" s="3"/>
      <c r="BK175" s="3"/>
      <c r="BL175" s="3"/>
      <c r="BM175" s="2"/>
      <c r="BN175" s="1"/>
      <c r="BO175" s="334"/>
      <c r="BP175" s="334"/>
      <c r="BQ175" s="334"/>
      <c r="BR175" s="334"/>
      <c r="BS175" s="1"/>
      <c r="BT175" s="1"/>
      <c r="BU175" s="1"/>
      <c r="BV175" s="1"/>
      <c r="BW175" s="1"/>
      <c r="BX175" s="1"/>
    </row>
    <row x14ac:dyDescent="0.25" r="176" customHeight="1" ht="17.25">
      <c r="A176" s="227"/>
      <c r="B176" s="227"/>
      <c r="C176" s="227"/>
      <c r="D176" s="227"/>
      <c r="E176" s="227"/>
      <c r="F176" s="227"/>
      <c r="G176" s="227"/>
      <c r="H176" s="227"/>
      <c r="I176" s="227"/>
      <c r="J176" s="227"/>
      <c r="K176" s="227"/>
      <c r="L176" s="227"/>
      <c r="M176" s="227"/>
      <c r="N176" s="227"/>
      <c r="O176" s="227"/>
      <c r="P176" s="69"/>
      <c r="Q176" s="69"/>
      <c r="R176" s="181"/>
      <c r="S176" s="145"/>
      <c r="T176" s="181"/>
      <c r="U176" s="145"/>
      <c r="V176" s="181"/>
      <c r="W176" s="145"/>
      <c r="X176" s="181"/>
      <c r="Y176" s="145"/>
      <c r="Z176" s="181"/>
      <c r="AA176" s="145"/>
      <c r="AB176" s="69"/>
      <c r="AC176" s="11"/>
      <c r="AD176" s="11"/>
      <c r="AE176" s="145"/>
      <c r="AF176" s="530"/>
      <c r="AG176" s="69"/>
      <c r="AH176" s="528"/>
      <c r="AI176" s="528"/>
      <c r="AJ176" s="528"/>
      <c r="AK176" s="528"/>
      <c r="AL176" s="528"/>
      <c r="AM176" s="528"/>
      <c r="AN176" s="528"/>
      <c r="AO176" s="528"/>
      <c r="AP176" s="528"/>
      <c r="AQ176" s="3"/>
      <c r="AR176" s="5"/>
      <c r="AS176" s="3"/>
      <c r="AT176" s="3"/>
      <c r="AU176" s="2"/>
      <c r="AV176" s="3"/>
      <c r="AW176" s="3"/>
      <c r="AX176" s="3"/>
      <c r="AY176" s="3"/>
      <c r="AZ176" s="3"/>
      <c r="BA176" s="3"/>
      <c r="BB176" s="3"/>
      <c r="BC176" s="3"/>
      <c r="BD176" s="3"/>
      <c r="BE176" s="3"/>
      <c r="BF176" s="3"/>
      <c r="BG176" s="3"/>
      <c r="BH176" s="3"/>
      <c r="BI176" s="3"/>
      <c r="BJ176" s="3"/>
      <c r="BK176" s="3"/>
      <c r="BL176" s="3"/>
      <c r="BM176" s="2"/>
      <c r="BN176" s="1"/>
      <c r="BO176" s="334"/>
      <c r="BP176" s="334"/>
      <c r="BQ176" s="334"/>
      <c r="BR176" s="334"/>
      <c r="BS176" s="1"/>
      <c r="BT176" s="1"/>
      <c r="BU176" s="1"/>
      <c r="BV176" s="1"/>
      <c r="BW176" s="1"/>
      <c r="BX176" s="1"/>
    </row>
    <row x14ac:dyDescent="0.25" r="177" customHeight="1" ht="17.25">
      <c r="A177" s="227"/>
      <c r="B177" s="227"/>
      <c r="C177" s="227"/>
      <c r="D177" s="227"/>
      <c r="E177" s="227"/>
      <c r="F177" s="227"/>
      <c r="G177" s="227"/>
      <c r="H177" s="227"/>
      <c r="I177" s="227"/>
      <c r="J177" s="227"/>
      <c r="K177" s="227"/>
      <c r="L177" s="227"/>
      <c r="M177" s="227"/>
      <c r="N177" s="227"/>
      <c r="O177" s="227"/>
      <c r="P177" s="69"/>
      <c r="Q177" s="69"/>
      <c r="R177" s="181"/>
      <c r="S177" s="145"/>
      <c r="T177" s="181"/>
      <c r="U177" s="145"/>
      <c r="V177" s="181"/>
      <c r="W177" s="145"/>
      <c r="X177" s="181"/>
      <c r="Y177" s="145"/>
      <c r="Z177" s="181"/>
      <c r="AA177" s="145"/>
      <c r="AB177" s="69"/>
      <c r="AC177" s="11"/>
      <c r="AD177" s="11"/>
      <c r="AE177" s="145"/>
      <c r="AF177" s="530"/>
      <c r="AG177" s="69"/>
      <c r="AH177" s="528"/>
      <c r="AI177" s="528"/>
      <c r="AJ177" s="528"/>
      <c r="AK177" s="528"/>
      <c r="AL177" s="528"/>
      <c r="AM177" s="528"/>
      <c r="AN177" s="528"/>
      <c r="AO177" s="528"/>
      <c r="AP177" s="528"/>
      <c r="AQ177" s="3"/>
      <c r="AR177" s="5"/>
      <c r="AS177" s="3"/>
      <c r="AT177" s="3"/>
      <c r="AU177" s="2"/>
      <c r="AV177" s="3"/>
      <c r="AW177" s="3"/>
      <c r="AX177" s="3"/>
      <c r="AY177" s="3"/>
      <c r="AZ177" s="3"/>
      <c r="BA177" s="3"/>
      <c r="BB177" s="3"/>
      <c r="BC177" s="3"/>
      <c r="BD177" s="3"/>
      <c r="BE177" s="3"/>
      <c r="BF177" s="3"/>
      <c r="BG177" s="3"/>
      <c r="BH177" s="3"/>
      <c r="BI177" s="3"/>
      <c r="BJ177" s="3"/>
      <c r="BK177" s="3"/>
      <c r="BL177" s="3"/>
      <c r="BM177" s="2"/>
      <c r="BN177" s="1"/>
      <c r="BO177" s="334"/>
      <c r="BP177" s="334"/>
      <c r="BQ177" s="334"/>
      <c r="BR177" s="334"/>
      <c r="BS177" s="1"/>
      <c r="BT177" s="1"/>
      <c r="BU177" s="1"/>
      <c r="BV177" s="1"/>
      <c r="BW177" s="1"/>
      <c r="BX177" s="1"/>
    </row>
    <row x14ac:dyDescent="0.25" r="178" customHeight="1" ht="17.25">
      <c r="A178" s="227"/>
      <c r="B178" s="227"/>
      <c r="C178" s="227"/>
      <c r="D178" s="227"/>
      <c r="E178" s="227"/>
      <c r="F178" s="227"/>
      <c r="G178" s="227"/>
      <c r="H178" s="227"/>
      <c r="I178" s="227"/>
      <c r="J178" s="227"/>
      <c r="K178" s="227"/>
      <c r="L178" s="227"/>
      <c r="M178" s="227"/>
      <c r="N178" s="227"/>
      <c r="O178" s="227"/>
      <c r="P178" s="69"/>
      <c r="Q178" s="69"/>
      <c r="R178" s="181"/>
      <c r="S178" s="145"/>
      <c r="T178" s="181"/>
      <c r="U178" s="145"/>
      <c r="V178" s="181"/>
      <c r="W178" s="145"/>
      <c r="X178" s="181"/>
      <c r="Y178" s="145"/>
      <c r="Z178" s="181"/>
      <c r="AA178" s="145"/>
      <c r="AB178" s="69"/>
      <c r="AC178" s="11"/>
      <c r="AD178" s="11"/>
      <c r="AE178" s="145"/>
      <c r="AF178" s="530"/>
      <c r="AG178" s="69"/>
      <c r="AH178" s="528"/>
      <c r="AI178" s="528"/>
      <c r="AJ178" s="528"/>
      <c r="AK178" s="528"/>
      <c r="AL178" s="528"/>
      <c r="AM178" s="528"/>
      <c r="AN178" s="528"/>
      <c r="AO178" s="528"/>
      <c r="AP178" s="528"/>
      <c r="AQ178" s="3"/>
      <c r="AR178" s="5"/>
      <c r="AS178" s="3"/>
      <c r="AT178" s="3"/>
      <c r="AU178" s="2"/>
      <c r="AV178" s="3"/>
      <c r="AW178" s="3"/>
      <c r="AX178" s="3"/>
      <c r="AY178" s="3"/>
      <c r="AZ178" s="3"/>
      <c r="BA178" s="3"/>
      <c r="BB178" s="3"/>
      <c r="BC178" s="3"/>
      <c r="BD178" s="3"/>
      <c r="BE178" s="3"/>
      <c r="BF178" s="3"/>
      <c r="BG178" s="3"/>
      <c r="BH178" s="3"/>
      <c r="BI178" s="3"/>
      <c r="BJ178" s="3"/>
      <c r="BK178" s="3"/>
      <c r="BL178" s="3"/>
      <c r="BM178" s="2"/>
      <c r="BN178" s="1"/>
      <c r="BO178" s="334"/>
      <c r="BP178" s="334"/>
      <c r="BQ178" s="334"/>
      <c r="BR178" s="334"/>
      <c r="BS178" s="1"/>
      <c r="BT178" s="1"/>
      <c r="BU178" s="1"/>
      <c r="BV178" s="1"/>
      <c r="BW178" s="1"/>
      <c r="BX178" s="1"/>
    </row>
    <row x14ac:dyDescent="0.25" r="179" customHeight="1" ht="17.25">
      <c r="A179" s="227"/>
      <c r="B179" s="227"/>
      <c r="C179" s="227"/>
      <c r="D179" s="227"/>
      <c r="E179" s="227"/>
      <c r="F179" s="227"/>
      <c r="G179" s="227"/>
      <c r="H179" s="227"/>
      <c r="I179" s="227"/>
      <c r="J179" s="227"/>
      <c r="K179" s="227"/>
      <c r="L179" s="227"/>
      <c r="M179" s="227"/>
      <c r="N179" s="227"/>
      <c r="O179" s="227"/>
      <c r="P179" s="69"/>
      <c r="Q179" s="69"/>
      <c r="R179" s="181"/>
      <c r="S179" s="145"/>
      <c r="T179" s="181"/>
      <c r="U179" s="145"/>
      <c r="V179" s="181"/>
      <c r="W179" s="145"/>
      <c r="X179" s="181"/>
      <c r="Y179" s="145"/>
      <c r="Z179" s="181"/>
      <c r="AA179" s="145"/>
      <c r="AB179" s="69"/>
      <c r="AC179" s="11"/>
      <c r="AD179" s="11"/>
      <c r="AE179" s="145"/>
      <c r="AF179" s="530"/>
      <c r="AG179" s="69"/>
      <c r="AH179" s="528"/>
      <c r="AI179" s="528"/>
      <c r="AJ179" s="528"/>
      <c r="AK179" s="528"/>
      <c r="AL179" s="528"/>
      <c r="AM179" s="528"/>
      <c r="AN179" s="528"/>
      <c r="AO179" s="528"/>
      <c r="AP179" s="528"/>
      <c r="AQ179" s="3"/>
      <c r="AR179" s="5"/>
      <c r="AS179" s="3"/>
      <c r="AT179" s="3"/>
      <c r="AU179" s="2"/>
      <c r="AV179" s="3"/>
      <c r="AW179" s="3"/>
      <c r="AX179" s="3"/>
      <c r="AY179" s="3"/>
      <c r="AZ179" s="3"/>
      <c r="BA179" s="3"/>
      <c r="BB179" s="3"/>
      <c r="BC179" s="3"/>
      <c r="BD179" s="3"/>
      <c r="BE179" s="3"/>
      <c r="BF179" s="3"/>
      <c r="BG179" s="3"/>
      <c r="BH179" s="3"/>
      <c r="BI179" s="3"/>
      <c r="BJ179" s="3"/>
      <c r="BK179" s="3"/>
      <c r="BL179" s="3"/>
      <c r="BM179" s="2"/>
      <c r="BN179" s="1"/>
      <c r="BO179" s="334"/>
      <c r="BP179" s="334"/>
      <c r="BQ179" s="334"/>
      <c r="BR179" s="334"/>
      <c r="BS179" s="1"/>
      <c r="BT179" s="1"/>
      <c r="BU179" s="1"/>
      <c r="BV179" s="1"/>
      <c r="BW179" s="1"/>
      <c r="BX179" s="1"/>
    </row>
    <row x14ac:dyDescent="0.25" r="180" customHeight="1" ht="17.25">
      <c r="A180" s="227"/>
      <c r="B180" s="227"/>
      <c r="C180" s="227"/>
      <c r="D180" s="227"/>
      <c r="E180" s="227"/>
      <c r="F180" s="227"/>
      <c r="G180" s="227"/>
      <c r="H180" s="227"/>
      <c r="I180" s="227"/>
      <c r="J180" s="227"/>
      <c r="K180" s="227"/>
      <c r="L180" s="227"/>
      <c r="M180" s="227"/>
      <c r="N180" s="227"/>
      <c r="O180" s="227"/>
      <c r="P180" s="69"/>
      <c r="Q180" s="69"/>
      <c r="R180" s="181"/>
      <c r="S180" s="145"/>
      <c r="T180" s="181"/>
      <c r="U180" s="145"/>
      <c r="V180" s="181"/>
      <c r="W180" s="145"/>
      <c r="X180" s="181"/>
      <c r="Y180" s="145"/>
      <c r="Z180" s="181"/>
      <c r="AA180" s="145"/>
      <c r="AB180" s="69"/>
      <c r="AC180" s="11"/>
      <c r="AD180" s="11"/>
      <c r="AE180" s="145"/>
      <c r="AF180" s="530"/>
      <c r="AG180" s="69"/>
      <c r="AH180" s="528"/>
      <c r="AI180" s="528"/>
      <c r="AJ180" s="528"/>
      <c r="AK180" s="528"/>
      <c r="AL180" s="528"/>
      <c r="AM180" s="528"/>
      <c r="AN180" s="528"/>
      <c r="AO180" s="528"/>
      <c r="AP180" s="528"/>
      <c r="AQ180" s="3"/>
      <c r="AR180" s="5"/>
      <c r="AS180" s="3"/>
      <c r="AT180" s="3"/>
      <c r="AU180" s="2"/>
      <c r="AV180" s="3"/>
      <c r="AW180" s="3"/>
      <c r="AX180" s="3"/>
      <c r="AY180" s="3"/>
      <c r="AZ180" s="3"/>
      <c r="BA180" s="3"/>
      <c r="BB180" s="3"/>
      <c r="BC180" s="3"/>
      <c r="BD180" s="3"/>
      <c r="BE180" s="3"/>
      <c r="BF180" s="3"/>
      <c r="BG180" s="3"/>
      <c r="BH180" s="3"/>
      <c r="BI180" s="3"/>
      <c r="BJ180" s="3"/>
      <c r="BK180" s="3"/>
      <c r="BL180" s="3"/>
      <c r="BM180" s="2"/>
      <c r="BN180" s="1"/>
      <c r="BO180" s="334"/>
      <c r="BP180" s="334"/>
      <c r="BQ180" s="334"/>
      <c r="BR180" s="334"/>
      <c r="BS180" s="1"/>
      <c r="BT180" s="1"/>
      <c r="BU180" s="1"/>
      <c r="BV180" s="1"/>
      <c r="BW180" s="1"/>
      <c r="BX180" s="1"/>
    </row>
    <row x14ac:dyDescent="0.25" r="181" customHeight="1" ht="17.25">
      <c r="A181" s="227"/>
      <c r="B181" s="227"/>
      <c r="C181" s="227"/>
      <c r="D181" s="227"/>
      <c r="E181" s="227"/>
      <c r="F181" s="227"/>
      <c r="G181" s="227"/>
      <c r="H181" s="227"/>
      <c r="I181" s="227"/>
      <c r="J181" s="227"/>
      <c r="K181" s="227"/>
      <c r="L181" s="227"/>
      <c r="M181" s="227"/>
      <c r="N181" s="227"/>
      <c r="O181" s="227"/>
      <c r="P181" s="69"/>
      <c r="Q181" s="69"/>
      <c r="R181" s="181"/>
      <c r="S181" s="145"/>
      <c r="T181" s="181"/>
      <c r="U181" s="145"/>
      <c r="V181" s="181"/>
      <c r="W181" s="145"/>
      <c r="X181" s="181"/>
      <c r="Y181" s="145"/>
      <c r="Z181" s="181"/>
      <c r="AA181" s="145"/>
      <c r="AB181" s="69"/>
      <c r="AC181" s="11"/>
      <c r="AD181" s="11"/>
      <c r="AE181" s="145"/>
      <c r="AF181" s="530"/>
      <c r="AG181" s="69"/>
      <c r="AH181" s="528"/>
      <c r="AI181" s="528"/>
      <c r="AJ181" s="528"/>
      <c r="AK181" s="528"/>
      <c r="AL181" s="528"/>
      <c r="AM181" s="528"/>
      <c r="AN181" s="528"/>
      <c r="AO181" s="528"/>
      <c r="AP181" s="528"/>
      <c r="AQ181" s="3"/>
      <c r="AR181" s="5"/>
      <c r="AS181" s="3"/>
      <c r="AT181" s="3"/>
      <c r="AU181" s="2"/>
      <c r="AV181" s="3"/>
      <c r="AW181" s="3"/>
      <c r="AX181" s="3"/>
      <c r="AY181" s="3"/>
      <c r="AZ181" s="3"/>
      <c r="BA181" s="3"/>
      <c r="BB181" s="3"/>
      <c r="BC181" s="3"/>
      <c r="BD181" s="3"/>
      <c r="BE181" s="3"/>
      <c r="BF181" s="3"/>
      <c r="BG181" s="3"/>
      <c r="BH181" s="3"/>
      <c r="BI181" s="3"/>
      <c r="BJ181" s="3"/>
      <c r="BK181" s="3"/>
      <c r="BL181" s="3"/>
      <c r="BM181" s="2"/>
      <c r="BN181" s="1"/>
      <c r="BO181" s="334"/>
      <c r="BP181" s="334"/>
      <c r="BQ181" s="334"/>
      <c r="BR181" s="334"/>
      <c r="BS181" s="1"/>
      <c r="BT181" s="1"/>
      <c r="BU181" s="1"/>
      <c r="BV181" s="1"/>
      <c r="BW181" s="1"/>
      <c r="BX181" s="1"/>
    </row>
    <row x14ac:dyDescent="0.25" r="182" customHeight="1" ht="17.25">
      <c r="A182" s="227"/>
      <c r="B182" s="227"/>
      <c r="C182" s="227"/>
      <c r="D182" s="227"/>
      <c r="E182" s="227"/>
      <c r="F182" s="227"/>
      <c r="G182" s="227"/>
      <c r="H182" s="227"/>
      <c r="I182" s="227"/>
      <c r="J182" s="227"/>
      <c r="K182" s="227"/>
      <c r="L182" s="227"/>
      <c r="M182" s="227"/>
      <c r="N182" s="227"/>
      <c r="O182" s="227"/>
      <c r="P182" s="69"/>
      <c r="Q182" s="69"/>
      <c r="R182" s="181"/>
      <c r="S182" s="145"/>
      <c r="T182" s="181"/>
      <c r="U182" s="145"/>
      <c r="V182" s="181"/>
      <c r="W182" s="145"/>
      <c r="X182" s="181"/>
      <c r="Y182" s="145"/>
      <c r="Z182" s="181"/>
      <c r="AA182" s="145"/>
      <c r="AB182" s="69"/>
      <c r="AC182" s="11"/>
      <c r="AD182" s="11"/>
      <c r="AE182" s="145"/>
      <c r="AF182" s="530"/>
      <c r="AG182" s="69"/>
      <c r="AH182" s="528"/>
      <c r="AI182" s="528"/>
      <c r="AJ182" s="528"/>
      <c r="AK182" s="528"/>
      <c r="AL182" s="528"/>
      <c r="AM182" s="528"/>
      <c r="AN182" s="528"/>
      <c r="AO182" s="528"/>
      <c r="AP182" s="528"/>
      <c r="AQ182" s="3"/>
      <c r="AR182" s="5"/>
      <c r="AS182" s="3"/>
      <c r="AT182" s="3"/>
      <c r="AU182" s="2"/>
      <c r="AV182" s="3"/>
      <c r="AW182" s="3"/>
      <c r="AX182" s="3"/>
      <c r="AY182" s="3"/>
      <c r="AZ182" s="3"/>
      <c r="BA182" s="3"/>
      <c r="BB182" s="3"/>
      <c r="BC182" s="3"/>
      <c r="BD182" s="3"/>
      <c r="BE182" s="3"/>
      <c r="BF182" s="3"/>
      <c r="BG182" s="3"/>
      <c r="BH182" s="3"/>
      <c r="BI182" s="3"/>
      <c r="BJ182" s="3"/>
      <c r="BK182" s="3"/>
      <c r="BL182" s="3"/>
      <c r="BM182" s="2"/>
      <c r="BN182" s="1"/>
      <c r="BO182" s="334"/>
      <c r="BP182" s="334"/>
      <c r="BQ182" s="334"/>
      <c r="BR182" s="334"/>
      <c r="BS182" s="1"/>
      <c r="BT182" s="1"/>
      <c r="BU182" s="1"/>
      <c r="BV182" s="1"/>
      <c r="BW182" s="1"/>
      <c r="BX182" s="1"/>
    </row>
    <row x14ac:dyDescent="0.25" r="183" customHeight="1" ht="17.25">
      <c r="A183" s="227"/>
      <c r="B183" s="227"/>
      <c r="C183" s="227"/>
      <c r="D183" s="227"/>
      <c r="E183" s="227"/>
      <c r="F183" s="227"/>
      <c r="G183" s="227"/>
      <c r="H183" s="227"/>
      <c r="I183" s="227"/>
      <c r="J183" s="227"/>
      <c r="K183" s="227"/>
      <c r="L183" s="227"/>
      <c r="M183" s="227"/>
      <c r="N183" s="227"/>
      <c r="O183" s="227"/>
      <c r="P183" s="69"/>
      <c r="Q183" s="69"/>
      <c r="R183" s="181"/>
      <c r="S183" s="145"/>
      <c r="T183" s="181"/>
      <c r="U183" s="145"/>
      <c r="V183" s="181"/>
      <c r="W183" s="145"/>
      <c r="X183" s="181"/>
      <c r="Y183" s="145"/>
      <c r="Z183" s="181"/>
      <c r="AA183" s="145"/>
      <c r="AB183" s="69"/>
      <c r="AC183" s="11"/>
      <c r="AD183" s="11"/>
      <c r="AE183" s="145"/>
      <c r="AF183" s="530"/>
      <c r="AG183" s="69"/>
      <c r="AH183" s="528"/>
      <c r="AI183" s="528"/>
      <c r="AJ183" s="528"/>
      <c r="AK183" s="528"/>
      <c r="AL183" s="528"/>
      <c r="AM183" s="528"/>
      <c r="AN183" s="528"/>
      <c r="AO183" s="528"/>
      <c r="AP183" s="528"/>
      <c r="AQ183" s="3"/>
      <c r="AR183" s="5"/>
      <c r="AS183" s="3"/>
      <c r="AT183" s="3"/>
      <c r="AU183" s="2"/>
      <c r="AV183" s="3"/>
      <c r="AW183" s="3"/>
      <c r="AX183" s="3"/>
      <c r="AY183" s="3"/>
      <c r="AZ183" s="3"/>
      <c r="BA183" s="3"/>
      <c r="BB183" s="3"/>
      <c r="BC183" s="3"/>
      <c r="BD183" s="3"/>
      <c r="BE183" s="3"/>
      <c r="BF183" s="3"/>
      <c r="BG183" s="3"/>
      <c r="BH183" s="3"/>
      <c r="BI183" s="3"/>
      <c r="BJ183" s="3"/>
      <c r="BK183" s="3"/>
      <c r="BL183" s="3"/>
      <c r="BM183" s="2"/>
      <c r="BN183" s="1"/>
      <c r="BO183" s="334"/>
      <c r="BP183" s="334"/>
      <c r="BQ183" s="334"/>
      <c r="BR183" s="334"/>
      <c r="BS183" s="1"/>
      <c r="BT183" s="1"/>
      <c r="BU183" s="1"/>
      <c r="BV183" s="1"/>
      <c r="BW183" s="1"/>
      <c r="BX183" s="1"/>
    </row>
    <row x14ac:dyDescent="0.25" r="184" customHeight="1" ht="17.25">
      <c r="A184" s="227"/>
      <c r="B184" s="227"/>
      <c r="C184" s="227"/>
      <c r="D184" s="227"/>
      <c r="E184" s="227"/>
      <c r="F184" s="227"/>
      <c r="G184" s="227"/>
      <c r="H184" s="227"/>
      <c r="I184" s="227"/>
      <c r="J184" s="227"/>
      <c r="K184" s="227"/>
      <c r="L184" s="227"/>
      <c r="M184" s="227"/>
      <c r="N184" s="227"/>
      <c r="O184" s="227"/>
      <c r="P184" s="69"/>
      <c r="Q184" s="69"/>
      <c r="R184" s="181"/>
      <c r="S184" s="145"/>
      <c r="T184" s="181"/>
      <c r="U184" s="145"/>
      <c r="V184" s="181"/>
      <c r="W184" s="145"/>
      <c r="X184" s="181"/>
      <c r="Y184" s="145"/>
      <c r="Z184" s="181"/>
      <c r="AA184" s="145"/>
      <c r="AB184" s="69"/>
      <c r="AC184" s="11"/>
      <c r="AD184" s="11"/>
      <c r="AE184" s="145"/>
      <c r="AF184" s="530"/>
      <c r="AG184" s="69"/>
      <c r="AH184" s="528"/>
      <c r="AI184" s="528"/>
      <c r="AJ184" s="528"/>
      <c r="AK184" s="528"/>
      <c r="AL184" s="528"/>
      <c r="AM184" s="528"/>
      <c r="AN184" s="528"/>
      <c r="AO184" s="528"/>
      <c r="AP184" s="528"/>
      <c r="AQ184" s="3"/>
      <c r="AR184" s="5"/>
      <c r="AS184" s="3"/>
      <c r="AT184" s="3"/>
      <c r="AU184" s="2"/>
      <c r="AV184" s="3"/>
      <c r="AW184" s="3"/>
      <c r="AX184" s="3"/>
      <c r="AY184" s="3"/>
      <c r="AZ184" s="3"/>
      <c r="BA184" s="3"/>
      <c r="BB184" s="3"/>
      <c r="BC184" s="3"/>
      <c r="BD184" s="3"/>
      <c r="BE184" s="3"/>
      <c r="BF184" s="3"/>
      <c r="BG184" s="3"/>
      <c r="BH184" s="3"/>
      <c r="BI184" s="3"/>
      <c r="BJ184" s="3"/>
      <c r="BK184" s="3"/>
      <c r="BL184" s="3"/>
      <c r="BM184" s="2"/>
      <c r="BN184" s="1"/>
      <c r="BO184" s="334"/>
      <c r="BP184" s="334"/>
      <c r="BQ184" s="334"/>
      <c r="BR184" s="334"/>
      <c r="BS184" s="1"/>
      <c r="BT184" s="1"/>
      <c r="BU184" s="1"/>
      <c r="BV184" s="1"/>
      <c r="BW184" s="1"/>
      <c r="BX184" s="1"/>
    </row>
    <row x14ac:dyDescent="0.25" r="185" customHeight="1" ht="17.25">
      <c r="A185" s="227"/>
      <c r="B185" s="227"/>
      <c r="C185" s="227"/>
      <c r="D185" s="227"/>
      <c r="E185" s="227"/>
      <c r="F185" s="227"/>
      <c r="G185" s="227"/>
      <c r="H185" s="227"/>
      <c r="I185" s="227"/>
      <c r="J185" s="227"/>
      <c r="K185" s="227"/>
      <c r="L185" s="227"/>
      <c r="M185" s="227"/>
      <c r="N185" s="227"/>
      <c r="O185" s="227"/>
      <c r="P185" s="69"/>
      <c r="Q185" s="69"/>
      <c r="R185" s="181"/>
      <c r="S185" s="145"/>
      <c r="T185" s="181"/>
      <c r="U185" s="145"/>
      <c r="V185" s="181"/>
      <c r="W185" s="145"/>
      <c r="X185" s="181"/>
      <c r="Y185" s="145"/>
      <c r="Z185" s="181"/>
      <c r="AA185" s="145"/>
      <c r="AB185" s="69"/>
      <c r="AC185" s="11"/>
      <c r="AD185" s="11"/>
      <c r="AE185" s="145"/>
      <c r="AF185" s="530"/>
      <c r="AG185" s="69"/>
      <c r="AH185" s="528"/>
      <c r="AI185" s="528"/>
      <c r="AJ185" s="528"/>
      <c r="AK185" s="528"/>
      <c r="AL185" s="528"/>
      <c r="AM185" s="528"/>
      <c r="AN185" s="528"/>
      <c r="AO185" s="528"/>
      <c r="AP185" s="528"/>
      <c r="AQ185" s="3"/>
      <c r="AR185" s="5"/>
      <c r="AS185" s="3"/>
      <c r="AT185" s="3"/>
      <c r="AU185" s="2"/>
      <c r="AV185" s="3"/>
      <c r="AW185" s="3"/>
      <c r="AX185" s="3"/>
      <c r="AY185" s="3"/>
      <c r="AZ185" s="3"/>
      <c r="BA185" s="3"/>
      <c r="BB185" s="3"/>
      <c r="BC185" s="3"/>
      <c r="BD185" s="3"/>
      <c r="BE185" s="3"/>
      <c r="BF185" s="3"/>
      <c r="BG185" s="3"/>
      <c r="BH185" s="3"/>
      <c r="BI185" s="3"/>
      <c r="BJ185" s="3"/>
      <c r="BK185" s="3"/>
      <c r="BL185" s="3"/>
      <c r="BM185" s="2"/>
      <c r="BN185" s="1"/>
      <c r="BO185" s="334"/>
      <c r="BP185" s="334"/>
      <c r="BQ185" s="334"/>
      <c r="BR185" s="334"/>
      <c r="BS185" s="1"/>
      <c r="BT185" s="1"/>
      <c r="BU185" s="1"/>
      <c r="BV185" s="1"/>
      <c r="BW185" s="1"/>
      <c r="BX185" s="1"/>
    </row>
    <row x14ac:dyDescent="0.25" r="186" customHeight="1" ht="17.25">
      <c r="A186" s="227"/>
      <c r="B186" s="227"/>
      <c r="C186" s="227"/>
      <c r="D186" s="227"/>
      <c r="E186" s="227"/>
      <c r="F186" s="227"/>
      <c r="G186" s="227"/>
      <c r="H186" s="227"/>
      <c r="I186" s="227"/>
      <c r="J186" s="227"/>
      <c r="K186" s="227"/>
      <c r="L186" s="227"/>
      <c r="M186" s="227"/>
      <c r="N186" s="227"/>
      <c r="O186" s="227"/>
      <c r="P186" s="69"/>
      <c r="Q186" s="69"/>
      <c r="R186" s="181"/>
      <c r="S186" s="145"/>
      <c r="T186" s="181"/>
      <c r="U186" s="145"/>
      <c r="V186" s="181"/>
      <c r="W186" s="145"/>
      <c r="X186" s="181"/>
      <c r="Y186" s="145"/>
      <c r="Z186" s="181"/>
      <c r="AA186" s="145"/>
      <c r="AB186" s="69"/>
      <c r="AC186" s="11"/>
      <c r="AD186" s="11"/>
      <c r="AE186" s="145"/>
      <c r="AF186" s="530"/>
      <c r="AG186" s="69"/>
      <c r="AH186" s="528"/>
      <c r="AI186" s="528"/>
      <c r="AJ186" s="528"/>
      <c r="AK186" s="528"/>
      <c r="AL186" s="528"/>
      <c r="AM186" s="528"/>
      <c r="AN186" s="528"/>
      <c r="AO186" s="528"/>
      <c r="AP186" s="528"/>
      <c r="AQ186" s="3"/>
      <c r="AR186" s="5"/>
      <c r="AS186" s="3"/>
      <c r="AT186" s="3"/>
      <c r="AU186" s="2"/>
      <c r="AV186" s="3"/>
      <c r="AW186" s="3"/>
      <c r="AX186" s="3"/>
      <c r="AY186" s="3"/>
      <c r="AZ186" s="3"/>
      <c r="BA186" s="3"/>
      <c r="BB186" s="3"/>
      <c r="BC186" s="3"/>
      <c r="BD186" s="3"/>
      <c r="BE186" s="3"/>
      <c r="BF186" s="3"/>
      <c r="BG186" s="3"/>
      <c r="BH186" s="3"/>
      <c r="BI186" s="3"/>
      <c r="BJ186" s="3"/>
      <c r="BK186" s="3"/>
      <c r="BL186" s="3"/>
      <c r="BM186" s="2"/>
      <c r="BN186" s="1"/>
      <c r="BO186" s="334"/>
      <c r="BP186" s="334"/>
      <c r="BQ186" s="334"/>
      <c r="BR186" s="334"/>
      <c r="BS186" s="1"/>
      <c r="BT186" s="1"/>
      <c r="BU186" s="1"/>
      <c r="BV186" s="1"/>
      <c r="BW186" s="1"/>
      <c r="BX186" s="1"/>
    </row>
    <row x14ac:dyDescent="0.25" r="187" customHeight="1" ht="17.25">
      <c r="A187" s="227"/>
      <c r="B187" s="227"/>
      <c r="C187" s="227"/>
      <c r="D187" s="227"/>
      <c r="E187" s="227"/>
      <c r="F187" s="227"/>
      <c r="G187" s="227"/>
      <c r="H187" s="227"/>
      <c r="I187" s="227"/>
      <c r="J187" s="227"/>
      <c r="K187" s="227"/>
      <c r="L187" s="227"/>
      <c r="M187" s="227"/>
      <c r="N187" s="227"/>
      <c r="O187" s="227"/>
      <c r="P187" s="69"/>
      <c r="Q187" s="69"/>
      <c r="R187" s="181"/>
      <c r="S187" s="145"/>
      <c r="T187" s="181"/>
      <c r="U187" s="145"/>
      <c r="V187" s="181"/>
      <c r="W187" s="145"/>
      <c r="X187" s="181"/>
      <c r="Y187" s="145"/>
      <c r="Z187" s="181"/>
      <c r="AA187" s="145"/>
      <c r="AB187" s="69"/>
      <c r="AC187" s="11"/>
      <c r="AD187" s="11"/>
      <c r="AE187" s="145"/>
      <c r="AF187" s="530"/>
      <c r="AG187" s="69"/>
      <c r="AH187" s="528"/>
      <c r="AI187" s="528"/>
      <c r="AJ187" s="528"/>
      <c r="AK187" s="528"/>
      <c r="AL187" s="528"/>
      <c r="AM187" s="528"/>
      <c r="AN187" s="528"/>
      <c r="AO187" s="528"/>
      <c r="AP187" s="528"/>
      <c r="AQ187" s="3"/>
      <c r="AR187" s="5"/>
      <c r="AS187" s="3"/>
      <c r="AT187" s="3"/>
      <c r="AU187" s="2"/>
      <c r="AV187" s="3"/>
      <c r="AW187" s="3"/>
      <c r="AX187" s="3"/>
      <c r="AY187" s="3"/>
      <c r="AZ187" s="3"/>
      <c r="BA187" s="3"/>
      <c r="BB187" s="3"/>
      <c r="BC187" s="3"/>
      <c r="BD187" s="3"/>
      <c r="BE187" s="3"/>
      <c r="BF187" s="3"/>
      <c r="BG187" s="3"/>
      <c r="BH187" s="3"/>
      <c r="BI187" s="3"/>
      <c r="BJ187" s="3"/>
      <c r="BK187" s="3"/>
      <c r="BL187" s="3"/>
      <c r="BM187" s="2"/>
      <c r="BN187" s="1"/>
      <c r="BO187" s="334"/>
      <c r="BP187" s="334"/>
      <c r="BQ187" s="334"/>
      <c r="BR187" s="334"/>
      <c r="BS187" s="1"/>
      <c r="BT187" s="1"/>
      <c r="BU187" s="1"/>
      <c r="BV187" s="1"/>
      <c r="BW187" s="1"/>
      <c r="BX187" s="1"/>
    </row>
    <row x14ac:dyDescent="0.25" r="188" customHeight="1" ht="17.25">
      <c r="A188" s="227"/>
      <c r="B188" s="227"/>
      <c r="C188" s="227"/>
      <c r="D188" s="227"/>
      <c r="E188" s="227"/>
      <c r="F188" s="227"/>
      <c r="G188" s="227"/>
      <c r="H188" s="227"/>
      <c r="I188" s="227"/>
      <c r="J188" s="227"/>
      <c r="K188" s="227"/>
      <c r="L188" s="227"/>
      <c r="M188" s="227"/>
      <c r="N188" s="227"/>
      <c r="O188" s="227"/>
      <c r="P188" s="69"/>
      <c r="Q188" s="69"/>
      <c r="R188" s="181"/>
      <c r="S188" s="145"/>
      <c r="T188" s="181"/>
      <c r="U188" s="145"/>
      <c r="V188" s="181"/>
      <c r="W188" s="145"/>
      <c r="X188" s="181"/>
      <c r="Y188" s="145"/>
      <c r="Z188" s="181"/>
      <c r="AA188" s="145"/>
      <c r="AB188" s="69"/>
      <c r="AC188" s="11"/>
      <c r="AD188" s="11"/>
      <c r="AE188" s="145"/>
      <c r="AF188" s="530"/>
      <c r="AG188" s="69"/>
      <c r="AH188" s="528"/>
      <c r="AI188" s="528"/>
      <c r="AJ188" s="528"/>
      <c r="AK188" s="528"/>
      <c r="AL188" s="528"/>
      <c r="AM188" s="528"/>
      <c r="AN188" s="528"/>
      <c r="AO188" s="528"/>
      <c r="AP188" s="528"/>
      <c r="AQ188" s="3"/>
      <c r="AR188" s="5"/>
      <c r="AS188" s="3"/>
      <c r="AT188" s="3"/>
      <c r="AU188" s="2"/>
      <c r="AV188" s="3"/>
      <c r="AW188" s="3"/>
      <c r="AX188" s="3"/>
      <c r="AY188" s="3"/>
      <c r="AZ188" s="3"/>
      <c r="BA188" s="3"/>
      <c r="BB188" s="3"/>
      <c r="BC188" s="3"/>
      <c r="BD188" s="3"/>
      <c r="BE188" s="3"/>
      <c r="BF188" s="3"/>
      <c r="BG188" s="3"/>
      <c r="BH188" s="3"/>
      <c r="BI188" s="3"/>
      <c r="BJ188" s="3"/>
      <c r="BK188" s="3"/>
      <c r="BL188" s="3"/>
      <c r="BM188" s="2"/>
      <c r="BN188" s="1"/>
      <c r="BO188" s="334"/>
      <c r="BP188" s="334"/>
      <c r="BQ188" s="334"/>
      <c r="BR188" s="334"/>
      <c r="BS188" s="1"/>
      <c r="BT188" s="1"/>
      <c r="BU188" s="1"/>
      <c r="BV188" s="1"/>
      <c r="BW188" s="1"/>
      <c r="BX188" s="1"/>
    </row>
    <row x14ac:dyDescent="0.25" r="189" customHeight="1" ht="17.25">
      <c r="A189" s="227"/>
      <c r="B189" s="227"/>
      <c r="C189" s="227"/>
      <c r="D189" s="227"/>
      <c r="E189" s="227"/>
      <c r="F189" s="227"/>
      <c r="G189" s="227"/>
      <c r="H189" s="227"/>
      <c r="I189" s="227"/>
      <c r="J189" s="227"/>
      <c r="K189" s="227"/>
      <c r="L189" s="227"/>
      <c r="M189" s="227"/>
      <c r="N189" s="227"/>
      <c r="O189" s="227"/>
      <c r="P189" s="69"/>
      <c r="Q189" s="69"/>
      <c r="R189" s="181"/>
      <c r="S189" s="145"/>
      <c r="T189" s="181"/>
      <c r="U189" s="145"/>
      <c r="V189" s="181"/>
      <c r="W189" s="145"/>
      <c r="X189" s="181"/>
      <c r="Y189" s="145"/>
      <c r="Z189" s="181"/>
      <c r="AA189" s="145"/>
      <c r="AB189" s="69"/>
      <c r="AC189" s="11"/>
      <c r="AD189" s="11"/>
      <c r="AE189" s="145"/>
      <c r="AF189" s="530"/>
      <c r="AG189" s="69"/>
      <c r="AH189" s="528"/>
      <c r="AI189" s="528"/>
      <c r="AJ189" s="528"/>
      <c r="AK189" s="528"/>
      <c r="AL189" s="528"/>
      <c r="AM189" s="528"/>
      <c r="AN189" s="528"/>
      <c r="AO189" s="528"/>
      <c r="AP189" s="528"/>
      <c r="AQ189" s="3"/>
      <c r="AR189" s="5"/>
      <c r="AS189" s="3"/>
      <c r="AT189" s="3"/>
      <c r="AU189" s="2"/>
      <c r="AV189" s="3"/>
      <c r="AW189" s="3"/>
      <c r="AX189" s="3"/>
      <c r="AY189" s="3"/>
      <c r="AZ189" s="3"/>
      <c r="BA189" s="3"/>
      <c r="BB189" s="3"/>
      <c r="BC189" s="3"/>
      <c r="BD189" s="3"/>
      <c r="BE189" s="3"/>
      <c r="BF189" s="3"/>
      <c r="BG189" s="3"/>
      <c r="BH189" s="3"/>
      <c r="BI189" s="3"/>
      <c r="BJ189" s="3"/>
      <c r="BK189" s="3"/>
      <c r="BL189" s="3"/>
      <c r="BM189" s="2"/>
      <c r="BN189" s="1"/>
      <c r="BO189" s="334"/>
      <c r="BP189" s="334"/>
      <c r="BQ189" s="334"/>
      <c r="BR189" s="334"/>
      <c r="BS189" s="1"/>
      <c r="BT189" s="1"/>
      <c r="BU189" s="1"/>
      <c r="BV189" s="1"/>
      <c r="BW189" s="1"/>
      <c r="BX189" s="1"/>
    </row>
    <row x14ac:dyDescent="0.25" r="190" customHeight="1" ht="17.25">
      <c r="A190" s="227"/>
      <c r="B190" s="227"/>
      <c r="C190" s="227"/>
      <c r="D190" s="227"/>
      <c r="E190" s="227"/>
      <c r="F190" s="227"/>
      <c r="G190" s="227"/>
      <c r="H190" s="227"/>
      <c r="I190" s="227"/>
      <c r="J190" s="227"/>
      <c r="K190" s="227"/>
      <c r="L190" s="227"/>
      <c r="M190" s="227"/>
      <c r="N190" s="227"/>
      <c r="O190" s="227"/>
      <c r="P190" s="69"/>
      <c r="Q190" s="69"/>
      <c r="R190" s="181"/>
      <c r="S190" s="145"/>
      <c r="T190" s="181"/>
      <c r="U190" s="145"/>
      <c r="V190" s="181"/>
      <c r="W190" s="145"/>
      <c r="X190" s="181"/>
      <c r="Y190" s="145"/>
      <c r="Z190" s="181"/>
      <c r="AA190" s="145"/>
      <c r="AB190" s="69"/>
      <c r="AC190" s="11"/>
      <c r="AD190" s="11"/>
      <c r="AE190" s="145"/>
      <c r="AF190" s="530"/>
      <c r="AG190" s="69"/>
      <c r="AH190" s="528"/>
      <c r="AI190" s="528"/>
      <c r="AJ190" s="528"/>
      <c r="AK190" s="528"/>
      <c r="AL190" s="528"/>
      <c r="AM190" s="528"/>
      <c r="AN190" s="528"/>
      <c r="AO190" s="528"/>
      <c r="AP190" s="528"/>
      <c r="AQ190" s="3"/>
      <c r="AR190" s="5"/>
      <c r="AS190" s="3"/>
      <c r="AT190" s="3"/>
      <c r="AU190" s="2"/>
      <c r="AV190" s="3"/>
      <c r="AW190" s="3"/>
      <c r="AX190" s="3"/>
      <c r="AY190" s="3"/>
      <c r="AZ190" s="3"/>
      <c r="BA190" s="3"/>
      <c r="BB190" s="3"/>
      <c r="BC190" s="3"/>
      <c r="BD190" s="3"/>
      <c r="BE190" s="3"/>
      <c r="BF190" s="3"/>
      <c r="BG190" s="3"/>
      <c r="BH190" s="3"/>
      <c r="BI190" s="3"/>
      <c r="BJ190" s="3"/>
      <c r="BK190" s="3"/>
      <c r="BL190" s="3"/>
      <c r="BM190" s="2"/>
      <c r="BN190" s="1"/>
      <c r="BO190" s="334"/>
      <c r="BP190" s="334"/>
      <c r="BQ190" s="334"/>
      <c r="BR190" s="334"/>
      <c r="BS190" s="1"/>
      <c r="BT190" s="1"/>
      <c r="BU190" s="1"/>
      <c r="BV190" s="1"/>
      <c r="BW190" s="1"/>
      <c r="BX190" s="1"/>
    </row>
    <row x14ac:dyDescent="0.25" r="191" customHeight="1" ht="17.25">
      <c r="A191" s="227"/>
      <c r="B191" s="227"/>
      <c r="C191" s="227"/>
      <c r="D191" s="227"/>
      <c r="E191" s="227"/>
      <c r="F191" s="227"/>
      <c r="G191" s="227"/>
      <c r="H191" s="227"/>
      <c r="I191" s="227"/>
      <c r="J191" s="227"/>
      <c r="K191" s="227"/>
      <c r="L191" s="227"/>
      <c r="M191" s="227"/>
      <c r="N191" s="227"/>
      <c r="O191" s="227"/>
      <c r="P191" s="69"/>
      <c r="Q191" s="69"/>
      <c r="R191" s="181"/>
      <c r="S191" s="145"/>
      <c r="T191" s="181"/>
      <c r="U191" s="145"/>
      <c r="V191" s="181"/>
      <c r="W191" s="145"/>
      <c r="X191" s="181"/>
      <c r="Y191" s="145"/>
      <c r="Z191" s="181"/>
      <c r="AA191" s="145"/>
      <c r="AB191" s="69"/>
      <c r="AC191" s="11"/>
      <c r="AD191" s="11"/>
      <c r="AE191" s="145"/>
      <c r="AF191" s="530"/>
      <c r="AG191" s="69"/>
      <c r="AH191" s="528"/>
      <c r="AI191" s="528"/>
      <c r="AJ191" s="528"/>
      <c r="AK191" s="528"/>
      <c r="AL191" s="528"/>
      <c r="AM191" s="528"/>
      <c r="AN191" s="528"/>
      <c r="AO191" s="528"/>
      <c r="AP191" s="528"/>
      <c r="AQ191" s="3"/>
      <c r="AR191" s="5"/>
      <c r="AS191" s="3"/>
      <c r="AT191" s="3"/>
      <c r="AU191" s="2"/>
      <c r="AV191" s="3"/>
      <c r="AW191" s="3"/>
      <c r="AX191" s="3"/>
      <c r="AY191" s="3"/>
      <c r="AZ191" s="3"/>
      <c r="BA191" s="3"/>
      <c r="BB191" s="3"/>
      <c r="BC191" s="3"/>
      <c r="BD191" s="3"/>
      <c r="BE191" s="3"/>
      <c r="BF191" s="3"/>
      <c r="BG191" s="3"/>
      <c r="BH191" s="3"/>
      <c r="BI191" s="3"/>
      <c r="BJ191" s="3"/>
      <c r="BK191" s="3"/>
      <c r="BL191" s="3"/>
      <c r="BM191" s="2"/>
      <c r="BN191" s="1"/>
      <c r="BO191" s="334"/>
      <c r="BP191" s="334"/>
      <c r="BQ191" s="334"/>
      <c r="BR191" s="334"/>
      <c r="BS191" s="1"/>
      <c r="BT191" s="1"/>
      <c r="BU191" s="1"/>
      <c r="BV191" s="1"/>
      <c r="BW191" s="1"/>
      <c r="BX191" s="1"/>
    </row>
    <row x14ac:dyDescent="0.25" r="192" customHeight="1" ht="17.25">
      <c r="A192" s="227"/>
      <c r="B192" s="227"/>
      <c r="C192" s="227"/>
      <c r="D192" s="227"/>
      <c r="E192" s="227"/>
      <c r="F192" s="227"/>
      <c r="G192" s="227"/>
      <c r="H192" s="227"/>
      <c r="I192" s="227"/>
      <c r="J192" s="227"/>
      <c r="K192" s="227"/>
      <c r="L192" s="227"/>
      <c r="M192" s="227"/>
      <c r="N192" s="227"/>
      <c r="O192" s="227"/>
      <c r="P192" s="69"/>
      <c r="Q192" s="69"/>
      <c r="R192" s="181"/>
      <c r="S192" s="145"/>
      <c r="T192" s="181"/>
      <c r="U192" s="145"/>
      <c r="V192" s="181"/>
      <c r="W192" s="145"/>
      <c r="X192" s="181"/>
      <c r="Y192" s="145"/>
      <c r="Z192" s="181"/>
      <c r="AA192" s="145"/>
      <c r="AB192" s="69"/>
      <c r="AC192" s="11"/>
      <c r="AD192" s="11"/>
      <c r="AE192" s="145"/>
      <c r="AF192" s="530"/>
      <c r="AG192" s="69"/>
      <c r="AH192" s="528"/>
      <c r="AI192" s="528"/>
      <c r="AJ192" s="528"/>
      <c r="AK192" s="528"/>
      <c r="AL192" s="528"/>
      <c r="AM192" s="528"/>
      <c r="AN192" s="528"/>
      <c r="AO192" s="528"/>
      <c r="AP192" s="528"/>
      <c r="AQ192" s="3"/>
      <c r="AR192" s="5"/>
      <c r="AS192" s="3"/>
      <c r="AT192" s="3"/>
      <c r="AU192" s="2"/>
      <c r="AV192" s="3"/>
      <c r="AW192" s="3"/>
      <c r="AX192" s="3"/>
      <c r="AY192" s="3"/>
      <c r="AZ192" s="3"/>
      <c r="BA192" s="3"/>
      <c r="BB192" s="3"/>
      <c r="BC192" s="3"/>
      <c r="BD192" s="3"/>
      <c r="BE192" s="3"/>
      <c r="BF192" s="3"/>
      <c r="BG192" s="3"/>
      <c r="BH192" s="3"/>
      <c r="BI192" s="3"/>
      <c r="BJ192" s="3"/>
      <c r="BK192" s="3"/>
      <c r="BL192" s="3"/>
      <c r="BM192" s="2"/>
      <c r="BN192" s="1"/>
      <c r="BO192" s="334"/>
      <c r="BP192" s="334"/>
      <c r="BQ192" s="334"/>
      <c r="BR192" s="334"/>
      <c r="BS192" s="1"/>
      <c r="BT192" s="1"/>
      <c r="BU192" s="1"/>
      <c r="BV192" s="1"/>
      <c r="BW192" s="1"/>
      <c r="BX192" s="1"/>
    </row>
    <row x14ac:dyDescent="0.25" r="193" customHeight="1" ht="17.25">
      <c r="A193" s="227"/>
      <c r="B193" s="227"/>
      <c r="C193" s="227"/>
      <c r="D193" s="227"/>
      <c r="E193" s="227"/>
      <c r="F193" s="227"/>
      <c r="G193" s="227"/>
      <c r="H193" s="227"/>
      <c r="I193" s="227"/>
      <c r="J193" s="227"/>
      <c r="K193" s="227"/>
      <c r="L193" s="227"/>
      <c r="M193" s="227"/>
      <c r="N193" s="227"/>
      <c r="O193" s="227"/>
      <c r="P193" s="69"/>
      <c r="Q193" s="69"/>
      <c r="R193" s="181"/>
      <c r="S193" s="145"/>
      <c r="T193" s="181"/>
      <c r="U193" s="145"/>
      <c r="V193" s="181"/>
      <c r="W193" s="145"/>
      <c r="X193" s="181"/>
      <c r="Y193" s="145"/>
      <c r="Z193" s="181"/>
      <c r="AA193" s="145"/>
      <c r="AB193" s="69"/>
      <c r="AC193" s="11"/>
      <c r="AD193" s="11"/>
      <c r="AE193" s="145"/>
      <c r="AF193" s="530"/>
      <c r="AG193" s="69"/>
      <c r="AH193" s="528"/>
      <c r="AI193" s="528"/>
      <c r="AJ193" s="528"/>
      <c r="AK193" s="528"/>
      <c r="AL193" s="528"/>
      <c r="AM193" s="528"/>
      <c r="AN193" s="528"/>
      <c r="AO193" s="528"/>
      <c r="AP193" s="528"/>
      <c r="AQ193" s="3"/>
      <c r="AR193" s="5"/>
      <c r="AS193" s="3"/>
      <c r="AT193" s="3"/>
      <c r="AU193" s="2"/>
      <c r="AV193" s="3"/>
      <c r="AW193" s="3"/>
      <c r="AX193" s="3"/>
      <c r="AY193" s="3"/>
      <c r="AZ193" s="3"/>
      <c r="BA193" s="3"/>
      <c r="BB193" s="3"/>
      <c r="BC193" s="3"/>
      <c r="BD193" s="3"/>
      <c r="BE193" s="3"/>
      <c r="BF193" s="3"/>
      <c r="BG193" s="3"/>
      <c r="BH193" s="3"/>
      <c r="BI193" s="3"/>
      <c r="BJ193" s="3"/>
      <c r="BK193" s="3"/>
      <c r="BL193" s="3"/>
      <c r="BM193" s="2"/>
      <c r="BN193" s="1"/>
      <c r="BO193" s="334"/>
      <c r="BP193" s="334"/>
      <c r="BQ193" s="334"/>
      <c r="BR193" s="334"/>
      <c r="BS193" s="1"/>
      <c r="BT193" s="1"/>
      <c r="BU193" s="1"/>
      <c r="BV193" s="1"/>
      <c r="BW193" s="1"/>
      <c r="BX193" s="1"/>
    </row>
    <row x14ac:dyDescent="0.25" r="194" customHeight="1" ht="17.25">
      <c r="A194" s="227"/>
      <c r="B194" s="227"/>
      <c r="C194" s="227"/>
      <c r="D194" s="227"/>
      <c r="E194" s="227"/>
      <c r="F194" s="227"/>
      <c r="G194" s="227"/>
      <c r="H194" s="227"/>
      <c r="I194" s="227"/>
      <c r="J194" s="227"/>
      <c r="K194" s="227"/>
      <c r="L194" s="227"/>
      <c r="M194" s="227"/>
      <c r="N194" s="227"/>
      <c r="O194" s="227"/>
      <c r="P194" s="69"/>
      <c r="Q194" s="69"/>
      <c r="R194" s="181"/>
      <c r="S194" s="145"/>
      <c r="T194" s="181"/>
      <c r="U194" s="145"/>
      <c r="V194" s="181"/>
      <c r="W194" s="145"/>
      <c r="X194" s="181"/>
      <c r="Y194" s="145"/>
      <c r="Z194" s="181"/>
      <c r="AA194" s="145"/>
      <c r="AB194" s="69"/>
      <c r="AC194" s="11"/>
      <c r="AD194" s="11"/>
      <c r="AE194" s="145"/>
      <c r="AF194" s="530"/>
      <c r="AG194" s="69"/>
      <c r="AH194" s="528"/>
      <c r="AI194" s="528"/>
      <c r="AJ194" s="528"/>
      <c r="AK194" s="528"/>
      <c r="AL194" s="528"/>
      <c r="AM194" s="528"/>
      <c r="AN194" s="528"/>
      <c r="AO194" s="528"/>
      <c r="AP194" s="528"/>
      <c r="AQ194" s="3"/>
      <c r="AR194" s="5"/>
      <c r="AS194" s="3"/>
      <c r="AT194" s="3"/>
      <c r="AU194" s="2"/>
      <c r="AV194" s="3"/>
      <c r="AW194" s="3"/>
      <c r="AX194" s="3"/>
      <c r="AY194" s="3"/>
      <c r="AZ194" s="3"/>
      <c r="BA194" s="3"/>
      <c r="BB194" s="3"/>
      <c r="BC194" s="3"/>
      <c r="BD194" s="3"/>
      <c r="BE194" s="3"/>
      <c r="BF194" s="3"/>
      <c r="BG194" s="3"/>
      <c r="BH194" s="3"/>
      <c r="BI194" s="3"/>
      <c r="BJ194" s="3"/>
      <c r="BK194" s="3"/>
      <c r="BL194" s="3"/>
      <c r="BM194" s="2"/>
      <c r="BN194" s="1"/>
      <c r="BO194" s="334"/>
      <c r="BP194" s="334"/>
      <c r="BQ194" s="334"/>
      <c r="BR194" s="334"/>
      <c r="BS194" s="1"/>
      <c r="BT194" s="1"/>
      <c r="BU194" s="1"/>
      <c r="BV194" s="1"/>
      <c r="BW194" s="1"/>
      <c r="BX194" s="1"/>
    </row>
    <row x14ac:dyDescent="0.25" r="195" customHeight="1" ht="17.25">
      <c r="A195" s="227"/>
      <c r="B195" s="227"/>
      <c r="C195" s="227"/>
      <c r="D195" s="227"/>
      <c r="E195" s="227"/>
      <c r="F195" s="227"/>
      <c r="G195" s="227"/>
      <c r="H195" s="227"/>
      <c r="I195" s="227"/>
      <c r="J195" s="227"/>
      <c r="K195" s="227"/>
      <c r="L195" s="227"/>
      <c r="M195" s="227"/>
      <c r="N195" s="227"/>
      <c r="O195" s="227"/>
      <c r="P195" s="69"/>
      <c r="Q195" s="69"/>
      <c r="R195" s="181"/>
      <c r="S195" s="145"/>
      <c r="T195" s="181"/>
      <c r="U195" s="145"/>
      <c r="V195" s="181"/>
      <c r="W195" s="145"/>
      <c r="X195" s="181"/>
      <c r="Y195" s="145"/>
      <c r="Z195" s="181"/>
      <c r="AA195" s="145"/>
      <c r="AB195" s="69"/>
      <c r="AC195" s="11"/>
      <c r="AD195" s="11"/>
      <c r="AE195" s="145"/>
      <c r="AF195" s="530"/>
      <c r="AG195" s="69"/>
      <c r="AH195" s="528"/>
      <c r="AI195" s="528"/>
      <c r="AJ195" s="528"/>
      <c r="AK195" s="528"/>
      <c r="AL195" s="528"/>
      <c r="AM195" s="528"/>
      <c r="AN195" s="528"/>
      <c r="AO195" s="528"/>
      <c r="AP195" s="528"/>
      <c r="AQ195" s="3"/>
      <c r="AR195" s="5"/>
      <c r="AS195" s="3"/>
      <c r="AT195" s="3"/>
      <c r="AU195" s="2"/>
      <c r="AV195" s="3"/>
      <c r="AW195" s="3"/>
      <c r="AX195" s="3"/>
      <c r="AY195" s="3"/>
      <c r="AZ195" s="3"/>
      <c r="BA195" s="3"/>
      <c r="BB195" s="3"/>
      <c r="BC195" s="3"/>
      <c r="BD195" s="3"/>
      <c r="BE195" s="3"/>
      <c r="BF195" s="3"/>
      <c r="BG195" s="3"/>
      <c r="BH195" s="3"/>
      <c r="BI195" s="3"/>
      <c r="BJ195" s="3"/>
      <c r="BK195" s="3"/>
      <c r="BL195" s="3"/>
      <c r="BM195" s="2"/>
      <c r="BN195" s="1"/>
      <c r="BO195" s="334"/>
      <c r="BP195" s="334"/>
      <c r="BQ195" s="334"/>
      <c r="BR195" s="334"/>
      <c r="BS195" s="1"/>
      <c r="BT195" s="1"/>
      <c r="BU195" s="1"/>
      <c r="BV195" s="1"/>
      <c r="BW195" s="1"/>
      <c r="BX195" s="1"/>
    </row>
    <row x14ac:dyDescent="0.25" r="196" customHeight="1" ht="17.25">
      <c r="A196" s="227"/>
      <c r="B196" s="227"/>
      <c r="C196" s="227"/>
      <c r="D196" s="227"/>
      <c r="E196" s="227"/>
      <c r="F196" s="227"/>
      <c r="G196" s="227"/>
      <c r="H196" s="227"/>
      <c r="I196" s="227"/>
      <c r="J196" s="227"/>
      <c r="K196" s="227"/>
      <c r="L196" s="227"/>
      <c r="M196" s="227"/>
      <c r="N196" s="227"/>
      <c r="O196" s="227"/>
      <c r="P196" s="69"/>
      <c r="Q196" s="69"/>
      <c r="R196" s="181"/>
      <c r="S196" s="145"/>
      <c r="T196" s="181"/>
      <c r="U196" s="145"/>
      <c r="V196" s="181"/>
      <c r="W196" s="145"/>
      <c r="X196" s="181"/>
      <c r="Y196" s="145"/>
      <c r="Z196" s="181"/>
      <c r="AA196" s="145"/>
      <c r="AB196" s="69"/>
      <c r="AC196" s="11"/>
      <c r="AD196" s="11"/>
      <c r="AE196" s="145"/>
      <c r="AF196" s="530"/>
      <c r="AG196" s="69"/>
      <c r="AH196" s="528"/>
      <c r="AI196" s="528"/>
      <c r="AJ196" s="528"/>
      <c r="AK196" s="528"/>
      <c r="AL196" s="528"/>
      <c r="AM196" s="528"/>
      <c r="AN196" s="528"/>
      <c r="AO196" s="528"/>
      <c r="AP196" s="528"/>
      <c r="AQ196" s="3"/>
      <c r="AR196" s="5"/>
      <c r="AS196" s="3"/>
      <c r="AT196" s="3"/>
      <c r="AU196" s="2"/>
      <c r="AV196" s="3"/>
      <c r="AW196" s="3"/>
      <c r="AX196" s="3"/>
      <c r="AY196" s="3"/>
      <c r="AZ196" s="3"/>
      <c r="BA196" s="3"/>
      <c r="BB196" s="3"/>
      <c r="BC196" s="3"/>
      <c r="BD196" s="3"/>
      <c r="BE196" s="3"/>
      <c r="BF196" s="3"/>
      <c r="BG196" s="3"/>
      <c r="BH196" s="3"/>
      <c r="BI196" s="3"/>
      <c r="BJ196" s="3"/>
      <c r="BK196" s="3"/>
      <c r="BL196" s="3"/>
      <c r="BM196" s="2"/>
      <c r="BN196" s="1"/>
      <c r="BO196" s="334"/>
      <c r="BP196" s="334"/>
      <c r="BQ196" s="334"/>
      <c r="BR196" s="334"/>
      <c r="BS196" s="1"/>
      <c r="BT196" s="1"/>
      <c r="BU196" s="1"/>
      <c r="BV196" s="1"/>
      <c r="BW196" s="1"/>
      <c r="BX196" s="1"/>
    </row>
    <row x14ac:dyDescent="0.25" r="197" customHeight="1" ht="17.25">
      <c r="A197" s="227"/>
      <c r="B197" s="227"/>
      <c r="C197" s="227"/>
      <c r="D197" s="227"/>
      <c r="E197" s="227"/>
      <c r="F197" s="227"/>
      <c r="G197" s="227"/>
      <c r="H197" s="227"/>
      <c r="I197" s="227"/>
      <c r="J197" s="227"/>
      <c r="K197" s="227"/>
      <c r="L197" s="227"/>
      <c r="M197" s="227"/>
      <c r="N197" s="227"/>
      <c r="O197" s="227"/>
      <c r="P197" s="69"/>
      <c r="Q197" s="69"/>
      <c r="R197" s="181"/>
      <c r="S197" s="145"/>
      <c r="T197" s="181"/>
      <c r="U197" s="145"/>
      <c r="V197" s="181"/>
      <c r="W197" s="145"/>
      <c r="X197" s="181"/>
      <c r="Y197" s="145"/>
      <c r="Z197" s="181"/>
      <c r="AA197" s="145"/>
      <c r="AB197" s="69"/>
      <c r="AC197" s="11"/>
      <c r="AD197" s="11"/>
      <c r="AE197" s="145"/>
      <c r="AF197" s="530"/>
      <c r="AG197" s="69"/>
      <c r="AH197" s="528"/>
      <c r="AI197" s="528"/>
      <c r="AJ197" s="528"/>
      <c r="AK197" s="528"/>
      <c r="AL197" s="528"/>
      <c r="AM197" s="528"/>
      <c r="AN197" s="528"/>
      <c r="AO197" s="528"/>
      <c r="AP197" s="528"/>
      <c r="AQ197" s="3"/>
      <c r="AR197" s="5"/>
      <c r="AS197" s="3"/>
      <c r="AT197" s="3"/>
      <c r="AU197" s="2"/>
      <c r="AV197" s="3"/>
      <c r="AW197" s="3"/>
      <c r="AX197" s="3"/>
      <c r="AY197" s="3"/>
      <c r="AZ197" s="3"/>
      <c r="BA197" s="3"/>
      <c r="BB197" s="3"/>
      <c r="BC197" s="3"/>
      <c r="BD197" s="3"/>
      <c r="BE197" s="3"/>
      <c r="BF197" s="3"/>
      <c r="BG197" s="3"/>
      <c r="BH197" s="3"/>
      <c r="BI197" s="3"/>
      <c r="BJ197" s="3"/>
      <c r="BK197" s="3"/>
      <c r="BL197" s="3"/>
      <c r="BM197" s="2"/>
      <c r="BN197" s="1"/>
      <c r="BO197" s="334"/>
      <c r="BP197" s="334"/>
      <c r="BQ197" s="334"/>
      <c r="BR197" s="334"/>
      <c r="BS197" s="1"/>
      <c r="BT197" s="1"/>
      <c r="BU197" s="1"/>
      <c r="BV197" s="1"/>
      <c r="BW197" s="1"/>
      <c r="BX197" s="1"/>
    </row>
    <row x14ac:dyDescent="0.25" r="198" customHeight="1" ht="17.25">
      <c r="A198" s="227"/>
      <c r="B198" s="227"/>
      <c r="C198" s="227"/>
      <c r="D198" s="227"/>
      <c r="E198" s="227"/>
      <c r="F198" s="227"/>
      <c r="G198" s="227"/>
      <c r="H198" s="227"/>
      <c r="I198" s="227"/>
      <c r="J198" s="227"/>
      <c r="K198" s="227"/>
      <c r="L198" s="227"/>
      <c r="M198" s="227"/>
      <c r="N198" s="227"/>
      <c r="O198" s="227"/>
      <c r="P198" s="69"/>
      <c r="Q198" s="69"/>
      <c r="R198" s="181"/>
      <c r="S198" s="145"/>
      <c r="T198" s="181"/>
      <c r="U198" s="145"/>
      <c r="V198" s="181"/>
      <c r="W198" s="145"/>
      <c r="X198" s="181"/>
      <c r="Y198" s="145"/>
      <c r="Z198" s="181"/>
      <c r="AA198" s="145"/>
      <c r="AB198" s="69"/>
      <c r="AC198" s="11"/>
      <c r="AD198" s="11"/>
      <c r="AE198" s="145"/>
      <c r="AF198" s="530"/>
      <c r="AG198" s="69"/>
      <c r="AH198" s="528"/>
      <c r="AI198" s="528"/>
      <c r="AJ198" s="528"/>
      <c r="AK198" s="528"/>
      <c r="AL198" s="528"/>
      <c r="AM198" s="528"/>
      <c r="AN198" s="528"/>
      <c r="AO198" s="528"/>
      <c r="AP198" s="528"/>
      <c r="AQ198" s="3"/>
      <c r="AR198" s="5"/>
      <c r="AS198" s="3"/>
      <c r="AT198" s="3"/>
      <c r="AU198" s="2"/>
      <c r="AV198" s="3"/>
      <c r="AW198" s="3"/>
      <c r="AX198" s="3"/>
      <c r="AY198" s="3"/>
      <c r="AZ198" s="3"/>
      <c r="BA198" s="3"/>
      <c r="BB198" s="3"/>
      <c r="BC198" s="3"/>
      <c r="BD198" s="3"/>
      <c r="BE198" s="3"/>
      <c r="BF198" s="3"/>
      <c r="BG198" s="3"/>
      <c r="BH198" s="3"/>
      <c r="BI198" s="3"/>
      <c r="BJ198" s="3"/>
      <c r="BK198" s="3"/>
      <c r="BL198" s="3"/>
      <c r="BM198" s="2"/>
      <c r="BN198" s="1"/>
      <c r="BO198" s="334"/>
      <c r="BP198" s="334"/>
      <c r="BQ198" s="334"/>
      <c r="BR198" s="334"/>
      <c r="BS198" s="1"/>
      <c r="BT198" s="1"/>
      <c r="BU198" s="1"/>
      <c r="BV198" s="1"/>
      <c r="BW198" s="1"/>
      <c r="BX198" s="1"/>
    </row>
    <row x14ac:dyDescent="0.25" r="199" customHeight="1" ht="17.25">
      <c r="A199" s="227"/>
      <c r="B199" s="227"/>
      <c r="C199" s="227"/>
      <c r="D199" s="227"/>
      <c r="E199" s="227"/>
      <c r="F199" s="227"/>
      <c r="G199" s="227"/>
      <c r="H199" s="227"/>
      <c r="I199" s="227"/>
      <c r="J199" s="227"/>
      <c r="K199" s="227"/>
      <c r="L199" s="227"/>
      <c r="M199" s="227"/>
      <c r="N199" s="227"/>
      <c r="O199" s="227"/>
      <c r="P199" s="69"/>
      <c r="Q199" s="69"/>
      <c r="R199" s="181"/>
      <c r="S199" s="145"/>
      <c r="T199" s="181"/>
      <c r="U199" s="145"/>
      <c r="V199" s="181"/>
      <c r="W199" s="145"/>
      <c r="X199" s="181"/>
      <c r="Y199" s="145"/>
      <c r="Z199" s="181"/>
      <c r="AA199" s="145"/>
      <c r="AB199" s="69"/>
      <c r="AC199" s="11"/>
      <c r="AD199" s="11"/>
      <c r="AE199" s="145"/>
      <c r="AF199" s="530"/>
      <c r="AG199" s="69"/>
      <c r="AH199" s="528"/>
      <c r="AI199" s="528"/>
      <c r="AJ199" s="528"/>
      <c r="AK199" s="528"/>
      <c r="AL199" s="528"/>
      <c r="AM199" s="528"/>
      <c r="AN199" s="528"/>
      <c r="AO199" s="528"/>
      <c r="AP199" s="528"/>
      <c r="AQ199" s="3"/>
      <c r="AR199" s="5"/>
      <c r="AS199" s="3"/>
      <c r="AT199" s="3"/>
      <c r="AU199" s="2"/>
      <c r="AV199" s="3"/>
      <c r="AW199" s="3"/>
      <c r="AX199" s="3"/>
      <c r="AY199" s="3"/>
      <c r="AZ199" s="3"/>
      <c r="BA199" s="3"/>
      <c r="BB199" s="3"/>
      <c r="BC199" s="3"/>
      <c r="BD199" s="3"/>
      <c r="BE199" s="3"/>
      <c r="BF199" s="3"/>
      <c r="BG199" s="3"/>
      <c r="BH199" s="3"/>
      <c r="BI199" s="3"/>
      <c r="BJ199" s="3"/>
      <c r="BK199" s="3"/>
      <c r="BL199" s="3"/>
      <c r="BM199" s="2"/>
      <c r="BN199" s="1"/>
      <c r="BO199" s="334"/>
      <c r="BP199" s="334"/>
      <c r="BQ199" s="334"/>
      <c r="BR199" s="334"/>
      <c r="BS199" s="1"/>
      <c r="BT199" s="1"/>
      <c r="BU199" s="1"/>
      <c r="BV199" s="1"/>
      <c r="BW199" s="1"/>
      <c r="BX199" s="1"/>
    </row>
    <row x14ac:dyDescent="0.25" r="200" customHeight="1" ht="17.25">
      <c r="A200" s="227"/>
      <c r="B200" s="227"/>
      <c r="C200" s="227"/>
      <c r="D200" s="227"/>
      <c r="E200" s="227"/>
      <c r="F200" s="227"/>
      <c r="G200" s="227"/>
      <c r="H200" s="227"/>
      <c r="I200" s="227"/>
      <c r="J200" s="227"/>
      <c r="K200" s="227"/>
      <c r="L200" s="227"/>
      <c r="M200" s="227"/>
      <c r="N200" s="227"/>
      <c r="O200" s="227"/>
      <c r="P200" s="69"/>
      <c r="Q200" s="69"/>
      <c r="R200" s="181"/>
      <c r="S200" s="145"/>
      <c r="T200" s="181"/>
      <c r="U200" s="145"/>
      <c r="V200" s="181"/>
      <c r="W200" s="145"/>
      <c r="X200" s="181"/>
      <c r="Y200" s="145"/>
      <c r="Z200" s="181"/>
      <c r="AA200" s="145"/>
      <c r="AB200" s="69"/>
      <c r="AC200" s="11"/>
      <c r="AD200" s="11"/>
      <c r="AE200" s="145"/>
      <c r="AF200" s="530"/>
      <c r="AG200" s="69"/>
      <c r="AH200" s="528"/>
      <c r="AI200" s="528"/>
      <c r="AJ200" s="528"/>
      <c r="AK200" s="528"/>
      <c r="AL200" s="528"/>
      <c r="AM200" s="528"/>
      <c r="AN200" s="528"/>
      <c r="AO200" s="528"/>
      <c r="AP200" s="528"/>
      <c r="AQ200" s="3"/>
      <c r="AR200" s="5"/>
      <c r="AS200" s="3"/>
      <c r="AT200" s="3"/>
      <c r="AU200" s="2"/>
      <c r="AV200" s="3"/>
      <c r="AW200" s="3"/>
      <c r="AX200" s="3"/>
      <c r="AY200" s="3"/>
      <c r="AZ200" s="3"/>
      <c r="BA200" s="3"/>
      <c r="BB200" s="3"/>
      <c r="BC200" s="3"/>
      <c r="BD200" s="3"/>
      <c r="BE200" s="3"/>
      <c r="BF200" s="3"/>
      <c r="BG200" s="3"/>
      <c r="BH200" s="3"/>
      <c r="BI200" s="3"/>
      <c r="BJ200" s="3"/>
      <c r="BK200" s="3"/>
      <c r="BL200" s="3"/>
      <c r="BM200" s="2"/>
      <c r="BN200" s="1"/>
      <c r="BO200" s="334"/>
      <c r="BP200" s="334"/>
      <c r="BQ200" s="334"/>
      <c r="BR200" s="334"/>
      <c r="BS200" s="1"/>
      <c r="BT200" s="1"/>
      <c r="BU200" s="1"/>
      <c r="BV200" s="1"/>
      <c r="BW200" s="1"/>
      <c r="BX200" s="1"/>
    </row>
    <row x14ac:dyDescent="0.25" r="201" customHeight="1" ht="17.25">
      <c r="A201" s="227"/>
      <c r="B201" s="227"/>
      <c r="C201" s="227"/>
      <c r="D201" s="227"/>
      <c r="E201" s="227"/>
      <c r="F201" s="227"/>
      <c r="G201" s="227"/>
      <c r="H201" s="227"/>
      <c r="I201" s="227"/>
      <c r="J201" s="227"/>
      <c r="K201" s="227"/>
      <c r="L201" s="227"/>
      <c r="M201" s="227"/>
      <c r="N201" s="227"/>
      <c r="O201" s="227"/>
      <c r="P201" s="2"/>
      <c r="Q201" s="2"/>
      <c r="R201" s="9"/>
      <c r="S201" s="3"/>
      <c r="T201" s="9"/>
      <c r="U201" s="3"/>
      <c r="V201" s="9"/>
      <c r="W201" s="3"/>
      <c r="X201" s="9"/>
      <c r="Y201" s="3"/>
      <c r="Z201" s="9"/>
      <c r="AA201" s="3"/>
      <c r="AB201" s="2"/>
      <c r="AC201" s="1"/>
      <c r="AD201" s="11"/>
      <c r="AE201" s="145"/>
      <c r="AF201" s="530"/>
      <c r="AG201" s="69"/>
      <c r="AH201" s="528"/>
      <c r="AI201" s="528"/>
      <c r="AJ201" s="528"/>
      <c r="AK201" s="528"/>
      <c r="AL201" s="528"/>
      <c r="AM201" s="528"/>
      <c r="AN201" s="528"/>
      <c r="AO201" s="528"/>
      <c r="AP201" s="528"/>
      <c r="AQ201" s="3"/>
      <c r="AR201" s="5"/>
      <c r="AS201" s="3"/>
      <c r="AT201" s="3"/>
      <c r="AU201" s="2"/>
      <c r="AV201" s="3"/>
      <c r="AW201" s="3"/>
      <c r="AX201" s="3"/>
      <c r="AY201" s="3"/>
      <c r="AZ201" s="3"/>
      <c r="BA201" s="3"/>
      <c r="BB201" s="3"/>
      <c r="BC201" s="3"/>
      <c r="BD201" s="3"/>
      <c r="BE201" s="3"/>
      <c r="BF201" s="3"/>
      <c r="BG201" s="3"/>
      <c r="BH201" s="3"/>
      <c r="BI201" s="3"/>
      <c r="BJ201" s="3"/>
      <c r="BK201" s="3"/>
      <c r="BL201" s="3"/>
      <c r="BM201" s="2"/>
      <c r="BN201" s="1"/>
      <c r="BO201" s="334"/>
      <c r="BP201" s="334"/>
      <c r="BQ201" s="334"/>
      <c r="BR201" s="334"/>
      <c r="BS201" s="1"/>
      <c r="BT201" s="1"/>
      <c r="BU201" s="1"/>
      <c r="BV201" s="1"/>
      <c r="BW201" s="1"/>
      <c r="BX201" s="1"/>
    </row>
    <row x14ac:dyDescent="0.25" r="202" customHeight="1" ht="17.25">
      <c r="A202" s="227"/>
      <c r="B202" s="227"/>
      <c r="C202" s="227"/>
      <c r="D202" s="227"/>
      <c r="E202" s="227"/>
      <c r="F202" s="227"/>
      <c r="G202" s="227"/>
      <c r="H202" s="227"/>
      <c r="I202" s="227"/>
      <c r="J202" s="227"/>
      <c r="K202" s="227"/>
      <c r="L202" s="227"/>
      <c r="M202" s="227"/>
      <c r="N202" s="227"/>
      <c r="O202" s="227"/>
      <c r="P202" s="2"/>
      <c r="Q202" s="2"/>
      <c r="R202" s="9"/>
      <c r="S202" s="3"/>
      <c r="T202" s="9"/>
      <c r="U202" s="3"/>
      <c r="V202" s="9"/>
      <c r="W202" s="3"/>
      <c r="X202" s="9"/>
      <c r="Y202" s="3"/>
      <c r="Z202" s="9"/>
      <c r="AA202" s="3"/>
      <c r="AB202" s="2"/>
      <c r="AC202" s="1"/>
      <c r="AD202" s="11"/>
      <c r="AE202" s="145"/>
      <c r="AF202" s="530"/>
      <c r="AG202" s="69"/>
      <c r="AH202" s="528"/>
      <c r="AI202" s="528"/>
      <c r="AJ202" s="528"/>
      <c r="AK202" s="528"/>
      <c r="AL202" s="528"/>
      <c r="AM202" s="528"/>
      <c r="AN202" s="528"/>
      <c r="AO202" s="528"/>
      <c r="AP202" s="528"/>
      <c r="AQ202" s="3"/>
      <c r="AR202" s="5"/>
      <c r="AS202" s="3"/>
      <c r="AT202" s="3"/>
      <c r="AU202" s="2"/>
      <c r="AV202" s="3"/>
      <c r="AW202" s="3"/>
      <c r="AX202" s="3"/>
      <c r="AY202" s="3"/>
      <c r="AZ202" s="3"/>
      <c r="BA202" s="3"/>
      <c r="BB202" s="3"/>
      <c r="BC202" s="3"/>
      <c r="BD202" s="3"/>
      <c r="BE202" s="3"/>
      <c r="BF202" s="3"/>
      <c r="BG202" s="3"/>
      <c r="BH202" s="3"/>
      <c r="BI202" s="3"/>
      <c r="BJ202" s="3"/>
      <c r="BK202" s="3"/>
      <c r="BL202" s="3"/>
      <c r="BM202" s="2"/>
      <c r="BN202" s="1"/>
      <c r="BO202" s="334"/>
      <c r="BP202" s="334"/>
      <c r="BQ202" s="334"/>
      <c r="BR202" s="334"/>
      <c r="BS202" s="1"/>
      <c r="BT202" s="1"/>
      <c r="BU202" s="1"/>
      <c r="BV202" s="1"/>
      <c r="BW202" s="1"/>
      <c r="BX202" s="1"/>
    </row>
    <row x14ac:dyDescent="0.25" r="203" customHeight="1" ht="17.25">
      <c r="A203" s="227"/>
      <c r="B203" s="227"/>
      <c r="C203" s="227"/>
      <c r="D203" s="227"/>
      <c r="E203" s="227"/>
      <c r="F203" s="227"/>
      <c r="G203" s="227"/>
      <c r="H203" s="227"/>
      <c r="I203" s="227"/>
      <c r="J203" s="227"/>
      <c r="K203" s="227"/>
      <c r="L203" s="227"/>
      <c r="M203" s="227"/>
      <c r="N203" s="227"/>
      <c r="O203" s="227"/>
      <c r="P203" s="2"/>
      <c r="Q203" s="2"/>
      <c r="R203" s="9"/>
      <c r="S203" s="3"/>
      <c r="T203" s="9"/>
      <c r="U203" s="3"/>
      <c r="V203" s="9"/>
      <c r="W203" s="3"/>
      <c r="X203" s="9"/>
      <c r="Y203" s="3"/>
      <c r="Z203" s="9"/>
      <c r="AA203" s="3"/>
      <c r="AB203" s="2"/>
      <c r="AC203" s="1"/>
      <c r="AD203" s="11"/>
      <c r="AE203" s="145"/>
      <c r="AF203" s="530"/>
      <c r="AG203" s="69"/>
      <c r="AH203" s="528"/>
      <c r="AI203" s="528"/>
      <c r="AJ203" s="528"/>
      <c r="AK203" s="528"/>
      <c r="AL203" s="528"/>
      <c r="AM203" s="528"/>
      <c r="AN203" s="528"/>
      <c r="AO203" s="528"/>
      <c r="AP203" s="528"/>
      <c r="AQ203" s="3"/>
      <c r="AR203" s="5"/>
      <c r="AS203" s="3"/>
      <c r="AT203" s="3"/>
      <c r="AU203" s="2"/>
      <c r="AV203" s="3"/>
      <c r="AW203" s="3"/>
      <c r="AX203" s="3"/>
      <c r="AY203" s="3"/>
      <c r="AZ203" s="3"/>
      <c r="BA203" s="3"/>
      <c r="BB203" s="3"/>
      <c r="BC203" s="3"/>
      <c r="BD203" s="3"/>
      <c r="BE203" s="3"/>
      <c r="BF203" s="3"/>
      <c r="BG203" s="3"/>
      <c r="BH203" s="3"/>
      <c r="BI203" s="3"/>
      <c r="BJ203" s="3"/>
      <c r="BK203" s="3"/>
      <c r="BL203" s="3"/>
      <c r="BM203" s="2"/>
      <c r="BN203" s="1"/>
      <c r="BO203" s="334"/>
      <c r="BP203" s="334"/>
      <c r="BQ203" s="334"/>
      <c r="BR203" s="334"/>
      <c r="BS203" s="1"/>
      <c r="BT203" s="1"/>
      <c r="BU203" s="1"/>
      <c r="BV203" s="1"/>
      <c r="BW203" s="1"/>
      <c r="BX203" s="1"/>
    </row>
    <row x14ac:dyDescent="0.25" r="204" customHeight="1" ht="17.25">
      <c r="A204" s="227"/>
      <c r="B204" s="227"/>
      <c r="C204" s="227"/>
      <c r="D204" s="227"/>
      <c r="E204" s="227"/>
      <c r="F204" s="227"/>
      <c r="G204" s="227"/>
      <c r="H204" s="227"/>
      <c r="I204" s="227"/>
      <c r="J204" s="227"/>
      <c r="K204" s="227"/>
      <c r="L204" s="227"/>
      <c r="M204" s="227"/>
      <c r="N204" s="227"/>
      <c r="O204" s="227"/>
      <c r="P204" s="2"/>
      <c r="Q204" s="2"/>
      <c r="R204" s="9"/>
      <c r="S204" s="3"/>
      <c r="T204" s="9"/>
      <c r="U204" s="3"/>
      <c r="V204" s="9"/>
      <c r="W204" s="3"/>
      <c r="X204" s="9"/>
      <c r="Y204" s="3"/>
      <c r="Z204" s="9"/>
      <c r="AA204" s="3"/>
      <c r="AB204" s="2"/>
      <c r="AC204" s="1"/>
      <c r="AD204" s="11"/>
      <c r="AE204" s="145"/>
      <c r="AF204" s="530"/>
      <c r="AG204" s="69"/>
      <c r="AH204" s="528"/>
      <c r="AI204" s="528"/>
      <c r="AJ204" s="528"/>
      <c r="AK204" s="528"/>
      <c r="AL204" s="528"/>
      <c r="AM204" s="528"/>
      <c r="AN204" s="528"/>
      <c r="AO204" s="528"/>
      <c r="AP204" s="528"/>
      <c r="AQ204" s="3"/>
      <c r="AR204" s="5"/>
      <c r="AS204" s="3"/>
      <c r="AT204" s="3"/>
      <c r="AU204" s="2"/>
      <c r="AV204" s="3"/>
      <c r="AW204" s="3"/>
      <c r="AX204" s="3"/>
      <c r="AY204" s="3"/>
      <c r="AZ204" s="3"/>
      <c r="BA204" s="3"/>
      <c r="BB204" s="3"/>
      <c r="BC204" s="3"/>
      <c r="BD204" s="3"/>
      <c r="BE204" s="3"/>
      <c r="BF204" s="3"/>
      <c r="BG204" s="3"/>
      <c r="BH204" s="3"/>
      <c r="BI204" s="3"/>
      <c r="BJ204" s="3"/>
      <c r="BK204" s="3"/>
      <c r="BL204" s="3"/>
      <c r="BM204" s="2"/>
      <c r="BN204" s="1"/>
      <c r="BO204" s="334"/>
      <c r="BP204" s="334"/>
      <c r="BQ204" s="334"/>
      <c r="BR204" s="334"/>
      <c r="BS204" s="1"/>
      <c r="BT204" s="1"/>
      <c r="BU204" s="1"/>
      <c r="BV204" s="1"/>
      <c r="BW204" s="1"/>
      <c r="BX204" s="1"/>
    </row>
    <row x14ac:dyDescent="0.25" r="205" customHeight="1" ht="17.25">
      <c r="A205" s="227"/>
      <c r="B205" s="227"/>
      <c r="C205" s="227"/>
      <c r="D205" s="227"/>
      <c r="E205" s="227"/>
      <c r="F205" s="227"/>
      <c r="G205" s="227"/>
      <c r="H205" s="227"/>
      <c r="I205" s="227"/>
      <c r="J205" s="227"/>
      <c r="K205" s="227"/>
      <c r="L205" s="227"/>
      <c r="M205" s="227"/>
      <c r="N205" s="227"/>
      <c r="O205" s="227"/>
      <c r="P205" s="2"/>
      <c r="Q205" s="2"/>
      <c r="R205" s="9"/>
      <c r="S205" s="3"/>
      <c r="T205" s="9"/>
      <c r="U205" s="3"/>
      <c r="V205" s="9"/>
      <c r="W205" s="3"/>
      <c r="X205" s="9"/>
      <c r="Y205" s="3"/>
      <c r="Z205" s="9"/>
      <c r="AA205" s="3"/>
      <c r="AB205" s="2"/>
      <c r="AC205" s="1"/>
      <c r="AD205" s="11"/>
      <c r="AE205" s="145"/>
      <c r="AF205" s="530"/>
      <c r="AG205" s="69"/>
      <c r="AH205" s="528"/>
      <c r="AI205" s="528"/>
      <c r="AJ205" s="528"/>
      <c r="AK205" s="528"/>
      <c r="AL205" s="528"/>
      <c r="AM205" s="528"/>
      <c r="AN205" s="528"/>
      <c r="AO205" s="528"/>
      <c r="AP205" s="528"/>
      <c r="AQ205" s="3"/>
      <c r="AR205" s="5"/>
      <c r="AS205" s="3"/>
      <c r="AT205" s="3"/>
      <c r="AU205" s="2"/>
      <c r="AV205" s="3"/>
      <c r="AW205" s="3"/>
      <c r="AX205" s="3"/>
      <c r="AY205" s="3"/>
      <c r="AZ205" s="3"/>
      <c r="BA205" s="3"/>
      <c r="BB205" s="3"/>
      <c r="BC205" s="3"/>
      <c r="BD205" s="3"/>
      <c r="BE205" s="3"/>
      <c r="BF205" s="3"/>
      <c r="BG205" s="3"/>
      <c r="BH205" s="3"/>
      <c r="BI205" s="3"/>
      <c r="BJ205" s="3"/>
      <c r="BK205" s="3"/>
      <c r="BL205" s="3"/>
      <c r="BM205" s="2"/>
      <c r="BN205" s="1"/>
      <c r="BO205" s="334"/>
      <c r="BP205" s="334"/>
      <c r="BQ205" s="334"/>
      <c r="BR205" s="334"/>
      <c r="BS205" s="1"/>
      <c r="BT205" s="1"/>
      <c r="BU205" s="1"/>
      <c r="BV205" s="1"/>
      <c r="BW205" s="1"/>
      <c r="BX205" s="1"/>
    </row>
    <row x14ac:dyDescent="0.25" r="206" customHeight="1" ht="17.25">
      <c r="A206" s="227"/>
      <c r="B206" s="227"/>
      <c r="C206" s="227"/>
      <c r="D206" s="227"/>
      <c r="E206" s="227"/>
      <c r="F206" s="227"/>
      <c r="G206" s="227"/>
      <c r="H206" s="227"/>
      <c r="I206" s="227"/>
      <c r="J206" s="227"/>
      <c r="K206" s="227"/>
      <c r="L206" s="227"/>
      <c r="M206" s="227"/>
      <c r="N206" s="227"/>
      <c r="O206" s="227"/>
      <c r="P206" s="2"/>
      <c r="Q206" s="2"/>
      <c r="R206" s="9"/>
      <c r="S206" s="3"/>
      <c r="T206" s="9"/>
      <c r="U206" s="3"/>
      <c r="V206" s="9"/>
      <c r="W206" s="3"/>
      <c r="X206" s="9"/>
      <c r="Y206" s="3"/>
      <c r="Z206" s="9"/>
      <c r="AA206" s="3"/>
      <c r="AB206" s="2"/>
      <c r="AC206" s="1"/>
      <c r="AD206" s="11"/>
      <c r="AE206" s="145"/>
      <c r="AF206" s="530"/>
      <c r="AG206" s="69"/>
      <c r="AH206" s="528"/>
      <c r="AI206" s="528"/>
      <c r="AJ206" s="528"/>
      <c r="AK206" s="528"/>
      <c r="AL206" s="528"/>
      <c r="AM206" s="528"/>
      <c r="AN206" s="528"/>
      <c r="AO206" s="528"/>
      <c r="AP206" s="528"/>
      <c r="AQ206" s="3"/>
      <c r="AR206" s="5"/>
      <c r="AS206" s="3"/>
      <c r="AT206" s="3"/>
      <c r="AU206" s="2"/>
      <c r="AV206" s="3"/>
      <c r="AW206" s="3"/>
      <c r="AX206" s="3"/>
      <c r="AY206" s="3"/>
      <c r="AZ206" s="3"/>
      <c r="BA206" s="3"/>
      <c r="BB206" s="3"/>
      <c r="BC206" s="3"/>
      <c r="BD206" s="3"/>
      <c r="BE206" s="3"/>
      <c r="BF206" s="3"/>
      <c r="BG206" s="3"/>
      <c r="BH206" s="3"/>
      <c r="BI206" s="3"/>
      <c r="BJ206" s="3"/>
      <c r="BK206" s="3"/>
      <c r="BL206" s="3"/>
      <c r="BM206" s="2"/>
      <c r="BN206" s="1"/>
      <c r="BO206" s="334"/>
      <c r="BP206" s="334"/>
      <c r="BQ206" s="334"/>
      <c r="BR206" s="334"/>
      <c r="BS206" s="1"/>
      <c r="BT206" s="1"/>
      <c r="BU206" s="1"/>
      <c r="BV206" s="1"/>
      <c r="BW206" s="1"/>
      <c r="BX206" s="1"/>
    </row>
    <row x14ac:dyDescent="0.25" r="207" customHeight="1" ht="17.25">
      <c r="A207" s="227"/>
      <c r="B207" s="227"/>
      <c r="C207" s="227"/>
      <c r="D207" s="227"/>
      <c r="E207" s="227"/>
      <c r="F207" s="227"/>
      <c r="G207" s="227"/>
      <c r="H207" s="227"/>
      <c r="I207" s="227"/>
      <c r="J207" s="227"/>
      <c r="K207" s="227"/>
      <c r="L207" s="227"/>
      <c r="M207" s="227"/>
      <c r="N207" s="227"/>
      <c r="O207" s="227"/>
      <c r="P207" s="2"/>
      <c r="Q207" s="2"/>
      <c r="R207" s="9"/>
      <c r="S207" s="3"/>
      <c r="T207" s="9"/>
      <c r="U207" s="3"/>
      <c r="V207" s="9"/>
      <c r="W207" s="3"/>
      <c r="X207" s="9"/>
      <c r="Y207" s="3"/>
      <c r="Z207" s="9"/>
      <c r="AA207" s="3"/>
      <c r="AB207" s="2"/>
      <c r="AC207" s="1"/>
      <c r="AD207" s="11"/>
      <c r="AE207" s="145"/>
      <c r="AF207" s="530"/>
      <c r="AG207" s="69"/>
      <c r="AH207" s="528"/>
      <c r="AI207" s="528"/>
      <c r="AJ207" s="528"/>
      <c r="AK207" s="528"/>
      <c r="AL207" s="528"/>
      <c r="AM207" s="528"/>
      <c r="AN207" s="528"/>
      <c r="AO207" s="528"/>
      <c r="AP207" s="528"/>
      <c r="AQ207" s="3"/>
      <c r="AR207" s="5"/>
      <c r="AS207" s="3"/>
      <c r="AT207" s="3"/>
      <c r="AU207" s="2"/>
      <c r="AV207" s="3"/>
      <c r="AW207" s="3"/>
      <c r="AX207" s="3"/>
      <c r="AY207" s="3"/>
      <c r="AZ207" s="3"/>
      <c r="BA207" s="3"/>
      <c r="BB207" s="3"/>
      <c r="BC207" s="3"/>
      <c r="BD207" s="3"/>
      <c r="BE207" s="3"/>
      <c r="BF207" s="3"/>
      <c r="BG207" s="3"/>
      <c r="BH207" s="3"/>
      <c r="BI207" s="3"/>
      <c r="BJ207" s="3"/>
      <c r="BK207" s="3"/>
      <c r="BL207" s="3"/>
      <c r="BM207" s="2"/>
      <c r="BN207" s="1"/>
      <c r="BO207" s="334"/>
      <c r="BP207" s="334"/>
      <c r="BQ207" s="334"/>
      <c r="BR207" s="334"/>
      <c r="BS207" s="1"/>
      <c r="BT207" s="1"/>
      <c r="BU207" s="1"/>
      <c r="BV207" s="1"/>
      <c r="BW207" s="1"/>
      <c r="BX207" s="1"/>
    </row>
    <row x14ac:dyDescent="0.25" r="208" customHeight="1" ht="17.25">
      <c r="A208" s="227"/>
      <c r="B208" s="227"/>
      <c r="C208" s="227"/>
      <c r="D208" s="227"/>
      <c r="E208" s="227"/>
      <c r="F208" s="227"/>
      <c r="G208" s="227"/>
      <c r="H208" s="227"/>
      <c r="I208" s="227"/>
      <c r="J208" s="227"/>
      <c r="K208" s="227"/>
      <c r="L208" s="227"/>
      <c r="M208" s="227"/>
      <c r="N208" s="227"/>
      <c r="O208" s="227"/>
      <c r="P208" s="2"/>
      <c r="Q208" s="2"/>
      <c r="R208" s="9"/>
      <c r="S208" s="3"/>
      <c r="T208" s="9"/>
      <c r="U208" s="3"/>
      <c r="V208" s="9"/>
      <c r="W208" s="3"/>
      <c r="X208" s="9"/>
      <c r="Y208" s="3"/>
      <c r="Z208" s="9"/>
      <c r="AA208" s="3"/>
      <c r="AB208" s="2"/>
      <c r="AC208" s="1"/>
      <c r="AD208" s="11"/>
      <c r="AE208" s="145"/>
      <c r="AF208" s="530"/>
      <c r="AG208" s="69"/>
      <c r="AH208" s="528"/>
      <c r="AI208" s="528"/>
      <c r="AJ208" s="528"/>
      <c r="AK208" s="528"/>
      <c r="AL208" s="528"/>
      <c r="AM208" s="528"/>
      <c r="AN208" s="528"/>
      <c r="AO208" s="528"/>
      <c r="AP208" s="528"/>
      <c r="AQ208" s="3"/>
      <c r="AR208" s="5"/>
      <c r="AS208" s="3"/>
      <c r="AT208" s="3"/>
      <c r="AU208" s="2"/>
      <c r="AV208" s="3"/>
      <c r="AW208" s="3"/>
      <c r="AX208" s="3"/>
      <c r="AY208" s="3"/>
      <c r="AZ208" s="3"/>
      <c r="BA208" s="3"/>
      <c r="BB208" s="3"/>
      <c r="BC208" s="3"/>
      <c r="BD208" s="3"/>
      <c r="BE208" s="3"/>
      <c r="BF208" s="3"/>
      <c r="BG208" s="3"/>
      <c r="BH208" s="3"/>
      <c r="BI208" s="3"/>
      <c r="BJ208" s="3"/>
      <c r="BK208" s="3"/>
      <c r="BL208" s="3"/>
      <c r="BM208" s="2"/>
      <c r="BN208" s="1"/>
      <c r="BO208" s="334"/>
      <c r="BP208" s="334"/>
      <c r="BQ208" s="334"/>
      <c r="BR208" s="334"/>
      <c r="BS208" s="1"/>
      <c r="BT208" s="1"/>
      <c r="BU208" s="1"/>
      <c r="BV208" s="1"/>
      <c r="BW208" s="1"/>
      <c r="BX208" s="1"/>
    </row>
    <row x14ac:dyDescent="0.25" r="209" customHeight="1" ht="17.25">
      <c r="A209" s="227"/>
      <c r="B209" s="227"/>
      <c r="C209" s="227"/>
      <c r="D209" s="227"/>
      <c r="E209" s="227"/>
      <c r="F209" s="227"/>
      <c r="G209" s="227"/>
      <c r="H209" s="227"/>
      <c r="I209" s="227"/>
      <c r="J209" s="227"/>
      <c r="K209" s="227"/>
      <c r="L209" s="227"/>
      <c r="M209" s="227"/>
      <c r="N209" s="227"/>
      <c r="O209" s="227"/>
      <c r="P209" s="2"/>
      <c r="Q209" s="2"/>
      <c r="R209" s="9"/>
      <c r="S209" s="3"/>
      <c r="T209" s="9"/>
      <c r="U209" s="3"/>
      <c r="V209" s="9"/>
      <c r="W209" s="3"/>
      <c r="X209" s="9"/>
      <c r="Y209" s="3"/>
      <c r="Z209" s="9"/>
      <c r="AA209" s="3"/>
      <c r="AB209" s="2"/>
      <c r="AC209" s="1"/>
      <c r="AD209" s="11"/>
      <c r="AE209" s="145"/>
      <c r="AF209" s="530"/>
      <c r="AG209" s="69"/>
      <c r="AH209" s="528"/>
      <c r="AI209" s="528"/>
      <c r="AJ209" s="528"/>
      <c r="AK209" s="528"/>
      <c r="AL209" s="528"/>
      <c r="AM209" s="528"/>
      <c r="AN209" s="528"/>
      <c r="AO209" s="528"/>
      <c r="AP209" s="528"/>
      <c r="AQ209" s="3"/>
      <c r="AR209" s="5"/>
      <c r="AS209" s="3"/>
      <c r="AT209" s="3"/>
      <c r="AU209" s="2"/>
      <c r="AV209" s="3"/>
      <c r="AW209" s="3"/>
      <c r="AX209" s="3"/>
      <c r="AY209" s="3"/>
      <c r="AZ209" s="3"/>
      <c r="BA209" s="3"/>
      <c r="BB209" s="3"/>
      <c r="BC209" s="3"/>
      <c r="BD209" s="3"/>
      <c r="BE209" s="3"/>
      <c r="BF209" s="3"/>
      <c r="BG209" s="3"/>
      <c r="BH209" s="3"/>
      <c r="BI209" s="3"/>
      <c r="BJ209" s="3"/>
      <c r="BK209" s="3"/>
      <c r="BL209" s="3"/>
      <c r="BM209" s="2"/>
      <c r="BN209" s="1"/>
      <c r="BO209" s="334"/>
      <c r="BP209" s="334"/>
      <c r="BQ209" s="334"/>
      <c r="BR209" s="334"/>
      <c r="BS209" s="1"/>
      <c r="BT209" s="1"/>
      <c r="BU209" s="1"/>
      <c r="BV209" s="1"/>
      <c r="BW209" s="1"/>
      <c r="BX209" s="1"/>
    </row>
    <row x14ac:dyDescent="0.25" r="210" customHeight="1" ht="17.25">
      <c r="A210" s="227"/>
      <c r="B210" s="227"/>
      <c r="C210" s="227"/>
      <c r="D210" s="227"/>
      <c r="E210" s="227"/>
      <c r="F210" s="227"/>
      <c r="G210" s="227"/>
      <c r="H210" s="227"/>
      <c r="I210" s="227"/>
      <c r="J210" s="227"/>
      <c r="K210" s="227"/>
      <c r="L210" s="227"/>
      <c r="M210" s="227"/>
      <c r="N210" s="227"/>
      <c r="O210" s="227"/>
      <c r="P210" s="2"/>
      <c r="Q210" s="2"/>
      <c r="R210" s="9"/>
      <c r="S210" s="3"/>
      <c r="T210" s="9"/>
      <c r="U210" s="3"/>
      <c r="V210" s="9"/>
      <c r="W210" s="3"/>
      <c r="X210" s="9"/>
      <c r="Y210" s="3"/>
      <c r="Z210" s="9"/>
      <c r="AA210" s="3"/>
      <c r="AB210" s="2"/>
      <c r="AC210" s="1"/>
      <c r="AD210" s="11"/>
      <c r="AE210" s="145"/>
      <c r="AF210" s="530"/>
      <c r="AG210" s="69"/>
      <c r="AH210" s="528"/>
      <c r="AI210" s="528"/>
      <c r="AJ210" s="528"/>
      <c r="AK210" s="528"/>
      <c r="AL210" s="528"/>
      <c r="AM210" s="528"/>
      <c r="AN210" s="528"/>
      <c r="AO210" s="528"/>
      <c r="AP210" s="528"/>
      <c r="AQ210" s="3"/>
      <c r="AR210" s="5"/>
      <c r="AS210" s="3"/>
      <c r="AT210" s="3"/>
      <c r="AU210" s="2"/>
      <c r="AV210" s="3"/>
      <c r="AW210" s="3"/>
      <c r="AX210" s="3"/>
      <c r="AY210" s="3"/>
      <c r="AZ210" s="3"/>
      <c r="BA210" s="3"/>
      <c r="BB210" s="3"/>
      <c r="BC210" s="3"/>
      <c r="BD210" s="3"/>
      <c r="BE210" s="3"/>
      <c r="BF210" s="3"/>
      <c r="BG210" s="3"/>
      <c r="BH210" s="3"/>
      <c r="BI210" s="3"/>
      <c r="BJ210" s="3"/>
      <c r="BK210" s="3"/>
      <c r="BL210" s="3"/>
      <c r="BM210" s="2"/>
      <c r="BN210" s="1"/>
      <c r="BO210" s="334"/>
      <c r="BP210" s="334"/>
      <c r="BQ210" s="334"/>
      <c r="BR210" s="334"/>
      <c r="BS210" s="1"/>
      <c r="BT210" s="1"/>
      <c r="BU210" s="1"/>
      <c r="BV210" s="1"/>
      <c r="BW210" s="1"/>
      <c r="BX210" s="1"/>
    </row>
    <row x14ac:dyDescent="0.25" r="211" customHeight="1" ht="17.25">
      <c r="A211" s="227"/>
      <c r="B211" s="227"/>
      <c r="C211" s="227"/>
      <c r="D211" s="227"/>
      <c r="E211" s="227"/>
      <c r="F211" s="227"/>
      <c r="G211" s="227"/>
      <c r="H211" s="227"/>
      <c r="I211" s="227"/>
      <c r="J211" s="227"/>
      <c r="K211" s="227"/>
      <c r="L211" s="227"/>
      <c r="M211" s="227"/>
      <c r="N211" s="227"/>
      <c r="O211" s="227"/>
      <c r="P211" s="2"/>
      <c r="Q211" s="2"/>
      <c r="R211" s="9"/>
      <c r="S211" s="3"/>
      <c r="T211" s="9"/>
      <c r="U211" s="3"/>
      <c r="V211" s="9"/>
      <c r="W211" s="3"/>
      <c r="X211" s="9"/>
      <c r="Y211" s="3"/>
      <c r="Z211" s="9"/>
      <c r="AA211" s="3"/>
      <c r="AB211" s="2"/>
      <c r="AC211" s="1"/>
      <c r="AD211" s="11"/>
      <c r="AE211" s="145"/>
      <c r="AF211" s="530"/>
      <c r="AG211" s="69"/>
      <c r="AH211" s="528"/>
      <c r="AI211" s="528"/>
      <c r="AJ211" s="528"/>
      <c r="AK211" s="528"/>
      <c r="AL211" s="528"/>
      <c r="AM211" s="528"/>
      <c r="AN211" s="528"/>
      <c r="AO211" s="528"/>
      <c r="AP211" s="528"/>
      <c r="AQ211" s="3"/>
      <c r="AR211" s="5"/>
      <c r="AS211" s="3"/>
      <c r="AT211" s="3"/>
      <c r="AU211" s="2"/>
      <c r="AV211" s="3"/>
      <c r="AW211" s="3"/>
      <c r="AX211" s="3"/>
      <c r="AY211" s="3"/>
      <c r="AZ211" s="3"/>
      <c r="BA211" s="3"/>
      <c r="BB211" s="3"/>
      <c r="BC211" s="3"/>
      <c r="BD211" s="3"/>
      <c r="BE211" s="3"/>
      <c r="BF211" s="3"/>
      <c r="BG211" s="3"/>
      <c r="BH211" s="3"/>
      <c r="BI211" s="3"/>
      <c r="BJ211" s="3"/>
      <c r="BK211" s="3"/>
      <c r="BL211" s="3"/>
      <c r="BM211" s="2"/>
      <c r="BN211" s="1"/>
      <c r="BO211" s="334"/>
      <c r="BP211" s="334"/>
      <c r="BQ211" s="334"/>
      <c r="BR211" s="334"/>
      <c r="BS211" s="1"/>
      <c r="BT211" s="1"/>
      <c r="BU211" s="1"/>
      <c r="BV211" s="1"/>
      <c r="BW211" s="1"/>
      <c r="BX211" s="1"/>
    </row>
    <row x14ac:dyDescent="0.25" r="212" customHeight="1" ht="17.25">
      <c r="A212" s="227"/>
      <c r="B212" s="227"/>
      <c r="C212" s="227"/>
      <c r="D212" s="227"/>
      <c r="E212" s="227"/>
      <c r="F212" s="227"/>
      <c r="G212" s="227"/>
      <c r="H212" s="227"/>
      <c r="I212" s="227"/>
      <c r="J212" s="227"/>
      <c r="K212" s="227"/>
      <c r="L212" s="227"/>
      <c r="M212" s="227"/>
      <c r="N212" s="227"/>
      <c r="O212" s="227"/>
      <c r="P212" s="2"/>
      <c r="Q212" s="2"/>
      <c r="R212" s="9"/>
      <c r="S212" s="3"/>
      <c r="T212" s="9"/>
      <c r="U212" s="3"/>
      <c r="V212" s="9"/>
      <c r="W212" s="3"/>
      <c r="X212" s="9"/>
      <c r="Y212" s="3"/>
      <c r="Z212" s="9"/>
      <c r="AA212" s="3"/>
      <c r="AB212" s="2"/>
      <c r="AC212" s="1"/>
      <c r="AD212" s="11"/>
      <c r="AE212" s="145"/>
      <c r="AF212" s="530"/>
      <c r="AG212" s="69"/>
      <c r="AH212" s="528"/>
      <c r="AI212" s="528"/>
      <c r="AJ212" s="528"/>
      <c r="AK212" s="528"/>
      <c r="AL212" s="528"/>
      <c r="AM212" s="528"/>
      <c r="AN212" s="528"/>
      <c r="AO212" s="528"/>
      <c r="AP212" s="528"/>
      <c r="AQ212" s="3"/>
      <c r="AR212" s="5"/>
      <c r="AS212" s="3"/>
      <c r="AT212" s="3"/>
      <c r="AU212" s="2"/>
      <c r="AV212" s="3"/>
      <c r="AW212" s="3"/>
      <c r="AX212" s="3"/>
      <c r="AY212" s="3"/>
      <c r="AZ212" s="3"/>
      <c r="BA212" s="3"/>
      <c r="BB212" s="3"/>
      <c r="BC212" s="3"/>
      <c r="BD212" s="3"/>
      <c r="BE212" s="3"/>
      <c r="BF212" s="3"/>
      <c r="BG212" s="3"/>
      <c r="BH212" s="3"/>
      <c r="BI212" s="3"/>
      <c r="BJ212" s="3"/>
      <c r="BK212" s="3"/>
      <c r="BL212" s="3"/>
      <c r="BM212" s="2"/>
      <c r="BN212" s="1"/>
      <c r="BO212" s="334"/>
      <c r="BP212" s="334"/>
      <c r="BQ212" s="334"/>
      <c r="BR212" s="334"/>
      <c r="BS212" s="1"/>
      <c r="BT212" s="1"/>
      <c r="BU212" s="1"/>
      <c r="BV212" s="1"/>
      <c r="BW212" s="1"/>
      <c r="BX212" s="1"/>
    </row>
    <row x14ac:dyDescent="0.25" r="213" customHeight="1" ht="17.25">
      <c r="A213" s="227"/>
      <c r="B213" s="227"/>
      <c r="C213" s="227"/>
      <c r="D213" s="227"/>
      <c r="E213" s="227"/>
      <c r="F213" s="227"/>
      <c r="G213" s="227"/>
      <c r="H213" s="227"/>
      <c r="I213" s="227"/>
      <c r="J213" s="227"/>
      <c r="K213" s="227"/>
      <c r="L213" s="227"/>
      <c r="M213" s="227"/>
      <c r="N213" s="227"/>
      <c r="O213" s="227"/>
      <c r="P213" s="2"/>
      <c r="Q213" s="2"/>
      <c r="R213" s="9"/>
      <c r="S213" s="3"/>
      <c r="T213" s="9"/>
      <c r="U213" s="3"/>
      <c r="V213" s="9"/>
      <c r="W213" s="3"/>
      <c r="X213" s="9"/>
      <c r="Y213" s="3"/>
      <c r="Z213" s="9"/>
      <c r="AA213" s="3"/>
      <c r="AB213" s="2"/>
      <c r="AC213" s="1"/>
      <c r="AD213" s="11"/>
      <c r="AE213" s="145"/>
      <c r="AF213" s="530"/>
      <c r="AG213" s="69"/>
      <c r="AH213" s="528"/>
      <c r="AI213" s="528"/>
      <c r="AJ213" s="528"/>
      <c r="AK213" s="528"/>
      <c r="AL213" s="528"/>
      <c r="AM213" s="528"/>
      <c r="AN213" s="528"/>
      <c r="AO213" s="528"/>
      <c r="AP213" s="528"/>
      <c r="AQ213" s="3"/>
      <c r="AR213" s="5"/>
      <c r="AS213" s="3"/>
      <c r="AT213" s="3"/>
      <c r="AU213" s="2"/>
      <c r="AV213" s="3"/>
      <c r="AW213" s="3"/>
      <c r="AX213" s="3"/>
      <c r="AY213" s="3"/>
      <c r="AZ213" s="3"/>
      <c r="BA213" s="3"/>
      <c r="BB213" s="3"/>
      <c r="BC213" s="3"/>
      <c r="BD213" s="3"/>
      <c r="BE213" s="3"/>
      <c r="BF213" s="3"/>
      <c r="BG213" s="3"/>
      <c r="BH213" s="3"/>
      <c r="BI213" s="3"/>
      <c r="BJ213" s="3"/>
      <c r="BK213" s="3"/>
      <c r="BL213" s="3"/>
      <c r="BM213" s="2"/>
      <c r="BN213" s="1"/>
      <c r="BO213" s="334"/>
      <c r="BP213" s="334"/>
      <c r="BQ213" s="334"/>
      <c r="BR213" s="334"/>
      <c r="BS213" s="1"/>
      <c r="BT213" s="1"/>
      <c r="BU213" s="1"/>
      <c r="BV213" s="1"/>
      <c r="BW213" s="1"/>
      <c r="BX213" s="1"/>
    </row>
    <row x14ac:dyDescent="0.25" r="214" customHeight="1" ht="17.25">
      <c r="A214" s="227"/>
      <c r="B214" s="227"/>
      <c r="C214" s="227"/>
      <c r="D214" s="227"/>
      <c r="E214" s="227"/>
      <c r="F214" s="227"/>
      <c r="G214" s="227"/>
      <c r="H214" s="227"/>
      <c r="I214" s="227"/>
      <c r="J214" s="227"/>
      <c r="K214" s="227"/>
      <c r="L214" s="227"/>
      <c r="M214" s="227"/>
      <c r="N214" s="227"/>
      <c r="O214" s="227"/>
      <c r="P214" s="2"/>
      <c r="Q214" s="2"/>
      <c r="R214" s="9"/>
      <c r="S214" s="3"/>
      <c r="T214" s="9"/>
      <c r="U214" s="3"/>
      <c r="V214" s="9"/>
      <c r="W214" s="3"/>
      <c r="X214" s="9"/>
      <c r="Y214" s="3"/>
      <c r="Z214" s="9"/>
      <c r="AA214" s="3"/>
      <c r="AB214" s="2"/>
      <c r="AC214" s="1"/>
      <c r="AD214" s="11"/>
      <c r="AE214" s="145"/>
      <c r="AF214" s="530"/>
      <c r="AG214" s="69"/>
      <c r="AH214" s="528"/>
      <c r="AI214" s="528"/>
      <c r="AJ214" s="528"/>
      <c r="AK214" s="528"/>
      <c r="AL214" s="528"/>
      <c r="AM214" s="528"/>
      <c r="AN214" s="528"/>
      <c r="AO214" s="528"/>
      <c r="AP214" s="528"/>
      <c r="AQ214" s="3"/>
      <c r="AR214" s="5"/>
      <c r="AS214" s="3"/>
      <c r="AT214" s="3"/>
      <c r="AU214" s="2"/>
      <c r="AV214" s="3"/>
      <c r="AW214" s="3"/>
      <c r="AX214" s="3"/>
      <c r="AY214" s="3"/>
      <c r="AZ214" s="3"/>
      <c r="BA214" s="3"/>
      <c r="BB214" s="3"/>
      <c r="BC214" s="3"/>
      <c r="BD214" s="3"/>
      <c r="BE214" s="3"/>
      <c r="BF214" s="3"/>
      <c r="BG214" s="3"/>
      <c r="BH214" s="3"/>
      <c r="BI214" s="3"/>
      <c r="BJ214" s="3"/>
      <c r="BK214" s="3"/>
      <c r="BL214" s="3"/>
      <c r="BM214" s="2"/>
      <c r="BN214" s="1"/>
      <c r="BO214" s="334"/>
      <c r="BP214" s="334"/>
      <c r="BQ214" s="334"/>
      <c r="BR214" s="334"/>
      <c r="BS214" s="1"/>
      <c r="BT214" s="1"/>
      <c r="BU214" s="1"/>
      <c r="BV214" s="1"/>
      <c r="BW214" s="1"/>
      <c r="BX214" s="1"/>
    </row>
    <row x14ac:dyDescent="0.25" r="215" customHeight="1" ht="17.25">
      <c r="A215" s="227"/>
      <c r="B215" s="227"/>
      <c r="C215" s="227"/>
      <c r="D215" s="227"/>
      <c r="E215" s="227"/>
      <c r="F215" s="227"/>
      <c r="G215" s="227"/>
      <c r="H215" s="227"/>
      <c r="I215" s="227"/>
      <c r="J215" s="227"/>
      <c r="K215" s="227"/>
      <c r="L215" s="227"/>
      <c r="M215" s="227"/>
      <c r="N215" s="227"/>
      <c r="O215" s="227"/>
      <c r="P215" s="2"/>
      <c r="Q215" s="2"/>
      <c r="R215" s="9"/>
      <c r="S215" s="3"/>
      <c r="T215" s="9"/>
      <c r="U215" s="3"/>
      <c r="V215" s="9"/>
      <c r="W215" s="3"/>
      <c r="X215" s="9"/>
      <c r="Y215" s="3"/>
      <c r="Z215" s="9"/>
      <c r="AA215" s="3"/>
      <c r="AB215" s="2"/>
      <c r="AC215" s="1"/>
      <c r="AD215" s="11"/>
      <c r="AE215" s="145"/>
      <c r="AF215" s="530"/>
      <c r="AG215" s="69"/>
      <c r="AH215" s="528"/>
      <c r="AI215" s="528"/>
      <c r="AJ215" s="528"/>
      <c r="AK215" s="528"/>
      <c r="AL215" s="528"/>
      <c r="AM215" s="528"/>
      <c r="AN215" s="528"/>
      <c r="AO215" s="528"/>
      <c r="AP215" s="528"/>
      <c r="AQ215" s="3"/>
      <c r="AR215" s="5"/>
      <c r="AS215" s="3"/>
      <c r="AT215" s="3"/>
      <c r="AU215" s="2"/>
      <c r="AV215" s="3"/>
      <c r="AW215" s="3"/>
      <c r="AX215" s="3"/>
      <c r="AY215" s="3"/>
      <c r="AZ215" s="3"/>
      <c r="BA215" s="3"/>
      <c r="BB215" s="3"/>
      <c r="BC215" s="3"/>
      <c r="BD215" s="3"/>
      <c r="BE215" s="3"/>
      <c r="BF215" s="3"/>
      <c r="BG215" s="3"/>
      <c r="BH215" s="3"/>
      <c r="BI215" s="3"/>
      <c r="BJ215" s="3"/>
      <c r="BK215" s="3"/>
      <c r="BL215" s="3"/>
      <c r="BM215" s="2"/>
      <c r="BN215" s="1"/>
      <c r="BO215" s="334"/>
      <c r="BP215" s="334"/>
      <c r="BQ215" s="334"/>
      <c r="BR215" s="334"/>
      <c r="BS215" s="1"/>
      <c r="BT215" s="1"/>
      <c r="BU215" s="1"/>
      <c r="BV215" s="1"/>
      <c r="BW215" s="1"/>
      <c r="BX215" s="1"/>
    </row>
    <row x14ac:dyDescent="0.25" r="216" customHeight="1" ht="17.25">
      <c r="A216" s="227"/>
      <c r="B216" s="227"/>
      <c r="C216" s="227"/>
      <c r="D216" s="227"/>
      <c r="E216" s="227"/>
      <c r="F216" s="227"/>
      <c r="G216" s="227"/>
      <c r="H216" s="227"/>
      <c r="I216" s="227"/>
      <c r="J216" s="227"/>
      <c r="K216" s="227"/>
      <c r="L216" s="227"/>
      <c r="M216" s="227"/>
      <c r="N216" s="227"/>
      <c r="O216" s="227"/>
      <c r="P216" s="2"/>
      <c r="Q216" s="2"/>
      <c r="R216" s="9"/>
      <c r="S216" s="3"/>
      <c r="T216" s="9"/>
      <c r="U216" s="3"/>
      <c r="V216" s="9"/>
      <c r="W216" s="3"/>
      <c r="X216" s="9"/>
      <c r="Y216" s="3"/>
      <c r="Z216" s="9"/>
      <c r="AA216" s="3"/>
      <c r="AB216" s="2"/>
      <c r="AC216" s="1"/>
      <c r="AD216" s="11"/>
      <c r="AE216" s="145"/>
      <c r="AF216" s="530"/>
      <c r="AG216" s="69"/>
      <c r="AH216" s="528"/>
      <c r="AI216" s="528"/>
      <c r="AJ216" s="528"/>
      <c r="AK216" s="528"/>
      <c r="AL216" s="528"/>
      <c r="AM216" s="528"/>
      <c r="AN216" s="528"/>
      <c r="AO216" s="528"/>
      <c r="AP216" s="528"/>
      <c r="AQ216" s="3"/>
      <c r="AR216" s="5"/>
      <c r="AS216" s="3"/>
      <c r="AT216" s="3"/>
      <c r="AU216" s="2"/>
      <c r="AV216" s="3"/>
      <c r="AW216" s="3"/>
      <c r="AX216" s="3"/>
      <c r="AY216" s="3"/>
      <c r="AZ216" s="3"/>
      <c r="BA216" s="3"/>
      <c r="BB216" s="3"/>
      <c r="BC216" s="3"/>
      <c r="BD216" s="3"/>
      <c r="BE216" s="3"/>
      <c r="BF216" s="3"/>
      <c r="BG216" s="3"/>
      <c r="BH216" s="3"/>
      <c r="BI216" s="3"/>
      <c r="BJ216" s="3"/>
      <c r="BK216" s="3"/>
      <c r="BL216" s="3"/>
      <c r="BM216" s="2"/>
      <c r="BN216" s="1"/>
      <c r="BO216" s="334"/>
      <c r="BP216" s="334"/>
      <c r="BQ216" s="334"/>
      <c r="BR216" s="334"/>
      <c r="BS216" s="1"/>
      <c r="BT216" s="1"/>
      <c r="BU216" s="1"/>
      <c r="BV216" s="1"/>
      <c r="BW216" s="1"/>
      <c r="BX216" s="1"/>
    </row>
    <row x14ac:dyDescent="0.25" r="217" customHeight="1" ht="17.25">
      <c r="A217" s="227"/>
      <c r="B217" s="227"/>
      <c r="C217" s="227"/>
      <c r="D217" s="227"/>
      <c r="E217" s="227"/>
      <c r="F217" s="227"/>
      <c r="G217" s="227"/>
      <c r="H217" s="227"/>
      <c r="I217" s="227"/>
      <c r="J217" s="227"/>
      <c r="K217" s="227"/>
      <c r="L217" s="227"/>
      <c r="M217" s="227"/>
      <c r="N217" s="227"/>
      <c r="O217" s="227"/>
      <c r="P217" s="2"/>
      <c r="Q217" s="2"/>
      <c r="R217" s="9"/>
      <c r="S217" s="3"/>
      <c r="T217" s="9"/>
      <c r="U217" s="3"/>
      <c r="V217" s="9"/>
      <c r="W217" s="3"/>
      <c r="X217" s="9"/>
      <c r="Y217" s="3"/>
      <c r="Z217" s="9"/>
      <c r="AA217" s="3"/>
      <c r="AB217" s="2"/>
      <c r="AC217" s="1"/>
      <c r="AD217" s="11"/>
      <c r="AE217" s="145"/>
      <c r="AF217" s="530"/>
      <c r="AG217" s="69"/>
      <c r="AH217" s="528"/>
      <c r="AI217" s="528"/>
      <c r="AJ217" s="528"/>
      <c r="AK217" s="528"/>
      <c r="AL217" s="528"/>
      <c r="AM217" s="528"/>
      <c r="AN217" s="528"/>
      <c r="AO217" s="528"/>
      <c r="AP217" s="528"/>
      <c r="AQ217" s="3"/>
      <c r="AR217" s="5"/>
      <c r="AS217" s="3"/>
      <c r="AT217" s="3"/>
      <c r="AU217" s="2"/>
      <c r="AV217" s="3"/>
      <c r="AW217" s="3"/>
      <c r="AX217" s="3"/>
      <c r="AY217" s="3"/>
      <c r="AZ217" s="3"/>
      <c r="BA217" s="3"/>
      <c r="BB217" s="3"/>
      <c r="BC217" s="3"/>
      <c r="BD217" s="3"/>
      <c r="BE217" s="3"/>
      <c r="BF217" s="3"/>
      <c r="BG217" s="3"/>
      <c r="BH217" s="3"/>
      <c r="BI217" s="3"/>
      <c r="BJ217" s="3"/>
      <c r="BK217" s="3"/>
      <c r="BL217" s="3"/>
      <c r="BM217" s="2"/>
      <c r="BN217" s="1"/>
      <c r="BO217" s="334"/>
      <c r="BP217" s="334"/>
      <c r="BQ217" s="334"/>
      <c r="BR217" s="334"/>
      <c r="BS217" s="1"/>
      <c r="BT217" s="1"/>
      <c r="BU217" s="1"/>
      <c r="BV217" s="1"/>
      <c r="BW217" s="1"/>
      <c r="BX217" s="1"/>
    </row>
    <row x14ac:dyDescent="0.25" r="218" customHeight="1" ht="17.25">
      <c r="A218" s="227"/>
      <c r="B218" s="227"/>
      <c r="C218" s="227"/>
      <c r="D218" s="227"/>
      <c r="E218" s="227"/>
      <c r="F218" s="227"/>
      <c r="G218" s="227"/>
      <c r="H218" s="227"/>
      <c r="I218" s="227"/>
      <c r="J218" s="227"/>
      <c r="K218" s="227"/>
      <c r="L218" s="227"/>
      <c r="M218" s="227"/>
      <c r="N218" s="227"/>
      <c r="O218" s="227"/>
      <c r="P218" s="2"/>
      <c r="Q218" s="2"/>
      <c r="R218" s="9"/>
      <c r="S218" s="3"/>
      <c r="T218" s="9"/>
      <c r="U218" s="3"/>
      <c r="V218" s="9"/>
      <c r="W218" s="3"/>
      <c r="X218" s="9"/>
      <c r="Y218" s="3"/>
      <c r="Z218" s="9"/>
      <c r="AA218" s="3"/>
      <c r="AB218" s="2"/>
      <c r="AC218" s="1"/>
      <c r="AD218" s="11"/>
      <c r="AE218" s="145"/>
      <c r="AF218" s="530"/>
      <c r="AG218" s="69"/>
      <c r="AH218" s="528"/>
      <c r="AI218" s="528"/>
      <c r="AJ218" s="528"/>
      <c r="AK218" s="528"/>
      <c r="AL218" s="528"/>
      <c r="AM218" s="528"/>
      <c r="AN218" s="528"/>
      <c r="AO218" s="528"/>
      <c r="AP218" s="528"/>
      <c r="AQ218" s="3"/>
      <c r="AR218" s="5"/>
      <c r="AS218" s="3"/>
      <c r="AT218" s="3"/>
      <c r="AU218" s="2"/>
      <c r="AV218" s="3"/>
      <c r="AW218" s="3"/>
      <c r="AX218" s="3"/>
      <c r="AY218" s="3"/>
      <c r="AZ218" s="3"/>
      <c r="BA218" s="3"/>
      <c r="BB218" s="3"/>
      <c r="BC218" s="3"/>
      <c r="BD218" s="3"/>
      <c r="BE218" s="3"/>
      <c r="BF218" s="3"/>
      <c r="BG218" s="3"/>
      <c r="BH218" s="3"/>
      <c r="BI218" s="3"/>
      <c r="BJ218" s="3"/>
      <c r="BK218" s="3"/>
      <c r="BL218" s="3"/>
      <c r="BM218" s="2"/>
      <c r="BN218" s="1"/>
      <c r="BO218" s="334"/>
      <c r="BP218" s="334"/>
      <c r="BQ218" s="334"/>
      <c r="BR218" s="334"/>
      <c r="BS218" s="1"/>
      <c r="BT218" s="1"/>
      <c r="BU218" s="1"/>
      <c r="BV218" s="1"/>
      <c r="BW218" s="1"/>
      <c r="BX218" s="1"/>
    </row>
    <row x14ac:dyDescent="0.25" r="219" customHeight="1" ht="17.25">
      <c r="A219" s="227"/>
      <c r="B219" s="227"/>
      <c r="C219" s="227"/>
      <c r="D219" s="227"/>
      <c r="E219" s="227"/>
      <c r="F219" s="227"/>
      <c r="G219" s="227"/>
      <c r="H219" s="227"/>
      <c r="I219" s="227"/>
      <c r="J219" s="227"/>
      <c r="K219" s="227"/>
      <c r="L219" s="227"/>
      <c r="M219" s="227"/>
      <c r="N219" s="227"/>
      <c r="O219" s="227"/>
      <c r="P219" s="2"/>
      <c r="Q219" s="2"/>
      <c r="R219" s="9"/>
      <c r="S219" s="3"/>
      <c r="T219" s="9"/>
      <c r="U219" s="3"/>
      <c r="V219" s="9"/>
      <c r="W219" s="3"/>
      <c r="X219" s="9"/>
      <c r="Y219" s="3"/>
      <c r="Z219" s="9"/>
      <c r="AA219" s="3"/>
      <c r="AB219" s="2"/>
      <c r="AC219" s="1"/>
      <c r="AD219" s="11"/>
      <c r="AE219" s="145"/>
      <c r="AF219" s="530"/>
      <c r="AG219" s="69"/>
      <c r="AH219" s="528"/>
      <c r="AI219" s="528"/>
      <c r="AJ219" s="528"/>
      <c r="AK219" s="528"/>
      <c r="AL219" s="528"/>
      <c r="AM219" s="528"/>
      <c r="AN219" s="528"/>
      <c r="AO219" s="528"/>
      <c r="AP219" s="528"/>
      <c r="AQ219" s="3"/>
      <c r="AR219" s="5"/>
      <c r="AS219" s="3"/>
      <c r="AT219" s="3"/>
      <c r="AU219" s="2"/>
      <c r="AV219" s="3"/>
      <c r="AW219" s="3"/>
      <c r="AX219" s="3"/>
      <c r="AY219" s="3"/>
      <c r="AZ219" s="3"/>
      <c r="BA219" s="3"/>
      <c r="BB219" s="3"/>
      <c r="BC219" s="3"/>
      <c r="BD219" s="3"/>
      <c r="BE219" s="3"/>
      <c r="BF219" s="3"/>
      <c r="BG219" s="3"/>
      <c r="BH219" s="3"/>
      <c r="BI219" s="3"/>
      <c r="BJ219" s="3"/>
      <c r="BK219" s="3"/>
      <c r="BL219" s="3"/>
      <c r="BM219" s="2"/>
      <c r="BN219" s="1"/>
      <c r="BO219" s="334"/>
      <c r="BP219" s="334"/>
      <c r="BQ219" s="334"/>
      <c r="BR219" s="334"/>
      <c r="BS219" s="1"/>
      <c r="BT219" s="1"/>
      <c r="BU219" s="1"/>
      <c r="BV219" s="1"/>
      <c r="BW219" s="1"/>
      <c r="BX219" s="1"/>
    </row>
    <row x14ac:dyDescent="0.25" r="220" customHeight="1" ht="17.25">
      <c r="A220" s="227"/>
      <c r="B220" s="227"/>
      <c r="C220" s="227"/>
      <c r="D220" s="227"/>
      <c r="E220" s="227"/>
      <c r="F220" s="227"/>
      <c r="G220" s="227"/>
      <c r="H220" s="227"/>
      <c r="I220" s="227"/>
      <c r="J220" s="227"/>
      <c r="K220" s="227"/>
      <c r="L220" s="227"/>
      <c r="M220" s="227"/>
      <c r="N220" s="227"/>
      <c r="O220" s="227"/>
      <c r="P220" s="2"/>
      <c r="Q220" s="2"/>
      <c r="R220" s="9"/>
      <c r="S220" s="3"/>
      <c r="T220" s="9"/>
      <c r="U220" s="3"/>
      <c r="V220" s="9"/>
      <c r="W220" s="3"/>
      <c r="X220" s="9"/>
      <c r="Y220" s="3"/>
      <c r="Z220" s="9"/>
      <c r="AA220" s="3"/>
      <c r="AB220" s="2"/>
      <c r="AC220" s="1"/>
      <c r="AD220" s="11"/>
      <c r="AE220" s="145"/>
      <c r="AF220" s="530"/>
      <c r="AG220" s="69"/>
      <c r="AH220" s="528"/>
      <c r="AI220" s="528"/>
      <c r="AJ220" s="528"/>
      <c r="AK220" s="528"/>
      <c r="AL220" s="528"/>
      <c r="AM220" s="528"/>
      <c r="AN220" s="528"/>
      <c r="AO220" s="528"/>
      <c r="AP220" s="528"/>
      <c r="AQ220" s="3"/>
      <c r="AR220" s="5"/>
      <c r="AS220" s="3"/>
      <c r="AT220" s="3"/>
      <c r="AU220" s="2"/>
      <c r="AV220" s="3"/>
      <c r="AW220" s="3"/>
      <c r="AX220" s="3"/>
      <c r="AY220" s="3"/>
      <c r="AZ220" s="3"/>
      <c r="BA220" s="3"/>
      <c r="BB220" s="3"/>
      <c r="BC220" s="3"/>
      <c r="BD220" s="3"/>
      <c r="BE220" s="3"/>
      <c r="BF220" s="3"/>
      <c r="BG220" s="3"/>
      <c r="BH220" s="3"/>
      <c r="BI220" s="3"/>
      <c r="BJ220" s="3"/>
      <c r="BK220" s="3"/>
      <c r="BL220" s="3"/>
      <c r="BM220" s="2"/>
      <c r="BN220" s="1"/>
      <c r="BO220" s="334"/>
      <c r="BP220" s="334"/>
      <c r="BQ220" s="334"/>
      <c r="BR220" s="334"/>
      <c r="BS220" s="1"/>
      <c r="BT220" s="1"/>
      <c r="BU220" s="1"/>
      <c r="BV220" s="1"/>
      <c r="BW220" s="1"/>
      <c r="BX220" s="1"/>
    </row>
    <row x14ac:dyDescent="0.25" r="221" customHeight="1" ht="17.25">
      <c r="A221" s="227"/>
      <c r="B221" s="227"/>
      <c r="C221" s="227"/>
      <c r="D221" s="227"/>
      <c r="E221" s="227"/>
      <c r="F221" s="227"/>
      <c r="G221" s="227"/>
      <c r="H221" s="227"/>
      <c r="I221" s="227"/>
      <c r="J221" s="227"/>
      <c r="K221" s="227"/>
      <c r="L221" s="227"/>
      <c r="M221" s="227"/>
      <c r="N221" s="227"/>
      <c r="O221" s="227"/>
      <c r="P221" s="2"/>
      <c r="Q221" s="2"/>
      <c r="R221" s="9"/>
      <c r="S221" s="3"/>
      <c r="T221" s="9"/>
      <c r="U221" s="3"/>
      <c r="V221" s="9"/>
      <c r="W221" s="3"/>
      <c r="X221" s="9"/>
      <c r="Y221" s="3"/>
      <c r="Z221" s="9"/>
      <c r="AA221" s="3"/>
      <c r="AB221" s="2"/>
      <c r="AC221" s="1"/>
      <c r="AD221" s="11"/>
      <c r="AE221" s="145"/>
      <c r="AF221" s="530"/>
      <c r="AG221" s="69"/>
      <c r="AH221" s="528"/>
      <c r="AI221" s="528"/>
      <c r="AJ221" s="528"/>
      <c r="AK221" s="528"/>
      <c r="AL221" s="528"/>
      <c r="AM221" s="528"/>
      <c r="AN221" s="528"/>
      <c r="AO221" s="528"/>
      <c r="AP221" s="528"/>
      <c r="AQ221" s="3"/>
      <c r="AR221" s="5"/>
      <c r="AS221" s="3"/>
      <c r="AT221" s="3"/>
      <c r="AU221" s="2"/>
      <c r="AV221" s="3"/>
      <c r="AW221" s="3"/>
      <c r="AX221" s="3"/>
      <c r="AY221" s="3"/>
      <c r="AZ221" s="3"/>
      <c r="BA221" s="3"/>
      <c r="BB221" s="3"/>
      <c r="BC221" s="3"/>
      <c r="BD221" s="3"/>
      <c r="BE221" s="3"/>
      <c r="BF221" s="3"/>
      <c r="BG221" s="3"/>
      <c r="BH221" s="3"/>
      <c r="BI221" s="3"/>
      <c r="BJ221" s="3"/>
      <c r="BK221" s="3"/>
      <c r="BL221" s="3"/>
      <c r="BM221" s="2"/>
      <c r="BN221" s="1"/>
      <c r="BO221" s="334"/>
      <c r="BP221" s="334"/>
      <c r="BQ221" s="334"/>
      <c r="BR221" s="334"/>
      <c r="BS221" s="1"/>
      <c r="BT221" s="1"/>
      <c r="BU221" s="1"/>
      <c r="BV221" s="1"/>
      <c r="BW221" s="1"/>
      <c r="BX221" s="1"/>
    </row>
    <row x14ac:dyDescent="0.25" r="222" customHeight="1" ht="17.25">
      <c r="A222" s="227"/>
      <c r="B222" s="227"/>
      <c r="C222" s="227"/>
      <c r="D222" s="227"/>
      <c r="E222" s="227"/>
      <c r="F222" s="227"/>
      <c r="G222" s="227"/>
      <c r="H222" s="227"/>
      <c r="I222" s="227"/>
      <c r="J222" s="227"/>
      <c r="K222" s="227"/>
      <c r="L222" s="227"/>
      <c r="M222" s="227"/>
      <c r="N222" s="227"/>
      <c r="O222" s="227"/>
      <c r="P222" s="2"/>
      <c r="Q222" s="2"/>
      <c r="R222" s="9"/>
      <c r="S222" s="3"/>
      <c r="T222" s="9"/>
      <c r="U222" s="3"/>
      <c r="V222" s="9"/>
      <c r="W222" s="3"/>
      <c r="X222" s="9"/>
      <c r="Y222" s="3"/>
      <c r="Z222" s="9"/>
      <c r="AA222" s="3"/>
      <c r="AB222" s="2"/>
      <c r="AC222" s="1"/>
      <c r="AD222" s="11"/>
      <c r="AE222" s="145"/>
      <c r="AF222" s="530"/>
      <c r="AG222" s="69"/>
      <c r="AH222" s="528"/>
      <c r="AI222" s="528"/>
      <c r="AJ222" s="528"/>
      <c r="AK222" s="528"/>
      <c r="AL222" s="528"/>
      <c r="AM222" s="528"/>
      <c r="AN222" s="528"/>
      <c r="AO222" s="528"/>
      <c r="AP222" s="528"/>
      <c r="AQ222" s="3"/>
      <c r="AR222" s="5"/>
      <c r="AS222" s="3"/>
      <c r="AT222" s="3"/>
      <c r="AU222" s="2"/>
      <c r="AV222" s="3"/>
      <c r="AW222" s="3"/>
      <c r="AX222" s="3"/>
      <c r="AY222" s="3"/>
      <c r="AZ222" s="3"/>
      <c r="BA222" s="3"/>
      <c r="BB222" s="3"/>
      <c r="BC222" s="3"/>
      <c r="BD222" s="3"/>
      <c r="BE222" s="3"/>
      <c r="BF222" s="3"/>
      <c r="BG222" s="3"/>
      <c r="BH222" s="3"/>
      <c r="BI222" s="3"/>
      <c r="BJ222" s="3"/>
      <c r="BK222" s="3"/>
      <c r="BL222" s="3"/>
      <c r="BM222" s="2"/>
      <c r="BN222" s="1"/>
      <c r="BO222" s="334"/>
      <c r="BP222" s="334"/>
      <c r="BQ222" s="334"/>
      <c r="BR222" s="334"/>
      <c r="BS222" s="1"/>
      <c r="BT222" s="1"/>
      <c r="BU222" s="1"/>
      <c r="BV222" s="1"/>
      <c r="BW222" s="1"/>
      <c r="BX222" s="1"/>
    </row>
    <row x14ac:dyDescent="0.25" r="223" customHeight="1" ht="17.25">
      <c r="A223" s="227"/>
      <c r="B223" s="227"/>
      <c r="C223" s="227"/>
      <c r="D223" s="227"/>
      <c r="E223" s="227"/>
      <c r="F223" s="227"/>
      <c r="G223" s="227"/>
      <c r="H223" s="227"/>
      <c r="I223" s="227"/>
      <c r="J223" s="227"/>
      <c r="K223" s="227"/>
      <c r="L223" s="227"/>
      <c r="M223" s="227"/>
      <c r="N223" s="227"/>
      <c r="O223" s="227"/>
      <c r="P223" s="2"/>
      <c r="Q223" s="2"/>
      <c r="R223" s="9"/>
      <c r="S223" s="3"/>
      <c r="T223" s="9"/>
      <c r="U223" s="3"/>
      <c r="V223" s="9"/>
      <c r="W223" s="3"/>
      <c r="X223" s="9"/>
      <c r="Y223" s="3"/>
      <c r="Z223" s="9"/>
      <c r="AA223" s="3"/>
      <c r="AB223" s="2"/>
      <c r="AC223" s="1"/>
      <c r="AD223" s="11"/>
      <c r="AE223" s="145"/>
      <c r="AF223" s="530"/>
      <c r="AG223" s="69"/>
      <c r="AH223" s="528"/>
      <c r="AI223" s="528"/>
      <c r="AJ223" s="528"/>
      <c r="AK223" s="528"/>
      <c r="AL223" s="528"/>
      <c r="AM223" s="528"/>
      <c r="AN223" s="528"/>
      <c r="AO223" s="528"/>
      <c r="AP223" s="528"/>
      <c r="AQ223" s="3"/>
      <c r="AR223" s="5"/>
      <c r="AS223" s="3"/>
      <c r="AT223" s="3"/>
      <c r="AU223" s="2"/>
      <c r="AV223" s="3"/>
      <c r="AW223" s="3"/>
      <c r="AX223" s="3"/>
      <c r="AY223" s="3"/>
      <c r="AZ223" s="3"/>
      <c r="BA223" s="3"/>
      <c r="BB223" s="3"/>
      <c r="BC223" s="3"/>
      <c r="BD223" s="3"/>
      <c r="BE223" s="3"/>
      <c r="BF223" s="3"/>
      <c r="BG223" s="3"/>
      <c r="BH223" s="3"/>
      <c r="BI223" s="3"/>
      <c r="BJ223" s="3"/>
      <c r="BK223" s="3"/>
      <c r="BL223" s="3"/>
      <c r="BM223" s="2"/>
      <c r="BN223" s="1"/>
      <c r="BO223" s="334"/>
      <c r="BP223" s="334"/>
      <c r="BQ223" s="334"/>
      <c r="BR223" s="334"/>
      <c r="BS223" s="1"/>
      <c r="BT223" s="1"/>
      <c r="BU223" s="1"/>
      <c r="BV223" s="1"/>
      <c r="BW223" s="1"/>
      <c r="BX223" s="1"/>
    </row>
    <row x14ac:dyDescent="0.25" r="224" customHeight="1" ht="17.25">
      <c r="A224" s="227"/>
      <c r="B224" s="227"/>
      <c r="C224" s="227"/>
      <c r="D224" s="227"/>
      <c r="E224" s="227"/>
      <c r="F224" s="227"/>
      <c r="G224" s="227"/>
      <c r="H224" s="227"/>
      <c r="I224" s="227"/>
      <c r="J224" s="227"/>
      <c r="K224" s="227"/>
      <c r="L224" s="227"/>
      <c r="M224" s="227"/>
      <c r="N224" s="227"/>
      <c r="O224" s="227"/>
      <c r="P224" s="2"/>
      <c r="Q224" s="2"/>
      <c r="R224" s="9"/>
      <c r="S224" s="3"/>
      <c r="T224" s="9"/>
      <c r="U224" s="3"/>
      <c r="V224" s="9"/>
      <c r="W224" s="3"/>
      <c r="X224" s="9"/>
      <c r="Y224" s="3"/>
      <c r="Z224" s="9"/>
      <c r="AA224" s="3"/>
      <c r="AB224" s="2"/>
      <c r="AC224" s="1"/>
      <c r="AD224" s="11"/>
      <c r="AE224" s="145"/>
      <c r="AF224" s="530"/>
      <c r="AG224" s="69"/>
      <c r="AH224" s="528"/>
      <c r="AI224" s="528"/>
      <c r="AJ224" s="528"/>
      <c r="AK224" s="528"/>
      <c r="AL224" s="528"/>
      <c r="AM224" s="528"/>
      <c r="AN224" s="528"/>
      <c r="AO224" s="528"/>
      <c r="AP224" s="528"/>
      <c r="AQ224" s="3"/>
      <c r="AR224" s="5"/>
      <c r="AS224" s="3"/>
      <c r="AT224" s="3"/>
      <c r="AU224" s="2"/>
      <c r="AV224" s="3"/>
      <c r="AW224" s="3"/>
      <c r="AX224" s="3"/>
      <c r="AY224" s="3"/>
      <c r="AZ224" s="3"/>
      <c r="BA224" s="3"/>
      <c r="BB224" s="3"/>
      <c r="BC224" s="3"/>
      <c r="BD224" s="3"/>
      <c r="BE224" s="3"/>
      <c r="BF224" s="3"/>
      <c r="BG224" s="3"/>
      <c r="BH224" s="3"/>
      <c r="BI224" s="3"/>
      <c r="BJ224" s="3"/>
      <c r="BK224" s="3"/>
      <c r="BL224" s="3"/>
      <c r="BM224" s="2"/>
      <c r="BN224" s="1"/>
      <c r="BO224" s="334"/>
      <c r="BP224" s="334"/>
      <c r="BQ224" s="334"/>
      <c r="BR224" s="334"/>
      <c r="BS224" s="1"/>
      <c r="BT224" s="1"/>
      <c r="BU224" s="1"/>
      <c r="BV224" s="1"/>
      <c r="BW224" s="1"/>
      <c r="BX224" s="1"/>
    </row>
    <row x14ac:dyDescent="0.25" r="225" customHeight="1" ht="17.25">
      <c r="A225" s="227"/>
      <c r="B225" s="227"/>
      <c r="C225" s="227"/>
      <c r="D225" s="227"/>
      <c r="E225" s="227"/>
      <c r="F225" s="227"/>
      <c r="G225" s="227"/>
      <c r="H225" s="227"/>
      <c r="I225" s="227"/>
      <c r="J225" s="227"/>
      <c r="K225" s="227"/>
      <c r="L225" s="227"/>
      <c r="M225" s="227"/>
      <c r="N225" s="227"/>
      <c r="O225" s="227"/>
      <c r="P225" s="2"/>
      <c r="Q225" s="2"/>
      <c r="R225" s="9"/>
      <c r="S225" s="3"/>
      <c r="T225" s="9"/>
      <c r="U225" s="3"/>
      <c r="V225" s="9"/>
      <c r="W225" s="3"/>
      <c r="X225" s="9"/>
      <c r="Y225" s="3"/>
      <c r="Z225" s="9"/>
      <c r="AA225" s="3"/>
      <c r="AB225" s="2"/>
      <c r="AC225" s="1"/>
      <c r="AD225" s="11"/>
      <c r="AE225" s="145"/>
      <c r="AF225" s="530"/>
      <c r="AG225" s="69"/>
      <c r="AH225" s="528"/>
      <c r="AI225" s="528"/>
      <c r="AJ225" s="528"/>
      <c r="AK225" s="528"/>
      <c r="AL225" s="528"/>
      <c r="AM225" s="528"/>
      <c r="AN225" s="528"/>
      <c r="AO225" s="528"/>
      <c r="AP225" s="528"/>
      <c r="AQ225" s="3"/>
      <c r="AR225" s="5"/>
      <c r="AS225" s="3"/>
      <c r="AT225" s="3"/>
      <c r="AU225" s="2"/>
      <c r="AV225" s="3"/>
      <c r="AW225" s="3"/>
      <c r="AX225" s="3"/>
      <c r="AY225" s="3"/>
      <c r="AZ225" s="3"/>
      <c r="BA225" s="3"/>
      <c r="BB225" s="3"/>
      <c r="BC225" s="3"/>
      <c r="BD225" s="3"/>
      <c r="BE225" s="3"/>
      <c r="BF225" s="3"/>
      <c r="BG225" s="3"/>
      <c r="BH225" s="3"/>
      <c r="BI225" s="3"/>
      <c r="BJ225" s="3"/>
      <c r="BK225" s="3"/>
      <c r="BL225" s="3"/>
      <c r="BM225" s="2"/>
      <c r="BN225" s="1"/>
      <c r="BO225" s="334"/>
      <c r="BP225" s="334"/>
      <c r="BQ225" s="334"/>
      <c r="BR225" s="334"/>
      <c r="BS225" s="1"/>
      <c r="BT225" s="1"/>
      <c r="BU225" s="1"/>
      <c r="BV225" s="1"/>
      <c r="BW225" s="1"/>
      <c r="BX225" s="1"/>
    </row>
    <row x14ac:dyDescent="0.25" r="226" customHeight="1" ht="17.25">
      <c r="A226" s="227"/>
      <c r="B226" s="227"/>
      <c r="C226" s="227"/>
      <c r="D226" s="227"/>
      <c r="E226" s="227"/>
      <c r="F226" s="227"/>
      <c r="G226" s="227"/>
      <c r="H226" s="227"/>
      <c r="I226" s="227"/>
      <c r="J226" s="227"/>
      <c r="K226" s="227"/>
      <c r="L226" s="227"/>
      <c r="M226" s="227"/>
      <c r="N226" s="227"/>
      <c r="O226" s="227"/>
      <c r="P226" s="2"/>
      <c r="Q226" s="2"/>
      <c r="R226" s="9"/>
      <c r="S226" s="3"/>
      <c r="T226" s="9"/>
      <c r="U226" s="3"/>
      <c r="V226" s="9"/>
      <c r="W226" s="3"/>
      <c r="X226" s="9"/>
      <c r="Y226" s="3"/>
      <c r="Z226" s="9"/>
      <c r="AA226" s="3"/>
      <c r="AB226" s="2"/>
      <c r="AC226" s="1"/>
      <c r="AD226" s="11"/>
      <c r="AE226" s="145"/>
      <c r="AF226" s="530"/>
      <c r="AG226" s="69"/>
      <c r="AH226" s="528"/>
      <c r="AI226" s="528"/>
      <c r="AJ226" s="528"/>
      <c r="AK226" s="528"/>
      <c r="AL226" s="528"/>
      <c r="AM226" s="528"/>
      <c r="AN226" s="528"/>
      <c r="AO226" s="528"/>
      <c r="AP226" s="528"/>
      <c r="AQ226" s="3"/>
      <c r="AR226" s="5"/>
      <c r="AS226" s="3"/>
      <c r="AT226" s="3"/>
      <c r="AU226" s="2"/>
      <c r="AV226" s="3"/>
      <c r="AW226" s="3"/>
      <c r="AX226" s="3"/>
      <c r="AY226" s="3"/>
      <c r="AZ226" s="3"/>
      <c r="BA226" s="3"/>
      <c r="BB226" s="3"/>
      <c r="BC226" s="3"/>
      <c r="BD226" s="3"/>
      <c r="BE226" s="3"/>
      <c r="BF226" s="3"/>
      <c r="BG226" s="3"/>
      <c r="BH226" s="3"/>
      <c r="BI226" s="3"/>
      <c r="BJ226" s="3"/>
      <c r="BK226" s="3"/>
      <c r="BL226" s="3"/>
      <c r="BM226" s="2"/>
      <c r="BN226" s="1"/>
      <c r="BO226" s="334"/>
      <c r="BP226" s="334"/>
      <c r="BQ226" s="334"/>
      <c r="BR226" s="334"/>
      <c r="BS226" s="1"/>
      <c r="BT226" s="1"/>
      <c r="BU226" s="1"/>
      <c r="BV226" s="1"/>
      <c r="BW226" s="1"/>
      <c r="BX226" s="1"/>
    </row>
    <row x14ac:dyDescent="0.25" r="227" customHeight="1" ht="17.25">
      <c r="A227" s="227"/>
      <c r="B227" s="227"/>
      <c r="C227" s="227"/>
      <c r="D227" s="227"/>
      <c r="E227" s="227"/>
      <c r="F227" s="227"/>
      <c r="G227" s="227"/>
      <c r="H227" s="227"/>
      <c r="I227" s="227"/>
      <c r="J227" s="227"/>
      <c r="K227" s="227"/>
      <c r="L227" s="227"/>
      <c r="M227" s="227"/>
      <c r="N227" s="227"/>
      <c r="O227" s="227"/>
      <c r="P227" s="2"/>
      <c r="Q227" s="2"/>
      <c r="R227" s="9"/>
      <c r="S227" s="3"/>
      <c r="T227" s="9"/>
      <c r="U227" s="3"/>
      <c r="V227" s="9"/>
      <c r="W227" s="3"/>
      <c r="X227" s="9"/>
      <c r="Y227" s="3"/>
      <c r="Z227" s="9"/>
      <c r="AA227" s="3"/>
      <c r="AB227" s="2"/>
      <c r="AC227" s="1"/>
      <c r="AD227" s="11"/>
      <c r="AE227" s="145"/>
      <c r="AF227" s="530"/>
      <c r="AG227" s="69"/>
      <c r="AH227" s="528"/>
      <c r="AI227" s="528"/>
      <c r="AJ227" s="528"/>
      <c r="AK227" s="528"/>
      <c r="AL227" s="528"/>
      <c r="AM227" s="528"/>
      <c r="AN227" s="528"/>
      <c r="AO227" s="528"/>
      <c r="AP227" s="528"/>
      <c r="AQ227" s="3"/>
      <c r="AR227" s="5"/>
      <c r="AS227" s="3"/>
      <c r="AT227" s="3"/>
      <c r="AU227" s="2"/>
      <c r="AV227" s="3"/>
      <c r="AW227" s="3"/>
      <c r="AX227" s="3"/>
      <c r="AY227" s="3"/>
      <c r="AZ227" s="3"/>
      <c r="BA227" s="3"/>
      <c r="BB227" s="3"/>
      <c r="BC227" s="3"/>
      <c r="BD227" s="3"/>
      <c r="BE227" s="3"/>
      <c r="BF227" s="3"/>
      <c r="BG227" s="3"/>
      <c r="BH227" s="3"/>
      <c r="BI227" s="3"/>
      <c r="BJ227" s="3"/>
      <c r="BK227" s="3"/>
      <c r="BL227" s="3"/>
      <c r="BM227" s="2"/>
      <c r="BN227" s="1"/>
      <c r="BO227" s="334"/>
      <c r="BP227" s="334"/>
      <c r="BQ227" s="334"/>
      <c r="BR227" s="334"/>
      <c r="BS227" s="1"/>
      <c r="BT227" s="1"/>
      <c r="BU227" s="1"/>
      <c r="BV227" s="1"/>
      <c r="BW227" s="1"/>
      <c r="BX227" s="1"/>
    </row>
    <row x14ac:dyDescent="0.25" r="228" customHeight="1" ht="17.25">
      <c r="A228" s="227"/>
      <c r="B228" s="227"/>
      <c r="C228" s="227"/>
      <c r="D228" s="227"/>
      <c r="E228" s="227"/>
      <c r="F228" s="227"/>
      <c r="G228" s="227"/>
      <c r="H228" s="227"/>
      <c r="I228" s="227"/>
      <c r="J228" s="227"/>
      <c r="K228" s="227"/>
      <c r="L228" s="227"/>
      <c r="M228" s="227"/>
      <c r="N228" s="227"/>
      <c r="O228" s="227"/>
      <c r="P228" s="2"/>
      <c r="Q228" s="2"/>
      <c r="R228" s="9"/>
      <c r="S228" s="3"/>
      <c r="T228" s="9"/>
      <c r="U228" s="3"/>
      <c r="V228" s="9"/>
      <c r="W228" s="3"/>
      <c r="X228" s="9"/>
      <c r="Y228" s="3"/>
      <c r="Z228" s="9"/>
      <c r="AA228" s="3"/>
      <c r="AB228" s="2"/>
      <c r="AC228" s="1"/>
      <c r="AD228" s="11"/>
      <c r="AE228" s="145"/>
      <c r="AF228" s="530"/>
      <c r="AG228" s="69"/>
      <c r="AH228" s="528"/>
      <c r="AI228" s="528"/>
      <c r="AJ228" s="528"/>
      <c r="AK228" s="528"/>
      <c r="AL228" s="528"/>
      <c r="AM228" s="528"/>
      <c r="AN228" s="528"/>
      <c r="AO228" s="528"/>
      <c r="AP228" s="528"/>
      <c r="AQ228" s="3"/>
      <c r="AR228" s="5"/>
      <c r="AS228" s="3"/>
      <c r="AT228" s="3"/>
      <c r="AU228" s="2"/>
      <c r="AV228" s="3"/>
      <c r="AW228" s="3"/>
      <c r="AX228" s="3"/>
      <c r="AY228" s="3"/>
      <c r="AZ228" s="3"/>
      <c r="BA228" s="3"/>
      <c r="BB228" s="3"/>
      <c r="BC228" s="3"/>
      <c r="BD228" s="3"/>
      <c r="BE228" s="3"/>
      <c r="BF228" s="3"/>
      <c r="BG228" s="3"/>
      <c r="BH228" s="3"/>
      <c r="BI228" s="3"/>
      <c r="BJ228" s="3"/>
      <c r="BK228" s="3"/>
      <c r="BL228" s="3"/>
      <c r="BM228" s="2"/>
      <c r="BN228" s="1"/>
      <c r="BO228" s="334"/>
      <c r="BP228" s="334"/>
      <c r="BQ228" s="334"/>
      <c r="BR228" s="334"/>
      <c r="BS228" s="1"/>
      <c r="BT228" s="1"/>
      <c r="BU228" s="1"/>
      <c r="BV228" s="1"/>
      <c r="BW228" s="1"/>
      <c r="BX228" s="1"/>
    </row>
    <row x14ac:dyDescent="0.25" r="229" customHeight="1" ht="17.25">
      <c r="A229" s="227"/>
      <c r="B229" s="227"/>
      <c r="C229" s="227"/>
      <c r="D229" s="227"/>
      <c r="E229" s="227"/>
      <c r="F229" s="227"/>
      <c r="G229" s="227"/>
      <c r="H229" s="227"/>
      <c r="I229" s="227"/>
      <c r="J229" s="227"/>
      <c r="K229" s="227"/>
      <c r="L229" s="227"/>
      <c r="M229" s="227"/>
      <c r="N229" s="227"/>
      <c r="O229" s="227"/>
      <c r="P229" s="2"/>
      <c r="Q229" s="2"/>
      <c r="R229" s="9"/>
      <c r="S229" s="3"/>
      <c r="T229" s="9"/>
      <c r="U229" s="3"/>
      <c r="V229" s="9"/>
      <c r="W229" s="3"/>
      <c r="X229" s="9"/>
      <c r="Y229" s="3"/>
      <c r="Z229" s="9"/>
      <c r="AA229" s="3"/>
      <c r="AB229" s="2"/>
      <c r="AC229" s="1"/>
      <c r="AD229" s="11"/>
      <c r="AE229" s="145"/>
      <c r="AF229" s="530"/>
      <c r="AG229" s="69"/>
      <c r="AH229" s="528"/>
      <c r="AI229" s="528"/>
      <c r="AJ229" s="528"/>
      <c r="AK229" s="528"/>
      <c r="AL229" s="528"/>
      <c r="AM229" s="528"/>
      <c r="AN229" s="528"/>
      <c r="AO229" s="528"/>
      <c r="AP229" s="528"/>
      <c r="AQ229" s="3"/>
      <c r="AR229" s="5"/>
      <c r="AS229" s="3"/>
      <c r="AT229" s="3"/>
      <c r="AU229" s="2"/>
      <c r="AV229" s="3"/>
      <c r="AW229" s="3"/>
      <c r="AX229" s="3"/>
      <c r="AY229" s="3"/>
      <c r="AZ229" s="3"/>
      <c r="BA229" s="3"/>
      <c r="BB229" s="3"/>
      <c r="BC229" s="3"/>
      <c r="BD229" s="3"/>
      <c r="BE229" s="3"/>
      <c r="BF229" s="3"/>
      <c r="BG229" s="3"/>
      <c r="BH229" s="3"/>
      <c r="BI229" s="3"/>
      <c r="BJ229" s="3"/>
      <c r="BK229" s="3"/>
      <c r="BL229" s="3"/>
      <c r="BM229" s="2"/>
      <c r="BN229" s="1"/>
      <c r="BO229" s="334"/>
      <c r="BP229" s="334"/>
      <c r="BQ229" s="334"/>
      <c r="BR229" s="334"/>
      <c r="BS229" s="1"/>
      <c r="BT229" s="1"/>
      <c r="BU229" s="1"/>
      <c r="BV229" s="1"/>
      <c r="BW229" s="1"/>
      <c r="BX229" s="1"/>
    </row>
    <row x14ac:dyDescent="0.25" r="230" customHeight="1" ht="17.25">
      <c r="A230" s="227"/>
      <c r="B230" s="227"/>
      <c r="C230" s="227"/>
      <c r="D230" s="227"/>
      <c r="E230" s="227"/>
      <c r="F230" s="227"/>
      <c r="G230" s="227"/>
      <c r="H230" s="227"/>
      <c r="I230" s="227"/>
      <c r="J230" s="227"/>
      <c r="K230" s="227"/>
      <c r="L230" s="227"/>
      <c r="M230" s="227"/>
      <c r="N230" s="227"/>
      <c r="O230" s="227"/>
      <c r="P230" s="2"/>
      <c r="Q230" s="2"/>
      <c r="R230" s="9"/>
      <c r="S230" s="3"/>
      <c r="T230" s="9"/>
      <c r="U230" s="3"/>
      <c r="V230" s="9"/>
      <c r="W230" s="3"/>
      <c r="X230" s="9"/>
      <c r="Y230" s="3"/>
      <c r="Z230" s="9"/>
      <c r="AA230" s="3"/>
      <c r="AB230" s="2"/>
      <c r="AC230" s="1"/>
      <c r="AD230" s="11"/>
      <c r="AE230" s="145"/>
      <c r="AF230" s="530"/>
      <c r="AG230" s="69"/>
      <c r="AH230" s="528"/>
      <c r="AI230" s="528"/>
      <c r="AJ230" s="528"/>
      <c r="AK230" s="528"/>
      <c r="AL230" s="528"/>
      <c r="AM230" s="528"/>
      <c r="AN230" s="528"/>
      <c r="AO230" s="528"/>
      <c r="AP230" s="528"/>
      <c r="AQ230" s="3"/>
      <c r="AR230" s="5"/>
      <c r="AS230" s="3"/>
      <c r="AT230" s="3"/>
      <c r="AU230" s="2"/>
      <c r="AV230" s="3"/>
      <c r="AW230" s="3"/>
      <c r="AX230" s="3"/>
      <c r="AY230" s="3"/>
      <c r="AZ230" s="3"/>
      <c r="BA230" s="3"/>
      <c r="BB230" s="3"/>
      <c r="BC230" s="3"/>
      <c r="BD230" s="3"/>
      <c r="BE230" s="3"/>
      <c r="BF230" s="3"/>
      <c r="BG230" s="3"/>
      <c r="BH230" s="3"/>
      <c r="BI230" s="3"/>
      <c r="BJ230" s="3"/>
      <c r="BK230" s="3"/>
      <c r="BL230" s="3"/>
      <c r="BM230" s="2"/>
      <c r="BN230" s="1"/>
      <c r="BO230" s="334"/>
      <c r="BP230" s="334"/>
      <c r="BQ230" s="334"/>
      <c r="BR230" s="334"/>
      <c r="BS230" s="1"/>
      <c r="BT230" s="1"/>
      <c r="BU230" s="1"/>
      <c r="BV230" s="1"/>
      <c r="BW230" s="1"/>
      <c r="BX230" s="1"/>
    </row>
    <row x14ac:dyDescent="0.25" r="231" customHeight="1" ht="17.25">
      <c r="A231" s="227"/>
      <c r="B231" s="227"/>
      <c r="C231" s="227"/>
      <c r="D231" s="227"/>
      <c r="E231" s="227"/>
      <c r="F231" s="227"/>
      <c r="G231" s="227"/>
      <c r="H231" s="227"/>
      <c r="I231" s="227"/>
      <c r="J231" s="227"/>
      <c r="K231" s="227"/>
      <c r="L231" s="227"/>
      <c r="M231" s="227"/>
      <c r="N231" s="227"/>
      <c r="O231" s="227"/>
      <c r="P231" s="2"/>
      <c r="Q231" s="2"/>
      <c r="R231" s="9"/>
      <c r="S231" s="3"/>
      <c r="T231" s="9"/>
      <c r="U231" s="3"/>
      <c r="V231" s="9"/>
      <c r="W231" s="3"/>
      <c r="X231" s="9"/>
      <c r="Y231" s="3"/>
      <c r="Z231" s="9"/>
      <c r="AA231" s="3"/>
      <c r="AB231" s="2"/>
      <c r="AC231" s="1"/>
      <c r="AD231" s="11"/>
      <c r="AE231" s="145"/>
      <c r="AF231" s="530"/>
      <c r="AG231" s="69"/>
      <c r="AH231" s="528"/>
      <c r="AI231" s="528"/>
      <c r="AJ231" s="528"/>
      <c r="AK231" s="528"/>
      <c r="AL231" s="528"/>
      <c r="AM231" s="528"/>
      <c r="AN231" s="528"/>
      <c r="AO231" s="528"/>
      <c r="AP231" s="528"/>
      <c r="AQ231" s="3"/>
      <c r="AR231" s="5"/>
      <c r="AS231" s="3"/>
      <c r="AT231" s="3"/>
      <c r="AU231" s="2"/>
      <c r="AV231" s="3"/>
      <c r="AW231" s="3"/>
      <c r="AX231" s="3"/>
      <c r="AY231" s="3"/>
      <c r="AZ231" s="3"/>
      <c r="BA231" s="3"/>
      <c r="BB231" s="3"/>
      <c r="BC231" s="3"/>
      <c r="BD231" s="3"/>
      <c r="BE231" s="3"/>
      <c r="BF231" s="3"/>
      <c r="BG231" s="3"/>
      <c r="BH231" s="3"/>
      <c r="BI231" s="3"/>
      <c r="BJ231" s="3"/>
      <c r="BK231" s="3"/>
      <c r="BL231" s="3"/>
      <c r="BM231" s="2"/>
      <c r="BN231" s="1"/>
      <c r="BO231" s="334"/>
      <c r="BP231" s="334"/>
      <c r="BQ231" s="334"/>
      <c r="BR231" s="334"/>
      <c r="BS231" s="1"/>
      <c r="BT231" s="1"/>
      <c r="BU231" s="1"/>
      <c r="BV231" s="1"/>
      <c r="BW231" s="1"/>
      <c r="BX231" s="1"/>
    </row>
    <row x14ac:dyDescent="0.25" r="232" customHeight="1" ht="17.25">
      <c r="A232" s="227"/>
      <c r="B232" s="227"/>
      <c r="C232" s="227"/>
      <c r="D232" s="227"/>
      <c r="E232" s="227"/>
      <c r="F232" s="227"/>
      <c r="G232" s="227"/>
      <c r="H232" s="227"/>
      <c r="I232" s="227"/>
      <c r="J232" s="227"/>
      <c r="K232" s="227"/>
      <c r="L232" s="227"/>
      <c r="M232" s="227"/>
      <c r="N232" s="227"/>
      <c r="O232" s="227"/>
      <c r="P232" s="2"/>
      <c r="Q232" s="2"/>
      <c r="R232" s="9"/>
      <c r="S232" s="3"/>
      <c r="T232" s="9"/>
      <c r="U232" s="3"/>
      <c r="V232" s="9"/>
      <c r="W232" s="3"/>
      <c r="X232" s="9"/>
      <c r="Y232" s="3"/>
      <c r="Z232" s="9"/>
      <c r="AA232" s="3"/>
      <c r="AB232" s="2"/>
      <c r="AC232" s="1"/>
      <c r="AD232" s="11"/>
      <c r="AE232" s="145"/>
      <c r="AF232" s="530"/>
      <c r="AG232" s="69"/>
      <c r="AH232" s="528"/>
      <c r="AI232" s="528"/>
      <c r="AJ232" s="528"/>
      <c r="AK232" s="528"/>
      <c r="AL232" s="528"/>
      <c r="AM232" s="528"/>
      <c r="AN232" s="528"/>
      <c r="AO232" s="528"/>
      <c r="AP232" s="528"/>
      <c r="AQ232" s="3"/>
      <c r="AR232" s="5"/>
      <c r="AS232" s="3"/>
      <c r="AT232" s="3"/>
      <c r="AU232" s="2"/>
      <c r="AV232" s="3"/>
      <c r="AW232" s="3"/>
      <c r="AX232" s="3"/>
      <c r="AY232" s="3"/>
      <c r="AZ232" s="3"/>
      <c r="BA232" s="3"/>
      <c r="BB232" s="3"/>
      <c r="BC232" s="3"/>
      <c r="BD232" s="3"/>
      <c r="BE232" s="3"/>
      <c r="BF232" s="3"/>
      <c r="BG232" s="3"/>
      <c r="BH232" s="3"/>
      <c r="BI232" s="3"/>
      <c r="BJ232" s="3"/>
      <c r="BK232" s="3"/>
      <c r="BL232" s="3"/>
      <c r="BM232" s="2"/>
      <c r="BN232" s="1"/>
      <c r="BO232" s="334"/>
      <c r="BP232" s="334"/>
      <c r="BQ232" s="334"/>
      <c r="BR232" s="334"/>
      <c r="BS232" s="1"/>
      <c r="BT232" s="1"/>
      <c r="BU232" s="1"/>
      <c r="BV232" s="1"/>
      <c r="BW232" s="1"/>
      <c r="BX232" s="1"/>
    </row>
    <row x14ac:dyDescent="0.25" r="233" customHeight="1" ht="17.25">
      <c r="A233" s="227"/>
      <c r="B233" s="227"/>
      <c r="C233" s="227"/>
      <c r="D233" s="227"/>
      <c r="E233" s="227"/>
      <c r="F233" s="227"/>
      <c r="G233" s="227"/>
      <c r="H233" s="227"/>
      <c r="I233" s="227"/>
      <c r="J233" s="227"/>
      <c r="K233" s="227"/>
      <c r="L233" s="227"/>
      <c r="M233" s="227"/>
      <c r="N233" s="227"/>
      <c r="O233" s="227"/>
      <c r="P233" s="2"/>
      <c r="Q233" s="2"/>
      <c r="R233" s="9"/>
      <c r="S233" s="3"/>
      <c r="T233" s="9"/>
      <c r="U233" s="3"/>
      <c r="V233" s="9"/>
      <c r="W233" s="3"/>
      <c r="X233" s="9"/>
      <c r="Y233" s="3"/>
      <c r="Z233" s="9"/>
      <c r="AA233" s="3"/>
      <c r="AB233" s="2"/>
      <c r="AC233" s="1"/>
      <c r="AD233" s="11"/>
      <c r="AE233" s="145"/>
      <c r="AF233" s="530"/>
      <c r="AG233" s="69"/>
      <c r="AH233" s="528"/>
      <c r="AI233" s="528"/>
      <c r="AJ233" s="528"/>
      <c r="AK233" s="528"/>
      <c r="AL233" s="528"/>
      <c r="AM233" s="528"/>
      <c r="AN233" s="528"/>
      <c r="AO233" s="528"/>
      <c r="AP233" s="528"/>
      <c r="AQ233" s="3"/>
      <c r="AR233" s="5"/>
      <c r="AS233" s="3"/>
      <c r="AT233" s="3"/>
      <c r="AU233" s="2"/>
      <c r="AV233" s="3"/>
      <c r="AW233" s="3"/>
      <c r="AX233" s="3"/>
      <c r="AY233" s="3"/>
      <c r="AZ233" s="3"/>
      <c r="BA233" s="3"/>
      <c r="BB233" s="3"/>
      <c r="BC233" s="3"/>
      <c r="BD233" s="3"/>
      <c r="BE233" s="3"/>
      <c r="BF233" s="3"/>
      <c r="BG233" s="3"/>
      <c r="BH233" s="3"/>
      <c r="BI233" s="3"/>
      <c r="BJ233" s="3"/>
      <c r="BK233" s="3"/>
      <c r="BL233" s="3"/>
      <c r="BM233" s="2"/>
      <c r="BN233" s="1"/>
      <c r="BO233" s="334"/>
      <c r="BP233" s="334"/>
      <c r="BQ233" s="334"/>
      <c r="BR233" s="334"/>
      <c r="BS233" s="1"/>
      <c r="BT233" s="1"/>
      <c r="BU233" s="1"/>
      <c r="BV233" s="1"/>
      <c r="BW233" s="1"/>
      <c r="BX233" s="1"/>
    </row>
    <row x14ac:dyDescent="0.25" r="234" customHeight="1" ht="17.25">
      <c r="A234" s="227"/>
      <c r="B234" s="227"/>
      <c r="C234" s="227"/>
      <c r="D234" s="227"/>
      <c r="E234" s="227"/>
      <c r="F234" s="227"/>
      <c r="G234" s="227"/>
      <c r="H234" s="227"/>
      <c r="I234" s="227"/>
      <c r="J234" s="227"/>
      <c r="K234" s="227"/>
      <c r="L234" s="227"/>
      <c r="M234" s="227"/>
      <c r="N234" s="227"/>
      <c r="O234" s="227"/>
      <c r="P234" s="2"/>
      <c r="Q234" s="2"/>
      <c r="R234" s="9"/>
      <c r="S234" s="3"/>
      <c r="T234" s="9"/>
      <c r="U234" s="3"/>
      <c r="V234" s="9"/>
      <c r="W234" s="3"/>
      <c r="X234" s="9"/>
      <c r="Y234" s="3"/>
      <c r="Z234" s="9"/>
      <c r="AA234" s="3"/>
      <c r="AB234" s="2"/>
      <c r="AC234" s="1"/>
      <c r="AD234" s="11"/>
      <c r="AE234" s="145"/>
      <c r="AF234" s="530"/>
      <c r="AG234" s="69"/>
      <c r="AH234" s="528"/>
      <c r="AI234" s="528"/>
      <c r="AJ234" s="528"/>
      <c r="AK234" s="528"/>
      <c r="AL234" s="528"/>
      <c r="AM234" s="528"/>
      <c r="AN234" s="528"/>
      <c r="AO234" s="528"/>
      <c r="AP234" s="528"/>
      <c r="AQ234" s="3"/>
      <c r="AR234" s="5"/>
      <c r="AS234" s="3"/>
      <c r="AT234" s="3"/>
      <c r="AU234" s="2"/>
      <c r="AV234" s="3"/>
      <c r="AW234" s="3"/>
      <c r="AX234" s="3"/>
      <c r="AY234" s="3"/>
      <c r="AZ234" s="3"/>
      <c r="BA234" s="3"/>
      <c r="BB234" s="3"/>
      <c r="BC234" s="3"/>
      <c r="BD234" s="3"/>
      <c r="BE234" s="3"/>
      <c r="BF234" s="3"/>
      <c r="BG234" s="3"/>
      <c r="BH234" s="3"/>
      <c r="BI234" s="3"/>
      <c r="BJ234" s="3"/>
      <c r="BK234" s="3"/>
      <c r="BL234" s="3"/>
      <c r="BM234" s="2"/>
      <c r="BN234" s="1"/>
      <c r="BO234" s="334"/>
      <c r="BP234" s="334"/>
      <c r="BQ234" s="334"/>
      <c r="BR234" s="334"/>
      <c r="BS234" s="1"/>
      <c r="BT234" s="1"/>
      <c r="BU234" s="1"/>
      <c r="BV234" s="1"/>
      <c r="BW234" s="1"/>
      <c r="BX234" s="1"/>
    </row>
    <row x14ac:dyDescent="0.25" r="235" customHeight="1" ht="17.25">
      <c r="A235" s="227"/>
      <c r="B235" s="227"/>
      <c r="C235" s="227"/>
      <c r="D235" s="227"/>
      <c r="E235" s="227"/>
      <c r="F235" s="227"/>
      <c r="G235" s="227"/>
      <c r="H235" s="227"/>
      <c r="I235" s="227"/>
      <c r="J235" s="227"/>
      <c r="K235" s="227"/>
      <c r="L235" s="227"/>
      <c r="M235" s="227"/>
      <c r="N235" s="227"/>
      <c r="O235" s="227"/>
      <c r="P235" s="2"/>
      <c r="Q235" s="2"/>
      <c r="R235" s="9"/>
      <c r="S235" s="3"/>
      <c r="T235" s="9"/>
      <c r="U235" s="3"/>
      <c r="V235" s="9"/>
      <c r="W235" s="3"/>
      <c r="X235" s="9"/>
      <c r="Y235" s="3"/>
      <c r="Z235" s="9"/>
      <c r="AA235" s="3"/>
      <c r="AB235" s="2"/>
      <c r="AC235" s="1"/>
      <c r="AD235" s="11"/>
      <c r="AE235" s="145"/>
      <c r="AF235" s="530"/>
      <c r="AG235" s="69"/>
      <c r="AH235" s="528"/>
      <c r="AI235" s="528"/>
      <c r="AJ235" s="528"/>
      <c r="AK235" s="528"/>
      <c r="AL235" s="528"/>
      <c r="AM235" s="528"/>
      <c r="AN235" s="528"/>
      <c r="AO235" s="528"/>
      <c r="AP235" s="528"/>
      <c r="AQ235" s="3"/>
      <c r="AR235" s="5"/>
      <c r="AS235" s="3"/>
      <c r="AT235" s="3"/>
      <c r="AU235" s="2"/>
      <c r="AV235" s="3"/>
      <c r="AW235" s="3"/>
      <c r="AX235" s="3"/>
      <c r="AY235" s="3"/>
      <c r="AZ235" s="3"/>
      <c r="BA235" s="3"/>
      <c r="BB235" s="3"/>
      <c r="BC235" s="3"/>
      <c r="BD235" s="3"/>
      <c r="BE235" s="3"/>
      <c r="BF235" s="3"/>
      <c r="BG235" s="3"/>
      <c r="BH235" s="3"/>
      <c r="BI235" s="3"/>
      <c r="BJ235" s="3"/>
      <c r="BK235" s="3"/>
      <c r="BL235" s="3"/>
      <c r="BM235" s="2"/>
      <c r="BN235" s="1"/>
      <c r="BO235" s="334"/>
      <c r="BP235" s="334"/>
      <c r="BQ235" s="334"/>
      <c r="BR235" s="334"/>
      <c r="BS235" s="1"/>
      <c r="BT235" s="1"/>
      <c r="BU235" s="1"/>
      <c r="BV235" s="1"/>
      <c r="BW235" s="1"/>
      <c r="BX235" s="1"/>
    </row>
    <row x14ac:dyDescent="0.25" r="236" customHeight="1" ht="17.25">
      <c r="A236" s="227"/>
      <c r="B236" s="227"/>
      <c r="C236" s="227"/>
      <c r="D236" s="227"/>
      <c r="E236" s="227"/>
      <c r="F236" s="227"/>
      <c r="G236" s="227"/>
      <c r="H236" s="227"/>
      <c r="I236" s="227"/>
      <c r="J236" s="227"/>
      <c r="K236" s="227"/>
      <c r="L236" s="227"/>
      <c r="M236" s="227"/>
      <c r="N236" s="227"/>
      <c r="O236" s="227"/>
      <c r="P236" s="2"/>
      <c r="Q236" s="2"/>
      <c r="R236" s="9"/>
      <c r="S236" s="3"/>
      <c r="T236" s="9"/>
      <c r="U236" s="3"/>
      <c r="V236" s="9"/>
      <c r="W236" s="3"/>
      <c r="X236" s="9"/>
      <c r="Y236" s="3"/>
      <c r="Z236" s="9"/>
      <c r="AA236" s="3"/>
      <c r="AB236" s="2"/>
      <c r="AC236" s="1"/>
      <c r="AD236" s="11"/>
      <c r="AE236" s="145"/>
      <c r="AF236" s="530"/>
      <c r="AG236" s="69"/>
      <c r="AH236" s="528"/>
      <c r="AI236" s="528"/>
      <c r="AJ236" s="528"/>
      <c r="AK236" s="528"/>
      <c r="AL236" s="528"/>
      <c r="AM236" s="528"/>
      <c r="AN236" s="528"/>
      <c r="AO236" s="528"/>
      <c r="AP236" s="528"/>
      <c r="AQ236" s="3"/>
      <c r="AR236" s="5"/>
      <c r="AS236" s="3"/>
      <c r="AT236" s="3"/>
      <c r="AU236" s="2"/>
      <c r="AV236" s="3"/>
      <c r="AW236" s="3"/>
      <c r="AX236" s="3"/>
      <c r="AY236" s="3"/>
      <c r="AZ236" s="3"/>
      <c r="BA236" s="3"/>
      <c r="BB236" s="3"/>
      <c r="BC236" s="3"/>
      <c r="BD236" s="3"/>
      <c r="BE236" s="3"/>
      <c r="BF236" s="3"/>
      <c r="BG236" s="3"/>
      <c r="BH236" s="3"/>
      <c r="BI236" s="3"/>
      <c r="BJ236" s="3"/>
      <c r="BK236" s="3"/>
      <c r="BL236" s="3"/>
      <c r="BM236" s="2"/>
      <c r="BN236" s="1"/>
      <c r="BO236" s="334"/>
      <c r="BP236" s="334"/>
      <c r="BQ236" s="334"/>
      <c r="BR236" s="334"/>
      <c r="BS236" s="1"/>
      <c r="BT236" s="1"/>
      <c r="BU236" s="1"/>
      <c r="BV236" s="1"/>
      <c r="BW236" s="1"/>
      <c r="BX236" s="1"/>
    </row>
  </sheetData>
  <mergeCells count="39">
    <mergeCell ref="P17:AC17"/>
    <mergeCell ref="AE17:AM17"/>
    <mergeCell ref="AN17:AP17"/>
    <mergeCell ref="P18:Z18"/>
    <mergeCell ref="AB18:AC18"/>
    <mergeCell ref="AE18:AF18"/>
    <mergeCell ref="AN18:AN19"/>
    <mergeCell ref="AO18:AO19"/>
    <mergeCell ref="AP18:AP19"/>
    <mergeCell ref="P19:P22"/>
    <mergeCell ref="Q19:Q22"/>
    <mergeCell ref="R19:S22"/>
    <mergeCell ref="T19:U22"/>
    <mergeCell ref="V19:W22"/>
    <mergeCell ref="X19:Y22"/>
    <mergeCell ref="Z19:AA22"/>
    <mergeCell ref="AB19:AC19"/>
    <mergeCell ref="AR19:AU19"/>
    <mergeCell ref="AV19:AY19"/>
    <mergeCell ref="BM19:BR19"/>
    <mergeCell ref="AB20:AC22"/>
    <mergeCell ref="BM20:BM22"/>
    <mergeCell ref="BN20:BN22"/>
    <mergeCell ref="BO20:BP20"/>
    <mergeCell ref="BQ20:BR20"/>
    <mergeCell ref="AZ21:BK21"/>
    <mergeCell ref="BO21:BO22"/>
    <mergeCell ref="BP21:BP22"/>
    <mergeCell ref="BQ21:BQ22"/>
    <mergeCell ref="BR21:BR22"/>
    <mergeCell ref="AG40:AK40"/>
    <mergeCell ref="AL40:AM40"/>
    <mergeCell ref="AG41:AK41"/>
    <mergeCell ref="AL41:AP41"/>
    <mergeCell ref="AR41:AS41"/>
    <mergeCell ref="AR48:AS48"/>
    <mergeCell ref="P89:AC89"/>
    <mergeCell ref="P96:AC97"/>
    <mergeCell ref="P98:AC1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C157"/>
  <sheetViews>
    <sheetView workbookViewId="0">
      <pane state="frozen" activePane="bottomLeft" topLeftCell="A6" ySplit="5" xSplit="0"/>
    </sheetView>
  </sheetViews>
  <sheetFormatPr defaultRowHeight="15" x14ac:dyDescent="0.25"/>
  <cols>
    <col min="1" max="1" style="216" width="1.8621428571428573" customWidth="1" bestFit="1"/>
    <col min="2" max="2" style="218" width="5.576428571428571" customWidth="1" bestFit="1"/>
    <col min="3" max="3" style="218" width="5.576428571428571" customWidth="1" bestFit="1"/>
    <col min="4" max="4" style="218" width="5.576428571428571" customWidth="1" bestFit="1"/>
    <col min="5" max="5" style="218" width="5.576428571428571" customWidth="1" bestFit="1"/>
    <col min="6" max="6" style="218" width="5.576428571428571" customWidth="1" bestFit="1"/>
    <col min="7" max="7" style="218" width="5.576428571428571" customWidth="1" bestFit="1"/>
    <col min="8" max="8" style="218" width="5.576428571428571" customWidth="1" bestFit="1"/>
    <col min="9" max="9" style="218" width="5.576428571428571" customWidth="1" bestFit="1"/>
    <col min="10" max="10" style="218" width="5.576428571428571" customWidth="1" bestFit="1"/>
    <col min="11" max="11" style="218" width="5.576428571428571" customWidth="1" bestFit="1"/>
    <col min="12" max="12" style="218" width="5.576428571428571" customWidth="1" bestFit="1"/>
    <col min="13" max="13" style="218" width="5.576428571428571" customWidth="1" bestFit="1"/>
    <col min="14" max="14" style="218" width="5.576428571428571" customWidth="1" bestFit="1"/>
    <col min="15" max="15" style="218" width="5.576428571428571" customWidth="1" bestFit="1"/>
    <col min="16" max="16" style="218" width="5.576428571428571" customWidth="1" bestFit="1"/>
    <col min="17" max="17" style="218" width="5.576428571428571" customWidth="1" bestFit="1"/>
    <col min="18" max="18" style="218" width="5.576428571428571" customWidth="1" bestFit="1"/>
    <col min="19" max="19" style="218" width="5.576428571428571" customWidth="1" bestFit="1"/>
    <col min="20" max="20" style="218" width="5.576428571428571" customWidth="1" bestFit="1"/>
    <col min="21" max="21" style="218" width="5.576428571428571" customWidth="1" bestFit="1"/>
    <col min="22" max="22" style="218" width="5.576428571428571" customWidth="1" bestFit="1"/>
    <col min="23" max="23" style="218" width="5.576428571428571" customWidth="1" bestFit="1"/>
    <col min="24" max="24" style="218" width="5.576428571428571" customWidth="1" bestFit="1"/>
    <col min="25" max="25" style="218" width="5.576428571428571" customWidth="1" bestFit="1"/>
    <col min="26" max="26" style="218" width="5.576428571428571" customWidth="1" bestFit="1"/>
    <col min="27" max="27" style="218" width="5.576428571428571" customWidth="1" bestFit="1"/>
    <col min="28" max="28" style="218" width="5.576428571428571" customWidth="1" bestFit="1"/>
    <col min="29" max="29" style="218" width="5.576428571428571" customWidth="1" bestFit="1"/>
    <col min="30" max="30" style="218" width="5.576428571428571" customWidth="1" bestFit="1"/>
    <col min="31" max="31" style="218" width="5.576428571428571" customWidth="1" bestFit="1"/>
    <col min="32" max="32" style="218" width="5.576428571428571" customWidth="1" bestFit="1"/>
    <col min="33" max="33" style="218" width="5.576428571428571" customWidth="1" bestFit="1"/>
    <col min="34" max="34" style="218" width="5.576428571428571" customWidth="1" bestFit="1"/>
    <col min="35" max="35" style="218" width="5.576428571428571" customWidth="1" bestFit="1"/>
    <col min="36" max="36" style="218" width="5.576428571428571" customWidth="1" bestFit="1"/>
    <col min="37" max="37" style="218" width="5.576428571428571" customWidth="1" bestFit="1"/>
    <col min="38" max="38" style="264" width="5.576428571428571" customWidth="1" bestFit="1"/>
    <col min="39" max="39" style="264" width="5.576428571428571" customWidth="1" bestFit="1"/>
    <col min="40" max="40" style="218" width="5.576428571428571" customWidth="1" bestFit="1"/>
    <col min="41" max="41" style="218" width="5.576428571428571" customWidth="1" bestFit="1"/>
    <col min="42" max="42" style="218" width="5.576428571428571" customWidth="1" bestFit="1"/>
    <col min="43" max="43" style="218" width="5.576428571428571" customWidth="1" bestFit="1"/>
    <col min="44" max="44" style="218" width="5.576428571428571" customWidth="1" bestFit="1"/>
    <col min="45" max="45" style="218" width="5.576428571428571" customWidth="1" bestFit="1"/>
    <col min="46" max="46" style="218" width="5.576428571428571" customWidth="1" bestFit="1"/>
    <col min="47" max="47" style="218" width="5.576428571428571" customWidth="1" bestFit="1"/>
    <col min="48" max="48" style="218" width="5.576428571428571" customWidth="1" bestFit="1"/>
    <col min="49" max="49" style="218" width="5.576428571428571" customWidth="1" bestFit="1"/>
    <col min="50" max="50" style="218" width="5.576428571428571" customWidth="1" bestFit="1"/>
    <col min="51" max="51" style="218" width="5.576428571428571" customWidth="1" bestFit="1"/>
    <col min="52" max="52" style="218" width="5.576428571428571" customWidth="1" bestFit="1"/>
    <col min="53" max="53" style="218" width="5.576428571428571" customWidth="1" bestFit="1"/>
    <col min="54" max="54" style="218" width="5.576428571428571" customWidth="1" bestFit="1"/>
    <col min="55" max="55" style="218" width="5.576428571428571" customWidth="1" bestFit="1"/>
    <col min="56" max="56" style="218" width="5.576428571428571" customWidth="1" bestFit="1"/>
    <col min="57" max="57" style="218" width="5.576428571428571" customWidth="1" bestFit="1"/>
    <col min="58" max="58" style="218" width="5.576428571428571" customWidth="1" bestFit="1"/>
    <col min="59" max="59" style="218" width="5.576428571428571" customWidth="1" bestFit="1"/>
    <col min="60" max="60" style="218" width="5.576428571428571" customWidth="1" bestFit="1"/>
    <col min="61" max="61" style="218" width="5.576428571428571" customWidth="1" bestFit="1"/>
    <col min="62" max="62" style="218" width="5.576428571428571" customWidth="1" bestFit="1"/>
    <col min="63" max="63" style="218" width="5.576428571428571" customWidth="1" bestFit="1"/>
    <col min="64" max="64" style="218" width="5.576428571428571" customWidth="1" bestFit="1"/>
    <col min="65" max="65" style="218" width="5.576428571428571" customWidth="1" bestFit="1"/>
    <col min="66" max="66" style="218" width="5.576428571428571" customWidth="1" bestFit="1"/>
    <col min="67" max="67" style="218" width="5.576428571428571" customWidth="1" bestFit="1"/>
    <col min="68" max="68" style="218" width="5.576428571428571" customWidth="1" bestFit="1"/>
    <col min="69" max="69" style="218" width="5.576428571428571" customWidth="1" bestFit="1"/>
    <col min="70" max="70" style="218" width="5.576428571428571" customWidth="1" bestFit="1"/>
    <col min="71" max="71" style="218" width="5.576428571428571" customWidth="1" bestFit="1"/>
    <col min="72" max="72" style="218" width="5.576428571428571" customWidth="1" bestFit="1"/>
    <col min="73" max="73" style="218" width="5.576428571428571" customWidth="1" bestFit="1"/>
    <col min="74" max="74" style="218" width="5.576428571428571" customWidth="1" bestFit="1"/>
    <col min="75" max="75" style="218" width="5.576428571428571" customWidth="1" bestFit="1"/>
    <col min="76" max="76" style="218" width="5.576428571428571" customWidth="1" bestFit="1"/>
    <col min="77" max="77" style="218" width="5.576428571428571" customWidth="1" bestFit="1"/>
    <col min="78" max="78" style="218" width="5.576428571428571" customWidth="1" bestFit="1"/>
    <col min="79" max="79" style="218" width="5.576428571428571" customWidth="1" bestFit="1"/>
    <col min="80" max="80" style="218" width="5.576428571428571" customWidth="1" bestFit="1"/>
    <col min="81" max="81" style="218" width="5.576428571428571" customWidth="1" bestFit="1"/>
    <col min="82" max="82" style="218" width="5.576428571428571" customWidth="1" bestFit="1"/>
    <col min="83" max="83" style="218" width="5.576428571428571" customWidth="1" bestFit="1"/>
    <col min="84" max="84" style="218" width="5.576428571428571" customWidth="1" bestFit="1"/>
    <col min="85" max="85" style="218" width="5.576428571428571" customWidth="1" bestFit="1"/>
    <col min="86" max="86" style="218" width="5.576428571428571" customWidth="1" bestFit="1"/>
    <col min="87" max="87" style="218" width="5.576428571428571" customWidth="1" bestFit="1"/>
    <col min="88" max="88" style="218" width="5.576428571428571" customWidth="1" bestFit="1"/>
    <col min="89" max="89" style="218" width="5.576428571428571" customWidth="1" bestFit="1"/>
    <col min="90" max="90" style="218" width="5.576428571428571" customWidth="1" bestFit="1"/>
    <col min="91" max="91" style="218" width="5.576428571428571" customWidth="1" bestFit="1"/>
    <col min="92" max="92" style="218" width="5.576428571428571" customWidth="1" bestFit="1"/>
    <col min="93" max="93" style="218" width="5.576428571428571" customWidth="1" bestFit="1"/>
    <col min="94" max="94" style="218" width="5.576428571428571" customWidth="1" bestFit="1"/>
    <col min="95" max="95" style="218" width="5.576428571428571" customWidth="1" bestFit="1"/>
    <col min="96" max="96" style="218" width="5.576428571428571" customWidth="1" bestFit="1"/>
    <col min="97" max="97" style="218" width="5.576428571428571" customWidth="1" bestFit="1"/>
    <col min="98" max="98" style="218" width="5.576428571428571" customWidth="1" bestFit="1"/>
    <col min="99" max="99" style="218" width="5.576428571428571" customWidth="1" bestFit="1"/>
    <col min="100" max="100" style="218" width="5.576428571428571" customWidth="1" bestFit="1"/>
    <col min="101" max="101" style="218" width="5.576428571428571" customWidth="1" bestFit="1"/>
    <col min="102" max="102" style="218" width="5.576428571428571" customWidth="1" bestFit="1"/>
    <col min="103" max="103" style="218" width="5.576428571428571" customWidth="1" bestFit="1"/>
    <col min="104" max="104" style="218" width="5.576428571428571" customWidth="1" bestFit="1"/>
    <col min="105" max="105" style="218" width="5.576428571428571" customWidth="1" bestFit="1"/>
    <col min="106" max="106" style="218" width="5.576428571428571" customWidth="1" bestFit="1"/>
    <col min="107" max="107" style="218" width="5.576428571428571" customWidth="1" bestFit="1"/>
    <col min="108" max="108" style="218" width="5.576428571428571" customWidth="1" bestFit="1"/>
    <col min="109" max="109" style="218" width="5.576428571428571" customWidth="1" bestFit="1"/>
    <col min="110" max="110" style="218" width="5.576428571428571" customWidth="1" bestFit="1"/>
    <col min="111" max="111" style="218" width="5.576428571428571" customWidth="1" bestFit="1"/>
    <col min="112" max="112" style="218" width="5.576428571428571" customWidth="1" bestFit="1"/>
    <col min="113" max="113" style="218" width="5.576428571428571" customWidth="1" bestFit="1"/>
    <col min="114" max="114" style="218" width="5.576428571428571" customWidth="1" bestFit="1"/>
    <col min="115" max="115" style="218" width="5.576428571428571" customWidth="1" bestFit="1"/>
    <col min="116" max="116" style="218" width="5.576428571428571" customWidth="1" bestFit="1"/>
    <col min="117" max="117" style="218" width="5.576428571428571" customWidth="1" bestFit="1"/>
    <col min="118" max="118" style="218" width="5.576428571428571" customWidth="1" bestFit="1"/>
    <col min="119" max="119" style="218" width="5.576428571428571" customWidth="1" bestFit="1"/>
    <col min="120" max="120" style="218" width="5.576428571428571" customWidth="1" bestFit="1"/>
    <col min="121" max="121" style="218" width="5.576428571428571" customWidth="1" bestFit="1"/>
    <col min="122" max="122" style="218" width="5.576428571428571" customWidth="1" bestFit="1"/>
    <col min="123" max="123" style="218" width="5.576428571428571" customWidth="1" bestFit="1"/>
    <col min="124" max="124" style="218" width="5.576428571428571" customWidth="1" bestFit="1"/>
    <col min="125" max="125" style="218" width="5.576428571428571" customWidth="1" bestFit="1"/>
    <col min="126" max="126" style="218" width="5.576428571428571" customWidth="1" bestFit="1"/>
    <col min="127" max="127" style="218" width="5.576428571428571" customWidth="1" bestFit="1"/>
    <col min="128" max="128" style="218" width="5.576428571428571" customWidth="1" bestFit="1"/>
    <col min="129" max="129" style="218" width="5.576428571428571" customWidth="1" bestFit="1"/>
    <col min="130" max="130" style="218" width="5.576428571428571" customWidth="1" bestFit="1"/>
    <col min="131" max="131" style="218" width="5.576428571428571" customWidth="1" bestFit="1"/>
    <col min="132" max="132" style="218" width="5.576428571428571" customWidth="1" bestFit="1"/>
    <col min="133" max="133" style="218" width="5.576428571428571" customWidth="1" bestFit="1"/>
  </cols>
  <sheetData>
    <row x14ac:dyDescent="0.25" r="1" customHeight="1" ht="5.5">
      <c r="A1" s="1"/>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253"/>
      <c r="AM1" s="25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row>
    <row x14ac:dyDescent="0.25" r="2" customHeight="1" ht="28.5">
      <c r="A2" s="1"/>
      <c r="B2" s="269" t="s">
        <v>200</v>
      </c>
      <c r="C2" s="270"/>
      <c r="D2" s="270"/>
      <c r="E2" s="270"/>
      <c r="F2" s="270"/>
      <c r="G2" s="270"/>
      <c r="H2" s="270"/>
      <c r="I2" s="270"/>
      <c r="J2" s="270"/>
      <c r="K2" s="270"/>
      <c r="L2" s="270"/>
      <c r="M2" s="270"/>
      <c r="N2" s="270"/>
      <c r="O2" s="270"/>
      <c r="P2" s="270"/>
      <c r="Q2" s="270"/>
      <c r="R2" s="270"/>
      <c r="S2" s="270"/>
      <c r="T2" s="270"/>
      <c r="U2" s="270"/>
      <c r="V2" s="270"/>
      <c r="W2" s="270"/>
      <c r="X2" s="270"/>
      <c r="Y2" s="270"/>
      <c r="Z2" s="270"/>
      <c r="AA2" s="270"/>
      <c r="AB2" s="271"/>
      <c r="AC2" s="3"/>
      <c r="AD2" s="3"/>
      <c r="AE2" s="3"/>
      <c r="AF2" s="3"/>
      <c r="AG2" s="3"/>
      <c r="AH2" s="3"/>
      <c r="AI2" s="3"/>
      <c r="AJ2" s="3"/>
      <c r="AK2" s="3"/>
      <c r="AL2" s="253"/>
      <c r="AM2" s="25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row>
    <row x14ac:dyDescent="0.25" r="3" customHeight="1" ht="17.25">
      <c r="A3" s="1"/>
      <c r="B3" s="272" t="s">
        <v>201</v>
      </c>
      <c r="C3" s="273"/>
      <c r="D3" s="273"/>
      <c r="E3" s="273"/>
      <c r="F3" s="274"/>
      <c r="G3" s="275"/>
      <c r="H3" s="272" t="s">
        <v>202</v>
      </c>
      <c r="I3" s="273"/>
      <c r="J3" s="273"/>
      <c r="K3" s="273"/>
      <c r="L3" s="274"/>
      <c r="M3" s="3"/>
      <c r="N3" s="276" t="s">
        <v>203</v>
      </c>
      <c r="O3" s="277"/>
      <c r="P3" s="278" t="s">
        <v>204</v>
      </c>
      <c r="Q3" s="279"/>
      <c r="R3" s="279"/>
      <c r="S3" s="279"/>
      <c r="T3" s="279"/>
      <c r="U3" s="279"/>
      <c r="V3" s="279"/>
      <c r="W3" s="279"/>
      <c r="X3" s="279"/>
      <c r="Y3" s="279"/>
      <c r="Z3" s="279"/>
      <c r="AA3" s="279"/>
      <c r="AB3" s="280"/>
      <c r="AC3" s="3"/>
      <c r="AD3" s="3"/>
      <c r="AE3" s="3"/>
      <c r="AF3" s="3"/>
      <c r="AG3" s="3"/>
      <c r="AH3" s="3"/>
      <c r="AI3" s="3"/>
      <c r="AJ3" s="3"/>
      <c r="AK3" s="3"/>
      <c r="AL3" s="253"/>
      <c r="AM3" s="25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272" t="s">
        <v>205</v>
      </c>
      <c r="CC3" s="273"/>
      <c r="CD3" s="273"/>
      <c r="CE3" s="273"/>
      <c r="CF3" s="274"/>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row>
    <row x14ac:dyDescent="0.25" r="4" customHeight="1" ht="6">
      <c r="A4" s="1"/>
      <c r="B4" s="281"/>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253"/>
      <c r="AM4" s="25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row>
    <row x14ac:dyDescent="0.25" r="5" customHeight="1" ht="15">
      <c r="A5" s="1"/>
      <c r="B5" s="282" t="s">
        <v>41</v>
      </c>
      <c r="C5" s="283"/>
      <c r="D5" s="282" t="s">
        <v>44</v>
      </c>
      <c r="E5" s="283"/>
      <c r="F5" s="282" t="s">
        <v>50</v>
      </c>
      <c r="G5" s="283"/>
      <c r="H5" s="282" t="s">
        <v>56</v>
      </c>
      <c r="I5" s="283"/>
      <c r="J5" s="282" t="s">
        <v>206</v>
      </c>
      <c r="K5" s="283"/>
      <c r="L5" s="282" t="s">
        <v>67</v>
      </c>
      <c r="M5" s="283"/>
      <c r="N5" s="282" t="s">
        <v>73</v>
      </c>
      <c r="O5" s="283"/>
      <c r="P5" s="282" t="s">
        <v>79</v>
      </c>
      <c r="Q5" s="283"/>
      <c r="R5" s="282" t="s">
        <v>84</v>
      </c>
      <c r="S5" s="283"/>
      <c r="T5" s="282" t="s">
        <v>89</v>
      </c>
      <c r="U5" s="283"/>
      <c r="V5" s="282" t="s">
        <v>93</v>
      </c>
      <c r="W5" s="283"/>
      <c r="X5" s="282" t="s">
        <v>97</v>
      </c>
      <c r="Y5" s="283"/>
      <c r="Z5" s="282" t="s">
        <v>101</v>
      </c>
      <c r="AA5" s="283"/>
      <c r="AB5" s="282" t="s">
        <v>105</v>
      </c>
      <c r="AC5" s="283"/>
      <c r="AD5" s="282" t="s">
        <v>109</v>
      </c>
      <c r="AE5" s="283"/>
      <c r="AF5" s="282" t="s">
        <v>113</v>
      </c>
      <c r="AG5" s="283"/>
      <c r="AH5" s="282" t="s">
        <v>117</v>
      </c>
      <c r="AI5" s="283"/>
      <c r="AJ5" s="282" t="s">
        <v>121</v>
      </c>
      <c r="AK5" s="283"/>
      <c r="AL5" s="282" t="s">
        <v>125</v>
      </c>
      <c r="AM5" s="283"/>
      <c r="AN5" s="282" t="s">
        <v>129</v>
      </c>
      <c r="AO5" s="283"/>
      <c r="AP5" s="282" t="s">
        <v>133</v>
      </c>
      <c r="AQ5" s="283"/>
      <c r="AR5" s="282" t="s">
        <v>207</v>
      </c>
      <c r="AS5" s="283"/>
      <c r="AT5" s="282" t="s">
        <v>141</v>
      </c>
      <c r="AU5" s="283"/>
      <c r="AV5" s="282" t="s">
        <v>145</v>
      </c>
      <c r="AW5" s="283"/>
      <c r="AX5" s="282" t="s">
        <v>149</v>
      </c>
      <c r="AY5" s="283"/>
      <c r="AZ5" s="282" t="s">
        <v>153</v>
      </c>
      <c r="BA5" s="283"/>
      <c r="BB5" s="282" t="s">
        <v>157</v>
      </c>
      <c r="BC5" s="283"/>
      <c r="BD5" s="282" t="s">
        <v>160</v>
      </c>
      <c r="BE5" s="283"/>
      <c r="BF5" s="282" t="s">
        <v>163</v>
      </c>
      <c r="BG5" s="283"/>
      <c r="BH5" s="282" t="s">
        <v>166</v>
      </c>
      <c r="BI5" s="283"/>
      <c r="BJ5" s="282" t="s">
        <v>168</v>
      </c>
      <c r="BK5" s="283"/>
      <c r="BL5" s="282" t="s">
        <v>170</v>
      </c>
      <c r="BM5" s="283"/>
      <c r="BN5" s="282" t="s">
        <v>172</v>
      </c>
      <c r="BO5" s="283"/>
      <c r="BP5" s="282" t="s">
        <v>174</v>
      </c>
      <c r="BQ5" s="283"/>
      <c r="BR5" s="282" t="s">
        <v>176</v>
      </c>
      <c r="BS5" s="283"/>
      <c r="BT5" s="282" t="s">
        <v>178</v>
      </c>
      <c r="BU5" s="283"/>
      <c r="BV5" s="282" t="s">
        <v>180</v>
      </c>
      <c r="BW5" s="283"/>
      <c r="BX5" s="282" t="s">
        <v>182</v>
      </c>
      <c r="BY5" s="283"/>
      <c r="BZ5" s="282" t="s">
        <v>183</v>
      </c>
      <c r="CA5" s="284"/>
      <c r="CB5" s="285" t="s">
        <v>53</v>
      </c>
      <c r="CC5" s="283"/>
      <c r="CD5" s="282" t="s">
        <v>59</v>
      </c>
      <c r="CE5" s="283"/>
      <c r="CF5" s="282" t="s">
        <v>45</v>
      </c>
      <c r="CG5" s="283"/>
      <c r="CH5" s="282" t="s">
        <v>70</v>
      </c>
      <c r="CI5" s="283"/>
      <c r="CJ5" s="282" t="s">
        <v>76</v>
      </c>
      <c r="CK5" s="283"/>
      <c r="CL5" s="282" t="s">
        <v>81</v>
      </c>
      <c r="CM5" s="283"/>
      <c r="CN5" s="282" t="s">
        <v>208</v>
      </c>
      <c r="CO5" s="283"/>
      <c r="CP5" s="282" t="s">
        <v>91</v>
      </c>
      <c r="CQ5" s="283"/>
      <c r="CR5" s="282" t="s">
        <v>95</v>
      </c>
      <c r="CS5" s="283"/>
      <c r="CT5" s="282" t="s">
        <v>99</v>
      </c>
      <c r="CU5" s="283"/>
      <c r="CV5" s="282" t="s">
        <v>103</v>
      </c>
      <c r="CW5" s="283"/>
      <c r="CX5" s="282" t="s">
        <v>107</v>
      </c>
      <c r="CY5" s="283"/>
      <c r="CZ5" s="282" t="s">
        <v>209</v>
      </c>
      <c r="DA5" s="283"/>
      <c r="DB5" s="282" t="s">
        <v>210</v>
      </c>
      <c r="DC5" s="283"/>
      <c r="DD5" s="282" t="s">
        <v>119</v>
      </c>
      <c r="DE5" s="283"/>
      <c r="DF5" s="282" t="s">
        <v>123</v>
      </c>
      <c r="DG5" s="283"/>
      <c r="DH5" s="282" t="s">
        <v>127</v>
      </c>
      <c r="DI5" s="283"/>
      <c r="DJ5" s="282" t="s">
        <v>131</v>
      </c>
      <c r="DK5" s="283"/>
      <c r="DL5" s="282" t="s">
        <v>135</v>
      </c>
      <c r="DM5" s="283"/>
      <c r="DN5" s="282" t="s">
        <v>139</v>
      </c>
      <c r="DO5" s="283"/>
      <c r="DP5" s="282" t="s">
        <v>143</v>
      </c>
      <c r="DQ5" s="283"/>
      <c r="DR5" s="282" t="s">
        <v>147</v>
      </c>
      <c r="DS5" s="283"/>
      <c r="DT5" s="282" t="s">
        <v>151</v>
      </c>
      <c r="DU5" s="283"/>
      <c r="DV5" s="282" t="s">
        <v>155</v>
      </c>
      <c r="DW5" s="283"/>
      <c r="DX5" s="282" t="s">
        <v>158</v>
      </c>
      <c r="DY5" s="283"/>
      <c r="DZ5" s="282" t="s">
        <v>161</v>
      </c>
      <c r="EA5" s="283"/>
      <c r="EB5" s="282" t="s">
        <v>164</v>
      </c>
      <c r="EC5" s="283"/>
    </row>
    <row x14ac:dyDescent="0.25" r="6" customHeight="1" ht="17.25">
      <c r="A6" s="1"/>
      <c r="B6" s="286">
        <f>B73</f>
      </c>
      <c r="C6" s="287">
        <f>C73</f>
      </c>
      <c r="D6" s="286">
        <f>D73</f>
      </c>
      <c r="E6" s="287">
        <f>E73</f>
      </c>
      <c r="F6" s="286">
        <f>F73</f>
      </c>
      <c r="G6" s="287">
        <f>G73</f>
      </c>
      <c r="H6" s="286">
        <f>H73</f>
      </c>
      <c r="I6" s="287">
        <f>I73</f>
      </c>
      <c r="J6" s="286">
        <f>J73</f>
      </c>
      <c r="K6" s="287">
        <f>K73</f>
      </c>
      <c r="L6" s="286">
        <f>L73</f>
      </c>
      <c r="M6" s="287">
        <f>M73</f>
      </c>
      <c r="N6" s="286">
        <f>N73</f>
      </c>
      <c r="O6" s="287">
        <f>O73</f>
      </c>
      <c r="P6" s="286">
        <f>P73</f>
      </c>
      <c r="Q6" s="287">
        <f>Q73</f>
      </c>
      <c r="R6" s="286">
        <f>R73</f>
      </c>
      <c r="S6" s="287">
        <f>S73</f>
      </c>
      <c r="T6" s="286">
        <f>T73</f>
      </c>
      <c r="U6" s="287">
        <f>U73</f>
      </c>
      <c r="V6" s="286">
        <f>V73</f>
      </c>
      <c r="W6" s="287">
        <f>W73</f>
      </c>
      <c r="X6" s="286">
        <f>X73</f>
      </c>
      <c r="Y6" s="287">
        <f>Y73</f>
      </c>
      <c r="Z6" s="286">
        <f>Z73</f>
      </c>
      <c r="AA6" s="287">
        <f>AA73</f>
      </c>
      <c r="AB6" s="286">
        <f>AB73</f>
      </c>
      <c r="AC6" s="287">
        <f>AC73</f>
      </c>
      <c r="AD6" s="286">
        <f>AD73</f>
      </c>
      <c r="AE6" s="287">
        <f>AE73</f>
      </c>
      <c r="AF6" s="286">
        <f>AF73</f>
      </c>
      <c r="AG6" s="287">
        <f>AG73</f>
      </c>
      <c r="AH6" s="286">
        <f>AH73</f>
      </c>
      <c r="AI6" s="287">
        <f>AI73</f>
      </c>
      <c r="AJ6" s="286">
        <f>AJ73</f>
      </c>
      <c r="AK6" s="287">
        <f>AK73</f>
      </c>
      <c r="AL6" s="286">
        <f>AL157</f>
      </c>
      <c r="AM6" s="287">
        <f>AM157</f>
      </c>
      <c r="AN6" s="286">
        <f>AN73</f>
      </c>
      <c r="AO6" s="287">
        <f>AO73</f>
      </c>
      <c r="AP6" s="286">
        <f>AP73</f>
      </c>
      <c r="AQ6" s="287">
        <f>AQ73</f>
      </c>
      <c r="AR6" s="286">
        <f>AR73</f>
      </c>
      <c r="AS6" s="287">
        <f>AS73</f>
      </c>
      <c r="AT6" s="286">
        <f>AT73</f>
      </c>
      <c r="AU6" s="287">
        <f>AU73</f>
      </c>
      <c r="AV6" s="286">
        <f>AV73</f>
      </c>
      <c r="AW6" s="287">
        <f>AW73</f>
      </c>
      <c r="AX6" s="286">
        <f>AX73</f>
      </c>
      <c r="AY6" s="287">
        <f>AY73</f>
      </c>
      <c r="AZ6" s="286">
        <f>AZ73</f>
      </c>
      <c r="BA6" s="287">
        <f>BA73</f>
      </c>
      <c r="BB6" s="286">
        <f>BB73</f>
      </c>
      <c r="BC6" s="287">
        <f>BC73</f>
      </c>
      <c r="BD6" s="286">
        <f>BD73</f>
      </c>
      <c r="BE6" s="287">
        <f>BE73</f>
      </c>
      <c r="BF6" s="286">
        <f>BF73</f>
      </c>
      <c r="BG6" s="287">
        <f>BG73</f>
      </c>
      <c r="BH6" s="286">
        <f>BH73</f>
      </c>
      <c r="BI6" s="287">
        <f>BI73</f>
      </c>
      <c r="BJ6" s="286">
        <f>BJ73</f>
      </c>
      <c r="BK6" s="287">
        <f>BK73</f>
      </c>
      <c r="BL6" s="286">
        <f>BL73</f>
      </c>
      <c r="BM6" s="287">
        <f>BM73</f>
      </c>
      <c r="BN6" s="286">
        <f>BN73</f>
      </c>
      <c r="BO6" s="287">
        <f>BO73</f>
      </c>
      <c r="BP6" s="286">
        <f>BP73</f>
      </c>
      <c r="BQ6" s="287">
        <f>BQ73</f>
      </c>
      <c r="BR6" s="286">
        <f>BR73</f>
      </c>
      <c r="BS6" s="287">
        <f>BS73</f>
      </c>
      <c r="BT6" s="286">
        <f>BT73</f>
      </c>
      <c r="BU6" s="287">
        <f>BU73</f>
      </c>
      <c r="BV6" s="286">
        <f>BV73</f>
      </c>
      <c r="BW6" s="287">
        <f>BW73</f>
      </c>
      <c r="BX6" s="286">
        <f>BX73</f>
      </c>
      <c r="BY6" s="287">
        <f>BY73</f>
      </c>
      <c r="BZ6" s="286">
        <f>BZ73</f>
      </c>
      <c r="CA6" s="287">
        <f>CA73</f>
      </c>
      <c r="CB6" s="286">
        <f>CB73</f>
      </c>
      <c r="CC6" s="287">
        <f>CC73</f>
      </c>
      <c r="CD6" s="286">
        <f>CD73</f>
      </c>
      <c r="CE6" s="287">
        <f>CE73</f>
      </c>
      <c r="CF6" s="286">
        <f>CF73</f>
      </c>
      <c r="CG6" s="287">
        <f>CG73</f>
      </c>
      <c r="CH6" s="286">
        <f>CH73</f>
      </c>
      <c r="CI6" s="287">
        <f>CI73</f>
      </c>
      <c r="CJ6" s="286">
        <f>CJ73</f>
      </c>
      <c r="CK6" s="287">
        <f>CK73</f>
      </c>
      <c r="CL6" s="286">
        <f>CL73</f>
      </c>
      <c r="CM6" s="287">
        <f>CM73</f>
      </c>
      <c r="CN6" s="286">
        <f>CN73</f>
      </c>
      <c r="CO6" s="287">
        <f>CO73</f>
      </c>
      <c r="CP6" s="286">
        <f>CP73</f>
      </c>
      <c r="CQ6" s="287">
        <f>CQ73</f>
      </c>
      <c r="CR6" s="286">
        <f>CR73</f>
      </c>
      <c r="CS6" s="287">
        <f>CS73</f>
      </c>
      <c r="CT6" s="286">
        <f>CT73</f>
      </c>
      <c r="CU6" s="287">
        <f>CU73</f>
      </c>
      <c r="CV6" s="286">
        <f>CV73</f>
      </c>
      <c r="CW6" s="287">
        <f>CW73</f>
      </c>
      <c r="CX6" s="286">
        <f>CX73</f>
      </c>
      <c r="CY6" s="287">
        <f>CY73</f>
      </c>
      <c r="CZ6" s="286">
        <f>CZ73</f>
      </c>
      <c r="DA6" s="287">
        <f>DA73</f>
      </c>
      <c r="DB6" s="286">
        <f>DB73</f>
      </c>
      <c r="DC6" s="287">
        <f>DC73</f>
      </c>
      <c r="DD6" s="286">
        <f>DD73</f>
      </c>
      <c r="DE6" s="287">
        <f>DE73</f>
      </c>
      <c r="DF6" s="286">
        <f>DF73</f>
      </c>
      <c r="DG6" s="287">
        <f>DG73</f>
      </c>
      <c r="DH6" s="286">
        <f>DH73</f>
      </c>
      <c r="DI6" s="287">
        <f>DI73</f>
      </c>
      <c r="DJ6" s="286">
        <f>DJ73</f>
      </c>
      <c r="DK6" s="287">
        <f>DK73</f>
      </c>
      <c r="DL6" s="286">
        <f>DL73</f>
      </c>
      <c r="DM6" s="287">
        <f>DM73</f>
      </c>
      <c r="DN6" s="286">
        <f>DN73</f>
      </c>
      <c r="DO6" s="287">
        <f>DO73</f>
      </c>
      <c r="DP6" s="286">
        <f>DP73</f>
      </c>
      <c r="DQ6" s="287">
        <f>DQ73</f>
      </c>
      <c r="DR6" s="286">
        <f>DR73</f>
      </c>
      <c r="DS6" s="287">
        <f>DS73</f>
      </c>
      <c r="DT6" s="286">
        <f>DT73</f>
      </c>
      <c r="DU6" s="287">
        <f>DU73</f>
      </c>
      <c r="DV6" s="286">
        <f>DV73</f>
      </c>
      <c r="DW6" s="287">
        <f>DW73</f>
      </c>
      <c r="DX6" s="286">
        <f>DX73</f>
      </c>
      <c r="DY6" s="287">
        <f>DY73</f>
      </c>
      <c r="DZ6" s="286">
        <f>DZ73</f>
      </c>
      <c r="EA6" s="287">
        <f>EA73</f>
      </c>
      <c r="EB6" s="286">
        <f>EB73</f>
      </c>
      <c r="EC6" s="287">
        <f>EC73</f>
      </c>
    </row>
    <row x14ac:dyDescent="0.25" r="7" customHeight="1" ht="17.25">
      <c r="A7" s="1"/>
      <c r="B7" s="288">
        <v>1</v>
      </c>
      <c r="C7" s="289">
        <v>31</v>
      </c>
      <c r="D7" s="290">
        <v>1</v>
      </c>
      <c r="E7" s="291">
        <v>22</v>
      </c>
      <c r="F7" s="288">
        <v>1</v>
      </c>
      <c r="G7" s="289">
        <v>17</v>
      </c>
      <c r="H7" s="290">
        <v>1</v>
      </c>
      <c r="I7" s="291">
        <v>54</v>
      </c>
      <c r="J7" s="288">
        <v>1</v>
      </c>
      <c r="K7" s="289">
        <v>46</v>
      </c>
      <c r="L7" s="290">
        <v>1</v>
      </c>
      <c r="M7" s="291">
        <v>18</v>
      </c>
      <c r="N7" s="288">
        <v>1</v>
      </c>
      <c r="O7" s="289">
        <v>36</v>
      </c>
      <c r="P7" s="290">
        <v>1</v>
      </c>
      <c r="Q7" s="291">
        <v>22</v>
      </c>
      <c r="R7" s="288">
        <v>1</v>
      </c>
      <c r="S7" s="289">
        <v>28</v>
      </c>
      <c r="T7" s="290">
        <v>1</v>
      </c>
      <c r="U7" s="291">
        <v>27</v>
      </c>
      <c r="V7" s="288">
        <v>1</v>
      </c>
      <c r="W7" s="289">
        <v>53</v>
      </c>
      <c r="X7" s="290">
        <v>1</v>
      </c>
      <c r="Y7" s="291">
        <v>18</v>
      </c>
      <c r="Z7" s="288">
        <v>1</v>
      </c>
      <c r="AA7" s="289">
        <v>54</v>
      </c>
      <c r="AB7" s="290">
        <v>1</v>
      </c>
      <c r="AC7" s="291">
        <v>17</v>
      </c>
      <c r="AD7" s="288">
        <v>1</v>
      </c>
      <c r="AE7" s="289">
        <v>11</v>
      </c>
      <c r="AF7" s="290">
        <v>1</v>
      </c>
      <c r="AG7" s="291">
        <v>11</v>
      </c>
      <c r="AH7" s="288">
        <v>1</v>
      </c>
      <c r="AI7" s="289">
        <v>22</v>
      </c>
      <c r="AJ7" s="290">
        <v>1</v>
      </c>
      <c r="AK7" s="291">
        <v>22</v>
      </c>
      <c r="AL7" s="288">
        <v>1</v>
      </c>
      <c r="AM7" s="289">
        <v>6</v>
      </c>
      <c r="AN7" s="290">
        <v>1</v>
      </c>
      <c r="AO7" s="291">
        <v>33</v>
      </c>
      <c r="AP7" s="288">
        <v>1</v>
      </c>
      <c r="AQ7" s="289">
        <v>18</v>
      </c>
      <c r="AR7" s="290">
        <v>1</v>
      </c>
      <c r="AS7" s="291">
        <v>17</v>
      </c>
      <c r="AT7" s="288">
        <v>1</v>
      </c>
      <c r="AU7" s="289">
        <v>31</v>
      </c>
      <c r="AV7" s="290">
        <v>1</v>
      </c>
      <c r="AW7" s="291">
        <v>19</v>
      </c>
      <c r="AX7" s="288">
        <v>1</v>
      </c>
      <c r="AY7" s="289">
        <v>22</v>
      </c>
      <c r="AZ7" s="290">
        <v>1</v>
      </c>
      <c r="BA7" s="291">
        <v>28</v>
      </c>
      <c r="BB7" s="288">
        <v>1</v>
      </c>
      <c r="BC7" s="289">
        <v>21</v>
      </c>
      <c r="BD7" s="290">
        <v>1</v>
      </c>
      <c r="BE7" s="291">
        <v>11</v>
      </c>
      <c r="BF7" s="288">
        <v>1</v>
      </c>
      <c r="BG7" s="289">
        <v>20</v>
      </c>
      <c r="BH7" s="290">
        <v>1</v>
      </c>
      <c r="BI7" s="291">
        <v>15</v>
      </c>
      <c r="BJ7" s="288">
        <v>1</v>
      </c>
      <c r="BK7" s="289">
        <v>21</v>
      </c>
      <c r="BL7" s="290">
        <v>1</v>
      </c>
      <c r="BM7" s="291">
        <v>17</v>
      </c>
      <c r="BN7" s="288">
        <v>1</v>
      </c>
      <c r="BO7" s="289">
        <v>16</v>
      </c>
      <c r="BP7" s="290">
        <v>1</v>
      </c>
      <c r="BQ7" s="291">
        <v>15</v>
      </c>
      <c r="BR7" s="288">
        <v>1</v>
      </c>
      <c r="BS7" s="289">
        <v>17</v>
      </c>
      <c r="BT7" s="290">
        <v>1</v>
      </c>
      <c r="BU7" s="291">
        <v>18</v>
      </c>
      <c r="BV7" s="288">
        <v>1</v>
      </c>
      <c r="BW7" s="289">
        <v>15</v>
      </c>
      <c r="BX7" s="290">
        <v>1</v>
      </c>
      <c r="BY7" s="291">
        <v>21</v>
      </c>
      <c r="BZ7" s="288">
        <v>1</v>
      </c>
      <c r="CA7" s="289">
        <v>14</v>
      </c>
      <c r="CB7" s="290">
        <v>1</v>
      </c>
      <c r="CC7" s="291">
        <v>25</v>
      </c>
      <c r="CD7" s="288">
        <v>1</v>
      </c>
      <c r="CE7" s="289">
        <v>45</v>
      </c>
      <c r="CF7" s="290">
        <v>1</v>
      </c>
      <c r="CG7" s="291">
        <v>80</v>
      </c>
      <c r="CH7" s="288">
        <v>1</v>
      </c>
      <c r="CI7" s="289">
        <v>51</v>
      </c>
      <c r="CJ7" s="290">
        <v>1</v>
      </c>
      <c r="CK7" s="291">
        <v>26</v>
      </c>
      <c r="CL7" s="288">
        <v>1</v>
      </c>
      <c r="CM7" s="289">
        <v>32</v>
      </c>
      <c r="CN7" s="290">
        <v>1</v>
      </c>
      <c r="CO7" s="291">
        <v>31</v>
      </c>
      <c r="CP7" s="288">
        <v>1</v>
      </c>
      <c r="CQ7" s="289">
        <v>24</v>
      </c>
      <c r="CR7" s="290">
        <v>1</v>
      </c>
      <c r="CS7" s="291">
        <v>24</v>
      </c>
      <c r="CT7" s="288">
        <v>1</v>
      </c>
      <c r="CU7" s="289">
        <v>23</v>
      </c>
      <c r="CV7" s="290">
        <v>1</v>
      </c>
      <c r="CW7" s="291">
        <v>30</v>
      </c>
      <c r="CX7" s="288">
        <v>1</v>
      </c>
      <c r="CY7" s="289">
        <v>29</v>
      </c>
      <c r="CZ7" s="290">
        <v>1</v>
      </c>
      <c r="DA7" s="291">
        <v>10</v>
      </c>
      <c r="DB7" s="288">
        <v>1</v>
      </c>
      <c r="DC7" s="289">
        <v>12</v>
      </c>
      <c r="DD7" s="290">
        <v>1</v>
      </c>
      <c r="DE7" s="291">
        <v>20</v>
      </c>
      <c r="DF7" s="288">
        <v>1</v>
      </c>
      <c r="DG7" s="289">
        <v>18</v>
      </c>
      <c r="DH7" s="290">
        <v>1</v>
      </c>
      <c r="DI7" s="291">
        <v>16</v>
      </c>
      <c r="DJ7" s="288">
        <v>1</v>
      </c>
      <c r="DK7" s="289">
        <v>25</v>
      </c>
      <c r="DL7" s="290">
        <v>1</v>
      </c>
      <c r="DM7" s="291">
        <v>14</v>
      </c>
      <c r="DN7" s="288">
        <v>1</v>
      </c>
      <c r="DO7" s="289">
        <v>27</v>
      </c>
      <c r="DP7" s="290">
        <v>1</v>
      </c>
      <c r="DQ7" s="291">
        <v>25</v>
      </c>
      <c r="DR7" s="288">
        <v>1</v>
      </c>
      <c r="DS7" s="289">
        <v>21</v>
      </c>
      <c r="DT7" s="290">
        <v>1</v>
      </c>
      <c r="DU7" s="291">
        <v>10</v>
      </c>
      <c r="DV7" s="288">
        <v>1</v>
      </c>
      <c r="DW7" s="289">
        <v>13</v>
      </c>
      <c r="DX7" s="290">
        <v>1</v>
      </c>
      <c r="DY7" s="291">
        <v>14</v>
      </c>
      <c r="DZ7" s="288">
        <v>1</v>
      </c>
      <c r="EA7" s="289">
        <v>25</v>
      </c>
      <c r="EB7" s="290">
        <v>1</v>
      </c>
      <c r="EC7" s="291">
        <v>20</v>
      </c>
    </row>
    <row x14ac:dyDescent="0.25" r="8" customHeight="1" ht="17.25">
      <c r="A8" s="1"/>
      <c r="B8" s="288">
        <v>2</v>
      </c>
      <c r="C8" s="289">
        <v>25</v>
      </c>
      <c r="D8" s="290">
        <v>2</v>
      </c>
      <c r="E8" s="291">
        <v>25</v>
      </c>
      <c r="F8" s="288">
        <v>2</v>
      </c>
      <c r="G8" s="289">
        <v>16</v>
      </c>
      <c r="H8" s="290">
        <v>2</v>
      </c>
      <c r="I8" s="291">
        <v>34</v>
      </c>
      <c r="J8" s="288">
        <v>2</v>
      </c>
      <c r="K8" s="289">
        <v>37</v>
      </c>
      <c r="L8" s="290">
        <v>2</v>
      </c>
      <c r="M8" s="291">
        <v>24</v>
      </c>
      <c r="N8" s="288">
        <v>2</v>
      </c>
      <c r="O8" s="289">
        <v>23</v>
      </c>
      <c r="P8" s="290">
        <v>2</v>
      </c>
      <c r="Q8" s="291">
        <v>23</v>
      </c>
      <c r="R8" s="288">
        <v>2</v>
      </c>
      <c r="S8" s="289">
        <v>36</v>
      </c>
      <c r="T8" s="290">
        <v>2</v>
      </c>
      <c r="U8" s="291">
        <v>32</v>
      </c>
      <c r="V8" s="288">
        <v>2</v>
      </c>
      <c r="W8" s="289">
        <v>46</v>
      </c>
      <c r="X8" s="290">
        <v>2</v>
      </c>
      <c r="Y8" s="291">
        <v>25</v>
      </c>
      <c r="Z8" s="288">
        <v>2</v>
      </c>
      <c r="AA8" s="289">
        <v>55</v>
      </c>
      <c r="AB8" s="290">
        <v>2</v>
      </c>
      <c r="AC8" s="291">
        <v>18</v>
      </c>
      <c r="AD8" s="288">
        <v>2</v>
      </c>
      <c r="AE8" s="289">
        <v>70</v>
      </c>
      <c r="AF8" s="290">
        <v>2</v>
      </c>
      <c r="AG8" s="291">
        <v>20</v>
      </c>
      <c r="AH8" s="288">
        <v>2</v>
      </c>
      <c r="AI8" s="289">
        <v>23</v>
      </c>
      <c r="AJ8" s="290">
        <v>2</v>
      </c>
      <c r="AK8" s="291">
        <v>13</v>
      </c>
      <c r="AL8" s="288">
        <v>2</v>
      </c>
      <c r="AM8" s="289">
        <v>12</v>
      </c>
      <c r="AN8" s="290">
        <v>2</v>
      </c>
      <c r="AO8" s="291">
        <v>22</v>
      </c>
      <c r="AP8" s="288">
        <v>2</v>
      </c>
      <c r="AQ8" s="289">
        <v>26</v>
      </c>
      <c r="AR8" s="290">
        <v>2</v>
      </c>
      <c r="AS8" s="291">
        <v>17</v>
      </c>
      <c r="AT8" s="288">
        <v>2</v>
      </c>
      <c r="AU8" s="289">
        <v>22</v>
      </c>
      <c r="AV8" s="290">
        <v>2</v>
      </c>
      <c r="AW8" s="291">
        <v>37</v>
      </c>
      <c r="AX8" s="288">
        <v>2</v>
      </c>
      <c r="AY8" s="289">
        <v>22</v>
      </c>
      <c r="AZ8" s="290">
        <v>2</v>
      </c>
      <c r="BA8" s="291">
        <v>10</v>
      </c>
      <c r="BB8" s="288">
        <v>2</v>
      </c>
      <c r="BC8" s="289">
        <v>49</v>
      </c>
      <c r="BD8" s="290">
        <v>2</v>
      </c>
      <c r="BE8" s="291">
        <v>23</v>
      </c>
      <c r="BF8" s="288">
        <v>2</v>
      </c>
      <c r="BG8" s="289">
        <v>32</v>
      </c>
      <c r="BH8" s="290">
        <v>2</v>
      </c>
      <c r="BI8" s="291">
        <v>16</v>
      </c>
      <c r="BJ8" s="288"/>
      <c r="BK8" s="289"/>
      <c r="BL8" s="290">
        <v>2</v>
      </c>
      <c r="BM8" s="291">
        <v>10</v>
      </c>
      <c r="BN8" s="288">
        <v>2</v>
      </c>
      <c r="BO8" s="289">
        <v>13</v>
      </c>
      <c r="BP8" s="290">
        <v>2</v>
      </c>
      <c r="BQ8" s="291">
        <v>13</v>
      </c>
      <c r="BR8" s="288">
        <v>2</v>
      </c>
      <c r="BS8" s="289">
        <v>20</v>
      </c>
      <c r="BT8" s="290">
        <v>2</v>
      </c>
      <c r="BU8" s="291">
        <v>15</v>
      </c>
      <c r="BV8" s="288">
        <v>2</v>
      </c>
      <c r="BW8" s="289">
        <v>23</v>
      </c>
      <c r="BX8" s="290">
        <v>2</v>
      </c>
      <c r="BY8" s="291">
        <v>13</v>
      </c>
      <c r="BZ8" s="288">
        <v>2</v>
      </c>
      <c r="CA8" s="289">
        <v>17</v>
      </c>
      <c r="CB8" s="290">
        <v>2</v>
      </c>
      <c r="CC8" s="291">
        <v>23</v>
      </c>
      <c r="CD8" s="288">
        <v>2</v>
      </c>
      <c r="CE8" s="289">
        <v>28</v>
      </c>
      <c r="CF8" s="290">
        <v>2</v>
      </c>
      <c r="CG8" s="291">
        <v>52</v>
      </c>
      <c r="CH8" s="288">
        <v>2</v>
      </c>
      <c r="CI8" s="289">
        <v>25</v>
      </c>
      <c r="CJ8" s="290">
        <v>2</v>
      </c>
      <c r="CK8" s="291">
        <v>47</v>
      </c>
      <c r="CL8" s="288">
        <v>2</v>
      </c>
      <c r="CM8" s="289">
        <v>29</v>
      </c>
      <c r="CN8" s="290">
        <v>2</v>
      </c>
      <c r="CO8" s="291">
        <v>16</v>
      </c>
      <c r="CP8" s="288">
        <v>2</v>
      </c>
      <c r="CQ8" s="289">
        <v>17</v>
      </c>
      <c r="CR8" s="290">
        <v>2</v>
      </c>
      <c r="CS8" s="291">
        <v>21</v>
      </c>
      <c r="CT8" s="288">
        <v>2</v>
      </c>
      <c r="CU8" s="289">
        <v>22</v>
      </c>
      <c r="CV8" s="290">
        <v>2</v>
      </c>
      <c r="CW8" s="291">
        <v>30</v>
      </c>
      <c r="CX8" s="288">
        <v>2</v>
      </c>
      <c r="CY8" s="289">
        <v>23</v>
      </c>
      <c r="CZ8" s="290">
        <v>2</v>
      </c>
      <c r="DA8" s="291">
        <v>20</v>
      </c>
      <c r="DB8" s="288">
        <v>2</v>
      </c>
      <c r="DC8" s="289">
        <v>17</v>
      </c>
      <c r="DD8" s="290">
        <v>2</v>
      </c>
      <c r="DE8" s="291">
        <v>15</v>
      </c>
      <c r="DF8" s="288">
        <v>2</v>
      </c>
      <c r="DG8" s="289">
        <v>26</v>
      </c>
      <c r="DH8" s="290">
        <v>2</v>
      </c>
      <c r="DI8" s="291">
        <v>15</v>
      </c>
      <c r="DJ8" s="288"/>
      <c r="DK8" s="289"/>
      <c r="DL8" s="290">
        <v>2</v>
      </c>
      <c r="DM8" s="291">
        <v>18</v>
      </c>
      <c r="DN8" s="288">
        <v>2</v>
      </c>
      <c r="DO8" s="289">
        <v>26</v>
      </c>
      <c r="DP8" s="290">
        <v>2</v>
      </c>
      <c r="DQ8" s="291">
        <v>25</v>
      </c>
      <c r="DR8" s="288">
        <v>2</v>
      </c>
      <c r="DS8" s="289">
        <v>22</v>
      </c>
      <c r="DT8" s="290">
        <v>2</v>
      </c>
      <c r="DU8" s="291">
        <v>29</v>
      </c>
      <c r="DV8" s="288"/>
      <c r="DW8" s="289"/>
      <c r="DX8" s="290"/>
      <c r="DY8" s="291"/>
      <c r="DZ8" s="288"/>
      <c r="EA8" s="289"/>
      <c r="EB8" s="290">
        <v>2</v>
      </c>
      <c r="EC8" s="291">
        <v>29</v>
      </c>
    </row>
    <row x14ac:dyDescent="0.25" r="9" customHeight="1" ht="17.25">
      <c r="A9" s="1"/>
      <c r="B9" s="288">
        <v>3</v>
      </c>
      <c r="C9" s="289">
        <v>24</v>
      </c>
      <c r="D9" s="290">
        <v>3</v>
      </c>
      <c r="E9" s="291">
        <v>22</v>
      </c>
      <c r="F9" s="288">
        <v>3</v>
      </c>
      <c r="G9" s="289">
        <v>17</v>
      </c>
      <c r="H9" s="290">
        <v>3</v>
      </c>
      <c r="I9" s="291">
        <v>51</v>
      </c>
      <c r="J9" s="288">
        <v>3</v>
      </c>
      <c r="K9" s="289">
        <v>29</v>
      </c>
      <c r="L9" s="290">
        <v>3</v>
      </c>
      <c r="M9" s="291">
        <v>17</v>
      </c>
      <c r="N9" s="288">
        <v>3</v>
      </c>
      <c r="O9" s="289">
        <v>31</v>
      </c>
      <c r="P9" s="290">
        <v>3</v>
      </c>
      <c r="Q9" s="291">
        <v>18</v>
      </c>
      <c r="R9" s="288">
        <v>3</v>
      </c>
      <c r="S9" s="289">
        <v>21</v>
      </c>
      <c r="T9" s="290">
        <v>3</v>
      </c>
      <c r="U9" s="291">
        <v>39</v>
      </c>
      <c r="V9" s="288">
        <v>3</v>
      </c>
      <c r="W9" s="289">
        <v>28</v>
      </c>
      <c r="X9" s="290">
        <v>3</v>
      </c>
      <c r="Y9" s="291">
        <v>27</v>
      </c>
      <c r="Z9" s="288">
        <v>3</v>
      </c>
      <c r="AA9" s="289">
        <v>24</v>
      </c>
      <c r="AB9" s="290">
        <v>3</v>
      </c>
      <c r="AC9" s="291">
        <v>17</v>
      </c>
      <c r="AD9" s="288">
        <v>3</v>
      </c>
      <c r="AE9" s="289">
        <v>13</v>
      </c>
      <c r="AF9" s="290">
        <v>3</v>
      </c>
      <c r="AG9" s="291">
        <v>32</v>
      </c>
      <c r="AH9" s="288">
        <v>3</v>
      </c>
      <c r="AI9" s="289">
        <v>15</v>
      </c>
      <c r="AJ9" s="290">
        <v>3</v>
      </c>
      <c r="AK9" s="291">
        <v>26</v>
      </c>
      <c r="AL9" s="288">
        <v>3</v>
      </c>
      <c r="AM9" s="289">
        <v>8</v>
      </c>
      <c r="AN9" s="290">
        <v>3</v>
      </c>
      <c r="AO9" s="291">
        <v>35</v>
      </c>
      <c r="AP9" s="288">
        <v>3</v>
      </c>
      <c r="AQ9" s="289">
        <v>22</v>
      </c>
      <c r="AR9" s="290">
        <v>3</v>
      </c>
      <c r="AS9" s="291">
        <v>11</v>
      </c>
      <c r="AT9" s="288">
        <v>3</v>
      </c>
      <c r="AU9" s="289">
        <v>26</v>
      </c>
      <c r="AV9" s="290">
        <v>3</v>
      </c>
      <c r="AW9" s="291">
        <v>25</v>
      </c>
      <c r="AX9" s="288">
        <v>3</v>
      </c>
      <c r="AY9" s="289">
        <v>66</v>
      </c>
      <c r="AZ9" s="290">
        <v>3</v>
      </c>
      <c r="BA9" s="291">
        <v>27</v>
      </c>
      <c r="BB9" s="288">
        <v>3</v>
      </c>
      <c r="BC9" s="289">
        <v>30</v>
      </c>
      <c r="BD9" s="290">
        <v>3</v>
      </c>
      <c r="BE9" s="291">
        <v>5</v>
      </c>
      <c r="BF9" s="288">
        <v>3</v>
      </c>
      <c r="BG9" s="289">
        <v>21</v>
      </c>
      <c r="BH9" s="290">
        <v>3</v>
      </c>
      <c r="BI9" s="291">
        <v>15</v>
      </c>
      <c r="BJ9" s="288"/>
      <c r="BK9" s="289"/>
      <c r="BL9" s="290">
        <v>3</v>
      </c>
      <c r="BM9" s="291">
        <v>10</v>
      </c>
      <c r="BN9" s="288">
        <v>3</v>
      </c>
      <c r="BO9" s="289">
        <v>12</v>
      </c>
      <c r="BP9" s="290">
        <v>3</v>
      </c>
      <c r="BQ9" s="291">
        <v>19</v>
      </c>
      <c r="BR9" s="288">
        <v>3</v>
      </c>
      <c r="BS9" s="289">
        <v>19</v>
      </c>
      <c r="BT9" s="290">
        <v>3</v>
      </c>
      <c r="BU9" s="291">
        <v>20</v>
      </c>
      <c r="BV9" s="288"/>
      <c r="BW9" s="289"/>
      <c r="BX9" s="290">
        <v>3</v>
      </c>
      <c r="BY9" s="291">
        <v>10</v>
      </c>
      <c r="BZ9" s="288">
        <v>3</v>
      </c>
      <c r="CA9" s="289">
        <v>18</v>
      </c>
      <c r="CB9" s="290">
        <v>3</v>
      </c>
      <c r="CC9" s="291">
        <v>17</v>
      </c>
      <c r="CD9" s="288">
        <v>3</v>
      </c>
      <c r="CE9" s="289">
        <v>35</v>
      </c>
      <c r="CF9" s="290">
        <v>3</v>
      </c>
      <c r="CG9" s="291">
        <v>38</v>
      </c>
      <c r="CH9" s="288">
        <v>3</v>
      </c>
      <c r="CI9" s="289">
        <v>36</v>
      </c>
      <c r="CJ9" s="290">
        <v>3</v>
      </c>
      <c r="CK9" s="291">
        <v>26</v>
      </c>
      <c r="CL9" s="288">
        <v>3</v>
      </c>
      <c r="CM9" s="289">
        <v>31</v>
      </c>
      <c r="CN9" s="290">
        <v>3</v>
      </c>
      <c r="CO9" s="291">
        <v>23</v>
      </c>
      <c r="CP9" s="288">
        <v>3</v>
      </c>
      <c r="CQ9" s="289">
        <v>18</v>
      </c>
      <c r="CR9" s="290">
        <v>3</v>
      </c>
      <c r="CS9" s="291">
        <v>29</v>
      </c>
      <c r="CT9" s="288">
        <v>3</v>
      </c>
      <c r="CU9" s="289">
        <v>21</v>
      </c>
      <c r="CV9" s="290">
        <v>3</v>
      </c>
      <c r="CW9" s="291">
        <v>21</v>
      </c>
      <c r="CX9" s="288">
        <v>3</v>
      </c>
      <c r="CY9" s="289">
        <v>25</v>
      </c>
      <c r="CZ9" s="290">
        <v>3</v>
      </c>
      <c r="DA9" s="291">
        <v>13</v>
      </c>
      <c r="DB9" s="288">
        <v>3</v>
      </c>
      <c r="DC9" s="289">
        <v>18</v>
      </c>
      <c r="DD9" s="290">
        <v>3</v>
      </c>
      <c r="DE9" s="291">
        <v>16</v>
      </c>
      <c r="DF9" s="288">
        <v>3</v>
      </c>
      <c r="DG9" s="289">
        <v>17</v>
      </c>
      <c r="DH9" s="290">
        <v>3</v>
      </c>
      <c r="DI9" s="291">
        <v>15</v>
      </c>
      <c r="DJ9" s="288"/>
      <c r="DK9" s="289"/>
      <c r="DL9" s="290">
        <v>3</v>
      </c>
      <c r="DM9" s="291">
        <v>19</v>
      </c>
      <c r="DN9" s="288">
        <v>3</v>
      </c>
      <c r="DO9" s="289">
        <v>18</v>
      </c>
      <c r="DP9" s="290">
        <v>3</v>
      </c>
      <c r="DQ9" s="291">
        <v>22</v>
      </c>
      <c r="DR9" s="288">
        <v>3</v>
      </c>
      <c r="DS9" s="289">
        <v>18</v>
      </c>
      <c r="DT9" s="290">
        <v>3</v>
      </c>
      <c r="DU9" s="291">
        <v>24</v>
      </c>
      <c r="DV9" s="288"/>
      <c r="DW9" s="289"/>
      <c r="DX9" s="290"/>
      <c r="DY9" s="291"/>
      <c r="DZ9" s="288"/>
      <c r="EA9" s="289"/>
      <c r="EB9" s="290">
        <v>3</v>
      </c>
      <c r="EC9" s="291">
        <v>22</v>
      </c>
    </row>
    <row x14ac:dyDescent="0.25" r="10" customHeight="1" ht="17.25">
      <c r="A10" s="1"/>
      <c r="B10" s="288">
        <v>4</v>
      </c>
      <c r="C10" s="289">
        <v>26</v>
      </c>
      <c r="D10" s="290">
        <v>4</v>
      </c>
      <c r="E10" s="291">
        <v>31</v>
      </c>
      <c r="F10" s="288">
        <v>4</v>
      </c>
      <c r="G10" s="289">
        <v>35</v>
      </c>
      <c r="H10" s="290">
        <v>4</v>
      </c>
      <c r="I10" s="291">
        <v>49</v>
      </c>
      <c r="J10" s="288">
        <v>4</v>
      </c>
      <c r="K10" s="289">
        <v>49</v>
      </c>
      <c r="L10" s="290">
        <v>4</v>
      </c>
      <c r="M10" s="291">
        <v>24</v>
      </c>
      <c r="N10" s="288">
        <v>4</v>
      </c>
      <c r="O10" s="289">
        <v>24</v>
      </c>
      <c r="P10" s="290">
        <v>4</v>
      </c>
      <c r="Q10" s="291">
        <v>22</v>
      </c>
      <c r="R10" s="288">
        <v>4</v>
      </c>
      <c r="S10" s="289">
        <v>22</v>
      </c>
      <c r="T10" s="290">
        <v>4</v>
      </c>
      <c r="U10" s="291">
        <v>12</v>
      </c>
      <c r="V10" s="288">
        <v>4</v>
      </c>
      <c r="W10" s="289">
        <v>34</v>
      </c>
      <c r="X10" s="290">
        <v>4</v>
      </c>
      <c r="Y10" s="291">
        <v>44</v>
      </c>
      <c r="Z10" s="288">
        <v>4</v>
      </c>
      <c r="AA10" s="289">
        <v>43</v>
      </c>
      <c r="AB10" s="290">
        <v>4</v>
      </c>
      <c r="AC10" s="291">
        <v>22</v>
      </c>
      <c r="AD10" s="288">
        <v>4</v>
      </c>
      <c r="AE10" s="289">
        <v>24</v>
      </c>
      <c r="AF10" s="290">
        <v>4</v>
      </c>
      <c r="AG10" s="291">
        <v>23</v>
      </c>
      <c r="AH10" s="288">
        <v>4</v>
      </c>
      <c r="AI10" s="289">
        <v>17</v>
      </c>
      <c r="AJ10" s="290">
        <v>4</v>
      </c>
      <c r="AK10" s="291">
        <v>21</v>
      </c>
      <c r="AL10" s="288">
        <v>4</v>
      </c>
      <c r="AM10" s="289">
        <v>8</v>
      </c>
      <c r="AN10" s="290">
        <v>4</v>
      </c>
      <c r="AO10" s="291">
        <v>27</v>
      </c>
      <c r="AP10" s="288">
        <v>4</v>
      </c>
      <c r="AQ10" s="289">
        <v>16</v>
      </c>
      <c r="AR10" s="290">
        <v>4</v>
      </c>
      <c r="AS10" s="291">
        <v>16</v>
      </c>
      <c r="AT10" s="288">
        <v>4</v>
      </c>
      <c r="AU10" s="289">
        <v>6</v>
      </c>
      <c r="AV10" s="290">
        <v>4</v>
      </c>
      <c r="AW10" s="291">
        <v>31</v>
      </c>
      <c r="AX10" s="288">
        <v>4</v>
      </c>
      <c r="AY10" s="289">
        <v>22</v>
      </c>
      <c r="AZ10" s="290">
        <v>4</v>
      </c>
      <c r="BA10" s="291">
        <v>17</v>
      </c>
      <c r="BB10" s="288">
        <v>4</v>
      </c>
      <c r="BC10" s="289">
        <v>37</v>
      </c>
      <c r="BD10" s="290">
        <v>4</v>
      </c>
      <c r="BE10" s="291">
        <v>19</v>
      </c>
      <c r="BF10" s="288"/>
      <c r="BG10" s="289"/>
      <c r="BH10" s="290">
        <v>4</v>
      </c>
      <c r="BI10" s="291">
        <v>13</v>
      </c>
      <c r="BJ10" s="288"/>
      <c r="BK10" s="289"/>
      <c r="BL10" s="290">
        <v>4</v>
      </c>
      <c r="BM10" s="291">
        <v>11</v>
      </c>
      <c r="BN10" s="288">
        <v>4</v>
      </c>
      <c r="BO10" s="289">
        <v>13</v>
      </c>
      <c r="BP10" s="290"/>
      <c r="BQ10" s="291"/>
      <c r="BR10" s="288"/>
      <c r="BS10" s="289"/>
      <c r="BT10" s="290"/>
      <c r="BU10" s="291"/>
      <c r="BV10" s="288"/>
      <c r="BW10" s="289"/>
      <c r="BX10" s="290">
        <v>4</v>
      </c>
      <c r="BY10" s="291">
        <v>14</v>
      </c>
      <c r="BZ10" s="288">
        <v>4</v>
      </c>
      <c r="CA10" s="289">
        <v>6</v>
      </c>
      <c r="CB10" s="290">
        <v>4</v>
      </c>
      <c r="CC10" s="291">
        <v>25</v>
      </c>
      <c r="CD10" s="288">
        <v>4</v>
      </c>
      <c r="CE10" s="289">
        <v>41</v>
      </c>
      <c r="CF10" s="290">
        <v>4</v>
      </c>
      <c r="CG10" s="291">
        <v>44</v>
      </c>
      <c r="CH10" s="288">
        <v>4</v>
      </c>
      <c r="CI10" s="289">
        <v>54</v>
      </c>
      <c r="CJ10" s="290">
        <v>4</v>
      </c>
      <c r="CK10" s="291">
        <v>37</v>
      </c>
      <c r="CL10" s="288">
        <v>4</v>
      </c>
      <c r="CM10" s="289">
        <v>25</v>
      </c>
      <c r="CN10" s="290">
        <v>4</v>
      </c>
      <c r="CO10" s="291">
        <v>21</v>
      </c>
      <c r="CP10" s="288">
        <v>4</v>
      </c>
      <c r="CQ10" s="289">
        <v>18</v>
      </c>
      <c r="CR10" s="290">
        <v>4</v>
      </c>
      <c r="CS10" s="291">
        <v>31</v>
      </c>
      <c r="CT10" s="288">
        <v>4</v>
      </c>
      <c r="CU10" s="289">
        <v>32</v>
      </c>
      <c r="CV10" s="290">
        <v>4</v>
      </c>
      <c r="CW10" s="291">
        <v>23</v>
      </c>
      <c r="CX10" s="288">
        <v>4</v>
      </c>
      <c r="CY10" s="289">
        <v>18</v>
      </c>
      <c r="CZ10" s="290">
        <v>4</v>
      </c>
      <c r="DA10" s="291">
        <v>18</v>
      </c>
      <c r="DB10" s="288"/>
      <c r="DC10" s="289"/>
      <c r="DD10" s="290">
        <v>4</v>
      </c>
      <c r="DE10" s="291">
        <v>16</v>
      </c>
      <c r="DF10" s="288">
        <v>4</v>
      </c>
      <c r="DG10" s="289">
        <v>22</v>
      </c>
      <c r="DH10" s="290"/>
      <c r="DI10" s="291"/>
      <c r="DJ10" s="288"/>
      <c r="DK10" s="289"/>
      <c r="DL10" s="290">
        <v>4</v>
      </c>
      <c r="DM10" s="291">
        <v>16</v>
      </c>
      <c r="DN10" s="288">
        <v>4</v>
      </c>
      <c r="DO10" s="289">
        <v>17</v>
      </c>
      <c r="DP10" s="290">
        <v>4</v>
      </c>
      <c r="DQ10" s="291">
        <v>19</v>
      </c>
      <c r="DR10" s="288"/>
      <c r="DS10" s="289"/>
      <c r="DT10" s="290">
        <v>4</v>
      </c>
      <c r="DU10" s="291">
        <v>21</v>
      </c>
      <c r="DV10" s="288"/>
      <c r="DW10" s="289"/>
      <c r="DX10" s="290"/>
      <c r="DY10" s="291"/>
      <c r="DZ10" s="288"/>
      <c r="EA10" s="289"/>
      <c r="EB10" s="290">
        <v>4</v>
      </c>
      <c r="EC10" s="291">
        <v>11</v>
      </c>
    </row>
    <row x14ac:dyDescent="0.25" r="11" customHeight="1" ht="17.25">
      <c r="A11" s="1"/>
      <c r="B11" s="288">
        <v>5</v>
      </c>
      <c r="C11" s="289">
        <v>32</v>
      </c>
      <c r="D11" s="290">
        <v>5</v>
      </c>
      <c r="E11" s="291">
        <v>23</v>
      </c>
      <c r="F11" s="288">
        <v>5</v>
      </c>
      <c r="G11" s="289">
        <v>19</v>
      </c>
      <c r="H11" s="290">
        <v>5</v>
      </c>
      <c r="I11" s="291">
        <v>31</v>
      </c>
      <c r="J11" s="288">
        <v>5</v>
      </c>
      <c r="K11" s="289">
        <v>33</v>
      </c>
      <c r="L11" s="290">
        <v>5</v>
      </c>
      <c r="M11" s="291">
        <v>15</v>
      </c>
      <c r="N11" s="288">
        <v>5</v>
      </c>
      <c r="O11" s="289">
        <v>31</v>
      </c>
      <c r="P11" s="290"/>
      <c r="Q11" s="291"/>
      <c r="R11" s="288">
        <v>5</v>
      </c>
      <c r="S11" s="289">
        <v>12</v>
      </c>
      <c r="T11" s="290">
        <v>5</v>
      </c>
      <c r="U11" s="291">
        <v>25</v>
      </c>
      <c r="V11" s="288">
        <v>5</v>
      </c>
      <c r="W11" s="289">
        <v>18</v>
      </c>
      <c r="X11" s="290">
        <v>5</v>
      </c>
      <c r="Y11" s="291">
        <v>27</v>
      </c>
      <c r="Z11" s="288">
        <v>5</v>
      </c>
      <c r="AA11" s="289">
        <v>26</v>
      </c>
      <c r="AB11" s="290">
        <v>5</v>
      </c>
      <c r="AC11" s="291">
        <v>14</v>
      </c>
      <c r="AD11" s="288">
        <v>5</v>
      </c>
      <c r="AE11" s="289">
        <v>17</v>
      </c>
      <c r="AF11" s="290">
        <v>5</v>
      </c>
      <c r="AG11" s="291">
        <v>19</v>
      </c>
      <c r="AH11" s="288">
        <v>5</v>
      </c>
      <c r="AI11" s="289">
        <v>14</v>
      </c>
      <c r="AJ11" s="290">
        <v>5</v>
      </c>
      <c r="AK11" s="291">
        <v>27</v>
      </c>
      <c r="AL11" s="288">
        <v>5</v>
      </c>
      <c r="AM11" s="289">
        <v>12</v>
      </c>
      <c r="AN11" s="290">
        <v>5</v>
      </c>
      <c r="AO11" s="291">
        <v>23</v>
      </c>
      <c r="AP11" s="288">
        <v>5</v>
      </c>
      <c r="AQ11" s="289">
        <v>20</v>
      </c>
      <c r="AR11" s="290">
        <v>5</v>
      </c>
      <c r="AS11" s="291">
        <v>16</v>
      </c>
      <c r="AT11" s="288">
        <v>5</v>
      </c>
      <c r="AU11" s="289">
        <v>30</v>
      </c>
      <c r="AV11" s="290">
        <v>5</v>
      </c>
      <c r="AW11" s="291">
        <v>31</v>
      </c>
      <c r="AX11" s="288">
        <v>5</v>
      </c>
      <c r="AY11" s="289">
        <v>22</v>
      </c>
      <c r="AZ11" s="290">
        <v>5</v>
      </c>
      <c r="BA11" s="291">
        <v>17</v>
      </c>
      <c r="BB11" s="288">
        <v>5</v>
      </c>
      <c r="BC11" s="289">
        <v>31</v>
      </c>
      <c r="BD11" s="290">
        <v>5</v>
      </c>
      <c r="BE11" s="291">
        <v>15</v>
      </c>
      <c r="BF11" s="288"/>
      <c r="BG11" s="289"/>
      <c r="BH11" s="290">
        <v>5</v>
      </c>
      <c r="BI11" s="291">
        <v>27</v>
      </c>
      <c r="BJ11" s="288"/>
      <c r="BK11" s="289"/>
      <c r="BL11" s="290"/>
      <c r="BM11" s="291"/>
      <c r="BN11" s="288">
        <v>5</v>
      </c>
      <c r="BO11" s="289">
        <v>15</v>
      </c>
      <c r="BP11" s="290"/>
      <c r="BQ11" s="291"/>
      <c r="BR11" s="288"/>
      <c r="BS11" s="289"/>
      <c r="BT11" s="290"/>
      <c r="BU11" s="291"/>
      <c r="BV11" s="288"/>
      <c r="BW11" s="289"/>
      <c r="BX11" s="290">
        <v>5</v>
      </c>
      <c r="BY11" s="291">
        <v>11</v>
      </c>
      <c r="BZ11" s="288"/>
      <c r="CA11" s="289"/>
      <c r="CB11" s="290">
        <v>5</v>
      </c>
      <c r="CC11" s="291">
        <v>48</v>
      </c>
      <c r="CD11" s="288">
        <v>5</v>
      </c>
      <c r="CE11" s="289">
        <v>43</v>
      </c>
      <c r="CF11" s="290">
        <v>5</v>
      </c>
      <c r="CG11" s="291">
        <v>39</v>
      </c>
      <c r="CH11" s="288">
        <v>5</v>
      </c>
      <c r="CI11" s="289">
        <v>47</v>
      </c>
      <c r="CJ11" s="290">
        <v>5</v>
      </c>
      <c r="CK11" s="291">
        <v>42</v>
      </c>
      <c r="CL11" s="288">
        <v>5</v>
      </c>
      <c r="CM11" s="289">
        <v>21</v>
      </c>
      <c r="CN11" s="290">
        <v>5</v>
      </c>
      <c r="CO11" s="291">
        <v>13</v>
      </c>
      <c r="CP11" s="288">
        <v>5</v>
      </c>
      <c r="CQ11" s="289">
        <v>21</v>
      </c>
      <c r="CR11" s="290">
        <v>5</v>
      </c>
      <c r="CS11" s="291">
        <v>26</v>
      </c>
      <c r="CT11" s="288">
        <v>5</v>
      </c>
      <c r="CU11" s="289">
        <v>33</v>
      </c>
      <c r="CV11" s="290"/>
      <c r="CW11" s="291"/>
      <c r="CX11" s="288"/>
      <c r="CY11" s="289"/>
      <c r="CZ11" s="290">
        <v>5</v>
      </c>
      <c r="DA11" s="291">
        <v>28</v>
      </c>
      <c r="DB11" s="288"/>
      <c r="DC11" s="289"/>
      <c r="DD11" s="290">
        <v>5</v>
      </c>
      <c r="DE11" s="291">
        <v>25</v>
      </c>
      <c r="DF11" s="288"/>
      <c r="DG11" s="289"/>
      <c r="DH11" s="290"/>
      <c r="DI11" s="291"/>
      <c r="DJ11" s="288"/>
      <c r="DK11" s="289"/>
      <c r="DL11" s="290">
        <v>5</v>
      </c>
      <c r="DM11" s="291">
        <v>14</v>
      </c>
      <c r="DN11" s="288">
        <v>5</v>
      </c>
      <c r="DO11" s="289">
        <v>20</v>
      </c>
      <c r="DP11" s="290">
        <v>5</v>
      </c>
      <c r="DQ11" s="291">
        <v>14</v>
      </c>
      <c r="DR11" s="288"/>
      <c r="DS11" s="289"/>
      <c r="DT11" s="290">
        <v>5</v>
      </c>
      <c r="DU11" s="291">
        <v>21</v>
      </c>
      <c r="DV11" s="288"/>
      <c r="DW11" s="289"/>
      <c r="DX11" s="290"/>
      <c r="DY11" s="291"/>
      <c r="DZ11" s="288"/>
      <c r="EA11" s="289"/>
      <c r="EB11" s="290">
        <v>5</v>
      </c>
      <c r="EC11" s="291">
        <v>14</v>
      </c>
    </row>
    <row x14ac:dyDescent="0.25" r="12" customHeight="1" ht="17.25">
      <c r="A12" s="1"/>
      <c r="B12" s="288">
        <v>6</v>
      </c>
      <c r="C12" s="289">
        <v>22</v>
      </c>
      <c r="D12" s="290">
        <v>6</v>
      </c>
      <c r="E12" s="291">
        <v>30</v>
      </c>
      <c r="F12" s="288">
        <v>6</v>
      </c>
      <c r="G12" s="289">
        <v>30</v>
      </c>
      <c r="H12" s="290">
        <v>6</v>
      </c>
      <c r="I12" s="291">
        <v>27</v>
      </c>
      <c r="J12" s="288">
        <v>6</v>
      </c>
      <c r="K12" s="289">
        <v>25</v>
      </c>
      <c r="L12" s="290">
        <v>6</v>
      </c>
      <c r="M12" s="291">
        <v>27</v>
      </c>
      <c r="N12" s="288">
        <v>6</v>
      </c>
      <c r="O12" s="289">
        <v>40</v>
      </c>
      <c r="P12" s="290"/>
      <c r="Q12" s="291"/>
      <c r="R12" s="288">
        <v>6</v>
      </c>
      <c r="S12" s="289">
        <v>21</v>
      </c>
      <c r="T12" s="290">
        <v>6</v>
      </c>
      <c r="U12" s="291">
        <v>23</v>
      </c>
      <c r="V12" s="288">
        <v>6</v>
      </c>
      <c r="W12" s="289">
        <v>38</v>
      </c>
      <c r="X12" s="290">
        <v>6</v>
      </c>
      <c r="Y12" s="291">
        <v>33</v>
      </c>
      <c r="Z12" s="288">
        <v>6</v>
      </c>
      <c r="AA12" s="289">
        <v>81</v>
      </c>
      <c r="AB12" s="290">
        <v>6</v>
      </c>
      <c r="AC12" s="291">
        <v>42</v>
      </c>
      <c r="AD12" s="288">
        <v>6</v>
      </c>
      <c r="AE12" s="289">
        <v>22</v>
      </c>
      <c r="AF12" s="290">
        <v>6</v>
      </c>
      <c r="AG12" s="291">
        <v>19</v>
      </c>
      <c r="AH12" s="288">
        <v>6</v>
      </c>
      <c r="AI12" s="289">
        <v>14</v>
      </c>
      <c r="AJ12" s="290">
        <v>6</v>
      </c>
      <c r="AK12" s="291">
        <v>30</v>
      </c>
      <c r="AL12" s="288">
        <v>6</v>
      </c>
      <c r="AM12" s="289">
        <v>10</v>
      </c>
      <c r="AN12" s="290">
        <v>6</v>
      </c>
      <c r="AO12" s="291">
        <v>35</v>
      </c>
      <c r="AP12" s="288">
        <v>6</v>
      </c>
      <c r="AQ12" s="289">
        <v>12</v>
      </c>
      <c r="AR12" s="290">
        <v>6</v>
      </c>
      <c r="AS12" s="291">
        <v>13</v>
      </c>
      <c r="AT12" s="288">
        <v>6</v>
      </c>
      <c r="AU12" s="289">
        <v>13</v>
      </c>
      <c r="AV12" s="290">
        <v>6</v>
      </c>
      <c r="AW12" s="291">
        <v>30</v>
      </c>
      <c r="AX12" s="288"/>
      <c r="AY12" s="289"/>
      <c r="AZ12" s="290">
        <v>6</v>
      </c>
      <c r="BA12" s="291">
        <v>14</v>
      </c>
      <c r="BB12" s="288">
        <v>6</v>
      </c>
      <c r="BC12" s="289">
        <v>28</v>
      </c>
      <c r="BD12" s="290">
        <v>6</v>
      </c>
      <c r="BE12" s="291">
        <v>11</v>
      </c>
      <c r="BF12" s="288"/>
      <c r="BG12" s="289"/>
      <c r="BH12" s="290">
        <v>6</v>
      </c>
      <c r="BI12" s="291">
        <v>14</v>
      </c>
      <c r="BJ12" s="288"/>
      <c r="BK12" s="289"/>
      <c r="BL12" s="290"/>
      <c r="BM12" s="291"/>
      <c r="BN12" s="288">
        <v>6</v>
      </c>
      <c r="BO12" s="289">
        <v>16</v>
      </c>
      <c r="BP12" s="290"/>
      <c r="BQ12" s="291"/>
      <c r="BR12" s="288"/>
      <c r="BS12" s="289"/>
      <c r="BT12" s="290"/>
      <c r="BU12" s="291"/>
      <c r="BV12" s="288"/>
      <c r="BW12" s="289"/>
      <c r="BX12" s="290">
        <v>6</v>
      </c>
      <c r="BY12" s="291">
        <v>15</v>
      </c>
      <c r="BZ12" s="288"/>
      <c r="CA12" s="289"/>
      <c r="CB12" s="290">
        <v>6</v>
      </c>
      <c r="CC12" s="291">
        <v>34</v>
      </c>
      <c r="CD12" s="288">
        <v>6</v>
      </c>
      <c r="CE12" s="289">
        <v>56</v>
      </c>
      <c r="CF12" s="290">
        <v>6</v>
      </c>
      <c r="CG12" s="291">
        <v>49</v>
      </c>
      <c r="CH12" s="288">
        <v>6</v>
      </c>
      <c r="CI12" s="289">
        <v>71</v>
      </c>
      <c r="CJ12" s="290">
        <v>6</v>
      </c>
      <c r="CK12" s="291">
        <v>15</v>
      </c>
      <c r="CL12" s="288">
        <v>6</v>
      </c>
      <c r="CM12" s="289">
        <v>23</v>
      </c>
      <c r="CN12" s="290">
        <v>6</v>
      </c>
      <c r="CO12" s="291">
        <v>20</v>
      </c>
      <c r="CP12" s="288">
        <v>6</v>
      </c>
      <c r="CQ12" s="289">
        <v>18</v>
      </c>
      <c r="CR12" s="290">
        <v>6</v>
      </c>
      <c r="CS12" s="291">
        <v>18</v>
      </c>
      <c r="CT12" s="288">
        <v>6</v>
      </c>
      <c r="CU12" s="289">
        <v>24</v>
      </c>
      <c r="CV12" s="290"/>
      <c r="CW12" s="291"/>
      <c r="CX12" s="288"/>
      <c r="CY12" s="289"/>
      <c r="CZ12" s="290"/>
      <c r="DA12" s="291"/>
      <c r="DB12" s="288"/>
      <c r="DC12" s="289"/>
      <c r="DD12" s="290">
        <v>6</v>
      </c>
      <c r="DE12" s="291">
        <v>21</v>
      </c>
      <c r="DF12" s="288"/>
      <c r="DG12" s="289"/>
      <c r="DH12" s="290"/>
      <c r="DI12" s="291"/>
      <c r="DJ12" s="288"/>
      <c r="DK12" s="289"/>
      <c r="DL12" s="290">
        <v>6</v>
      </c>
      <c r="DM12" s="291">
        <v>20</v>
      </c>
      <c r="DN12" s="288"/>
      <c r="DO12" s="289"/>
      <c r="DP12" s="290"/>
      <c r="DQ12" s="291"/>
      <c r="DR12" s="288"/>
      <c r="DS12" s="289"/>
      <c r="DT12" s="290"/>
      <c r="DU12" s="291"/>
      <c r="DV12" s="288"/>
      <c r="DW12" s="289"/>
      <c r="DX12" s="290"/>
      <c r="DY12" s="291"/>
      <c r="DZ12" s="288"/>
      <c r="EA12" s="289"/>
      <c r="EB12" s="290">
        <v>6</v>
      </c>
      <c r="EC12" s="291">
        <v>17</v>
      </c>
    </row>
    <row x14ac:dyDescent="0.25" r="13" customHeight="1" ht="17.25">
      <c r="A13" s="1"/>
      <c r="B13" s="288">
        <v>7</v>
      </c>
      <c r="C13" s="289">
        <v>24</v>
      </c>
      <c r="D13" s="290">
        <v>7</v>
      </c>
      <c r="E13" s="291">
        <v>25</v>
      </c>
      <c r="F13" s="288">
        <v>7</v>
      </c>
      <c r="G13" s="289">
        <v>38</v>
      </c>
      <c r="H13" s="290">
        <v>7</v>
      </c>
      <c r="I13" s="291">
        <v>89</v>
      </c>
      <c r="J13" s="288">
        <v>7</v>
      </c>
      <c r="K13" s="289">
        <v>26</v>
      </c>
      <c r="L13" s="290">
        <v>7</v>
      </c>
      <c r="M13" s="291">
        <v>26</v>
      </c>
      <c r="N13" s="288">
        <v>7</v>
      </c>
      <c r="O13" s="289">
        <v>25</v>
      </c>
      <c r="P13" s="290"/>
      <c r="Q13" s="291"/>
      <c r="R13" s="288">
        <v>7</v>
      </c>
      <c r="S13" s="289">
        <v>17</v>
      </c>
      <c r="T13" s="290">
        <v>7</v>
      </c>
      <c r="U13" s="291">
        <v>29</v>
      </c>
      <c r="V13" s="288">
        <v>7</v>
      </c>
      <c r="W13" s="289">
        <v>51</v>
      </c>
      <c r="X13" s="290">
        <v>7</v>
      </c>
      <c r="Y13" s="291">
        <v>20</v>
      </c>
      <c r="Z13" s="288">
        <v>7</v>
      </c>
      <c r="AA13" s="289">
        <v>40</v>
      </c>
      <c r="AB13" s="290">
        <v>7</v>
      </c>
      <c r="AC13" s="291">
        <v>22</v>
      </c>
      <c r="AD13" s="288">
        <v>7</v>
      </c>
      <c r="AE13" s="289">
        <v>28</v>
      </c>
      <c r="AF13" s="290">
        <v>7</v>
      </c>
      <c r="AG13" s="291">
        <v>73</v>
      </c>
      <c r="AH13" s="288">
        <v>7</v>
      </c>
      <c r="AI13" s="289">
        <v>10</v>
      </c>
      <c r="AJ13" s="290">
        <v>7</v>
      </c>
      <c r="AK13" s="291">
        <v>21</v>
      </c>
      <c r="AL13" s="288">
        <v>7</v>
      </c>
      <c r="AM13" s="289">
        <v>17</v>
      </c>
      <c r="AN13" s="290">
        <v>7</v>
      </c>
      <c r="AO13" s="291">
        <v>27</v>
      </c>
      <c r="AP13" s="288">
        <v>7</v>
      </c>
      <c r="AQ13" s="289">
        <v>29</v>
      </c>
      <c r="AR13" s="290">
        <v>7</v>
      </c>
      <c r="AS13" s="291">
        <v>13</v>
      </c>
      <c r="AT13" s="288">
        <v>7</v>
      </c>
      <c r="AU13" s="289">
        <v>25</v>
      </c>
      <c r="AV13" s="290">
        <v>7</v>
      </c>
      <c r="AW13" s="291">
        <v>34</v>
      </c>
      <c r="AX13" s="288"/>
      <c r="AY13" s="289"/>
      <c r="AZ13" s="290">
        <v>7</v>
      </c>
      <c r="BA13" s="291">
        <v>27</v>
      </c>
      <c r="BB13" s="288">
        <v>7</v>
      </c>
      <c r="BC13" s="289">
        <v>28</v>
      </c>
      <c r="BD13" s="290">
        <v>7</v>
      </c>
      <c r="BE13" s="291">
        <v>16</v>
      </c>
      <c r="BF13" s="288"/>
      <c r="BG13" s="289"/>
      <c r="BH13" s="290">
        <v>7</v>
      </c>
      <c r="BI13" s="291">
        <v>17</v>
      </c>
      <c r="BJ13" s="288"/>
      <c r="BK13" s="289"/>
      <c r="BL13" s="290"/>
      <c r="BM13" s="291"/>
      <c r="BN13" s="288">
        <v>7</v>
      </c>
      <c r="BO13" s="289">
        <v>20</v>
      </c>
      <c r="BP13" s="290"/>
      <c r="BQ13" s="291"/>
      <c r="BR13" s="288"/>
      <c r="BS13" s="289"/>
      <c r="BT13" s="290"/>
      <c r="BU13" s="291"/>
      <c r="BV13" s="288"/>
      <c r="BW13" s="289"/>
      <c r="BX13" s="290">
        <v>7</v>
      </c>
      <c r="BY13" s="291">
        <v>14</v>
      </c>
      <c r="BZ13" s="288"/>
      <c r="CA13" s="289"/>
      <c r="CB13" s="290">
        <v>7</v>
      </c>
      <c r="CC13" s="291">
        <v>29</v>
      </c>
      <c r="CD13" s="288">
        <v>7</v>
      </c>
      <c r="CE13" s="289">
        <v>37</v>
      </c>
      <c r="CF13" s="290">
        <v>7</v>
      </c>
      <c r="CG13" s="291">
        <v>50</v>
      </c>
      <c r="CH13" s="288">
        <v>7</v>
      </c>
      <c r="CI13" s="289">
        <v>53</v>
      </c>
      <c r="CJ13" s="290">
        <v>7</v>
      </c>
      <c r="CK13" s="291">
        <v>60</v>
      </c>
      <c r="CL13" s="288">
        <v>7</v>
      </c>
      <c r="CM13" s="289">
        <v>25</v>
      </c>
      <c r="CN13" s="290">
        <v>7</v>
      </c>
      <c r="CO13" s="291">
        <v>40</v>
      </c>
      <c r="CP13" s="288">
        <v>7</v>
      </c>
      <c r="CQ13" s="289">
        <v>16</v>
      </c>
      <c r="CR13" s="290"/>
      <c r="CS13" s="291"/>
      <c r="CT13" s="288"/>
      <c r="CU13" s="289"/>
      <c r="CV13" s="290"/>
      <c r="CW13" s="291"/>
      <c r="CX13" s="288"/>
      <c r="CY13" s="289"/>
      <c r="CZ13" s="290"/>
      <c r="DA13" s="291"/>
      <c r="DB13" s="288"/>
      <c r="DC13" s="289"/>
      <c r="DD13" s="290"/>
      <c r="DE13" s="291"/>
      <c r="DF13" s="288"/>
      <c r="DG13" s="289"/>
      <c r="DH13" s="290"/>
      <c r="DI13" s="291"/>
      <c r="DJ13" s="288"/>
      <c r="DK13" s="289"/>
      <c r="DL13" s="290">
        <v>7</v>
      </c>
      <c r="DM13" s="291">
        <v>28</v>
      </c>
      <c r="DN13" s="288"/>
      <c r="DO13" s="289"/>
      <c r="DP13" s="290"/>
      <c r="DQ13" s="291"/>
      <c r="DR13" s="288"/>
      <c r="DS13" s="289"/>
      <c r="DT13" s="290"/>
      <c r="DU13" s="291"/>
      <c r="DV13" s="288"/>
      <c r="DW13" s="289"/>
      <c r="DX13" s="290"/>
      <c r="DY13" s="291"/>
      <c r="DZ13" s="288"/>
      <c r="EA13" s="289"/>
      <c r="EB13" s="290">
        <v>7</v>
      </c>
      <c r="EC13" s="291">
        <v>17</v>
      </c>
    </row>
    <row x14ac:dyDescent="0.25" r="14" customHeight="1" ht="17.25">
      <c r="A14" s="1"/>
      <c r="B14" s="288">
        <v>8</v>
      </c>
      <c r="C14" s="289">
        <v>22</v>
      </c>
      <c r="D14" s="290">
        <v>8</v>
      </c>
      <c r="E14" s="291">
        <v>32</v>
      </c>
      <c r="F14" s="288">
        <v>8</v>
      </c>
      <c r="G14" s="289">
        <v>36</v>
      </c>
      <c r="H14" s="290">
        <v>8</v>
      </c>
      <c r="I14" s="291">
        <v>26</v>
      </c>
      <c r="J14" s="288">
        <v>8</v>
      </c>
      <c r="K14" s="289">
        <v>20</v>
      </c>
      <c r="L14" s="290">
        <v>8</v>
      </c>
      <c r="M14" s="291">
        <v>35</v>
      </c>
      <c r="N14" s="288">
        <v>8</v>
      </c>
      <c r="O14" s="289">
        <v>35</v>
      </c>
      <c r="P14" s="290"/>
      <c r="Q14" s="291"/>
      <c r="R14" s="288">
        <v>8</v>
      </c>
      <c r="S14" s="289">
        <v>22</v>
      </c>
      <c r="T14" s="290">
        <v>8</v>
      </c>
      <c r="U14" s="291">
        <v>18</v>
      </c>
      <c r="V14" s="288">
        <v>8</v>
      </c>
      <c r="W14" s="289">
        <v>66</v>
      </c>
      <c r="X14" s="290">
        <v>8</v>
      </c>
      <c r="Y14" s="291">
        <v>29</v>
      </c>
      <c r="Z14" s="288">
        <v>8</v>
      </c>
      <c r="AA14" s="289">
        <v>40</v>
      </c>
      <c r="AB14" s="290">
        <v>8</v>
      </c>
      <c r="AC14" s="291">
        <v>18</v>
      </c>
      <c r="AD14" s="288">
        <v>8</v>
      </c>
      <c r="AE14" s="289">
        <v>36</v>
      </c>
      <c r="AF14" s="290">
        <v>8</v>
      </c>
      <c r="AG14" s="291">
        <v>18</v>
      </c>
      <c r="AH14" s="288">
        <v>8</v>
      </c>
      <c r="AI14" s="289">
        <v>17</v>
      </c>
      <c r="AJ14" s="290">
        <v>8</v>
      </c>
      <c r="AK14" s="291">
        <v>22</v>
      </c>
      <c r="AL14" s="288">
        <v>8</v>
      </c>
      <c r="AM14" s="289">
        <v>9</v>
      </c>
      <c r="AN14" s="290">
        <v>8</v>
      </c>
      <c r="AO14" s="291">
        <v>36</v>
      </c>
      <c r="AP14" s="288">
        <v>8</v>
      </c>
      <c r="AQ14" s="289">
        <v>17</v>
      </c>
      <c r="AR14" s="290">
        <v>8</v>
      </c>
      <c r="AS14" s="291">
        <v>14</v>
      </c>
      <c r="AT14" s="288">
        <v>8</v>
      </c>
      <c r="AU14" s="289">
        <v>22</v>
      </c>
      <c r="AV14" s="290">
        <v>8</v>
      </c>
      <c r="AW14" s="291">
        <v>22</v>
      </c>
      <c r="AX14" s="288"/>
      <c r="AY14" s="289"/>
      <c r="AZ14" s="290">
        <v>8</v>
      </c>
      <c r="BA14" s="291">
        <v>18</v>
      </c>
      <c r="BB14" s="288">
        <v>8</v>
      </c>
      <c r="BC14" s="289">
        <v>27</v>
      </c>
      <c r="BD14" s="290">
        <v>8</v>
      </c>
      <c r="BE14" s="291">
        <v>14</v>
      </c>
      <c r="BF14" s="288"/>
      <c r="BG14" s="289"/>
      <c r="BH14" s="290">
        <v>8</v>
      </c>
      <c r="BI14" s="291">
        <v>14</v>
      </c>
      <c r="BJ14" s="288"/>
      <c r="BK14" s="289"/>
      <c r="BL14" s="290"/>
      <c r="BM14" s="291"/>
      <c r="BN14" s="288"/>
      <c r="BO14" s="289"/>
      <c r="BP14" s="290"/>
      <c r="BQ14" s="291"/>
      <c r="BR14" s="288"/>
      <c r="BS14" s="289"/>
      <c r="BT14" s="290"/>
      <c r="BU14" s="291"/>
      <c r="BV14" s="288"/>
      <c r="BW14" s="289"/>
      <c r="BX14" s="290">
        <v>8</v>
      </c>
      <c r="BY14" s="291">
        <v>23</v>
      </c>
      <c r="BZ14" s="288"/>
      <c r="CA14" s="289"/>
      <c r="CB14" s="290">
        <v>8</v>
      </c>
      <c r="CC14" s="291">
        <v>34</v>
      </c>
      <c r="CD14" s="288">
        <v>8</v>
      </c>
      <c r="CE14" s="289">
        <v>38</v>
      </c>
      <c r="CF14" s="290">
        <v>8</v>
      </c>
      <c r="CG14" s="291">
        <v>56</v>
      </c>
      <c r="CH14" s="288">
        <v>8</v>
      </c>
      <c r="CI14" s="289">
        <v>59</v>
      </c>
      <c r="CJ14" s="290">
        <v>8</v>
      </c>
      <c r="CK14" s="291">
        <v>40</v>
      </c>
      <c r="CL14" s="288">
        <v>8</v>
      </c>
      <c r="CM14" s="289">
        <v>39</v>
      </c>
      <c r="CN14" s="290">
        <v>8</v>
      </c>
      <c r="CO14" s="291">
        <v>13</v>
      </c>
      <c r="CP14" s="288">
        <v>8</v>
      </c>
      <c r="CQ14" s="289">
        <v>24</v>
      </c>
      <c r="CR14" s="290"/>
      <c r="CS14" s="291"/>
      <c r="CT14" s="288"/>
      <c r="CU14" s="289"/>
      <c r="CV14" s="290"/>
      <c r="CW14" s="291"/>
      <c r="CX14" s="288"/>
      <c r="CY14" s="289"/>
      <c r="CZ14" s="290"/>
      <c r="DA14" s="291"/>
      <c r="DB14" s="288"/>
      <c r="DC14" s="289"/>
      <c r="DD14" s="290"/>
      <c r="DE14" s="291"/>
      <c r="DF14" s="288"/>
      <c r="DG14" s="289"/>
      <c r="DH14" s="290"/>
      <c r="DI14" s="291"/>
      <c r="DJ14" s="288"/>
      <c r="DK14" s="289"/>
      <c r="DL14" s="290">
        <v>8</v>
      </c>
      <c r="DM14" s="291">
        <v>13</v>
      </c>
      <c r="DN14" s="288"/>
      <c r="DO14" s="289"/>
      <c r="DP14" s="290"/>
      <c r="DQ14" s="291"/>
      <c r="DR14" s="288"/>
      <c r="DS14" s="289"/>
      <c r="DT14" s="290"/>
      <c r="DU14" s="291"/>
      <c r="DV14" s="288"/>
      <c r="DW14" s="289"/>
      <c r="DX14" s="290"/>
      <c r="DY14" s="291"/>
      <c r="DZ14" s="288"/>
      <c r="EA14" s="289"/>
      <c r="EB14" s="290">
        <v>8</v>
      </c>
      <c r="EC14" s="291">
        <v>13</v>
      </c>
    </row>
    <row x14ac:dyDescent="0.25" r="15" customHeight="1" ht="17.25">
      <c r="A15" s="1"/>
      <c r="B15" s="288">
        <v>9</v>
      </c>
      <c r="C15" s="289">
        <v>29</v>
      </c>
      <c r="D15" s="290">
        <v>9</v>
      </c>
      <c r="E15" s="291">
        <v>35</v>
      </c>
      <c r="F15" s="288">
        <v>9</v>
      </c>
      <c r="G15" s="289">
        <v>24</v>
      </c>
      <c r="H15" s="290">
        <v>9</v>
      </c>
      <c r="I15" s="291">
        <v>23</v>
      </c>
      <c r="J15" s="288">
        <v>9</v>
      </c>
      <c r="K15" s="289">
        <v>29</v>
      </c>
      <c r="L15" s="290">
        <v>9</v>
      </c>
      <c r="M15" s="291">
        <v>27</v>
      </c>
      <c r="N15" s="288">
        <v>9</v>
      </c>
      <c r="O15" s="289">
        <v>57</v>
      </c>
      <c r="P15" s="290"/>
      <c r="Q15" s="291"/>
      <c r="R15" s="288">
        <v>9</v>
      </c>
      <c r="S15" s="289">
        <v>27</v>
      </c>
      <c r="T15" s="290">
        <v>9</v>
      </c>
      <c r="U15" s="291">
        <v>13</v>
      </c>
      <c r="V15" s="288">
        <v>9</v>
      </c>
      <c r="W15" s="289">
        <v>28</v>
      </c>
      <c r="X15" s="290">
        <v>9</v>
      </c>
      <c r="Y15" s="291">
        <v>37</v>
      </c>
      <c r="Z15" s="288">
        <v>9</v>
      </c>
      <c r="AA15" s="289">
        <v>44</v>
      </c>
      <c r="AB15" s="290">
        <v>9</v>
      </c>
      <c r="AC15" s="291">
        <v>31</v>
      </c>
      <c r="AD15" s="288">
        <v>9</v>
      </c>
      <c r="AE15" s="289">
        <v>15</v>
      </c>
      <c r="AF15" s="290">
        <v>9</v>
      </c>
      <c r="AG15" s="291">
        <v>38</v>
      </c>
      <c r="AH15" s="288">
        <v>9</v>
      </c>
      <c r="AI15" s="289">
        <v>32</v>
      </c>
      <c r="AJ15" s="290">
        <v>9</v>
      </c>
      <c r="AK15" s="291">
        <v>35</v>
      </c>
      <c r="AL15" s="288">
        <v>9</v>
      </c>
      <c r="AM15" s="289">
        <v>20</v>
      </c>
      <c r="AN15" s="290">
        <v>9</v>
      </c>
      <c r="AO15" s="291">
        <v>18</v>
      </c>
      <c r="AP15" s="288">
        <v>9</v>
      </c>
      <c r="AQ15" s="289">
        <v>18</v>
      </c>
      <c r="AR15" s="290"/>
      <c r="AS15" s="291"/>
      <c r="AT15" s="288">
        <v>9</v>
      </c>
      <c r="AU15" s="289">
        <v>21</v>
      </c>
      <c r="AV15" s="290">
        <v>9</v>
      </c>
      <c r="AW15" s="291">
        <v>26</v>
      </c>
      <c r="AX15" s="288"/>
      <c r="AY15" s="289"/>
      <c r="AZ15" s="290">
        <v>9</v>
      </c>
      <c r="BA15" s="291">
        <v>11</v>
      </c>
      <c r="BB15" s="288">
        <v>9</v>
      </c>
      <c r="BC15" s="289">
        <v>27</v>
      </c>
      <c r="BD15" s="290">
        <v>9</v>
      </c>
      <c r="BE15" s="291">
        <v>17</v>
      </c>
      <c r="BF15" s="288"/>
      <c r="BG15" s="289"/>
      <c r="BH15" s="290">
        <v>9</v>
      </c>
      <c r="BI15" s="291">
        <v>15</v>
      </c>
      <c r="BJ15" s="288"/>
      <c r="BK15" s="289"/>
      <c r="BL15" s="290"/>
      <c r="BM15" s="291"/>
      <c r="BN15" s="288"/>
      <c r="BO15" s="289"/>
      <c r="BP15" s="290"/>
      <c r="BQ15" s="291"/>
      <c r="BR15" s="288"/>
      <c r="BS15" s="289"/>
      <c r="BT15" s="290"/>
      <c r="BU15" s="291"/>
      <c r="BV15" s="288"/>
      <c r="BW15" s="289"/>
      <c r="BX15" s="290">
        <v>9</v>
      </c>
      <c r="BY15" s="291">
        <v>17</v>
      </c>
      <c r="BZ15" s="288"/>
      <c r="CA15" s="289"/>
      <c r="CB15" s="290">
        <v>9</v>
      </c>
      <c r="CC15" s="291">
        <v>38</v>
      </c>
      <c r="CD15" s="288">
        <v>9</v>
      </c>
      <c r="CE15" s="289">
        <v>50</v>
      </c>
      <c r="CF15" s="290">
        <v>9</v>
      </c>
      <c r="CG15" s="291">
        <v>62</v>
      </c>
      <c r="CH15" s="288">
        <v>9</v>
      </c>
      <c r="CI15" s="289">
        <v>41</v>
      </c>
      <c r="CJ15" s="290">
        <v>9</v>
      </c>
      <c r="CK15" s="291">
        <v>43</v>
      </c>
      <c r="CL15" s="288">
        <v>9</v>
      </c>
      <c r="CM15" s="289">
        <v>33</v>
      </c>
      <c r="CN15" s="290">
        <v>9</v>
      </c>
      <c r="CO15" s="291">
        <v>27</v>
      </c>
      <c r="CP15" s="288">
        <v>9</v>
      </c>
      <c r="CQ15" s="289">
        <v>15</v>
      </c>
      <c r="CR15" s="290"/>
      <c r="CS15" s="291"/>
      <c r="CT15" s="288"/>
      <c r="CU15" s="289"/>
      <c r="CV15" s="290"/>
      <c r="CW15" s="291"/>
      <c r="CX15" s="288"/>
      <c r="CY15" s="289"/>
      <c r="CZ15" s="290"/>
      <c r="DA15" s="291"/>
      <c r="DB15" s="288"/>
      <c r="DC15" s="289"/>
      <c r="DD15" s="290"/>
      <c r="DE15" s="291"/>
      <c r="DF15" s="288"/>
      <c r="DG15" s="289"/>
      <c r="DH15" s="290"/>
      <c r="DI15" s="291"/>
      <c r="DJ15" s="288"/>
      <c r="DK15" s="289"/>
      <c r="DL15" s="290">
        <v>9</v>
      </c>
      <c r="DM15" s="291">
        <v>28</v>
      </c>
      <c r="DN15" s="288"/>
      <c r="DO15" s="289"/>
      <c r="DP15" s="290"/>
      <c r="DQ15" s="291"/>
      <c r="DR15" s="288"/>
      <c r="DS15" s="289"/>
      <c r="DT15" s="290"/>
      <c r="DU15" s="291"/>
      <c r="DV15" s="288"/>
      <c r="DW15" s="289"/>
      <c r="DX15" s="290"/>
      <c r="DY15" s="291"/>
      <c r="DZ15" s="288"/>
      <c r="EA15" s="289"/>
      <c r="EB15" s="290">
        <v>9</v>
      </c>
      <c r="EC15" s="291">
        <v>21</v>
      </c>
    </row>
    <row x14ac:dyDescent="0.25" r="16" customHeight="1" ht="17.25">
      <c r="A16" s="1"/>
      <c r="B16" s="288">
        <v>10</v>
      </c>
      <c r="C16" s="289">
        <v>32</v>
      </c>
      <c r="D16" s="290">
        <v>10</v>
      </c>
      <c r="E16" s="291">
        <v>29</v>
      </c>
      <c r="F16" s="288">
        <v>10</v>
      </c>
      <c r="G16" s="289">
        <v>20</v>
      </c>
      <c r="H16" s="290">
        <v>10</v>
      </c>
      <c r="I16" s="291">
        <v>36</v>
      </c>
      <c r="J16" s="288">
        <v>10</v>
      </c>
      <c r="K16" s="289">
        <v>22</v>
      </c>
      <c r="L16" s="290">
        <v>10</v>
      </c>
      <c r="M16" s="291">
        <v>43</v>
      </c>
      <c r="N16" s="288">
        <v>10</v>
      </c>
      <c r="O16" s="289">
        <v>18</v>
      </c>
      <c r="P16" s="290"/>
      <c r="Q16" s="291"/>
      <c r="R16" s="288">
        <v>10</v>
      </c>
      <c r="S16" s="289">
        <v>27</v>
      </c>
      <c r="T16" s="290">
        <v>10</v>
      </c>
      <c r="U16" s="291">
        <v>19</v>
      </c>
      <c r="V16" s="288">
        <v>10</v>
      </c>
      <c r="W16" s="289">
        <v>29</v>
      </c>
      <c r="X16" s="290">
        <v>10</v>
      </c>
      <c r="Y16" s="291">
        <v>36</v>
      </c>
      <c r="Z16" s="288">
        <v>10</v>
      </c>
      <c r="AA16" s="289">
        <v>14</v>
      </c>
      <c r="AB16" s="290">
        <v>10</v>
      </c>
      <c r="AC16" s="291">
        <v>19</v>
      </c>
      <c r="AD16" s="288">
        <v>10</v>
      </c>
      <c r="AE16" s="289">
        <v>44</v>
      </c>
      <c r="AF16" s="290">
        <v>1</v>
      </c>
      <c r="AG16" s="291">
        <v>39</v>
      </c>
      <c r="AH16" s="288">
        <v>10</v>
      </c>
      <c r="AI16" s="289">
        <v>3</v>
      </c>
      <c r="AJ16" s="290">
        <v>10</v>
      </c>
      <c r="AK16" s="291">
        <v>22</v>
      </c>
      <c r="AL16" s="288">
        <v>10</v>
      </c>
      <c r="AM16" s="289">
        <v>18</v>
      </c>
      <c r="AN16" s="290">
        <v>10</v>
      </c>
      <c r="AO16" s="291">
        <v>32</v>
      </c>
      <c r="AP16" s="288">
        <v>10</v>
      </c>
      <c r="AQ16" s="289">
        <v>20</v>
      </c>
      <c r="AR16" s="290"/>
      <c r="AS16" s="291"/>
      <c r="AT16" s="288">
        <v>10</v>
      </c>
      <c r="AU16" s="289">
        <v>34</v>
      </c>
      <c r="AV16" s="290">
        <v>1</v>
      </c>
      <c r="AW16" s="291">
        <v>25</v>
      </c>
      <c r="AX16" s="288"/>
      <c r="AY16" s="289"/>
      <c r="AZ16" s="290">
        <v>10</v>
      </c>
      <c r="BA16" s="291">
        <v>22</v>
      </c>
      <c r="BB16" s="288">
        <v>10</v>
      </c>
      <c r="BC16" s="289">
        <v>21</v>
      </c>
      <c r="BD16" s="290">
        <v>10</v>
      </c>
      <c r="BE16" s="291">
        <v>15</v>
      </c>
      <c r="BF16" s="288"/>
      <c r="BG16" s="289"/>
      <c r="BH16" s="290"/>
      <c r="BI16" s="291"/>
      <c r="BJ16" s="288"/>
      <c r="BK16" s="289"/>
      <c r="BL16" s="290"/>
      <c r="BM16" s="291"/>
      <c r="BN16" s="288"/>
      <c r="BO16" s="289"/>
      <c r="BP16" s="290"/>
      <c r="BQ16" s="291"/>
      <c r="BR16" s="288"/>
      <c r="BS16" s="289"/>
      <c r="BT16" s="290"/>
      <c r="BU16" s="291"/>
      <c r="BV16" s="288"/>
      <c r="BW16" s="289"/>
      <c r="BX16" s="290">
        <v>10</v>
      </c>
      <c r="BY16" s="291">
        <v>12</v>
      </c>
      <c r="BZ16" s="288"/>
      <c r="CA16" s="289"/>
      <c r="CB16" s="290">
        <v>1</v>
      </c>
      <c r="CC16" s="291">
        <v>42</v>
      </c>
      <c r="CD16" s="288">
        <v>10</v>
      </c>
      <c r="CE16" s="289">
        <v>52</v>
      </c>
      <c r="CF16" s="290">
        <v>10</v>
      </c>
      <c r="CG16" s="291">
        <v>42</v>
      </c>
      <c r="CH16" s="288">
        <v>10</v>
      </c>
      <c r="CI16" s="289">
        <v>42</v>
      </c>
      <c r="CJ16" s="290">
        <v>10</v>
      </c>
      <c r="CK16" s="291">
        <v>48</v>
      </c>
      <c r="CL16" s="288">
        <v>10</v>
      </c>
      <c r="CM16" s="289">
        <v>21</v>
      </c>
      <c r="CN16" s="290">
        <v>10</v>
      </c>
      <c r="CO16" s="291">
        <v>33</v>
      </c>
      <c r="CP16" s="288">
        <v>10</v>
      </c>
      <c r="CQ16" s="289">
        <v>18</v>
      </c>
      <c r="CR16" s="290"/>
      <c r="CS16" s="291"/>
      <c r="CT16" s="288"/>
      <c r="CU16" s="289"/>
      <c r="CV16" s="290"/>
      <c r="CW16" s="291"/>
      <c r="CX16" s="288"/>
      <c r="CY16" s="289"/>
      <c r="CZ16" s="290"/>
      <c r="DA16" s="291"/>
      <c r="DB16" s="288"/>
      <c r="DC16" s="289"/>
      <c r="DD16" s="290"/>
      <c r="DE16" s="291"/>
      <c r="DF16" s="288"/>
      <c r="DG16" s="289"/>
      <c r="DH16" s="290"/>
      <c r="DI16" s="291"/>
      <c r="DJ16" s="288"/>
      <c r="DK16" s="289"/>
      <c r="DL16" s="290">
        <v>10</v>
      </c>
      <c r="DM16" s="291">
        <v>39</v>
      </c>
      <c r="DN16" s="288"/>
      <c r="DO16" s="289"/>
      <c r="DP16" s="290"/>
      <c r="DQ16" s="291"/>
      <c r="DR16" s="288"/>
      <c r="DS16" s="289"/>
      <c r="DT16" s="290"/>
      <c r="DU16" s="291"/>
      <c r="DV16" s="288"/>
      <c r="DW16" s="289"/>
      <c r="DX16" s="290"/>
      <c r="DY16" s="291"/>
      <c r="DZ16" s="288"/>
      <c r="EA16" s="289"/>
      <c r="EB16" s="290">
        <v>10</v>
      </c>
      <c r="EC16" s="291">
        <v>11</v>
      </c>
    </row>
    <row x14ac:dyDescent="0.25" r="17" customHeight="1" ht="17.25">
      <c r="A17" s="1"/>
      <c r="B17" s="288">
        <v>11</v>
      </c>
      <c r="C17" s="289">
        <v>32</v>
      </c>
      <c r="D17" s="290">
        <v>11</v>
      </c>
      <c r="E17" s="291">
        <v>10</v>
      </c>
      <c r="F17" s="288">
        <v>11</v>
      </c>
      <c r="G17" s="289">
        <v>47</v>
      </c>
      <c r="H17" s="290">
        <v>11</v>
      </c>
      <c r="I17" s="291">
        <v>35</v>
      </c>
      <c r="J17" s="288">
        <v>11</v>
      </c>
      <c r="K17" s="289">
        <v>32</v>
      </c>
      <c r="L17" s="290">
        <v>11</v>
      </c>
      <c r="M17" s="291">
        <v>23</v>
      </c>
      <c r="N17" s="288">
        <v>11</v>
      </c>
      <c r="O17" s="289">
        <v>40</v>
      </c>
      <c r="P17" s="290"/>
      <c r="Q17" s="291"/>
      <c r="R17" s="288">
        <v>11</v>
      </c>
      <c r="S17" s="289">
        <v>15</v>
      </c>
      <c r="T17" s="290">
        <v>11</v>
      </c>
      <c r="U17" s="291">
        <v>27</v>
      </c>
      <c r="V17" s="288">
        <v>11</v>
      </c>
      <c r="W17" s="289">
        <v>43</v>
      </c>
      <c r="X17" s="290">
        <v>11</v>
      </c>
      <c r="Y17" s="291">
        <v>21</v>
      </c>
      <c r="Z17" s="288">
        <v>11</v>
      </c>
      <c r="AA17" s="289">
        <v>47</v>
      </c>
      <c r="AB17" s="290">
        <v>11</v>
      </c>
      <c r="AC17" s="291">
        <v>23</v>
      </c>
      <c r="AD17" s="288"/>
      <c r="AE17" s="289"/>
      <c r="AF17" s="290">
        <v>11</v>
      </c>
      <c r="AG17" s="291">
        <v>36</v>
      </c>
      <c r="AH17" s="288"/>
      <c r="AI17" s="289"/>
      <c r="AJ17" s="290">
        <v>11</v>
      </c>
      <c r="AK17" s="291">
        <v>20</v>
      </c>
      <c r="AL17" s="288">
        <v>11</v>
      </c>
      <c r="AM17" s="289">
        <v>7</v>
      </c>
      <c r="AN17" s="290">
        <v>11</v>
      </c>
      <c r="AO17" s="291">
        <v>31</v>
      </c>
      <c r="AP17" s="288">
        <v>11</v>
      </c>
      <c r="AQ17" s="289">
        <v>10</v>
      </c>
      <c r="AR17" s="290"/>
      <c r="AS17" s="291"/>
      <c r="AT17" s="288">
        <v>11</v>
      </c>
      <c r="AU17" s="289">
        <v>16</v>
      </c>
      <c r="AV17" s="290">
        <v>11</v>
      </c>
      <c r="AW17" s="291">
        <v>23</v>
      </c>
      <c r="AX17" s="288"/>
      <c r="AY17" s="289"/>
      <c r="AZ17" s="290">
        <v>11</v>
      </c>
      <c r="BA17" s="291">
        <v>25</v>
      </c>
      <c r="BB17" s="288">
        <v>11</v>
      </c>
      <c r="BC17" s="289">
        <v>45</v>
      </c>
      <c r="BD17" s="290">
        <v>11</v>
      </c>
      <c r="BE17" s="291">
        <v>12</v>
      </c>
      <c r="BF17" s="288"/>
      <c r="BG17" s="289"/>
      <c r="BH17" s="290"/>
      <c r="BI17" s="291"/>
      <c r="BJ17" s="288"/>
      <c r="BK17" s="289"/>
      <c r="BL17" s="290"/>
      <c r="BM17" s="291"/>
      <c r="BN17" s="288"/>
      <c r="BO17" s="289"/>
      <c r="BP17" s="290"/>
      <c r="BQ17" s="291"/>
      <c r="BR17" s="288"/>
      <c r="BS17" s="289"/>
      <c r="BT17" s="290"/>
      <c r="BU17" s="291"/>
      <c r="BV17" s="288"/>
      <c r="BW17" s="289"/>
      <c r="BX17" s="290">
        <v>11</v>
      </c>
      <c r="BY17" s="291">
        <v>17</v>
      </c>
      <c r="BZ17" s="288"/>
      <c r="CA17" s="289"/>
      <c r="CB17" s="290">
        <v>11</v>
      </c>
      <c r="CC17" s="291">
        <v>30</v>
      </c>
      <c r="CD17" s="288">
        <v>11</v>
      </c>
      <c r="CE17" s="289">
        <v>33</v>
      </c>
      <c r="CF17" s="290">
        <v>11</v>
      </c>
      <c r="CG17" s="291">
        <v>54</v>
      </c>
      <c r="CH17" s="288">
        <v>11</v>
      </c>
      <c r="CI17" s="289">
        <v>57</v>
      </c>
      <c r="CJ17" s="290">
        <v>11</v>
      </c>
      <c r="CK17" s="291">
        <v>30</v>
      </c>
      <c r="CL17" s="288">
        <v>11</v>
      </c>
      <c r="CM17" s="289">
        <v>36</v>
      </c>
      <c r="CN17" s="290">
        <v>11</v>
      </c>
      <c r="CO17" s="291">
        <v>34</v>
      </c>
      <c r="CP17" s="288">
        <v>11</v>
      </c>
      <c r="CQ17" s="289">
        <v>33</v>
      </c>
      <c r="CR17" s="290"/>
      <c r="CS17" s="291"/>
      <c r="CT17" s="288"/>
      <c r="CU17" s="289"/>
      <c r="CV17" s="290"/>
      <c r="CW17" s="291"/>
      <c r="CX17" s="288"/>
      <c r="CY17" s="289"/>
      <c r="CZ17" s="290"/>
      <c r="DA17" s="291"/>
      <c r="DB17" s="288"/>
      <c r="DC17" s="289"/>
      <c r="DD17" s="290"/>
      <c r="DE17" s="291"/>
      <c r="DF17" s="288"/>
      <c r="DG17" s="289"/>
      <c r="DH17" s="290"/>
      <c r="DI17" s="291"/>
      <c r="DJ17" s="288"/>
      <c r="DK17" s="289"/>
      <c r="DL17" s="290">
        <v>11</v>
      </c>
      <c r="DM17" s="291">
        <v>40</v>
      </c>
      <c r="DN17" s="288"/>
      <c r="DO17" s="289"/>
      <c r="DP17" s="290"/>
      <c r="DQ17" s="291"/>
      <c r="DR17" s="288"/>
      <c r="DS17" s="289"/>
      <c r="DT17" s="290"/>
      <c r="DU17" s="291"/>
      <c r="DV17" s="288"/>
      <c r="DW17" s="289"/>
      <c r="DX17" s="290"/>
      <c r="DY17" s="291"/>
      <c r="DZ17" s="288"/>
      <c r="EA17" s="289"/>
      <c r="EB17" s="290">
        <v>11</v>
      </c>
      <c r="EC17" s="291">
        <v>19</v>
      </c>
    </row>
    <row x14ac:dyDescent="0.25" r="18" customHeight="1" ht="17.25">
      <c r="A18" s="1"/>
      <c r="B18" s="288">
        <v>12</v>
      </c>
      <c r="C18" s="289">
        <v>20</v>
      </c>
      <c r="D18" s="290">
        <v>12</v>
      </c>
      <c r="E18" s="291">
        <v>51</v>
      </c>
      <c r="F18" s="288">
        <v>12</v>
      </c>
      <c r="G18" s="289">
        <v>8</v>
      </c>
      <c r="H18" s="290">
        <v>12</v>
      </c>
      <c r="I18" s="291">
        <v>16</v>
      </c>
      <c r="J18" s="288">
        <v>12</v>
      </c>
      <c r="K18" s="289">
        <v>32</v>
      </c>
      <c r="L18" s="290">
        <v>12</v>
      </c>
      <c r="M18" s="291">
        <v>24</v>
      </c>
      <c r="N18" s="288">
        <v>12</v>
      </c>
      <c r="O18" s="289">
        <v>15</v>
      </c>
      <c r="P18" s="290"/>
      <c r="Q18" s="291"/>
      <c r="R18" s="288">
        <v>12</v>
      </c>
      <c r="S18" s="289">
        <v>25</v>
      </c>
      <c r="T18" s="290">
        <v>12</v>
      </c>
      <c r="U18" s="291">
        <v>31</v>
      </c>
      <c r="V18" s="288">
        <v>12</v>
      </c>
      <c r="W18" s="289">
        <v>33</v>
      </c>
      <c r="X18" s="290">
        <v>12</v>
      </c>
      <c r="Y18" s="291">
        <v>21</v>
      </c>
      <c r="Z18" s="288">
        <v>12</v>
      </c>
      <c r="AA18" s="289">
        <v>40</v>
      </c>
      <c r="AB18" s="290">
        <v>12</v>
      </c>
      <c r="AC18" s="291">
        <v>16</v>
      </c>
      <c r="AD18" s="288"/>
      <c r="AE18" s="289"/>
      <c r="AF18" s="290">
        <v>12</v>
      </c>
      <c r="AG18" s="291">
        <v>47</v>
      </c>
      <c r="AH18" s="288"/>
      <c r="AI18" s="289"/>
      <c r="AJ18" s="290">
        <v>12</v>
      </c>
      <c r="AK18" s="291">
        <v>25</v>
      </c>
      <c r="AL18" s="288">
        <v>12</v>
      </c>
      <c r="AM18" s="289">
        <v>8</v>
      </c>
      <c r="AN18" s="290">
        <v>12</v>
      </c>
      <c r="AO18" s="291">
        <v>28</v>
      </c>
      <c r="AP18" s="288">
        <v>12</v>
      </c>
      <c r="AQ18" s="289">
        <v>14</v>
      </c>
      <c r="AR18" s="290"/>
      <c r="AS18" s="291"/>
      <c r="AT18" s="288">
        <v>12</v>
      </c>
      <c r="AU18" s="289">
        <v>6</v>
      </c>
      <c r="AV18" s="290">
        <v>12</v>
      </c>
      <c r="AW18" s="291">
        <v>17</v>
      </c>
      <c r="AX18" s="288"/>
      <c r="AY18" s="289"/>
      <c r="AZ18" s="290">
        <v>12</v>
      </c>
      <c r="BA18" s="291">
        <v>28</v>
      </c>
      <c r="BB18" s="288">
        <v>12</v>
      </c>
      <c r="BC18" s="289">
        <v>13</v>
      </c>
      <c r="BD18" s="290">
        <v>12</v>
      </c>
      <c r="BE18" s="291">
        <v>14</v>
      </c>
      <c r="BF18" s="288"/>
      <c r="BG18" s="289"/>
      <c r="BH18" s="290"/>
      <c r="BI18" s="291"/>
      <c r="BJ18" s="288"/>
      <c r="BK18" s="289"/>
      <c r="BL18" s="290"/>
      <c r="BM18" s="291"/>
      <c r="BN18" s="288"/>
      <c r="BO18" s="289"/>
      <c r="BP18" s="290"/>
      <c r="BQ18" s="291"/>
      <c r="BR18" s="288"/>
      <c r="BS18" s="289"/>
      <c r="BT18" s="290"/>
      <c r="BU18" s="291"/>
      <c r="BV18" s="288"/>
      <c r="BW18" s="289"/>
      <c r="BX18" s="290">
        <v>12</v>
      </c>
      <c r="BY18" s="291">
        <v>14</v>
      </c>
      <c r="BZ18" s="288"/>
      <c r="CA18" s="289"/>
      <c r="CB18" s="290">
        <v>12</v>
      </c>
      <c r="CC18" s="291">
        <v>50</v>
      </c>
      <c r="CD18" s="288">
        <v>12</v>
      </c>
      <c r="CE18" s="289">
        <v>44</v>
      </c>
      <c r="CF18" s="290">
        <v>12</v>
      </c>
      <c r="CG18" s="291">
        <v>59</v>
      </c>
      <c r="CH18" s="288">
        <v>12</v>
      </c>
      <c r="CI18" s="289">
        <v>50</v>
      </c>
      <c r="CJ18" s="290">
        <v>12</v>
      </c>
      <c r="CK18" s="291">
        <v>25</v>
      </c>
      <c r="CL18" s="288">
        <v>12</v>
      </c>
      <c r="CM18" s="289">
        <v>21</v>
      </c>
      <c r="CN18" s="290">
        <v>12</v>
      </c>
      <c r="CO18" s="291">
        <v>31</v>
      </c>
      <c r="CP18" s="288">
        <v>12</v>
      </c>
      <c r="CQ18" s="289">
        <v>21</v>
      </c>
      <c r="CR18" s="290"/>
      <c r="CS18" s="291"/>
      <c r="CT18" s="288"/>
      <c r="CU18" s="289"/>
      <c r="CV18" s="290"/>
      <c r="CW18" s="291"/>
      <c r="CX18" s="288"/>
      <c r="CY18" s="289"/>
      <c r="CZ18" s="290"/>
      <c r="DA18" s="291"/>
      <c r="DB18" s="288"/>
      <c r="DC18" s="289"/>
      <c r="DD18" s="290"/>
      <c r="DE18" s="291"/>
      <c r="DF18" s="288"/>
      <c r="DG18" s="289"/>
      <c r="DH18" s="290"/>
      <c r="DI18" s="291"/>
      <c r="DJ18" s="288"/>
      <c r="DK18" s="289"/>
      <c r="DL18" s="290">
        <v>12</v>
      </c>
      <c r="DM18" s="291">
        <v>29</v>
      </c>
      <c r="DN18" s="288"/>
      <c r="DO18" s="289"/>
      <c r="DP18" s="290"/>
      <c r="DQ18" s="291"/>
      <c r="DR18" s="288"/>
      <c r="DS18" s="289"/>
      <c r="DT18" s="290"/>
      <c r="DU18" s="291"/>
      <c r="DV18" s="288"/>
      <c r="DW18" s="289"/>
      <c r="DX18" s="290"/>
      <c r="DY18" s="291"/>
      <c r="DZ18" s="288"/>
      <c r="EA18" s="289"/>
      <c r="EB18" s="290">
        <v>12</v>
      </c>
      <c r="EC18" s="291">
        <v>17</v>
      </c>
    </row>
    <row x14ac:dyDescent="0.25" r="19" customHeight="1" ht="17.25">
      <c r="A19" s="1"/>
      <c r="B19" s="288">
        <v>13</v>
      </c>
      <c r="C19" s="289">
        <v>18</v>
      </c>
      <c r="D19" s="290">
        <v>13</v>
      </c>
      <c r="E19" s="291">
        <v>22</v>
      </c>
      <c r="F19" s="288">
        <v>13</v>
      </c>
      <c r="G19" s="289">
        <v>59</v>
      </c>
      <c r="H19" s="290">
        <v>13</v>
      </c>
      <c r="I19" s="291">
        <v>33</v>
      </c>
      <c r="J19" s="288">
        <v>13</v>
      </c>
      <c r="K19" s="289">
        <v>18</v>
      </c>
      <c r="L19" s="290">
        <v>13</v>
      </c>
      <c r="M19" s="291">
        <v>33</v>
      </c>
      <c r="N19" s="288">
        <v>13</v>
      </c>
      <c r="O19" s="289">
        <v>25</v>
      </c>
      <c r="P19" s="290"/>
      <c r="Q19" s="291"/>
      <c r="R19" s="288">
        <v>13</v>
      </c>
      <c r="S19" s="289">
        <v>23</v>
      </c>
      <c r="T19" s="290">
        <v>13</v>
      </c>
      <c r="U19" s="291">
        <v>39</v>
      </c>
      <c r="V19" s="288">
        <v>13</v>
      </c>
      <c r="W19" s="289">
        <v>34</v>
      </c>
      <c r="X19" s="290">
        <v>13</v>
      </c>
      <c r="Y19" s="291">
        <v>25</v>
      </c>
      <c r="Z19" s="288">
        <v>13</v>
      </c>
      <c r="AA19" s="289">
        <v>14</v>
      </c>
      <c r="AB19" s="290">
        <v>13</v>
      </c>
      <c r="AC19" s="291">
        <v>22</v>
      </c>
      <c r="AD19" s="288"/>
      <c r="AE19" s="289"/>
      <c r="AF19" s="290">
        <v>13</v>
      </c>
      <c r="AG19" s="291">
        <v>31</v>
      </c>
      <c r="AH19" s="288"/>
      <c r="AI19" s="289"/>
      <c r="AJ19" s="290">
        <v>13</v>
      </c>
      <c r="AK19" s="291">
        <v>28</v>
      </c>
      <c r="AL19" s="288">
        <v>13</v>
      </c>
      <c r="AM19" s="289">
        <v>6</v>
      </c>
      <c r="AN19" s="290">
        <v>13</v>
      </c>
      <c r="AO19" s="291">
        <v>25</v>
      </c>
      <c r="AP19" s="288"/>
      <c r="AQ19" s="289"/>
      <c r="AR19" s="290"/>
      <c r="AS19" s="291"/>
      <c r="AT19" s="288">
        <v>13</v>
      </c>
      <c r="AU19" s="289">
        <v>22</v>
      </c>
      <c r="AV19" s="290">
        <v>13</v>
      </c>
      <c r="AW19" s="291">
        <v>27</v>
      </c>
      <c r="AX19" s="288"/>
      <c r="AY19" s="289"/>
      <c r="AZ19" s="290">
        <v>13</v>
      </c>
      <c r="BA19" s="291">
        <v>23</v>
      </c>
      <c r="BB19" s="288"/>
      <c r="BC19" s="289"/>
      <c r="BD19" s="290">
        <v>13</v>
      </c>
      <c r="BE19" s="291">
        <v>16</v>
      </c>
      <c r="BF19" s="288"/>
      <c r="BG19" s="289"/>
      <c r="BH19" s="290"/>
      <c r="BI19" s="291"/>
      <c r="BJ19" s="288"/>
      <c r="BK19" s="289"/>
      <c r="BL19" s="290"/>
      <c r="BM19" s="291"/>
      <c r="BN19" s="288"/>
      <c r="BO19" s="289"/>
      <c r="BP19" s="290"/>
      <c r="BQ19" s="291"/>
      <c r="BR19" s="288"/>
      <c r="BS19" s="289"/>
      <c r="BT19" s="290"/>
      <c r="BU19" s="291"/>
      <c r="BV19" s="288"/>
      <c r="BW19" s="289"/>
      <c r="BX19" s="290">
        <v>13</v>
      </c>
      <c r="BY19" s="291">
        <v>9</v>
      </c>
      <c r="BZ19" s="288"/>
      <c r="CA19" s="289"/>
      <c r="CB19" s="290">
        <v>13</v>
      </c>
      <c r="CC19" s="291">
        <v>58</v>
      </c>
      <c r="CD19" s="288">
        <v>13</v>
      </c>
      <c r="CE19" s="289">
        <v>37</v>
      </c>
      <c r="CF19" s="290">
        <v>13</v>
      </c>
      <c r="CG19" s="291">
        <v>35</v>
      </c>
      <c r="CH19" s="288">
        <v>13</v>
      </c>
      <c r="CI19" s="289">
        <v>38</v>
      </c>
      <c r="CJ19" s="290">
        <v>13</v>
      </c>
      <c r="CK19" s="291">
        <v>52</v>
      </c>
      <c r="CL19" s="288">
        <v>13</v>
      </c>
      <c r="CM19" s="289">
        <v>14</v>
      </c>
      <c r="CN19" s="290">
        <v>13</v>
      </c>
      <c r="CO19" s="291">
        <v>13</v>
      </c>
      <c r="CP19" s="288">
        <v>13</v>
      </c>
      <c r="CQ19" s="289">
        <v>14</v>
      </c>
      <c r="CR19" s="290"/>
      <c r="CS19" s="291"/>
      <c r="CT19" s="288"/>
      <c r="CU19" s="289"/>
      <c r="CV19" s="290"/>
      <c r="CW19" s="291"/>
      <c r="CX19" s="288"/>
      <c r="CY19" s="289"/>
      <c r="CZ19" s="290"/>
      <c r="DA19" s="291"/>
      <c r="DB19" s="288"/>
      <c r="DC19" s="289"/>
      <c r="DD19" s="290"/>
      <c r="DE19" s="291"/>
      <c r="DF19" s="288"/>
      <c r="DG19" s="289"/>
      <c r="DH19" s="290"/>
      <c r="DI19" s="291"/>
      <c r="DJ19" s="288"/>
      <c r="DK19" s="289"/>
      <c r="DL19" s="290">
        <v>13</v>
      </c>
      <c r="DM19" s="291">
        <v>25</v>
      </c>
      <c r="DN19" s="288"/>
      <c r="DO19" s="289"/>
      <c r="DP19" s="290"/>
      <c r="DQ19" s="291"/>
      <c r="DR19" s="288"/>
      <c r="DS19" s="289"/>
      <c r="DT19" s="290"/>
      <c r="DU19" s="291"/>
      <c r="DV19" s="288"/>
      <c r="DW19" s="289"/>
      <c r="DX19" s="290"/>
      <c r="DY19" s="291"/>
      <c r="DZ19" s="288"/>
      <c r="EA19" s="289"/>
      <c r="EB19" s="290">
        <v>13</v>
      </c>
      <c r="EC19" s="291">
        <v>18</v>
      </c>
    </row>
    <row x14ac:dyDescent="0.25" r="20" customHeight="1" ht="17.25">
      <c r="A20" s="1"/>
      <c r="B20" s="288">
        <v>14</v>
      </c>
      <c r="C20" s="289">
        <v>24</v>
      </c>
      <c r="D20" s="290">
        <v>14</v>
      </c>
      <c r="E20" s="291">
        <v>31</v>
      </c>
      <c r="F20" s="288">
        <v>14</v>
      </c>
      <c r="G20" s="289">
        <v>57</v>
      </c>
      <c r="H20" s="290">
        <v>14</v>
      </c>
      <c r="I20" s="291">
        <v>45</v>
      </c>
      <c r="J20" s="288">
        <v>14</v>
      </c>
      <c r="K20" s="289">
        <v>29</v>
      </c>
      <c r="L20" s="290">
        <v>14</v>
      </c>
      <c r="M20" s="291">
        <v>15</v>
      </c>
      <c r="N20" s="288">
        <v>14</v>
      </c>
      <c r="O20" s="289">
        <v>20</v>
      </c>
      <c r="P20" s="290"/>
      <c r="Q20" s="291"/>
      <c r="R20" s="288">
        <v>14</v>
      </c>
      <c r="S20" s="289">
        <v>52</v>
      </c>
      <c r="T20" s="290">
        <v>14</v>
      </c>
      <c r="U20" s="291">
        <v>33</v>
      </c>
      <c r="V20" s="288">
        <v>14</v>
      </c>
      <c r="W20" s="289">
        <v>31</v>
      </c>
      <c r="X20" s="290">
        <v>14</v>
      </c>
      <c r="Y20" s="291">
        <v>29</v>
      </c>
      <c r="Z20" s="288">
        <v>14</v>
      </c>
      <c r="AA20" s="289">
        <v>17</v>
      </c>
      <c r="AB20" s="290">
        <v>14</v>
      </c>
      <c r="AC20" s="291">
        <v>15</v>
      </c>
      <c r="AD20" s="288"/>
      <c r="AE20" s="289"/>
      <c r="AF20" s="290"/>
      <c r="AG20" s="291"/>
      <c r="AH20" s="288"/>
      <c r="AI20" s="289"/>
      <c r="AJ20" s="290">
        <v>14</v>
      </c>
      <c r="AK20" s="291">
        <v>22</v>
      </c>
      <c r="AL20" s="288">
        <v>14</v>
      </c>
      <c r="AM20" s="289">
        <v>7</v>
      </c>
      <c r="AN20" s="290">
        <v>14</v>
      </c>
      <c r="AO20" s="291">
        <v>35</v>
      </c>
      <c r="AP20" s="288"/>
      <c r="AQ20" s="289"/>
      <c r="AR20" s="290"/>
      <c r="AS20" s="291"/>
      <c r="AT20" s="288">
        <v>14</v>
      </c>
      <c r="AU20" s="289">
        <v>32</v>
      </c>
      <c r="AV20" s="290">
        <v>14</v>
      </c>
      <c r="AW20" s="291">
        <v>22</v>
      </c>
      <c r="AX20" s="288"/>
      <c r="AY20" s="289"/>
      <c r="AZ20" s="290">
        <v>14</v>
      </c>
      <c r="BA20" s="291">
        <v>23</v>
      </c>
      <c r="BB20" s="288"/>
      <c r="BC20" s="289"/>
      <c r="BD20" s="290">
        <v>14</v>
      </c>
      <c r="BE20" s="291">
        <v>9</v>
      </c>
      <c r="BF20" s="288"/>
      <c r="BG20" s="289"/>
      <c r="BH20" s="290"/>
      <c r="BI20" s="291"/>
      <c r="BJ20" s="288"/>
      <c r="BK20" s="289"/>
      <c r="BL20" s="290"/>
      <c r="BM20" s="291"/>
      <c r="BN20" s="288"/>
      <c r="BO20" s="289"/>
      <c r="BP20" s="290"/>
      <c r="BQ20" s="291"/>
      <c r="BR20" s="288"/>
      <c r="BS20" s="289"/>
      <c r="BT20" s="290"/>
      <c r="BU20" s="291"/>
      <c r="BV20" s="288"/>
      <c r="BW20" s="289"/>
      <c r="BX20" s="290">
        <v>14</v>
      </c>
      <c r="BY20" s="291">
        <v>21</v>
      </c>
      <c r="BZ20" s="288"/>
      <c r="CA20" s="289"/>
      <c r="CB20" s="290">
        <v>14</v>
      </c>
      <c r="CC20" s="291">
        <v>36</v>
      </c>
      <c r="CD20" s="288">
        <v>14</v>
      </c>
      <c r="CE20" s="289">
        <v>72</v>
      </c>
      <c r="CF20" s="290">
        <v>14</v>
      </c>
      <c r="CG20" s="291">
        <v>35</v>
      </c>
      <c r="CH20" s="288">
        <v>14</v>
      </c>
      <c r="CI20" s="289">
        <v>31</v>
      </c>
      <c r="CJ20" s="290">
        <v>14</v>
      </c>
      <c r="CK20" s="291">
        <v>28</v>
      </c>
      <c r="CL20" s="288">
        <v>14</v>
      </c>
      <c r="CM20" s="289">
        <v>23</v>
      </c>
      <c r="CN20" s="290">
        <v>14</v>
      </c>
      <c r="CO20" s="291">
        <v>40</v>
      </c>
      <c r="CP20" s="288"/>
      <c r="CQ20" s="289"/>
      <c r="CR20" s="290"/>
      <c r="CS20" s="291"/>
      <c r="CT20" s="288"/>
      <c r="CU20" s="289"/>
      <c r="CV20" s="290"/>
      <c r="CW20" s="291"/>
      <c r="CX20" s="288"/>
      <c r="CY20" s="289"/>
      <c r="CZ20" s="290"/>
      <c r="DA20" s="291"/>
      <c r="DB20" s="288"/>
      <c r="DC20" s="289"/>
      <c r="DD20" s="290"/>
      <c r="DE20" s="291"/>
      <c r="DF20" s="288"/>
      <c r="DG20" s="289"/>
      <c r="DH20" s="290"/>
      <c r="DI20" s="291"/>
      <c r="DJ20" s="288"/>
      <c r="DK20" s="289"/>
      <c r="DL20" s="290"/>
      <c r="DM20" s="291"/>
      <c r="DN20" s="288"/>
      <c r="DO20" s="289"/>
      <c r="DP20" s="290"/>
      <c r="DQ20" s="291"/>
      <c r="DR20" s="288"/>
      <c r="DS20" s="289"/>
      <c r="DT20" s="290"/>
      <c r="DU20" s="291"/>
      <c r="DV20" s="288"/>
      <c r="DW20" s="289"/>
      <c r="DX20" s="290"/>
      <c r="DY20" s="291"/>
      <c r="DZ20" s="288"/>
      <c r="EA20" s="289"/>
      <c r="EB20" s="290">
        <v>14</v>
      </c>
      <c r="EC20" s="291">
        <v>20</v>
      </c>
    </row>
    <row x14ac:dyDescent="0.25" r="21" customHeight="1" ht="17.25">
      <c r="A21" s="1"/>
      <c r="B21" s="288">
        <v>15</v>
      </c>
      <c r="C21" s="289">
        <v>21</v>
      </c>
      <c r="D21" s="290">
        <v>15</v>
      </c>
      <c r="E21" s="291">
        <v>27</v>
      </c>
      <c r="F21" s="288">
        <v>15</v>
      </c>
      <c r="G21" s="289">
        <v>33</v>
      </c>
      <c r="H21" s="290">
        <v>15</v>
      </c>
      <c r="I21" s="291">
        <v>41</v>
      </c>
      <c r="J21" s="288">
        <v>15</v>
      </c>
      <c r="K21" s="289">
        <v>23</v>
      </c>
      <c r="L21" s="290">
        <v>15</v>
      </c>
      <c r="M21" s="291">
        <v>63</v>
      </c>
      <c r="N21" s="288">
        <v>15</v>
      </c>
      <c r="O21" s="289">
        <v>20</v>
      </c>
      <c r="P21" s="290"/>
      <c r="Q21" s="291"/>
      <c r="R21" s="288">
        <v>15</v>
      </c>
      <c r="S21" s="289">
        <v>35</v>
      </c>
      <c r="T21" s="290">
        <v>15</v>
      </c>
      <c r="U21" s="291">
        <v>37</v>
      </c>
      <c r="V21" s="288">
        <v>15</v>
      </c>
      <c r="W21" s="289">
        <v>34</v>
      </c>
      <c r="X21" s="290">
        <v>15</v>
      </c>
      <c r="Y21" s="291">
        <v>38</v>
      </c>
      <c r="Z21" s="288">
        <v>15</v>
      </c>
      <c r="AA21" s="289">
        <v>29</v>
      </c>
      <c r="AB21" s="290">
        <v>15</v>
      </c>
      <c r="AC21" s="291">
        <v>19</v>
      </c>
      <c r="AD21" s="288"/>
      <c r="AE21" s="289"/>
      <c r="AF21" s="290"/>
      <c r="AG21" s="291"/>
      <c r="AH21" s="288"/>
      <c r="AI21" s="289"/>
      <c r="AJ21" s="290">
        <v>15</v>
      </c>
      <c r="AK21" s="291">
        <v>35</v>
      </c>
      <c r="AL21" s="288">
        <v>15</v>
      </c>
      <c r="AM21" s="289">
        <v>5</v>
      </c>
      <c r="AN21" s="290">
        <v>15</v>
      </c>
      <c r="AO21" s="291">
        <v>33</v>
      </c>
      <c r="AP21" s="288"/>
      <c r="AQ21" s="289"/>
      <c r="AR21" s="290"/>
      <c r="AS21" s="291"/>
      <c r="AT21" s="288">
        <v>15</v>
      </c>
      <c r="AU21" s="289">
        <v>9</v>
      </c>
      <c r="AV21" s="290">
        <v>15</v>
      </c>
      <c r="AW21" s="291">
        <v>21</v>
      </c>
      <c r="AX21" s="288"/>
      <c r="AY21" s="289"/>
      <c r="AZ21" s="290">
        <v>15</v>
      </c>
      <c r="BA21" s="291">
        <v>8</v>
      </c>
      <c r="BB21" s="288"/>
      <c r="BC21" s="289"/>
      <c r="BD21" s="290"/>
      <c r="BE21" s="291"/>
      <c r="BF21" s="288"/>
      <c r="BG21" s="289"/>
      <c r="BH21" s="290"/>
      <c r="BI21" s="291"/>
      <c r="BJ21" s="288"/>
      <c r="BK21" s="289"/>
      <c r="BL21" s="290"/>
      <c r="BM21" s="291"/>
      <c r="BN21" s="288"/>
      <c r="BO21" s="289"/>
      <c r="BP21" s="290"/>
      <c r="BQ21" s="291"/>
      <c r="BR21" s="288"/>
      <c r="BS21" s="289"/>
      <c r="BT21" s="290"/>
      <c r="BU21" s="291"/>
      <c r="BV21" s="288"/>
      <c r="BW21" s="289"/>
      <c r="BX21" s="290"/>
      <c r="BY21" s="291"/>
      <c r="BZ21" s="288"/>
      <c r="CA21" s="289"/>
      <c r="CB21" s="290">
        <v>15</v>
      </c>
      <c r="CC21" s="291">
        <v>39</v>
      </c>
      <c r="CD21" s="288">
        <v>15</v>
      </c>
      <c r="CE21" s="289">
        <v>47</v>
      </c>
      <c r="CF21" s="290">
        <v>15</v>
      </c>
      <c r="CG21" s="291">
        <v>32</v>
      </c>
      <c r="CH21" s="288">
        <v>15</v>
      </c>
      <c r="CI21" s="289">
        <v>27</v>
      </c>
      <c r="CJ21" s="290">
        <v>15</v>
      </c>
      <c r="CK21" s="291">
        <v>41</v>
      </c>
      <c r="CL21" s="288">
        <v>15</v>
      </c>
      <c r="CM21" s="289">
        <v>33</v>
      </c>
      <c r="CN21" s="290">
        <v>15</v>
      </c>
      <c r="CO21" s="291">
        <v>58</v>
      </c>
      <c r="CP21" s="288"/>
      <c r="CQ21" s="289"/>
      <c r="CR21" s="290"/>
      <c r="CS21" s="291"/>
      <c r="CT21" s="288"/>
      <c r="CU21" s="289"/>
      <c r="CV21" s="290"/>
      <c r="CW21" s="291"/>
      <c r="CX21" s="288"/>
      <c r="CY21" s="289"/>
      <c r="CZ21" s="290"/>
      <c r="DA21" s="291"/>
      <c r="DB21" s="288"/>
      <c r="DC21" s="289"/>
      <c r="DD21" s="290"/>
      <c r="DE21" s="291"/>
      <c r="DF21" s="288"/>
      <c r="DG21" s="289"/>
      <c r="DH21" s="290"/>
      <c r="DI21" s="291"/>
      <c r="DJ21" s="288"/>
      <c r="DK21" s="289"/>
      <c r="DL21" s="290"/>
      <c r="DM21" s="291"/>
      <c r="DN21" s="288"/>
      <c r="DO21" s="289"/>
      <c r="DP21" s="290"/>
      <c r="DQ21" s="291"/>
      <c r="DR21" s="288"/>
      <c r="DS21" s="289"/>
      <c r="DT21" s="290"/>
      <c r="DU21" s="291"/>
      <c r="DV21" s="288"/>
      <c r="DW21" s="289"/>
      <c r="DX21" s="290"/>
      <c r="DY21" s="291"/>
      <c r="DZ21" s="288"/>
      <c r="EA21" s="289"/>
      <c r="EB21" s="290">
        <v>15</v>
      </c>
      <c r="EC21" s="291">
        <v>8</v>
      </c>
    </row>
    <row x14ac:dyDescent="0.25" r="22" customHeight="1" ht="17.25">
      <c r="A22" s="1"/>
      <c r="B22" s="288">
        <v>16</v>
      </c>
      <c r="C22" s="289">
        <v>16</v>
      </c>
      <c r="D22" s="290">
        <v>16</v>
      </c>
      <c r="E22" s="291">
        <v>36</v>
      </c>
      <c r="F22" s="288">
        <v>16</v>
      </c>
      <c r="G22" s="289">
        <v>34</v>
      </c>
      <c r="H22" s="290">
        <v>16</v>
      </c>
      <c r="I22" s="291">
        <v>50</v>
      </c>
      <c r="J22" s="288">
        <v>16</v>
      </c>
      <c r="K22" s="289">
        <v>22</v>
      </c>
      <c r="L22" s="290">
        <v>16</v>
      </c>
      <c r="M22" s="291">
        <v>10</v>
      </c>
      <c r="N22" s="288">
        <v>16</v>
      </c>
      <c r="O22" s="289">
        <v>31</v>
      </c>
      <c r="P22" s="290"/>
      <c r="Q22" s="291"/>
      <c r="R22" s="288">
        <v>16</v>
      </c>
      <c r="S22" s="289">
        <v>23</v>
      </c>
      <c r="T22" s="290">
        <v>16</v>
      </c>
      <c r="U22" s="291">
        <v>23</v>
      </c>
      <c r="V22" s="288">
        <v>16</v>
      </c>
      <c r="W22" s="289">
        <v>34</v>
      </c>
      <c r="X22" s="290">
        <v>16</v>
      </c>
      <c r="Y22" s="291">
        <v>20</v>
      </c>
      <c r="Z22" s="288">
        <v>16</v>
      </c>
      <c r="AA22" s="289">
        <v>43</v>
      </c>
      <c r="AB22" s="290">
        <v>16</v>
      </c>
      <c r="AC22" s="291">
        <v>14</v>
      </c>
      <c r="AD22" s="288"/>
      <c r="AE22" s="289"/>
      <c r="AF22" s="290"/>
      <c r="AG22" s="291"/>
      <c r="AH22" s="288"/>
      <c r="AI22" s="289"/>
      <c r="AJ22" s="290">
        <v>16</v>
      </c>
      <c r="AK22" s="291">
        <v>22</v>
      </c>
      <c r="AL22" s="288">
        <v>16</v>
      </c>
      <c r="AM22" s="289">
        <v>11</v>
      </c>
      <c r="AN22" s="290">
        <v>16</v>
      </c>
      <c r="AO22" s="291">
        <v>33</v>
      </c>
      <c r="AP22" s="288"/>
      <c r="AQ22" s="289"/>
      <c r="AR22" s="290"/>
      <c r="AS22" s="291"/>
      <c r="AT22" s="288">
        <v>16</v>
      </c>
      <c r="AU22" s="289">
        <v>14</v>
      </c>
      <c r="AV22" s="290">
        <v>16</v>
      </c>
      <c r="AW22" s="291">
        <v>21</v>
      </c>
      <c r="AX22" s="288"/>
      <c r="AY22" s="289"/>
      <c r="AZ22" s="290">
        <v>16</v>
      </c>
      <c r="BA22" s="291">
        <v>63</v>
      </c>
      <c r="BB22" s="288"/>
      <c r="BC22" s="289"/>
      <c r="BD22" s="290"/>
      <c r="BE22" s="291"/>
      <c r="BF22" s="288"/>
      <c r="BG22" s="289"/>
      <c r="BH22" s="290"/>
      <c r="BI22" s="291"/>
      <c r="BJ22" s="288"/>
      <c r="BK22" s="289"/>
      <c r="BL22" s="290"/>
      <c r="BM22" s="291"/>
      <c r="BN22" s="288"/>
      <c r="BO22" s="289"/>
      <c r="BP22" s="290"/>
      <c r="BQ22" s="291"/>
      <c r="BR22" s="288"/>
      <c r="BS22" s="289"/>
      <c r="BT22" s="290"/>
      <c r="BU22" s="291"/>
      <c r="BV22" s="288"/>
      <c r="BW22" s="289"/>
      <c r="BX22" s="290"/>
      <c r="BY22" s="291"/>
      <c r="BZ22" s="288"/>
      <c r="CA22" s="289"/>
      <c r="CB22" s="290">
        <v>16</v>
      </c>
      <c r="CC22" s="291">
        <v>28</v>
      </c>
      <c r="CD22" s="288">
        <v>16</v>
      </c>
      <c r="CE22" s="289">
        <v>20</v>
      </c>
      <c r="CF22" s="290">
        <v>16</v>
      </c>
      <c r="CG22" s="291">
        <v>31</v>
      </c>
      <c r="CH22" s="288">
        <v>16</v>
      </c>
      <c r="CI22" s="289">
        <v>33</v>
      </c>
      <c r="CJ22" s="290">
        <v>16</v>
      </c>
      <c r="CK22" s="291">
        <v>40</v>
      </c>
      <c r="CL22" s="288">
        <v>16</v>
      </c>
      <c r="CM22" s="289">
        <v>27</v>
      </c>
      <c r="CN22" s="290">
        <v>16</v>
      </c>
      <c r="CO22" s="291">
        <v>24</v>
      </c>
      <c r="CP22" s="288"/>
      <c r="CQ22" s="289"/>
      <c r="CR22" s="290"/>
      <c r="CS22" s="291"/>
      <c r="CT22" s="288"/>
      <c r="CU22" s="289"/>
      <c r="CV22" s="290"/>
      <c r="CW22" s="291"/>
      <c r="CX22" s="288"/>
      <c r="CY22" s="289"/>
      <c r="CZ22" s="290"/>
      <c r="DA22" s="291"/>
      <c r="DB22" s="288"/>
      <c r="DC22" s="289"/>
      <c r="DD22" s="290"/>
      <c r="DE22" s="291"/>
      <c r="DF22" s="288"/>
      <c r="DG22" s="289"/>
      <c r="DH22" s="290"/>
      <c r="DI22" s="291"/>
      <c r="DJ22" s="288"/>
      <c r="DK22" s="289"/>
      <c r="DL22" s="290"/>
      <c r="DM22" s="291"/>
      <c r="DN22" s="288"/>
      <c r="DO22" s="289"/>
      <c r="DP22" s="290"/>
      <c r="DQ22" s="291"/>
      <c r="DR22" s="288"/>
      <c r="DS22" s="289"/>
      <c r="DT22" s="290"/>
      <c r="DU22" s="291"/>
      <c r="DV22" s="288"/>
      <c r="DW22" s="289"/>
      <c r="DX22" s="290"/>
      <c r="DY22" s="291"/>
      <c r="DZ22" s="288"/>
      <c r="EA22" s="289"/>
      <c r="EB22" s="290">
        <v>16</v>
      </c>
      <c r="EC22" s="291">
        <v>21</v>
      </c>
    </row>
    <row x14ac:dyDescent="0.25" r="23" customHeight="1" ht="17.25">
      <c r="A23" s="1"/>
      <c r="B23" s="288">
        <v>17</v>
      </c>
      <c r="C23" s="289">
        <v>27</v>
      </c>
      <c r="D23" s="290">
        <v>17</v>
      </c>
      <c r="E23" s="291">
        <v>16</v>
      </c>
      <c r="F23" s="288">
        <v>17</v>
      </c>
      <c r="G23" s="289">
        <v>16</v>
      </c>
      <c r="H23" s="290">
        <v>17</v>
      </c>
      <c r="I23" s="291">
        <v>13</v>
      </c>
      <c r="J23" s="288">
        <v>17</v>
      </c>
      <c r="K23" s="289">
        <v>20</v>
      </c>
      <c r="L23" s="290">
        <v>17</v>
      </c>
      <c r="M23" s="291">
        <v>18</v>
      </c>
      <c r="N23" s="288">
        <v>17</v>
      </c>
      <c r="O23" s="289">
        <v>13</v>
      </c>
      <c r="P23" s="290"/>
      <c r="Q23" s="291"/>
      <c r="R23" s="288">
        <v>17</v>
      </c>
      <c r="S23" s="289">
        <v>58</v>
      </c>
      <c r="T23" s="290">
        <v>17</v>
      </c>
      <c r="U23" s="291">
        <v>29</v>
      </c>
      <c r="V23" s="288">
        <v>17</v>
      </c>
      <c r="W23" s="289">
        <v>24</v>
      </c>
      <c r="X23" s="290">
        <v>17</v>
      </c>
      <c r="Y23" s="291">
        <v>41</v>
      </c>
      <c r="Z23" s="288">
        <v>17</v>
      </c>
      <c r="AA23" s="289">
        <v>27</v>
      </c>
      <c r="AB23" s="290">
        <v>17</v>
      </c>
      <c r="AC23" s="291">
        <v>19</v>
      </c>
      <c r="AD23" s="288"/>
      <c r="AE23" s="289"/>
      <c r="AF23" s="290"/>
      <c r="AG23" s="291"/>
      <c r="AH23" s="288"/>
      <c r="AI23" s="289"/>
      <c r="AJ23" s="290">
        <v>17</v>
      </c>
      <c r="AK23" s="291">
        <v>16</v>
      </c>
      <c r="AL23" s="288">
        <v>17</v>
      </c>
      <c r="AM23" s="289">
        <v>15</v>
      </c>
      <c r="AN23" s="290">
        <v>17</v>
      </c>
      <c r="AO23" s="291">
        <v>28</v>
      </c>
      <c r="AP23" s="288"/>
      <c r="AQ23" s="289"/>
      <c r="AR23" s="290"/>
      <c r="AS23" s="291"/>
      <c r="AT23" s="288">
        <v>17</v>
      </c>
      <c r="AU23" s="289">
        <v>14</v>
      </c>
      <c r="AV23" s="290">
        <v>17</v>
      </c>
      <c r="AW23" s="291">
        <v>27</v>
      </c>
      <c r="AX23" s="288"/>
      <c r="AY23" s="289"/>
      <c r="AZ23" s="290">
        <v>17</v>
      </c>
      <c r="BA23" s="291">
        <v>24</v>
      </c>
      <c r="BB23" s="288"/>
      <c r="BC23" s="289"/>
      <c r="BD23" s="290"/>
      <c r="BE23" s="291"/>
      <c r="BF23" s="288"/>
      <c r="BG23" s="289"/>
      <c r="BH23" s="290"/>
      <c r="BI23" s="291"/>
      <c r="BJ23" s="288"/>
      <c r="BK23" s="289"/>
      <c r="BL23" s="290"/>
      <c r="BM23" s="291"/>
      <c r="BN23" s="288"/>
      <c r="BO23" s="289"/>
      <c r="BP23" s="290"/>
      <c r="BQ23" s="291"/>
      <c r="BR23" s="288"/>
      <c r="BS23" s="289"/>
      <c r="BT23" s="290"/>
      <c r="BU23" s="291"/>
      <c r="BV23" s="288"/>
      <c r="BW23" s="289"/>
      <c r="BX23" s="290"/>
      <c r="BY23" s="291"/>
      <c r="BZ23" s="288"/>
      <c r="CA23" s="289"/>
      <c r="CB23" s="290">
        <v>17</v>
      </c>
      <c r="CC23" s="291">
        <v>27</v>
      </c>
      <c r="CD23" s="288"/>
      <c r="CE23" s="289"/>
      <c r="CF23" s="290">
        <v>17</v>
      </c>
      <c r="CG23" s="291">
        <v>37</v>
      </c>
      <c r="CH23" s="288">
        <v>17</v>
      </c>
      <c r="CI23" s="289">
        <v>26</v>
      </c>
      <c r="CJ23" s="290">
        <v>17</v>
      </c>
      <c r="CK23" s="291">
        <v>34</v>
      </c>
      <c r="CL23" s="288"/>
      <c r="CM23" s="289"/>
      <c r="CN23" s="290"/>
      <c r="CO23" s="291"/>
      <c r="CP23" s="288"/>
      <c r="CQ23" s="289"/>
      <c r="CR23" s="290"/>
      <c r="CS23" s="291"/>
      <c r="CT23" s="288"/>
      <c r="CU23" s="289"/>
      <c r="CV23" s="290"/>
      <c r="CW23" s="291"/>
      <c r="CX23" s="288"/>
      <c r="CY23" s="289"/>
      <c r="CZ23" s="290"/>
      <c r="DA23" s="291"/>
      <c r="DB23" s="288"/>
      <c r="DC23" s="289"/>
      <c r="DD23" s="290"/>
      <c r="DE23" s="291"/>
      <c r="DF23" s="288"/>
      <c r="DG23" s="289"/>
      <c r="DH23" s="290"/>
      <c r="DI23" s="291"/>
      <c r="DJ23" s="288"/>
      <c r="DK23" s="289"/>
      <c r="DL23" s="290"/>
      <c r="DM23" s="291"/>
      <c r="DN23" s="288"/>
      <c r="DO23" s="289"/>
      <c r="DP23" s="290"/>
      <c r="DQ23" s="291"/>
      <c r="DR23" s="288"/>
      <c r="DS23" s="289"/>
      <c r="DT23" s="290"/>
      <c r="DU23" s="291"/>
      <c r="DV23" s="288"/>
      <c r="DW23" s="289"/>
      <c r="DX23" s="290"/>
      <c r="DY23" s="291"/>
      <c r="DZ23" s="288"/>
      <c r="EA23" s="289"/>
      <c r="EB23" s="290">
        <v>17</v>
      </c>
      <c r="EC23" s="291">
        <v>18</v>
      </c>
    </row>
    <row x14ac:dyDescent="0.25" r="24" customHeight="1" ht="17.25">
      <c r="A24" s="1"/>
      <c r="B24" s="288">
        <v>18</v>
      </c>
      <c r="C24" s="289">
        <v>33</v>
      </c>
      <c r="D24" s="290">
        <v>18</v>
      </c>
      <c r="E24" s="291">
        <v>27</v>
      </c>
      <c r="F24" s="288">
        <v>18</v>
      </c>
      <c r="G24" s="289">
        <v>30</v>
      </c>
      <c r="H24" s="290">
        <v>18</v>
      </c>
      <c r="I24" s="291">
        <v>32</v>
      </c>
      <c r="J24" s="288">
        <v>18</v>
      </c>
      <c r="K24" s="289">
        <v>22</v>
      </c>
      <c r="L24" s="290">
        <v>18</v>
      </c>
      <c r="M24" s="291">
        <v>28</v>
      </c>
      <c r="N24" s="288">
        <v>18</v>
      </c>
      <c r="O24" s="289">
        <v>31</v>
      </c>
      <c r="P24" s="290"/>
      <c r="Q24" s="291"/>
      <c r="R24" s="288">
        <v>18</v>
      </c>
      <c r="S24" s="289">
        <v>30</v>
      </c>
      <c r="T24" s="290">
        <v>18</v>
      </c>
      <c r="U24" s="291">
        <v>33</v>
      </c>
      <c r="V24" s="288">
        <v>18</v>
      </c>
      <c r="W24" s="289">
        <v>46</v>
      </c>
      <c r="X24" s="290">
        <v>18</v>
      </c>
      <c r="Y24" s="291">
        <v>37</v>
      </c>
      <c r="Z24" s="288">
        <v>18</v>
      </c>
      <c r="AA24" s="289">
        <v>17</v>
      </c>
      <c r="AB24" s="290">
        <v>18</v>
      </c>
      <c r="AC24" s="291">
        <v>34</v>
      </c>
      <c r="AD24" s="288"/>
      <c r="AE24" s="289"/>
      <c r="AF24" s="290"/>
      <c r="AG24" s="291"/>
      <c r="AH24" s="288"/>
      <c r="AI24" s="289"/>
      <c r="AJ24" s="290">
        <v>18</v>
      </c>
      <c r="AK24" s="291">
        <v>21</v>
      </c>
      <c r="AL24" s="288">
        <v>18</v>
      </c>
      <c r="AM24" s="289">
        <v>50</v>
      </c>
      <c r="AN24" s="290">
        <v>18</v>
      </c>
      <c r="AO24" s="291">
        <v>24</v>
      </c>
      <c r="AP24" s="288"/>
      <c r="AQ24" s="289"/>
      <c r="AR24" s="290"/>
      <c r="AS24" s="291"/>
      <c r="AT24" s="288">
        <v>18</v>
      </c>
      <c r="AU24" s="289">
        <v>7</v>
      </c>
      <c r="AV24" s="290">
        <v>18</v>
      </c>
      <c r="AW24" s="291">
        <v>23</v>
      </c>
      <c r="AX24" s="288"/>
      <c r="AY24" s="289"/>
      <c r="AZ24" s="290">
        <v>18</v>
      </c>
      <c r="BA24" s="291">
        <v>32</v>
      </c>
      <c r="BB24" s="288"/>
      <c r="BC24" s="289"/>
      <c r="BD24" s="290"/>
      <c r="BE24" s="291"/>
      <c r="BF24" s="288"/>
      <c r="BG24" s="289"/>
      <c r="BH24" s="290"/>
      <c r="BI24" s="291"/>
      <c r="BJ24" s="288"/>
      <c r="BK24" s="289"/>
      <c r="BL24" s="290"/>
      <c r="BM24" s="291"/>
      <c r="BN24" s="288"/>
      <c r="BO24" s="289"/>
      <c r="BP24" s="290"/>
      <c r="BQ24" s="291"/>
      <c r="BR24" s="288"/>
      <c r="BS24" s="289"/>
      <c r="BT24" s="290"/>
      <c r="BU24" s="291"/>
      <c r="BV24" s="288"/>
      <c r="BW24" s="289"/>
      <c r="BX24" s="290"/>
      <c r="BY24" s="291"/>
      <c r="BZ24" s="288"/>
      <c r="CA24" s="289"/>
      <c r="CB24" s="290">
        <v>18</v>
      </c>
      <c r="CC24" s="291">
        <v>35</v>
      </c>
      <c r="CD24" s="288"/>
      <c r="CE24" s="289"/>
      <c r="CF24" s="290">
        <v>18</v>
      </c>
      <c r="CG24" s="291">
        <v>43</v>
      </c>
      <c r="CH24" s="288">
        <v>18</v>
      </c>
      <c r="CI24" s="289">
        <v>40</v>
      </c>
      <c r="CJ24" s="290">
        <v>18</v>
      </c>
      <c r="CK24" s="291">
        <v>28</v>
      </c>
      <c r="CL24" s="288"/>
      <c r="CM24" s="289"/>
      <c r="CN24" s="290"/>
      <c r="CO24" s="291"/>
      <c r="CP24" s="288"/>
      <c r="CQ24" s="289"/>
      <c r="CR24" s="290"/>
      <c r="CS24" s="291"/>
      <c r="CT24" s="288"/>
      <c r="CU24" s="289"/>
      <c r="CV24" s="290"/>
      <c r="CW24" s="291"/>
      <c r="CX24" s="288"/>
      <c r="CY24" s="289"/>
      <c r="CZ24" s="290"/>
      <c r="DA24" s="291"/>
      <c r="DB24" s="288"/>
      <c r="DC24" s="289"/>
      <c r="DD24" s="290"/>
      <c r="DE24" s="291"/>
      <c r="DF24" s="288"/>
      <c r="DG24" s="289"/>
      <c r="DH24" s="290"/>
      <c r="DI24" s="291"/>
      <c r="DJ24" s="288"/>
      <c r="DK24" s="289"/>
      <c r="DL24" s="290"/>
      <c r="DM24" s="291"/>
      <c r="DN24" s="288"/>
      <c r="DO24" s="289"/>
      <c r="DP24" s="290"/>
      <c r="DQ24" s="291"/>
      <c r="DR24" s="288"/>
      <c r="DS24" s="289"/>
      <c r="DT24" s="290"/>
      <c r="DU24" s="291"/>
      <c r="DV24" s="288"/>
      <c r="DW24" s="289"/>
      <c r="DX24" s="290"/>
      <c r="DY24" s="291"/>
      <c r="DZ24" s="288"/>
      <c r="EA24" s="289"/>
      <c r="EB24" s="290">
        <v>18</v>
      </c>
      <c r="EC24" s="291">
        <v>24</v>
      </c>
    </row>
    <row x14ac:dyDescent="0.25" r="25" customHeight="1" ht="17.25">
      <c r="A25" s="1"/>
      <c r="B25" s="288">
        <v>19</v>
      </c>
      <c r="C25" s="289">
        <v>38</v>
      </c>
      <c r="D25" s="290">
        <v>19</v>
      </c>
      <c r="E25" s="291">
        <v>25</v>
      </c>
      <c r="F25" s="288">
        <v>19</v>
      </c>
      <c r="G25" s="289">
        <v>37</v>
      </c>
      <c r="H25" s="290">
        <v>19</v>
      </c>
      <c r="I25" s="291">
        <v>22</v>
      </c>
      <c r="J25" s="288">
        <v>19</v>
      </c>
      <c r="K25" s="289">
        <v>21</v>
      </c>
      <c r="L25" s="290">
        <v>19</v>
      </c>
      <c r="M25" s="291">
        <v>51</v>
      </c>
      <c r="N25" s="288">
        <v>19</v>
      </c>
      <c r="O25" s="289">
        <v>30</v>
      </c>
      <c r="P25" s="290"/>
      <c r="Q25" s="291"/>
      <c r="R25" s="288">
        <v>19</v>
      </c>
      <c r="S25" s="289">
        <v>24</v>
      </c>
      <c r="T25" s="290">
        <v>19</v>
      </c>
      <c r="U25" s="291">
        <v>43</v>
      </c>
      <c r="V25" s="288">
        <v>19</v>
      </c>
      <c r="W25" s="289">
        <v>21</v>
      </c>
      <c r="X25" s="290">
        <v>19</v>
      </c>
      <c r="Y25" s="291">
        <v>37</v>
      </c>
      <c r="Z25" s="288">
        <v>19</v>
      </c>
      <c r="AA25" s="289">
        <v>19</v>
      </c>
      <c r="AB25" s="290">
        <v>19</v>
      </c>
      <c r="AC25" s="291">
        <v>11</v>
      </c>
      <c r="AD25" s="288"/>
      <c r="AE25" s="289"/>
      <c r="AF25" s="290"/>
      <c r="AG25" s="291"/>
      <c r="AH25" s="288"/>
      <c r="AI25" s="289"/>
      <c r="AJ25" s="290">
        <v>19</v>
      </c>
      <c r="AK25" s="291">
        <v>29</v>
      </c>
      <c r="AL25" s="288">
        <v>19</v>
      </c>
      <c r="AM25" s="289">
        <v>14</v>
      </c>
      <c r="AN25" s="290">
        <v>19</v>
      </c>
      <c r="AO25" s="291">
        <v>29</v>
      </c>
      <c r="AP25" s="288"/>
      <c r="AQ25" s="289"/>
      <c r="AR25" s="290"/>
      <c r="AS25" s="291"/>
      <c r="AT25" s="288">
        <v>19</v>
      </c>
      <c r="AU25" s="289">
        <v>25</v>
      </c>
      <c r="AV25" s="290">
        <v>19</v>
      </c>
      <c r="AW25" s="291">
        <v>15</v>
      </c>
      <c r="AX25" s="288"/>
      <c r="AY25" s="289"/>
      <c r="AZ25" s="290">
        <v>19</v>
      </c>
      <c r="BA25" s="291">
        <v>14</v>
      </c>
      <c r="BB25" s="288"/>
      <c r="BC25" s="289"/>
      <c r="BD25" s="290"/>
      <c r="BE25" s="291"/>
      <c r="BF25" s="288"/>
      <c r="BG25" s="289"/>
      <c r="BH25" s="290"/>
      <c r="BI25" s="291"/>
      <c r="BJ25" s="288"/>
      <c r="BK25" s="289"/>
      <c r="BL25" s="290"/>
      <c r="BM25" s="291"/>
      <c r="BN25" s="288"/>
      <c r="BO25" s="289"/>
      <c r="BP25" s="290"/>
      <c r="BQ25" s="291"/>
      <c r="BR25" s="288"/>
      <c r="BS25" s="289"/>
      <c r="BT25" s="290"/>
      <c r="BU25" s="291"/>
      <c r="BV25" s="288"/>
      <c r="BW25" s="289"/>
      <c r="BX25" s="290"/>
      <c r="BY25" s="291"/>
      <c r="BZ25" s="288"/>
      <c r="CA25" s="289"/>
      <c r="CB25" s="290">
        <v>19</v>
      </c>
      <c r="CC25" s="291">
        <v>30</v>
      </c>
      <c r="CD25" s="288"/>
      <c r="CE25" s="289"/>
      <c r="CF25" s="290">
        <v>19</v>
      </c>
      <c r="CG25" s="291">
        <v>48</v>
      </c>
      <c r="CH25" s="288">
        <v>19</v>
      </c>
      <c r="CI25" s="289">
        <v>42</v>
      </c>
      <c r="CJ25" s="290">
        <v>19</v>
      </c>
      <c r="CK25" s="291">
        <v>41</v>
      </c>
      <c r="CL25" s="288"/>
      <c r="CM25" s="289"/>
      <c r="CN25" s="290"/>
      <c r="CO25" s="291"/>
      <c r="CP25" s="288"/>
      <c r="CQ25" s="289"/>
      <c r="CR25" s="290"/>
      <c r="CS25" s="291"/>
      <c r="CT25" s="288"/>
      <c r="CU25" s="289"/>
      <c r="CV25" s="290"/>
      <c r="CW25" s="291"/>
      <c r="CX25" s="288"/>
      <c r="CY25" s="289"/>
      <c r="CZ25" s="290"/>
      <c r="DA25" s="291"/>
      <c r="DB25" s="288"/>
      <c r="DC25" s="289"/>
      <c r="DD25" s="290"/>
      <c r="DE25" s="291"/>
      <c r="DF25" s="288"/>
      <c r="DG25" s="289"/>
      <c r="DH25" s="290"/>
      <c r="DI25" s="291"/>
      <c r="DJ25" s="288"/>
      <c r="DK25" s="289"/>
      <c r="DL25" s="290"/>
      <c r="DM25" s="291"/>
      <c r="DN25" s="288"/>
      <c r="DO25" s="289"/>
      <c r="DP25" s="290"/>
      <c r="DQ25" s="291"/>
      <c r="DR25" s="288"/>
      <c r="DS25" s="289"/>
      <c r="DT25" s="290"/>
      <c r="DU25" s="291"/>
      <c r="DV25" s="288"/>
      <c r="DW25" s="289"/>
      <c r="DX25" s="290"/>
      <c r="DY25" s="291"/>
      <c r="DZ25" s="288"/>
      <c r="EA25" s="289"/>
      <c r="EB25" s="290">
        <v>19</v>
      </c>
      <c r="EC25" s="291">
        <v>21</v>
      </c>
    </row>
    <row x14ac:dyDescent="0.25" r="26" customHeight="1" ht="17.25">
      <c r="A26" s="1"/>
      <c r="B26" s="288">
        <v>20</v>
      </c>
      <c r="C26" s="289">
        <v>18</v>
      </c>
      <c r="D26" s="290">
        <v>20</v>
      </c>
      <c r="E26" s="291">
        <v>26</v>
      </c>
      <c r="F26" s="288">
        <v>20</v>
      </c>
      <c r="G26" s="289">
        <v>27</v>
      </c>
      <c r="H26" s="290">
        <v>20</v>
      </c>
      <c r="I26" s="291">
        <v>29</v>
      </c>
      <c r="J26" s="288">
        <v>20</v>
      </c>
      <c r="K26" s="289">
        <v>20</v>
      </c>
      <c r="L26" s="290">
        <v>20</v>
      </c>
      <c r="M26" s="291">
        <v>9</v>
      </c>
      <c r="N26" s="288">
        <v>20</v>
      </c>
      <c r="O26" s="289">
        <v>48</v>
      </c>
      <c r="P26" s="290"/>
      <c r="Q26" s="291"/>
      <c r="R26" s="288">
        <v>20</v>
      </c>
      <c r="S26" s="289">
        <v>42</v>
      </c>
      <c r="T26" s="290">
        <v>20</v>
      </c>
      <c r="U26" s="291">
        <v>26</v>
      </c>
      <c r="V26" s="288">
        <v>20</v>
      </c>
      <c r="W26" s="289">
        <v>43</v>
      </c>
      <c r="X26" s="290">
        <v>20</v>
      </c>
      <c r="Y26" s="291">
        <v>21</v>
      </c>
      <c r="Z26" s="288">
        <v>20</v>
      </c>
      <c r="AA26" s="289">
        <v>8</v>
      </c>
      <c r="AB26" s="290">
        <v>20</v>
      </c>
      <c r="AC26" s="291">
        <v>37</v>
      </c>
      <c r="AD26" s="288"/>
      <c r="AE26" s="289"/>
      <c r="AF26" s="290"/>
      <c r="AG26" s="291"/>
      <c r="AH26" s="288"/>
      <c r="AI26" s="289"/>
      <c r="AJ26" s="290">
        <v>20</v>
      </c>
      <c r="AK26" s="291">
        <v>29</v>
      </c>
      <c r="AL26" s="288">
        <v>20</v>
      </c>
      <c r="AM26" s="289">
        <v>9</v>
      </c>
      <c r="AN26" s="290">
        <v>20</v>
      </c>
      <c r="AO26" s="291">
        <v>30</v>
      </c>
      <c r="AP26" s="288"/>
      <c r="AQ26" s="289"/>
      <c r="AR26" s="290"/>
      <c r="AS26" s="291"/>
      <c r="AT26" s="288">
        <v>20</v>
      </c>
      <c r="AU26" s="289">
        <v>6</v>
      </c>
      <c r="AV26" s="290">
        <v>20</v>
      </c>
      <c r="AW26" s="291">
        <v>18</v>
      </c>
      <c r="AX26" s="288"/>
      <c r="AY26" s="289"/>
      <c r="AZ26" s="290">
        <v>20</v>
      </c>
      <c r="BA26" s="291">
        <v>49</v>
      </c>
      <c r="BB26" s="288"/>
      <c r="BC26" s="289"/>
      <c r="BD26" s="290"/>
      <c r="BE26" s="291"/>
      <c r="BF26" s="288"/>
      <c r="BG26" s="289"/>
      <c r="BH26" s="290"/>
      <c r="BI26" s="291"/>
      <c r="BJ26" s="288"/>
      <c r="BK26" s="289"/>
      <c r="BL26" s="290"/>
      <c r="BM26" s="291"/>
      <c r="BN26" s="288"/>
      <c r="BO26" s="289"/>
      <c r="BP26" s="290"/>
      <c r="BQ26" s="291"/>
      <c r="BR26" s="288"/>
      <c r="BS26" s="289"/>
      <c r="BT26" s="290"/>
      <c r="BU26" s="291"/>
      <c r="BV26" s="288"/>
      <c r="BW26" s="289"/>
      <c r="BX26" s="290"/>
      <c r="BY26" s="291"/>
      <c r="BZ26" s="288"/>
      <c r="CA26" s="289"/>
      <c r="CB26" s="290">
        <v>20</v>
      </c>
      <c r="CC26" s="291">
        <v>34</v>
      </c>
      <c r="CD26" s="288"/>
      <c r="CE26" s="289"/>
      <c r="CF26" s="290">
        <v>20</v>
      </c>
      <c r="CG26" s="291">
        <v>47</v>
      </c>
      <c r="CH26" s="288">
        <v>20</v>
      </c>
      <c r="CI26" s="289">
        <v>31</v>
      </c>
      <c r="CJ26" s="290">
        <v>20</v>
      </c>
      <c r="CK26" s="291">
        <v>38</v>
      </c>
      <c r="CL26" s="288"/>
      <c r="CM26" s="289"/>
      <c r="CN26" s="290"/>
      <c r="CO26" s="291"/>
      <c r="CP26" s="288"/>
      <c r="CQ26" s="289"/>
      <c r="CR26" s="290"/>
      <c r="CS26" s="291"/>
      <c r="CT26" s="288"/>
      <c r="CU26" s="289"/>
      <c r="CV26" s="290"/>
      <c r="CW26" s="291"/>
      <c r="CX26" s="288"/>
      <c r="CY26" s="289"/>
      <c r="CZ26" s="290"/>
      <c r="DA26" s="291"/>
      <c r="DB26" s="288"/>
      <c r="DC26" s="289"/>
      <c r="DD26" s="290"/>
      <c r="DE26" s="291"/>
      <c r="DF26" s="288"/>
      <c r="DG26" s="289"/>
      <c r="DH26" s="290"/>
      <c r="DI26" s="291"/>
      <c r="DJ26" s="288"/>
      <c r="DK26" s="289"/>
      <c r="DL26" s="290"/>
      <c r="DM26" s="291"/>
      <c r="DN26" s="288"/>
      <c r="DO26" s="289"/>
      <c r="DP26" s="290"/>
      <c r="DQ26" s="291"/>
      <c r="DR26" s="288"/>
      <c r="DS26" s="289"/>
      <c r="DT26" s="290"/>
      <c r="DU26" s="291"/>
      <c r="DV26" s="288"/>
      <c r="DW26" s="289"/>
      <c r="DX26" s="290"/>
      <c r="DY26" s="291"/>
      <c r="DZ26" s="288"/>
      <c r="EA26" s="289"/>
      <c r="EB26" s="290">
        <v>20</v>
      </c>
      <c r="EC26" s="291">
        <v>15</v>
      </c>
    </row>
    <row x14ac:dyDescent="0.25" r="27" customHeight="1" ht="17.25">
      <c r="A27" s="1"/>
      <c r="B27" s="288">
        <v>21</v>
      </c>
      <c r="C27" s="289">
        <v>34</v>
      </c>
      <c r="D27" s="290">
        <v>21</v>
      </c>
      <c r="E27" s="291">
        <v>36</v>
      </c>
      <c r="F27" s="288">
        <v>21</v>
      </c>
      <c r="G27" s="289">
        <v>24</v>
      </c>
      <c r="H27" s="290">
        <v>21</v>
      </c>
      <c r="I27" s="291">
        <v>35</v>
      </c>
      <c r="J27" s="288">
        <v>21</v>
      </c>
      <c r="K27" s="289">
        <v>23</v>
      </c>
      <c r="L27" s="290">
        <v>21</v>
      </c>
      <c r="M27" s="291">
        <v>45</v>
      </c>
      <c r="N27" s="288">
        <v>21</v>
      </c>
      <c r="O27" s="289">
        <v>25</v>
      </c>
      <c r="P27" s="290"/>
      <c r="Q27" s="291"/>
      <c r="R27" s="288">
        <v>21</v>
      </c>
      <c r="S27" s="289">
        <v>15</v>
      </c>
      <c r="T27" s="290">
        <v>21</v>
      </c>
      <c r="U27" s="291">
        <v>22</v>
      </c>
      <c r="V27" s="288">
        <v>21</v>
      </c>
      <c r="W27" s="289">
        <v>29</v>
      </c>
      <c r="X27" s="290">
        <v>21</v>
      </c>
      <c r="Y27" s="291">
        <v>26</v>
      </c>
      <c r="Z27" s="288">
        <v>21</v>
      </c>
      <c r="AA27" s="289">
        <v>30</v>
      </c>
      <c r="AB27" s="290">
        <v>21</v>
      </c>
      <c r="AC27" s="291">
        <v>20</v>
      </c>
      <c r="AD27" s="288"/>
      <c r="AE27" s="289"/>
      <c r="AF27" s="290"/>
      <c r="AG27" s="291"/>
      <c r="AH27" s="288"/>
      <c r="AI27" s="289"/>
      <c r="AJ27" s="290">
        <v>21</v>
      </c>
      <c r="AK27" s="291">
        <v>34</v>
      </c>
      <c r="AL27" s="288">
        <v>21</v>
      </c>
      <c r="AM27" s="289">
        <v>13</v>
      </c>
      <c r="AN27" s="290">
        <v>21</v>
      </c>
      <c r="AO27" s="291">
        <v>31</v>
      </c>
      <c r="AP27" s="288"/>
      <c r="AQ27" s="289"/>
      <c r="AR27" s="290"/>
      <c r="AS27" s="291"/>
      <c r="AT27" s="288">
        <v>21</v>
      </c>
      <c r="AU27" s="289">
        <v>17</v>
      </c>
      <c r="AV27" s="290">
        <v>21</v>
      </c>
      <c r="AW27" s="291">
        <v>14</v>
      </c>
      <c r="AX27" s="288"/>
      <c r="AY27" s="289"/>
      <c r="AZ27" s="290">
        <v>21</v>
      </c>
      <c r="BA27" s="291">
        <v>32</v>
      </c>
      <c r="BB27" s="288"/>
      <c r="BC27" s="289"/>
      <c r="BD27" s="290"/>
      <c r="BE27" s="291"/>
      <c r="BF27" s="288"/>
      <c r="BG27" s="289"/>
      <c r="BH27" s="290"/>
      <c r="BI27" s="291"/>
      <c r="BJ27" s="288"/>
      <c r="BK27" s="289"/>
      <c r="BL27" s="290"/>
      <c r="BM27" s="291"/>
      <c r="BN27" s="288"/>
      <c r="BO27" s="289"/>
      <c r="BP27" s="290"/>
      <c r="BQ27" s="291"/>
      <c r="BR27" s="288"/>
      <c r="BS27" s="289"/>
      <c r="BT27" s="290"/>
      <c r="BU27" s="291"/>
      <c r="BV27" s="288"/>
      <c r="BW27" s="289"/>
      <c r="BX27" s="290"/>
      <c r="BY27" s="291"/>
      <c r="BZ27" s="288"/>
      <c r="CA27" s="289"/>
      <c r="CB27" s="290">
        <v>21</v>
      </c>
      <c r="CC27" s="291">
        <v>46</v>
      </c>
      <c r="CD27" s="288"/>
      <c r="CE27" s="289"/>
      <c r="CF27" s="290">
        <v>21</v>
      </c>
      <c r="CG27" s="291">
        <v>38</v>
      </c>
      <c r="CH27" s="288">
        <v>21</v>
      </c>
      <c r="CI27" s="289">
        <v>25</v>
      </c>
      <c r="CJ27" s="290">
        <v>21</v>
      </c>
      <c r="CK27" s="291">
        <v>40</v>
      </c>
      <c r="CL27" s="288"/>
      <c r="CM27" s="289"/>
      <c r="CN27" s="290"/>
      <c r="CO27" s="291"/>
      <c r="CP27" s="288"/>
      <c r="CQ27" s="289"/>
      <c r="CR27" s="290"/>
      <c r="CS27" s="291"/>
      <c r="CT27" s="288"/>
      <c r="CU27" s="289"/>
      <c r="CV27" s="290"/>
      <c r="CW27" s="291"/>
      <c r="CX27" s="288"/>
      <c r="CY27" s="289"/>
      <c r="CZ27" s="290"/>
      <c r="DA27" s="291"/>
      <c r="DB27" s="288"/>
      <c r="DC27" s="289"/>
      <c r="DD27" s="290"/>
      <c r="DE27" s="291"/>
      <c r="DF27" s="288"/>
      <c r="DG27" s="289"/>
      <c r="DH27" s="290"/>
      <c r="DI27" s="291"/>
      <c r="DJ27" s="288"/>
      <c r="DK27" s="289"/>
      <c r="DL27" s="290"/>
      <c r="DM27" s="291"/>
      <c r="DN27" s="288"/>
      <c r="DO27" s="289"/>
      <c r="DP27" s="290"/>
      <c r="DQ27" s="291"/>
      <c r="DR27" s="288"/>
      <c r="DS27" s="289"/>
      <c r="DT27" s="290"/>
      <c r="DU27" s="291"/>
      <c r="DV27" s="288"/>
      <c r="DW27" s="289"/>
      <c r="DX27" s="290"/>
      <c r="DY27" s="291"/>
      <c r="DZ27" s="288"/>
      <c r="EA27" s="289"/>
      <c r="EB27" s="290">
        <v>21</v>
      </c>
      <c r="EC27" s="291">
        <v>27</v>
      </c>
    </row>
    <row x14ac:dyDescent="0.25" r="28" customHeight="1" ht="17.25">
      <c r="A28" s="1"/>
      <c r="B28" s="288">
        <v>22</v>
      </c>
      <c r="C28" s="289">
        <v>24</v>
      </c>
      <c r="D28" s="290">
        <v>22</v>
      </c>
      <c r="E28" s="291">
        <v>31</v>
      </c>
      <c r="F28" s="288">
        <v>22</v>
      </c>
      <c r="G28" s="289">
        <v>33</v>
      </c>
      <c r="H28" s="290">
        <v>22</v>
      </c>
      <c r="I28" s="291">
        <v>41</v>
      </c>
      <c r="J28" s="288">
        <v>22</v>
      </c>
      <c r="K28" s="289">
        <v>30</v>
      </c>
      <c r="L28" s="290">
        <v>22</v>
      </c>
      <c r="M28" s="291">
        <v>34</v>
      </c>
      <c r="N28" s="288"/>
      <c r="O28" s="289"/>
      <c r="P28" s="290"/>
      <c r="Q28" s="291"/>
      <c r="R28" s="288">
        <v>22</v>
      </c>
      <c r="S28" s="289">
        <v>23</v>
      </c>
      <c r="T28" s="290">
        <v>22</v>
      </c>
      <c r="U28" s="291">
        <v>51</v>
      </c>
      <c r="V28" s="288">
        <v>22</v>
      </c>
      <c r="W28" s="289">
        <v>53</v>
      </c>
      <c r="X28" s="290">
        <v>22</v>
      </c>
      <c r="Y28" s="291">
        <v>20</v>
      </c>
      <c r="Z28" s="288">
        <v>22</v>
      </c>
      <c r="AA28" s="289">
        <v>19</v>
      </c>
      <c r="AB28" s="290">
        <v>22</v>
      </c>
      <c r="AC28" s="291">
        <v>12</v>
      </c>
      <c r="AD28" s="288"/>
      <c r="AE28" s="289"/>
      <c r="AF28" s="290"/>
      <c r="AG28" s="291"/>
      <c r="AH28" s="288"/>
      <c r="AI28" s="289"/>
      <c r="AJ28" s="290">
        <v>22</v>
      </c>
      <c r="AK28" s="291">
        <v>30</v>
      </c>
      <c r="AL28" s="288">
        <v>22</v>
      </c>
      <c r="AM28" s="289">
        <v>31</v>
      </c>
      <c r="AN28" s="290">
        <v>22</v>
      </c>
      <c r="AO28" s="291">
        <v>29</v>
      </c>
      <c r="AP28" s="288"/>
      <c r="AQ28" s="289"/>
      <c r="AR28" s="290"/>
      <c r="AS28" s="291"/>
      <c r="AT28" s="288">
        <v>22</v>
      </c>
      <c r="AU28" s="289">
        <v>25</v>
      </c>
      <c r="AV28" s="290">
        <v>22</v>
      </c>
      <c r="AW28" s="291">
        <v>30</v>
      </c>
      <c r="AX28" s="288"/>
      <c r="AY28" s="289"/>
      <c r="AZ28" s="290">
        <v>22</v>
      </c>
      <c r="BA28" s="291">
        <v>31</v>
      </c>
      <c r="BB28" s="288"/>
      <c r="BC28" s="289"/>
      <c r="BD28" s="290"/>
      <c r="BE28" s="291"/>
      <c r="BF28" s="288"/>
      <c r="BG28" s="289"/>
      <c r="BH28" s="290"/>
      <c r="BI28" s="291"/>
      <c r="BJ28" s="288"/>
      <c r="BK28" s="289"/>
      <c r="BL28" s="290"/>
      <c r="BM28" s="291"/>
      <c r="BN28" s="288"/>
      <c r="BO28" s="289"/>
      <c r="BP28" s="290"/>
      <c r="BQ28" s="291"/>
      <c r="BR28" s="288"/>
      <c r="BS28" s="289"/>
      <c r="BT28" s="290"/>
      <c r="BU28" s="291"/>
      <c r="BV28" s="288"/>
      <c r="BW28" s="289"/>
      <c r="BX28" s="290"/>
      <c r="BY28" s="291"/>
      <c r="BZ28" s="288"/>
      <c r="CA28" s="289"/>
      <c r="CB28" s="290">
        <v>22</v>
      </c>
      <c r="CC28" s="291">
        <v>46</v>
      </c>
      <c r="CD28" s="288"/>
      <c r="CE28" s="289"/>
      <c r="CF28" s="290">
        <v>22</v>
      </c>
      <c r="CG28" s="291">
        <v>71</v>
      </c>
      <c r="CH28" s="288"/>
      <c r="CI28" s="289"/>
      <c r="CJ28" s="290">
        <v>22</v>
      </c>
      <c r="CK28" s="291">
        <v>30</v>
      </c>
      <c r="CL28" s="288"/>
      <c r="CM28" s="289"/>
      <c r="CN28" s="290"/>
      <c r="CO28" s="291"/>
      <c r="CP28" s="288"/>
      <c r="CQ28" s="289"/>
      <c r="CR28" s="290"/>
      <c r="CS28" s="291"/>
      <c r="CT28" s="288"/>
      <c r="CU28" s="289"/>
      <c r="CV28" s="290"/>
      <c r="CW28" s="291"/>
      <c r="CX28" s="288"/>
      <c r="CY28" s="289"/>
      <c r="CZ28" s="290"/>
      <c r="DA28" s="291"/>
      <c r="DB28" s="288"/>
      <c r="DC28" s="289"/>
      <c r="DD28" s="290"/>
      <c r="DE28" s="291"/>
      <c r="DF28" s="288"/>
      <c r="DG28" s="289"/>
      <c r="DH28" s="290"/>
      <c r="DI28" s="291"/>
      <c r="DJ28" s="288"/>
      <c r="DK28" s="289"/>
      <c r="DL28" s="290"/>
      <c r="DM28" s="291"/>
      <c r="DN28" s="288"/>
      <c r="DO28" s="289"/>
      <c r="DP28" s="290"/>
      <c r="DQ28" s="291"/>
      <c r="DR28" s="288"/>
      <c r="DS28" s="289"/>
      <c r="DT28" s="290"/>
      <c r="DU28" s="291"/>
      <c r="DV28" s="288"/>
      <c r="DW28" s="289"/>
      <c r="DX28" s="290"/>
      <c r="DY28" s="291"/>
      <c r="DZ28" s="288"/>
      <c r="EA28" s="289"/>
      <c r="EB28" s="290">
        <v>22</v>
      </c>
      <c r="EC28" s="291">
        <v>21</v>
      </c>
    </row>
    <row x14ac:dyDescent="0.25" r="29" customHeight="1" ht="17.25">
      <c r="A29" s="1"/>
      <c r="B29" s="288">
        <v>23</v>
      </c>
      <c r="C29" s="289">
        <v>20</v>
      </c>
      <c r="D29" s="290">
        <v>23</v>
      </c>
      <c r="E29" s="291">
        <v>33</v>
      </c>
      <c r="F29" s="288">
        <v>23</v>
      </c>
      <c r="G29" s="289">
        <v>44</v>
      </c>
      <c r="H29" s="290">
        <v>23</v>
      </c>
      <c r="I29" s="291">
        <v>30</v>
      </c>
      <c r="J29" s="288">
        <v>23</v>
      </c>
      <c r="K29" s="289">
        <v>25</v>
      </c>
      <c r="L29" s="290">
        <v>23</v>
      </c>
      <c r="M29" s="291">
        <v>16</v>
      </c>
      <c r="N29" s="288"/>
      <c r="O29" s="289"/>
      <c r="P29" s="290"/>
      <c r="Q29" s="291"/>
      <c r="R29" s="288">
        <v>23</v>
      </c>
      <c r="S29" s="289">
        <v>29</v>
      </c>
      <c r="T29" s="290">
        <v>23</v>
      </c>
      <c r="U29" s="291">
        <v>39</v>
      </c>
      <c r="V29" s="288"/>
      <c r="W29" s="289"/>
      <c r="X29" s="290">
        <v>23</v>
      </c>
      <c r="Y29" s="291">
        <v>37</v>
      </c>
      <c r="Z29" s="288">
        <v>23</v>
      </c>
      <c r="AA29" s="289">
        <v>32</v>
      </c>
      <c r="AB29" s="290">
        <v>23</v>
      </c>
      <c r="AC29" s="291">
        <v>21</v>
      </c>
      <c r="AD29" s="288"/>
      <c r="AE29" s="289"/>
      <c r="AF29" s="290"/>
      <c r="AG29" s="291"/>
      <c r="AH29" s="288"/>
      <c r="AI29" s="289"/>
      <c r="AJ29" s="290">
        <v>23</v>
      </c>
      <c r="AK29" s="291">
        <v>17</v>
      </c>
      <c r="AL29" s="288">
        <v>23</v>
      </c>
      <c r="AM29" s="289">
        <v>6</v>
      </c>
      <c r="AN29" s="290">
        <v>23</v>
      </c>
      <c r="AO29" s="291">
        <v>35</v>
      </c>
      <c r="AP29" s="288"/>
      <c r="AQ29" s="289"/>
      <c r="AR29" s="290"/>
      <c r="AS29" s="291"/>
      <c r="AT29" s="288">
        <v>23</v>
      </c>
      <c r="AU29" s="289">
        <v>18</v>
      </c>
      <c r="AV29" s="290">
        <v>23</v>
      </c>
      <c r="AW29" s="291">
        <v>40</v>
      </c>
      <c r="AX29" s="288"/>
      <c r="AY29" s="289"/>
      <c r="AZ29" s="290">
        <v>23</v>
      </c>
      <c r="BA29" s="291">
        <v>49</v>
      </c>
      <c r="BB29" s="288"/>
      <c r="BC29" s="289"/>
      <c r="BD29" s="290"/>
      <c r="BE29" s="291"/>
      <c r="BF29" s="288"/>
      <c r="BG29" s="289"/>
      <c r="BH29" s="290"/>
      <c r="BI29" s="291"/>
      <c r="BJ29" s="288"/>
      <c r="BK29" s="289"/>
      <c r="BL29" s="290"/>
      <c r="BM29" s="291"/>
      <c r="BN29" s="288"/>
      <c r="BO29" s="289"/>
      <c r="BP29" s="290"/>
      <c r="BQ29" s="291"/>
      <c r="BR29" s="288"/>
      <c r="BS29" s="289"/>
      <c r="BT29" s="290"/>
      <c r="BU29" s="291"/>
      <c r="BV29" s="288"/>
      <c r="BW29" s="289"/>
      <c r="BX29" s="290"/>
      <c r="BY29" s="291"/>
      <c r="BZ29" s="288"/>
      <c r="CA29" s="289"/>
      <c r="CB29" s="290">
        <v>23</v>
      </c>
      <c r="CC29" s="291">
        <v>39</v>
      </c>
      <c r="CD29" s="288"/>
      <c r="CE29" s="289"/>
      <c r="CF29" s="290">
        <v>23</v>
      </c>
      <c r="CG29" s="291">
        <v>56</v>
      </c>
      <c r="CH29" s="288"/>
      <c r="CI29" s="289"/>
      <c r="CJ29" s="290">
        <v>23</v>
      </c>
      <c r="CK29" s="291">
        <v>35</v>
      </c>
      <c r="CL29" s="288"/>
      <c r="CM29" s="289"/>
      <c r="CN29" s="290"/>
      <c r="CO29" s="291"/>
      <c r="CP29" s="288"/>
      <c r="CQ29" s="289"/>
      <c r="CR29" s="290"/>
      <c r="CS29" s="291"/>
      <c r="CT29" s="288"/>
      <c r="CU29" s="289"/>
      <c r="CV29" s="290"/>
      <c r="CW29" s="291"/>
      <c r="CX29" s="288"/>
      <c r="CY29" s="289"/>
      <c r="CZ29" s="290"/>
      <c r="DA29" s="291"/>
      <c r="DB29" s="288"/>
      <c r="DC29" s="289"/>
      <c r="DD29" s="290"/>
      <c r="DE29" s="291"/>
      <c r="DF29" s="288"/>
      <c r="DG29" s="289"/>
      <c r="DH29" s="290"/>
      <c r="DI29" s="291"/>
      <c r="DJ29" s="288"/>
      <c r="DK29" s="289"/>
      <c r="DL29" s="290"/>
      <c r="DM29" s="291"/>
      <c r="DN29" s="288"/>
      <c r="DO29" s="289"/>
      <c r="DP29" s="290"/>
      <c r="DQ29" s="291"/>
      <c r="DR29" s="288"/>
      <c r="DS29" s="289"/>
      <c r="DT29" s="290"/>
      <c r="DU29" s="291"/>
      <c r="DV29" s="288"/>
      <c r="DW29" s="289"/>
      <c r="DX29" s="290"/>
      <c r="DY29" s="291"/>
      <c r="DZ29" s="288"/>
      <c r="EA29" s="289"/>
      <c r="EB29" s="290"/>
      <c r="EC29" s="291"/>
    </row>
    <row x14ac:dyDescent="0.25" r="30" customHeight="1" ht="17.25">
      <c r="A30" s="1"/>
      <c r="B30" s="288">
        <v>24</v>
      </c>
      <c r="C30" s="289">
        <v>67</v>
      </c>
      <c r="D30" s="290">
        <v>24</v>
      </c>
      <c r="E30" s="291">
        <v>18</v>
      </c>
      <c r="F30" s="288">
        <v>24</v>
      </c>
      <c r="G30" s="289">
        <v>23</v>
      </c>
      <c r="H30" s="290">
        <v>24</v>
      </c>
      <c r="I30" s="291">
        <v>25</v>
      </c>
      <c r="J30" s="288">
        <v>24</v>
      </c>
      <c r="K30" s="289">
        <v>22</v>
      </c>
      <c r="L30" s="290">
        <v>24</v>
      </c>
      <c r="M30" s="291">
        <v>33</v>
      </c>
      <c r="N30" s="288"/>
      <c r="O30" s="289"/>
      <c r="P30" s="290"/>
      <c r="Q30" s="291"/>
      <c r="R30" s="288">
        <v>24</v>
      </c>
      <c r="S30" s="289">
        <v>22</v>
      </c>
      <c r="T30" s="290">
        <v>24</v>
      </c>
      <c r="U30" s="291">
        <v>25</v>
      </c>
      <c r="V30" s="288"/>
      <c r="W30" s="289"/>
      <c r="X30" s="290">
        <v>24</v>
      </c>
      <c r="Y30" s="291">
        <v>20</v>
      </c>
      <c r="Z30" s="288">
        <v>24</v>
      </c>
      <c r="AA30" s="289">
        <v>31</v>
      </c>
      <c r="AB30" s="290">
        <v>24</v>
      </c>
      <c r="AC30" s="291">
        <v>27</v>
      </c>
      <c r="AD30" s="288"/>
      <c r="AE30" s="289"/>
      <c r="AF30" s="290"/>
      <c r="AG30" s="291"/>
      <c r="AH30" s="288"/>
      <c r="AI30" s="289"/>
      <c r="AJ30" s="290">
        <v>24</v>
      </c>
      <c r="AK30" s="291">
        <v>25</v>
      </c>
      <c r="AL30" s="288">
        <v>24</v>
      </c>
      <c r="AM30" s="289">
        <v>10</v>
      </c>
      <c r="AN30" s="290">
        <v>24</v>
      </c>
      <c r="AO30" s="291">
        <v>34</v>
      </c>
      <c r="AP30" s="288"/>
      <c r="AQ30" s="289"/>
      <c r="AR30" s="290"/>
      <c r="AS30" s="291"/>
      <c r="AT30" s="288">
        <v>24</v>
      </c>
      <c r="AU30" s="289">
        <v>23</v>
      </c>
      <c r="AV30" s="290">
        <v>24</v>
      </c>
      <c r="AW30" s="291">
        <v>10</v>
      </c>
      <c r="AX30" s="288"/>
      <c r="AY30" s="289"/>
      <c r="AZ30" s="290">
        <v>24</v>
      </c>
      <c r="BA30" s="291">
        <v>27</v>
      </c>
      <c r="BB30" s="288"/>
      <c r="BC30" s="289"/>
      <c r="BD30" s="290"/>
      <c r="BE30" s="291"/>
      <c r="BF30" s="288"/>
      <c r="BG30" s="289"/>
      <c r="BH30" s="290"/>
      <c r="BI30" s="291"/>
      <c r="BJ30" s="288"/>
      <c r="BK30" s="289"/>
      <c r="BL30" s="290"/>
      <c r="BM30" s="291"/>
      <c r="BN30" s="288"/>
      <c r="BO30" s="289"/>
      <c r="BP30" s="290"/>
      <c r="BQ30" s="291"/>
      <c r="BR30" s="288"/>
      <c r="BS30" s="289"/>
      <c r="BT30" s="290"/>
      <c r="BU30" s="291"/>
      <c r="BV30" s="288"/>
      <c r="BW30" s="289"/>
      <c r="BX30" s="290"/>
      <c r="BY30" s="291"/>
      <c r="BZ30" s="288"/>
      <c r="CA30" s="289"/>
      <c r="CB30" s="290">
        <v>24</v>
      </c>
      <c r="CC30" s="291">
        <v>51</v>
      </c>
      <c r="CD30" s="288"/>
      <c r="CE30" s="289"/>
      <c r="CF30" s="290">
        <v>24</v>
      </c>
      <c r="CG30" s="291">
        <v>53</v>
      </c>
      <c r="CH30" s="288"/>
      <c r="CI30" s="289"/>
      <c r="CJ30" s="290">
        <v>24</v>
      </c>
      <c r="CK30" s="291">
        <v>27</v>
      </c>
      <c r="CL30" s="288"/>
      <c r="CM30" s="289"/>
      <c r="CN30" s="290"/>
      <c r="CO30" s="291"/>
      <c r="CP30" s="288"/>
      <c r="CQ30" s="289"/>
      <c r="CR30" s="290"/>
      <c r="CS30" s="291"/>
      <c r="CT30" s="288"/>
      <c r="CU30" s="289"/>
      <c r="CV30" s="290"/>
      <c r="CW30" s="291"/>
      <c r="CX30" s="288"/>
      <c r="CY30" s="289"/>
      <c r="CZ30" s="290"/>
      <c r="DA30" s="291"/>
      <c r="DB30" s="288"/>
      <c r="DC30" s="289"/>
      <c r="DD30" s="290"/>
      <c r="DE30" s="291"/>
      <c r="DF30" s="288"/>
      <c r="DG30" s="289"/>
      <c r="DH30" s="290"/>
      <c r="DI30" s="291"/>
      <c r="DJ30" s="288"/>
      <c r="DK30" s="289"/>
      <c r="DL30" s="290"/>
      <c r="DM30" s="291"/>
      <c r="DN30" s="288"/>
      <c r="DO30" s="289"/>
      <c r="DP30" s="290"/>
      <c r="DQ30" s="291"/>
      <c r="DR30" s="288"/>
      <c r="DS30" s="289"/>
      <c r="DT30" s="290"/>
      <c r="DU30" s="291"/>
      <c r="DV30" s="288"/>
      <c r="DW30" s="289"/>
      <c r="DX30" s="290"/>
      <c r="DY30" s="291"/>
      <c r="DZ30" s="288"/>
      <c r="EA30" s="289"/>
      <c r="EB30" s="290"/>
      <c r="EC30" s="291"/>
    </row>
    <row x14ac:dyDescent="0.25" r="31" customHeight="1" ht="17.25">
      <c r="A31" s="1"/>
      <c r="B31" s="288">
        <v>25</v>
      </c>
      <c r="C31" s="289">
        <v>34</v>
      </c>
      <c r="D31" s="290">
        <v>25</v>
      </c>
      <c r="E31" s="291">
        <v>40</v>
      </c>
      <c r="F31" s="288">
        <v>25</v>
      </c>
      <c r="G31" s="289">
        <v>55</v>
      </c>
      <c r="H31" s="290">
        <v>25</v>
      </c>
      <c r="I31" s="291">
        <v>18</v>
      </c>
      <c r="J31" s="288">
        <v>25</v>
      </c>
      <c r="K31" s="289">
        <v>19</v>
      </c>
      <c r="L31" s="290"/>
      <c r="M31" s="291"/>
      <c r="N31" s="288"/>
      <c r="O31" s="289"/>
      <c r="P31" s="290"/>
      <c r="Q31" s="291"/>
      <c r="R31" s="288">
        <v>25</v>
      </c>
      <c r="S31" s="289">
        <v>44</v>
      </c>
      <c r="T31" s="290"/>
      <c r="U31" s="291"/>
      <c r="V31" s="288"/>
      <c r="W31" s="289"/>
      <c r="X31" s="290">
        <v>25</v>
      </c>
      <c r="Y31" s="291">
        <v>30</v>
      </c>
      <c r="Z31" s="288">
        <v>25</v>
      </c>
      <c r="AA31" s="289">
        <v>31</v>
      </c>
      <c r="AB31" s="290">
        <v>25</v>
      </c>
      <c r="AC31" s="291">
        <v>28</v>
      </c>
      <c r="AD31" s="288"/>
      <c r="AE31" s="289"/>
      <c r="AF31" s="290"/>
      <c r="AG31" s="291"/>
      <c r="AH31" s="288"/>
      <c r="AI31" s="289"/>
      <c r="AJ31" s="290">
        <v>25</v>
      </c>
      <c r="AK31" s="291">
        <v>6</v>
      </c>
      <c r="AL31" s="288">
        <v>25</v>
      </c>
      <c r="AM31" s="289">
        <v>22</v>
      </c>
      <c r="AN31" s="290">
        <v>25</v>
      </c>
      <c r="AO31" s="291">
        <v>28</v>
      </c>
      <c r="AP31" s="288"/>
      <c r="AQ31" s="289"/>
      <c r="AR31" s="290"/>
      <c r="AS31" s="291"/>
      <c r="AT31" s="288">
        <v>25</v>
      </c>
      <c r="AU31" s="289">
        <v>12</v>
      </c>
      <c r="AV31" s="290">
        <v>25</v>
      </c>
      <c r="AW31" s="291">
        <v>38</v>
      </c>
      <c r="AX31" s="288"/>
      <c r="AY31" s="289"/>
      <c r="AZ31" s="290">
        <v>25</v>
      </c>
      <c r="BA31" s="291">
        <v>17</v>
      </c>
      <c r="BB31" s="288"/>
      <c r="BC31" s="289"/>
      <c r="BD31" s="290"/>
      <c r="BE31" s="291"/>
      <c r="BF31" s="288"/>
      <c r="BG31" s="289"/>
      <c r="BH31" s="290"/>
      <c r="BI31" s="291"/>
      <c r="BJ31" s="288"/>
      <c r="BK31" s="289"/>
      <c r="BL31" s="290"/>
      <c r="BM31" s="291"/>
      <c r="BN31" s="288"/>
      <c r="BO31" s="289"/>
      <c r="BP31" s="290"/>
      <c r="BQ31" s="291"/>
      <c r="BR31" s="288"/>
      <c r="BS31" s="289"/>
      <c r="BT31" s="290"/>
      <c r="BU31" s="291"/>
      <c r="BV31" s="288"/>
      <c r="BW31" s="289"/>
      <c r="BX31" s="290"/>
      <c r="BY31" s="291"/>
      <c r="BZ31" s="288"/>
      <c r="CA31" s="289"/>
      <c r="CB31" s="290">
        <v>25</v>
      </c>
      <c r="CC31" s="291">
        <v>46</v>
      </c>
      <c r="CD31" s="288"/>
      <c r="CE31" s="289"/>
      <c r="CF31" s="290"/>
      <c r="CG31" s="291"/>
      <c r="CH31" s="288"/>
      <c r="CI31" s="289"/>
      <c r="CJ31" s="290">
        <v>25</v>
      </c>
      <c r="CK31" s="291">
        <v>27</v>
      </c>
      <c r="CL31" s="288"/>
      <c r="CM31" s="289"/>
      <c r="CN31" s="290"/>
      <c r="CO31" s="291"/>
      <c r="CP31" s="288"/>
      <c r="CQ31" s="289"/>
      <c r="CR31" s="290"/>
      <c r="CS31" s="291"/>
      <c r="CT31" s="288"/>
      <c r="CU31" s="289"/>
      <c r="CV31" s="290"/>
      <c r="CW31" s="291"/>
      <c r="CX31" s="288"/>
      <c r="CY31" s="289"/>
      <c r="CZ31" s="290"/>
      <c r="DA31" s="291"/>
      <c r="DB31" s="288"/>
      <c r="DC31" s="289"/>
      <c r="DD31" s="290"/>
      <c r="DE31" s="291"/>
      <c r="DF31" s="288"/>
      <c r="DG31" s="289"/>
      <c r="DH31" s="290"/>
      <c r="DI31" s="291"/>
      <c r="DJ31" s="288"/>
      <c r="DK31" s="289"/>
      <c r="DL31" s="290"/>
      <c r="DM31" s="291"/>
      <c r="DN31" s="288"/>
      <c r="DO31" s="289"/>
      <c r="DP31" s="290"/>
      <c r="DQ31" s="291"/>
      <c r="DR31" s="288"/>
      <c r="DS31" s="289"/>
      <c r="DT31" s="290"/>
      <c r="DU31" s="291"/>
      <c r="DV31" s="288"/>
      <c r="DW31" s="289"/>
      <c r="DX31" s="290"/>
      <c r="DY31" s="291"/>
      <c r="DZ31" s="288"/>
      <c r="EA31" s="289"/>
      <c r="EB31" s="290"/>
      <c r="EC31" s="291"/>
    </row>
    <row x14ac:dyDescent="0.25" r="32" customHeight="1" ht="17.25">
      <c r="A32" s="1"/>
      <c r="B32" s="288">
        <v>26</v>
      </c>
      <c r="C32" s="289">
        <v>35</v>
      </c>
      <c r="D32" s="290">
        <v>26</v>
      </c>
      <c r="E32" s="291">
        <v>37</v>
      </c>
      <c r="F32" s="288">
        <v>26</v>
      </c>
      <c r="G32" s="289">
        <v>46</v>
      </c>
      <c r="H32" s="290">
        <v>26</v>
      </c>
      <c r="I32" s="291">
        <v>65</v>
      </c>
      <c r="J32" s="288">
        <v>26</v>
      </c>
      <c r="K32" s="289">
        <v>19</v>
      </c>
      <c r="L32" s="290"/>
      <c r="M32" s="291"/>
      <c r="N32" s="288"/>
      <c r="O32" s="289"/>
      <c r="P32" s="290"/>
      <c r="Q32" s="291"/>
      <c r="R32" s="288">
        <v>26</v>
      </c>
      <c r="S32" s="289">
        <v>25</v>
      </c>
      <c r="T32" s="290"/>
      <c r="U32" s="291"/>
      <c r="V32" s="288"/>
      <c r="W32" s="289"/>
      <c r="X32" s="290"/>
      <c r="Y32" s="291"/>
      <c r="Z32" s="288">
        <v>26</v>
      </c>
      <c r="AA32" s="289">
        <v>32</v>
      </c>
      <c r="AB32" s="290">
        <v>26</v>
      </c>
      <c r="AC32" s="291">
        <v>23</v>
      </c>
      <c r="AD32" s="288"/>
      <c r="AE32" s="289"/>
      <c r="AF32" s="290"/>
      <c r="AG32" s="291"/>
      <c r="AH32" s="288"/>
      <c r="AI32" s="289"/>
      <c r="AJ32" s="290">
        <v>26</v>
      </c>
      <c r="AK32" s="291">
        <v>14</v>
      </c>
      <c r="AL32" s="288">
        <v>26</v>
      </c>
      <c r="AM32" s="289">
        <v>12</v>
      </c>
      <c r="AN32" s="290">
        <v>26</v>
      </c>
      <c r="AO32" s="291">
        <v>28</v>
      </c>
      <c r="AP32" s="288"/>
      <c r="AQ32" s="289"/>
      <c r="AR32" s="290"/>
      <c r="AS32" s="291"/>
      <c r="AT32" s="288">
        <v>26</v>
      </c>
      <c r="AU32" s="289">
        <v>21</v>
      </c>
      <c r="AV32" s="290">
        <v>26</v>
      </c>
      <c r="AW32" s="291">
        <v>24</v>
      </c>
      <c r="AX32" s="288"/>
      <c r="AY32" s="289"/>
      <c r="AZ32" s="290">
        <v>26</v>
      </c>
      <c r="BA32" s="291">
        <v>21</v>
      </c>
      <c r="BB32" s="288"/>
      <c r="BC32" s="289"/>
      <c r="BD32" s="290"/>
      <c r="BE32" s="291"/>
      <c r="BF32" s="288"/>
      <c r="BG32" s="289"/>
      <c r="BH32" s="290"/>
      <c r="BI32" s="291"/>
      <c r="BJ32" s="288"/>
      <c r="BK32" s="289"/>
      <c r="BL32" s="290"/>
      <c r="BM32" s="291"/>
      <c r="BN32" s="288"/>
      <c r="BO32" s="289"/>
      <c r="BP32" s="290"/>
      <c r="BQ32" s="291"/>
      <c r="BR32" s="288"/>
      <c r="BS32" s="289"/>
      <c r="BT32" s="290"/>
      <c r="BU32" s="291"/>
      <c r="BV32" s="288"/>
      <c r="BW32" s="289"/>
      <c r="BX32" s="290"/>
      <c r="BY32" s="291"/>
      <c r="BZ32" s="288"/>
      <c r="CA32" s="289"/>
      <c r="CB32" s="290">
        <v>26</v>
      </c>
      <c r="CC32" s="291">
        <v>75</v>
      </c>
      <c r="CD32" s="288"/>
      <c r="CE32" s="289"/>
      <c r="CF32" s="290"/>
      <c r="CG32" s="291"/>
      <c r="CH32" s="288"/>
      <c r="CI32" s="289"/>
      <c r="CJ32" s="290">
        <v>26</v>
      </c>
      <c r="CK32" s="291">
        <v>32</v>
      </c>
      <c r="CL32" s="288"/>
      <c r="CM32" s="289"/>
      <c r="CN32" s="290"/>
      <c r="CO32" s="291"/>
      <c r="CP32" s="288"/>
      <c r="CQ32" s="289"/>
      <c r="CR32" s="290"/>
      <c r="CS32" s="291"/>
      <c r="CT32" s="288"/>
      <c r="CU32" s="289"/>
      <c r="CV32" s="290"/>
      <c r="CW32" s="291"/>
      <c r="CX32" s="288"/>
      <c r="CY32" s="289"/>
      <c r="CZ32" s="290"/>
      <c r="DA32" s="291"/>
      <c r="DB32" s="288"/>
      <c r="DC32" s="289"/>
      <c r="DD32" s="290"/>
      <c r="DE32" s="291"/>
      <c r="DF32" s="288"/>
      <c r="DG32" s="289"/>
      <c r="DH32" s="290"/>
      <c r="DI32" s="291"/>
      <c r="DJ32" s="288"/>
      <c r="DK32" s="289"/>
      <c r="DL32" s="290"/>
      <c r="DM32" s="291"/>
      <c r="DN32" s="288"/>
      <c r="DO32" s="289"/>
      <c r="DP32" s="290"/>
      <c r="DQ32" s="291"/>
      <c r="DR32" s="288"/>
      <c r="DS32" s="289"/>
      <c r="DT32" s="290"/>
      <c r="DU32" s="291"/>
      <c r="DV32" s="288"/>
      <c r="DW32" s="289"/>
      <c r="DX32" s="290"/>
      <c r="DY32" s="291"/>
      <c r="DZ32" s="288"/>
      <c r="EA32" s="289"/>
      <c r="EB32" s="290"/>
      <c r="EC32" s="291"/>
    </row>
    <row x14ac:dyDescent="0.25" r="33" customHeight="1" ht="17.25">
      <c r="A33" s="1"/>
      <c r="B33" s="288">
        <v>27</v>
      </c>
      <c r="C33" s="289">
        <v>46</v>
      </c>
      <c r="D33" s="290">
        <v>27</v>
      </c>
      <c r="E33" s="291">
        <v>21</v>
      </c>
      <c r="F33" s="288">
        <v>27</v>
      </c>
      <c r="G33" s="289">
        <v>34</v>
      </c>
      <c r="H33" s="290">
        <v>27</v>
      </c>
      <c r="I33" s="291">
        <v>23</v>
      </c>
      <c r="J33" s="288">
        <v>27</v>
      </c>
      <c r="K33" s="289">
        <v>26</v>
      </c>
      <c r="L33" s="290"/>
      <c r="M33" s="291"/>
      <c r="N33" s="288"/>
      <c r="O33" s="289"/>
      <c r="P33" s="290"/>
      <c r="Q33" s="291"/>
      <c r="R33" s="288">
        <v>27</v>
      </c>
      <c r="S33" s="289">
        <v>12</v>
      </c>
      <c r="T33" s="290"/>
      <c r="U33" s="291"/>
      <c r="V33" s="288"/>
      <c r="W33" s="289"/>
      <c r="X33" s="290"/>
      <c r="Y33" s="291"/>
      <c r="Z33" s="288">
        <v>27</v>
      </c>
      <c r="AA33" s="289">
        <v>34</v>
      </c>
      <c r="AB33" s="290">
        <v>27</v>
      </c>
      <c r="AC33" s="291">
        <v>9</v>
      </c>
      <c r="AD33" s="288"/>
      <c r="AE33" s="289"/>
      <c r="AF33" s="290"/>
      <c r="AG33" s="291"/>
      <c r="AH33" s="288"/>
      <c r="AI33" s="289"/>
      <c r="AJ33" s="290">
        <v>27</v>
      </c>
      <c r="AK33" s="291">
        <v>23</v>
      </c>
      <c r="AL33" s="288">
        <v>27</v>
      </c>
      <c r="AM33" s="289">
        <v>14</v>
      </c>
      <c r="AN33" s="290">
        <v>27</v>
      </c>
      <c r="AO33" s="291">
        <v>27</v>
      </c>
      <c r="AP33" s="288"/>
      <c r="AQ33" s="289"/>
      <c r="AR33" s="290"/>
      <c r="AS33" s="291"/>
      <c r="AT33" s="288">
        <v>27</v>
      </c>
      <c r="AU33" s="289">
        <v>13</v>
      </c>
      <c r="AV33" s="290">
        <v>27</v>
      </c>
      <c r="AW33" s="291">
        <v>22</v>
      </c>
      <c r="AX33" s="288"/>
      <c r="AY33" s="289"/>
      <c r="AZ33" s="290">
        <v>27</v>
      </c>
      <c r="BA33" s="291">
        <v>36</v>
      </c>
      <c r="BB33" s="288"/>
      <c r="BC33" s="289"/>
      <c r="BD33" s="290"/>
      <c r="BE33" s="291"/>
      <c r="BF33" s="288"/>
      <c r="BG33" s="289"/>
      <c r="BH33" s="290"/>
      <c r="BI33" s="291"/>
      <c r="BJ33" s="288"/>
      <c r="BK33" s="289"/>
      <c r="BL33" s="290"/>
      <c r="BM33" s="291"/>
      <c r="BN33" s="288"/>
      <c r="BO33" s="289"/>
      <c r="BP33" s="290"/>
      <c r="BQ33" s="291"/>
      <c r="BR33" s="288"/>
      <c r="BS33" s="289"/>
      <c r="BT33" s="290"/>
      <c r="BU33" s="291"/>
      <c r="BV33" s="288"/>
      <c r="BW33" s="289"/>
      <c r="BX33" s="290"/>
      <c r="BY33" s="291"/>
      <c r="BZ33" s="288"/>
      <c r="CA33" s="289"/>
      <c r="CB33" s="290">
        <v>27</v>
      </c>
      <c r="CC33" s="291">
        <v>66</v>
      </c>
      <c r="CD33" s="288"/>
      <c r="CE33" s="289"/>
      <c r="CF33" s="290"/>
      <c r="CG33" s="291"/>
      <c r="CH33" s="288"/>
      <c r="CI33" s="289"/>
      <c r="CJ33" s="290">
        <v>27</v>
      </c>
      <c r="CK33" s="291">
        <v>44</v>
      </c>
      <c r="CL33" s="288"/>
      <c r="CM33" s="289"/>
      <c r="CN33" s="290"/>
      <c r="CO33" s="291"/>
      <c r="CP33" s="288"/>
      <c r="CQ33" s="289"/>
      <c r="CR33" s="290"/>
      <c r="CS33" s="291"/>
      <c r="CT33" s="288"/>
      <c r="CU33" s="289"/>
      <c r="CV33" s="290"/>
      <c r="CW33" s="291"/>
      <c r="CX33" s="288"/>
      <c r="CY33" s="289"/>
      <c r="CZ33" s="290"/>
      <c r="DA33" s="291"/>
      <c r="DB33" s="288"/>
      <c r="DC33" s="289"/>
      <c r="DD33" s="290"/>
      <c r="DE33" s="291"/>
      <c r="DF33" s="288"/>
      <c r="DG33" s="289"/>
      <c r="DH33" s="290"/>
      <c r="DI33" s="291"/>
      <c r="DJ33" s="288"/>
      <c r="DK33" s="289"/>
      <c r="DL33" s="290"/>
      <c r="DM33" s="291"/>
      <c r="DN33" s="288"/>
      <c r="DO33" s="289"/>
      <c r="DP33" s="290"/>
      <c r="DQ33" s="291"/>
      <c r="DR33" s="288"/>
      <c r="DS33" s="289"/>
      <c r="DT33" s="290"/>
      <c r="DU33" s="291"/>
      <c r="DV33" s="288"/>
      <c r="DW33" s="289"/>
      <c r="DX33" s="290"/>
      <c r="DY33" s="291"/>
      <c r="DZ33" s="288"/>
      <c r="EA33" s="289"/>
      <c r="EB33" s="290"/>
      <c r="EC33" s="291"/>
    </row>
    <row x14ac:dyDescent="0.25" r="34" customHeight="1" ht="17.25">
      <c r="A34" s="1"/>
      <c r="B34" s="288">
        <v>28</v>
      </c>
      <c r="C34" s="289">
        <v>22</v>
      </c>
      <c r="D34" s="290">
        <v>28</v>
      </c>
      <c r="E34" s="291">
        <v>43</v>
      </c>
      <c r="F34" s="288"/>
      <c r="G34" s="289"/>
      <c r="H34" s="290">
        <v>28</v>
      </c>
      <c r="I34" s="291">
        <v>31</v>
      </c>
      <c r="J34" s="288">
        <v>28</v>
      </c>
      <c r="K34" s="289">
        <v>68</v>
      </c>
      <c r="L34" s="290"/>
      <c r="M34" s="291"/>
      <c r="N34" s="288"/>
      <c r="O34" s="289"/>
      <c r="P34" s="290"/>
      <c r="Q34" s="291"/>
      <c r="R34" s="288">
        <v>28</v>
      </c>
      <c r="S34" s="289">
        <v>25</v>
      </c>
      <c r="T34" s="290"/>
      <c r="U34" s="291"/>
      <c r="V34" s="288"/>
      <c r="W34" s="289"/>
      <c r="X34" s="290"/>
      <c r="Y34" s="291"/>
      <c r="Z34" s="288">
        <v>28</v>
      </c>
      <c r="AA34" s="289">
        <v>21</v>
      </c>
      <c r="AB34" s="290">
        <v>28</v>
      </c>
      <c r="AC34" s="291">
        <v>27</v>
      </c>
      <c r="AD34" s="288"/>
      <c r="AE34" s="289"/>
      <c r="AF34" s="290"/>
      <c r="AG34" s="291"/>
      <c r="AH34" s="288"/>
      <c r="AI34" s="289"/>
      <c r="AJ34" s="290">
        <v>28</v>
      </c>
      <c r="AK34" s="291">
        <v>28</v>
      </c>
      <c r="AL34" s="288">
        <v>28</v>
      </c>
      <c r="AM34" s="289">
        <v>9</v>
      </c>
      <c r="AN34" s="290">
        <v>28</v>
      </c>
      <c r="AO34" s="291">
        <v>28</v>
      </c>
      <c r="AP34" s="288"/>
      <c r="AQ34" s="289"/>
      <c r="AR34" s="290"/>
      <c r="AS34" s="291"/>
      <c r="AT34" s="288">
        <v>28</v>
      </c>
      <c r="AU34" s="289">
        <v>29</v>
      </c>
      <c r="AV34" s="290">
        <v>28</v>
      </c>
      <c r="AW34" s="291">
        <v>17</v>
      </c>
      <c r="AX34" s="288"/>
      <c r="AY34" s="289"/>
      <c r="AZ34" s="290">
        <v>28</v>
      </c>
      <c r="BA34" s="291">
        <v>26</v>
      </c>
      <c r="BB34" s="288"/>
      <c r="BC34" s="289"/>
      <c r="BD34" s="290"/>
      <c r="BE34" s="291"/>
      <c r="BF34" s="288"/>
      <c r="BG34" s="289"/>
      <c r="BH34" s="290"/>
      <c r="BI34" s="291"/>
      <c r="BJ34" s="288"/>
      <c r="BK34" s="289"/>
      <c r="BL34" s="290"/>
      <c r="BM34" s="291"/>
      <c r="BN34" s="288"/>
      <c r="BO34" s="289"/>
      <c r="BP34" s="290"/>
      <c r="BQ34" s="291"/>
      <c r="BR34" s="288"/>
      <c r="BS34" s="289"/>
      <c r="BT34" s="290"/>
      <c r="BU34" s="291"/>
      <c r="BV34" s="288"/>
      <c r="BW34" s="289"/>
      <c r="BX34" s="290"/>
      <c r="BY34" s="291"/>
      <c r="BZ34" s="288"/>
      <c r="CA34" s="289"/>
      <c r="CB34" s="290">
        <v>28</v>
      </c>
      <c r="CC34" s="291">
        <v>20</v>
      </c>
      <c r="CD34" s="288"/>
      <c r="CE34" s="289"/>
      <c r="CF34" s="290"/>
      <c r="CG34" s="291"/>
      <c r="CH34" s="288"/>
      <c r="CI34" s="289"/>
      <c r="CJ34" s="290">
        <v>28</v>
      </c>
      <c r="CK34" s="291">
        <v>31</v>
      </c>
      <c r="CL34" s="288"/>
      <c r="CM34" s="289"/>
      <c r="CN34" s="290"/>
      <c r="CO34" s="291"/>
      <c r="CP34" s="288"/>
      <c r="CQ34" s="289"/>
      <c r="CR34" s="290"/>
      <c r="CS34" s="291"/>
      <c r="CT34" s="288"/>
      <c r="CU34" s="289"/>
      <c r="CV34" s="290"/>
      <c r="CW34" s="291"/>
      <c r="CX34" s="288"/>
      <c r="CY34" s="289"/>
      <c r="CZ34" s="290"/>
      <c r="DA34" s="291"/>
      <c r="DB34" s="288"/>
      <c r="DC34" s="289"/>
      <c r="DD34" s="290"/>
      <c r="DE34" s="291"/>
      <c r="DF34" s="288"/>
      <c r="DG34" s="289"/>
      <c r="DH34" s="290"/>
      <c r="DI34" s="291"/>
      <c r="DJ34" s="288"/>
      <c r="DK34" s="289"/>
      <c r="DL34" s="290"/>
      <c r="DM34" s="291"/>
      <c r="DN34" s="288"/>
      <c r="DO34" s="289"/>
      <c r="DP34" s="290"/>
      <c r="DQ34" s="291"/>
      <c r="DR34" s="288"/>
      <c r="DS34" s="289"/>
      <c r="DT34" s="290"/>
      <c r="DU34" s="291"/>
      <c r="DV34" s="288"/>
      <c r="DW34" s="289"/>
      <c r="DX34" s="290"/>
      <c r="DY34" s="291"/>
      <c r="DZ34" s="288"/>
      <c r="EA34" s="289"/>
      <c r="EB34" s="290"/>
      <c r="EC34" s="291"/>
    </row>
    <row x14ac:dyDescent="0.25" r="35" customHeight="1" ht="17.25">
      <c r="A35" s="1"/>
      <c r="B35" s="288">
        <v>29</v>
      </c>
      <c r="C35" s="289">
        <v>35</v>
      </c>
      <c r="D35" s="290">
        <v>29</v>
      </c>
      <c r="E35" s="291">
        <v>46</v>
      </c>
      <c r="F35" s="288"/>
      <c r="G35" s="289"/>
      <c r="H35" s="290">
        <v>29</v>
      </c>
      <c r="I35" s="291">
        <v>40</v>
      </c>
      <c r="J35" s="288">
        <v>29</v>
      </c>
      <c r="K35" s="289">
        <v>29</v>
      </c>
      <c r="L35" s="290"/>
      <c r="M35" s="291"/>
      <c r="N35" s="288"/>
      <c r="O35" s="289"/>
      <c r="P35" s="290"/>
      <c r="Q35" s="291"/>
      <c r="R35" s="288">
        <v>29</v>
      </c>
      <c r="S35" s="289">
        <v>11</v>
      </c>
      <c r="T35" s="290"/>
      <c r="U35" s="291"/>
      <c r="V35" s="288"/>
      <c r="W35" s="289"/>
      <c r="X35" s="290"/>
      <c r="Y35" s="291"/>
      <c r="Z35" s="288">
        <v>29</v>
      </c>
      <c r="AA35" s="289">
        <v>30</v>
      </c>
      <c r="AB35" s="290">
        <v>29</v>
      </c>
      <c r="AC35" s="291">
        <v>36</v>
      </c>
      <c r="AD35" s="288"/>
      <c r="AE35" s="289"/>
      <c r="AF35" s="290"/>
      <c r="AG35" s="291"/>
      <c r="AH35" s="288"/>
      <c r="AI35" s="289"/>
      <c r="AJ35" s="290">
        <v>29</v>
      </c>
      <c r="AK35" s="291">
        <v>25</v>
      </c>
      <c r="AL35" s="288">
        <v>29</v>
      </c>
      <c r="AM35" s="289">
        <v>11</v>
      </c>
      <c r="AN35" s="290">
        <v>29</v>
      </c>
      <c r="AO35" s="291">
        <v>27</v>
      </c>
      <c r="AP35" s="288"/>
      <c r="AQ35" s="289"/>
      <c r="AR35" s="290"/>
      <c r="AS35" s="291"/>
      <c r="AT35" s="288">
        <v>29</v>
      </c>
      <c r="AU35" s="289">
        <v>24</v>
      </c>
      <c r="AV35" s="290">
        <v>29</v>
      </c>
      <c r="AW35" s="291">
        <v>32</v>
      </c>
      <c r="AX35" s="288"/>
      <c r="AY35" s="289"/>
      <c r="AZ35" s="290">
        <v>29</v>
      </c>
      <c r="BA35" s="291">
        <v>21</v>
      </c>
      <c r="BB35" s="288"/>
      <c r="BC35" s="289"/>
      <c r="BD35" s="290"/>
      <c r="BE35" s="291"/>
      <c r="BF35" s="288"/>
      <c r="BG35" s="289"/>
      <c r="BH35" s="290"/>
      <c r="BI35" s="291"/>
      <c r="BJ35" s="288"/>
      <c r="BK35" s="289"/>
      <c r="BL35" s="290"/>
      <c r="BM35" s="291"/>
      <c r="BN35" s="288"/>
      <c r="BO35" s="289"/>
      <c r="BP35" s="290"/>
      <c r="BQ35" s="291"/>
      <c r="BR35" s="288"/>
      <c r="BS35" s="289"/>
      <c r="BT35" s="290"/>
      <c r="BU35" s="291"/>
      <c r="BV35" s="288"/>
      <c r="BW35" s="289"/>
      <c r="BX35" s="290"/>
      <c r="BY35" s="291"/>
      <c r="BZ35" s="288"/>
      <c r="CA35" s="289"/>
      <c r="CB35" s="290"/>
      <c r="CC35" s="291"/>
      <c r="CD35" s="288"/>
      <c r="CE35" s="289"/>
      <c r="CF35" s="290"/>
      <c r="CG35" s="291"/>
      <c r="CH35" s="288"/>
      <c r="CI35" s="289"/>
      <c r="CJ35" s="290"/>
      <c r="CK35" s="291"/>
      <c r="CL35" s="288"/>
      <c r="CM35" s="289"/>
      <c r="CN35" s="290"/>
      <c r="CO35" s="291"/>
      <c r="CP35" s="288"/>
      <c r="CQ35" s="289"/>
      <c r="CR35" s="290"/>
      <c r="CS35" s="291"/>
      <c r="CT35" s="288"/>
      <c r="CU35" s="289"/>
      <c r="CV35" s="290"/>
      <c r="CW35" s="291"/>
      <c r="CX35" s="288"/>
      <c r="CY35" s="289"/>
      <c r="CZ35" s="290"/>
      <c r="DA35" s="291"/>
      <c r="DB35" s="288"/>
      <c r="DC35" s="289"/>
      <c r="DD35" s="290"/>
      <c r="DE35" s="291"/>
      <c r="DF35" s="288"/>
      <c r="DG35" s="289"/>
      <c r="DH35" s="290"/>
      <c r="DI35" s="291"/>
      <c r="DJ35" s="288"/>
      <c r="DK35" s="289"/>
      <c r="DL35" s="290"/>
      <c r="DM35" s="291"/>
      <c r="DN35" s="288"/>
      <c r="DO35" s="289"/>
      <c r="DP35" s="290"/>
      <c r="DQ35" s="291"/>
      <c r="DR35" s="288"/>
      <c r="DS35" s="289"/>
      <c r="DT35" s="290"/>
      <c r="DU35" s="291"/>
      <c r="DV35" s="288"/>
      <c r="DW35" s="289"/>
      <c r="DX35" s="290"/>
      <c r="DY35" s="291"/>
      <c r="DZ35" s="288"/>
      <c r="EA35" s="289"/>
      <c r="EB35" s="290"/>
      <c r="EC35" s="291"/>
    </row>
    <row x14ac:dyDescent="0.25" r="36" customHeight="1" ht="17.25">
      <c r="A36" s="1"/>
      <c r="B36" s="288">
        <v>30</v>
      </c>
      <c r="C36" s="289">
        <v>43</v>
      </c>
      <c r="D36" s="290">
        <v>30</v>
      </c>
      <c r="E36" s="291">
        <v>38</v>
      </c>
      <c r="F36" s="288"/>
      <c r="G36" s="289"/>
      <c r="H36" s="290">
        <v>30</v>
      </c>
      <c r="I36" s="291">
        <v>16</v>
      </c>
      <c r="J36" s="288">
        <v>30</v>
      </c>
      <c r="K36" s="289">
        <v>20</v>
      </c>
      <c r="L36" s="290"/>
      <c r="M36" s="291"/>
      <c r="N36" s="288"/>
      <c r="O36" s="289"/>
      <c r="P36" s="290"/>
      <c r="Q36" s="291"/>
      <c r="R36" s="288">
        <v>30</v>
      </c>
      <c r="S36" s="289">
        <v>31</v>
      </c>
      <c r="T36" s="290"/>
      <c r="U36" s="291"/>
      <c r="V36" s="288"/>
      <c r="W36" s="289"/>
      <c r="X36" s="290"/>
      <c r="Y36" s="291"/>
      <c r="Z36" s="288"/>
      <c r="AA36" s="289"/>
      <c r="AB36" s="290">
        <v>30</v>
      </c>
      <c r="AC36" s="291">
        <v>27</v>
      </c>
      <c r="AD36" s="288"/>
      <c r="AE36" s="289"/>
      <c r="AF36" s="290"/>
      <c r="AG36" s="291"/>
      <c r="AH36" s="288"/>
      <c r="AI36" s="289"/>
      <c r="AJ36" s="290">
        <v>30</v>
      </c>
      <c r="AK36" s="291">
        <v>31</v>
      </c>
      <c r="AL36" s="288">
        <v>30</v>
      </c>
      <c r="AM36" s="289">
        <v>12</v>
      </c>
      <c r="AN36" s="290">
        <v>30</v>
      </c>
      <c r="AO36" s="291">
        <v>33</v>
      </c>
      <c r="AP36" s="288"/>
      <c r="AQ36" s="289"/>
      <c r="AR36" s="290"/>
      <c r="AS36" s="291"/>
      <c r="AT36" s="288">
        <v>30</v>
      </c>
      <c r="AU36" s="289">
        <v>33</v>
      </c>
      <c r="AV36" s="290">
        <v>30</v>
      </c>
      <c r="AW36" s="291">
        <v>24</v>
      </c>
      <c r="AX36" s="288"/>
      <c r="AY36" s="289"/>
      <c r="AZ36" s="290">
        <v>30</v>
      </c>
      <c r="BA36" s="291">
        <v>26</v>
      </c>
      <c r="BB36" s="288"/>
      <c r="BC36" s="289"/>
      <c r="BD36" s="290"/>
      <c r="BE36" s="291"/>
      <c r="BF36" s="288"/>
      <c r="BG36" s="289"/>
      <c r="BH36" s="290"/>
      <c r="BI36" s="291"/>
      <c r="BJ36" s="288"/>
      <c r="BK36" s="289"/>
      <c r="BL36" s="290"/>
      <c r="BM36" s="291"/>
      <c r="BN36" s="288"/>
      <c r="BO36" s="289"/>
      <c r="BP36" s="290"/>
      <c r="BQ36" s="291"/>
      <c r="BR36" s="288"/>
      <c r="BS36" s="289"/>
      <c r="BT36" s="290"/>
      <c r="BU36" s="291"/>
      <c r="BV36" s="288"/>
      <c r="BW36" s="289"/>
      <c r="BX36" s="290"/>
      <c r="BY36" s="291"/>
      <c r="BZ36" s="288"/>
      <c r="CA36" s="289"/>
      <c r="CB36" s="290"/>
      <c r="CC36" s="291"/>
      <c r="CD36" s="288"/>
      <c r="CE36" s="289"/>
      <c r="CF36" s="290"/>
      <c r="CG36" s="291"/>
      <c r="CH36" s="288"/>
      <c r="CI36" s="289"/>
      <c r="CJ36" s="290"/>
      <c r="CK36" s="291"/>
      <c r="CL36" s="288"/>
      <c r="CM36" s="289"/>
      <c r="CN36" s="290"/>
      <c r="CO36" s="291"/>
      <c r="CP36" s="288"/>
      <c r="CQ36" s="289"/>
      <c r="CR36" s="290"/>
      <c r="CS36" s="291"/>
      <c r="CT36" s="288"/>
      <c r="CU36" s="289"/>
      <c r="CV36" s="290"/>
      <c r="CW36" s="291"/>
      <c r="CX36" s="288"/>
      <c r="CY36" s="289"/>
      <c r="CZ36" s="290"/>
      <c r="DA36" s="291"/>
      <c r="DB36" s="288"/>
      <c r="DC36" s="289"/>
      <c r="DD36" s="290"/>
      <c r="DE36" s="291"/>
      <c r="DF36" s="288"/>
      <c r="DG36" s="289"/>
      <c r="DH36" s="290"/>
      <c r="DI36" s="291"/>
      <c r="DJ36" s="288"/>
      <c r="DK36" s="289"/>
      <c r="DL36" s="290"/>
      <c r="DM36" s="291"/>
      <c r="DN36" s="288"/>
      <c r="DO36" s="289"/>
      <c r="DP36" s="290"/>
      <c r="DQ36" s="291"/>
      <c r="DR36" s="288"/>
      <c r="DS36" s="289"/>
      <c r="DT36" s="290"/>
      <c r="DU36" s="291"/>
      <c r="DV36" s="288"/>
      <c r="DW36" s="289"/>
      <c r="DX36" s="290"/>
      <c r="DY36" s="291"/>
      <c r="DZ36" s="288"/>
      <c r="EA36" s="289"/>
      <c r="EB36" s="290"/>
      <c r="EC36" s="291"/>
    </row>
    <row x14ac:dyDescent="0.25" r="37" customHeight="1" ht="17.25">
      <c r="A37" s="1"/>
      <c r="B37" s="288">
        <v>31</v>
      </c>
      <c r="C37" s="289">
        <v>55</v>
      </c>
      <c r="D37" s="290">
        <v>31</v>
      </c>
      <c r="E37" s="291">
        <v>18</v>
      </c>
      <c r="F37" s="288"/>
      <c r="G37" s="289"/>
      <c r="H37" s="290">
        <v>31</v>
      </c>
      <c r="I37" s="291">
        <v>54</v>
      </c>
      <c r="J37" s="288">
        <v>31</v>
      </c>
      <c r="K37" s="289">
        <v>30</v>
      </c>
      <c r="L37" s="290"/>
      <c r="M37" s="291"/>
      <c r="N37" s="288"/>
      <c r="O37" s="289"/>
      <c r="P37" s="290"/>
      <c r="Q37" s="291"/>
      <c r="R37" s="288">
        <v>31</v>
      </c>
      <c r="S37" s="289">
        <v>13</v>
      </c>
      <c r="T37" s="290"/>
      <c r="U37" s="291"/>
      <c r="V37" s="288"/>
      <c r="W37" s="289"/>
      <c r="X37" s="290"/>
      <c r="Y37" s="291"/>
      <c r="Z37" s="288"/>
      <c r="AA37" s="289"/>
      <c r="AB37" s="290">
        <v>31</v>
      </c>
      <c r="AC37" s="291">
        <v>21</v>
      </c>
      <c r="AD37" s="288"/>
      <c r="AE37" s="289"/>
      <c r="AF37" s="290"/>
      <c r="AG37" s="291"/>
      <c r="AH37" s="288"/>
      <c r="AI37" s="289"/>
      <c r="AJ37" s="290">
        <v>31</v>
      </c>
      <c r="AK37" s="291">
        <v>40</v>
      </c>
      <c r="AL37" s="288">
        <v>31</v>
      </c>
      <c r="AM37" s="289">
        <v>24</v>
      </c>
      <c r="AN37" s="290">
        <v>31</v>
      </c>
      <c r="AO37" s="291">
        <v>31</v>
      </c>
      <c r="AP37" s="288"/>
      <c r="AQ37" s="289"/>
      <c r="AR37" s="290"/>
      <c r="AS37" s="291"/>
      <c r="AT37" s="288">
        <v>31</v>
      </c>
      <c r="AU37" s="289">
        <v>9</v>
      </c>
      <c r="AV37" s="290">
        <v>31</v>
      </c>
      <c r="AW37" s="291">
        <v>40</v>
      </c>
      <c r="AX37" s="288"/>
      <c r="AY37" s="289"/>
      <c r="AZ37" s="290">
        <v>31</v>
      </c>
      <c r="BA37" s="291">
        <v>18</v>
      </c>
      <c r="BB37" s="288"/>
      <c r="BC37" s="289"/>
      <c r="BD37" s="290"/>
      <c r="BE37" s="291"/>
      <c r="BF37" s="288"/>
      <c r="BG37" s="289"/>
      <c r="BH37" s="290"/>
      <c r="BI37" s="291"/>
      <c r="BJ37" s="288"/>
      <c r="BK37" s="289"/>
      <c r="BL37" s="290"/>
      <c r="BM37" s="291"/>
      <c r="BN37" s="288"/>
      <c r="BO37" s="289"/>
      <c r="BP37" s="290"/>
      <c r="BQ37" s="291"/>
      <c r="BR37" s="288"/>
      <c r="BS37" s="289"/>
      <c r="BT37" s="290"/>
      <c r="BU37" s="291"/>
      <c r="BV37" s="288"/>
      <c r="BW37" s="289"/>
      <c r="BX37" s="290"/>
      <c r="BY37" s="291"/>
      <c r="BZ37" s="288"/>
      <c r="CA37" s="289"/>
      <c r="CB37" s="290"/>
      <c r="CC37" s="291"/>
      <c r="CD37" s="288"/>
      <c r="CE37" s="289"/>
      <c r="CF37" s="290"/>
      <c r="CG37" s="291"/>
      <c r="CH37" s="288"/>
      <c r="CI37" s="289"/>
      <c r="CJ37" s="290"/>
      <c r="CK37" s="291"/>
      <c r="CL37" s="288"/>
      <c r="CM37" s="289"/>
      <c r="CN37" s="290"/>
      <c r="CO37" s="291"/>
      <c r="CP37" s="288"/>
      <c r="CQ37" s="289"/>
      <c r="CR37" s="290"/>
      <c r="CS37" s="291"/>
      <c r="CT37" s="288"/>
      <c r="CU37" s="289"/>
      <c r="CV37" s="290"/>
      <c r="CW37" s="291"/>
      <c r="CX37" s="288"/>
      <c r="CY37" s="289"/>
      <c r="CZ37" s="290"/>
      <c r="DA37" s="291"/>
      <c r="DB37" s="288"/>
      <c r="DC37" s="289"/>
      <c r="DD37" s="290"/>
      <c r="DE37" s="291"/>
      <c r="DF37" s="288"/>
      <c r="DG37" s="289"/>
      <c r="DH37" s="290"/>
      <c r="DI37" s="291"/>
      <c r="DJ37" s="288"/>
      <c r="DK37" s="289"/>
      <c r="DL37" s="290"/>
      <c r="DM37" s="291"/>
      <c r="DN37" s="288"/>
      <c r="DO37" s="289"/>
      <c r="DP37" s="290"/>
      <c r="DQ37" s="291"/>
      <c r="DR37" s="288"/>
      <c r="DS37" s="289"/>
      <c r="DT37" s="290"/>
      <c r="DU37" s="291"/>
      <c r="DV37" s="288"/>
      <c r="DW37" s="289"/>
      <c r="DX37" s="290"/>
      <c r="DY37" s="291"/>
      <c r="DZ37" s="288"/>
      <c r="EA37" s="289"/>
      <c r="EB37" s="290"/>
      <c r="EC37" s="291"/>
    </row>
    <row x14ac:dyDescent="0.25" r="38" customHeight="1" ht="17.25">
      <c r="A38" s="1"/>
      <c r="B38" s="288">
        <v>32</v>
      </c>
      <c r="C38" s="289">
        <v>32</v>
      </c>
      <c r="D38" s="290">
        <v>32</v>
      </c>
      <c r="E38" s="291">
        <v>35</v>
      </c>
      <c r="F38" s="288"/>
      <c r="G38" s="289"/>
      <c r="H38" s="290">
        <v>32</v>
      </c>
      <c r="I38" s="291">
        <v>42</v>
      </c>
      <c r="J38" s="288">
        <v>32</v>
      </c>
      <c r="K38" s="289">
        <v>52</v>
      </c>
      <c r="L38" s="290"/>
      <c r="M38" s="291"/>
      <c r="N38" s="288"/>
      <c r="O38" s="289"/>
      <c r="P38" s="290"/>
      <c r="Q38" s="291"/>
      <c r="R38" s="288"/>
      <c r="S38" s="289"/>
      <c r="T38" s="290"/>
      <c r="U38" s="291"/>
      <c r="V38" s="288"/>
      <c r="W38" s="289"/>
      <c r="X38" s="290"/>
      <c r="Y38" s="291"/>
      <c r="Z38" s="288"/>
      <c r="AA38" s="289"/>
      <c r="AB38" s="290">
        <v>32</v>
      </c>
      <c r="AC38" s="291">
        <v>33</v>
      </c>
      <c r="AD38" s="288"/>
      <c r="AE38" s="289"/>
      <c r="AF38" s="290"/>
      <c r="AG38" s="291"/>
      <c r="AH38" s="288"/>
      <c r="AI38" s="289"/>
      <c r="AJ38" s="290">
        <v>32</v>
      </c>
      <c r="AK38" s="291">
        <v>22</v>
      </c>
      <c r="AL38" s="288">
        <v>32</v>
      </c>
      <c r="AM38" s="289">
        <v>11</v>
      </c>
      <c r="AN38" s="290"/>
      <c r="AO38" s="291"/>
      <c r="AP38" s="288"/>
      <c r="AQ38" s="289"/>
      <c r="AR38" s="290"/>
      <c r="AS38" s="291"/>
      <c r="AT38" s="288">
        <v>32</v>
      </c>
      <c r="AU38" s="289">
        <v>20</v>
      </c>
      <c r="AV38" s="290">
        <v>32</v>
      </c>
      <c r="AW38" s="291">
        <v>44</v>
      </c>
      <c r="AX38" s="288"/>
      <c r="AY38" s="289"/>
      <c r="AZ38" s="290">
        <v>32</v>
      </c>
      <c r="BA38" s="291">
        <v>32</v>
      </c>
      <c r="BB38" s="288"/>
      <c r="BC38" s="289"/>
      <c r="BD38" s="290"/>
      <c r="BE38" s="291"/>
      <c r="BF38" s="288"/>
      <c r="BG38" s="289"/>
      <c r="BH38" s="290"/>
      <c r="BI38" s="291"/>
      <c r="BJ38" s="288"/>
      <c r="BK38" s="289"/>
      <c r="BL38" s="290"/>
      <c r="BM38" s="291"/>
      <c r="BN38" s="288"/>
      <c r="BO38" s="289"/>
      <c r="BP38" s="290"/>
      <c r="BQ38" s="291"/>
      <c r="BR38" s="288"/>
      <c r="BS38" s="289"/>
      <c r="BT38" s="290"/>
      <c r="BU38" s="291"/>
      <c r="BV38" s="288"/>
      <c r="BW38" s="289"/>
      <c r="BX38" s="290"/>
      <c r="BY38" s="291"/>
      <c r="BZ38" s="288"/>
      <c r="CA38" s="289"/>
      <c r="CB38" s="290"/>
      <c r="CC38" s="291"/>
      <c r="CD38" s="288"/>
      <c r="CE38" s="289"/>
      <c r="CF38" s="290"/>
      <c r="CG38" s="291"/>
      <c r="CH38" s="288"/>
      <c r="CI38" s="289"/>
      <c r="CJ38" s="290"/>
      <c r="CK38" s="291"/>
      <c r="CL38" s="288"/>
      <c r="CM38" s="289"/>
      <c r="CN38" s="290"/>
      <c r="CO38" s="291"/>
      <c r="CP38" s="288"/>
      <c r="CQ38" s="289"/>
      <c r="CR38" s="290"/>
      <c r="CS38" s="291"/>
      <c r="CT38" s="288"/>
      <c r="CU38" s="289"/>
      <c r="CV38" s="290"/>
      <c r="CW38" s="291"/>
      <c r="CX38" s="288"/>
      <c r="CY38" s="289"/>
      <c r="CZ38" s="290"/>
      <c r="DA38" s="291"/>
      <c r="DB38" s="288"/>
      <c r="DC38" s="289"/>
      <c r="DD38" s="290"/>
      <c r="DE38" s="291"/>
      <c r="DF38" s="288"/>
      <c r="DG38" s="289"/>
      <c r="DH38" s="290"/>
      <c r="DI38" s="291"/>
      <c r="DJ38" s="288"/>
      <c r="DK38" s="289"/>
      <c r="DL38" s="290"/>
      <c r="DM38" s="291"/>
      <c r="DN38" s="288"/>
      <c r="DO38" s="289"/>
      <c r="DP38" s="290"/>
      <c r="DQ38" s="291"/>
      <c r="DR38" s="288"/>
      <c r="DS38" s="289"/>
      <c r="DT38" s="290"/>
      <c r="DU38" s="291"/>
      <c r="DV38" s="288"/>
      <c r="DW38" s="289"/>
      <c r="DX38" s="290"/>
      <c r="DY38" s="291"/>
      <c r="DZ38" s="288"/>
      <c r="EA38" s="289"/>
      <c r="EB38" s="290"/>
      <c r="EC38" s="291"/>
    </row>
    <row x14ac:dyDescent="0.25" r="39" customHeight="1" ht="17.25">
      <c r="A39" s="1"/>
      <c r="B39" s="288">
        <v>33</v>
      </c>
      <c r="C39" s="289">
        <v>20</v>
      </c>
      <c r="D39" s="290">
        <v>33</v>
      </c>
      <c r="E39" s="291">
        <v>23</v>
      </c>
      <c r="F39" s="288"/>
      <c r="G39" s="289"/>
      <c r="H39" s="290">
        <v>33</v>
      </c>
      <c r="I39" s="291">
        <v>56</v>
      </c>
      <c r="J39" s="288">
        <v>33</v>
      </c>
      <c r="K39" s="289">
        <v>29</v>
      </c>
      <c r="L39" s="290"/>
      <c r="M39" s="291"/>
      <c r="N39" s="288"/>
      <c r="O39" s="289"/>
      <c r="P39" s="290"/>
      <c r="Q39" s="291"/>
      <c r="R39" s="288"/>
      <c r="S39" s="289"/>
      <c r="T39" s="290"/>
      <c r="U39" s="291"/>
      <c r="V39" s="288"/>
      <c r="W39" s="289"/>
      <c r="X39" s="290"/>
      <c r="Y39" s="291"/>
      <c r="Z39" s="288"/>
      <c r="AA39" s="289"/>
      <c r="AB39" s="290">
        <v>33</v>
      </c>
      <c r="AC39" s="291">
        <v>25</v>
      </c>
      <c r="AD39" s="288"/>
      <c r="AE39" s="289"/>
      <c r="AF39" s="290"/>
      <c r="AG39" s="291"/>
      <c r="AH39" s="288"/>
      <c r="AI39" s="289"/>
      <c r="AJ39" s="290">
        <v>33</v>
      </c>
      <c r="AK39" s="291">
        <v>33</v>
      </c>
      <c r="AL39" s="288">
        <v>33</v>
      </c>
      <c r="AM39" s="289">
        <v>22</v>
      </c>
      <c r="AN39" s="290"/>
      <c r="AO39" s="291"/>
      <c r="AP39" s="288"/>
      <c r="AQ39" s="289"/>
      <c r="AR39" s="290"/>
      <c r="AS39" s="291"/>
      <c r="AT39" s="288">
        <v>33</v>
      </c>
      <c r="AU39" s="289">
        <v>24</v>
      </c>
      <c r="AV39" s="290">
        <v>33</v>
      </c>
      <c r="AW39" s="291">
        <v>26</v>
      </c>
      <c r="AX39" s="288"/>
      <c r="AY39" s="289"/>
      <c r="AZ39" s="290">
        <v>33</v>
      </c>
      <c r="BA39" s="291">
        <v>33</v>
      </c>
      <c r="BB39" s="288"/>
      <c r="BC39" s="289"/>
      <c r="BD39" s="290"/>
      <c r="BE39" s="291"/>
      <c r="BF39" s="288"/>
      <c r="BG39" s="289"/>
      <c r="BH39" s="290"/>
      <c r="BI39" s="291"/>
      <c r="BJ39" s="288"/>
      <c r="BK39" s="289"/>
      <c r="BL39" s="290"/>
      <c r="BM39" s="291"/>
      <c r="BN39" s="288"/>
      <c r="BO39" s="289"/>
      <c r="BP39" s="290"/>
      <c r="BQ39" s="291"/>
      <c r="BR39" s="288"/>
      <c r="BS39" s="289"/>
      <c r="BT39" s="290"/>
      <c r="BU39" s="291"/>
      <c r="BV39" s="288"/>
      <c r="BW39" s="289"/>
      <c r="BX39" s="290"/>
      <c r="BY39" s="291"/>
      <c r="BZ39" s="288"/>
      <c r="CA39" s="289"/>
      <c r="CB39" s="290"/>
      <c r="CC39" s="291"/>
      <c r="CD39" s="288"/>
      <c r="CE39" s="289"/>
      <c r="CF39" s="290"/>
      <c r="CG39" s="291"/>
      <c r="CH39" s="288"/>
      <c r="CI39" s="289"/>
      <c r="CJ39" s="290"/>
      <c r="CK39" s="291"/>
      <c r="CL39" s="288"/>
      <c r="CM39" s="289"/>
      <c r="CN39" s="290"/>
      <c r="CO39" s="291"/>
      <c r="CP39" s="288"/>
      <c r="CQ39" s="289"/>
      <c r="CR39" s="290"/>
      <c r="CS39" s="291"/>
      <c r="CT39" s="288"/>
      <c r="CU39" s="289"/>
      <c r="CV39" s="290"/>
      <c r="CW39" s="291"/>
      <c r="CX39" s="288"/>
      <c r="CY39" s="289"/>
      <c r="CZ39" s="290"/>
      <c r="DA39" s="291"/>
      <c r="DB39" s="288"/>
      <c r="DC39" s="289"/>
      <c r="DD39" s="290"/>
      <c r="DE39" s="291"/>
      <c r="DF39" s="288"/>
      <c r="DG39" s="289"/>
      <c r="DH39" s="290"/>
      <c r="DI39" s="291"/>
      <c r="DJ39" s="288"/>
      <c r="DK39" s="289"/>
      <c r="DL39" s="290"/>
      <c r="DM39" s="291"/>
      <c r="DN39" s="288"/>
      <c r="DO39" s="289"/>
      <c r="DP39" s="290"/>
      <c r="DQ39" s="291"/>
      <c r="DR39" s="288"/>
      <c r="DS39" s="289"/>
      <c r="DT39" s="290"/>
      <c r="DU39" s="291"/>
      <c r="DV39" s="288"/>
      <c r="DW39" s="289"/>
      <c r="DX39" s="290"/>
      <c r="DY39" s="291"/>
      <c r="DZ39" s="288"/>
      <c r="EA39" s="289"/>
      <c r="EB39" s="290"/>
      <c r="EC39" s="291"/>
    </row>
    <row x14ac:dyDescent="0.25" r="40" customHeight="1" ht="17.25">
      <c r="A40" s="1"/>
      <c r="B40" s="288">
        <v>34</v>
      </c>
      <c r="C40" s="289">
        <v>31</v>
      </c>
      <c r="D40" s="290">
        <v>34</v>
      </c>
      <c r="E40" s="291">
        <v>35</v>
      </c>
      <c r="F40" s="288"/>
      <c r="G40" s="289"/>
      <c r="H40" s="290">
        <v>34</v>
      </c>
      <c r="I40" s="291">
        <v>29</v>
      </c>
      <c r="J40" s="288">
        <v>34</v>
      </c>
      <c r="K40" s="289">
        <v>12</v>
      </c>
      <c r="L40" s="290"/>
      <c r="M40" s="291"/>
      <c r="N40" s="288"/>
      <c r="O40" s="289"/>
      <c r="P40" s="290"/>
      <c r="Q40" s="291"/>
      <c r="R40" s="288"/>
      <c r="S40" s="289"/>
      <c r="T40" s="290"/>
      <c r="U40" s="291"/>
      <c r="V40" s="288"/>
      <c r="W40" s="289"/>
      <c r="X40" s="290"/>
      <c r="Y40" s="291"/>
      <c r="Z40" s="288"/>
      <c r="AA40" s="289"/>
      <c r="AB40" s="290">
        <v>34</v>
      </c>
      <c r="AC40" s="291">
        <v>33</v>
      </c>
      <c r="AD40" s="288"/>
      <c r="AE40" s="289"/>
      <c r="AF40" s="290"/>
      <c r="AG40" s="291"/>
      <c r="AH40" s="288"/>
      <c r="AI40" s="289"/>
      <c r="AJ40" s="290">
        <v>34</v>
      </c>
      <c r="AK40" s="291">
        <v>37</v>
      </c>
      <c r="AL40" s="288">
        <v>34</v>
      </c>
      <c r="AM40" s="289">
        <v>22</v>
      </c>
      <c r="AN40" s="290"/>
      <c r="AO40" s="291"/>
      <c r="AP40" s="288"/>
      <c r="AQ40" s="289"/>
      <c r="AR40" s="290"/>
      <c r="AS40" s="291"/>
      <c r="AT40" s="288">
        <v>34</v>
      </c>
      <c r="AU40" s="289">
        <v>17</v>
      </c>
      <c r="AV40" s="290">
        <v>34</v>
      </c>
      <c r="AW40" s="291">
        <v>22</v>
      </c>
      <c r="AX40" s="288"/>
      <c r="AY40" s="289"/>
      <c r="AZ40" s="290">
        <v>34</v>
      </c>
      <c r="BA40" s="291">
        <v>31</v>
      </c>
      <c r="BB40" s="288"/>
      <c r="BC40" s="289"/>
      <c r="BD40" s="290"/>
      <c r="BE40" s="291"/>
      <c r="BF40" s="288"/>
      <c r="BG40" s="289"/>
      <c r="BH40" s="290"/>
      <c r="BI40" s="291"/>
      <c r="BJ40" s="288"/>
      <c r="BK40" s="289"/>
      <c r="BL40" s="290"/>
      <c r="BM40" s="291"/>
      <c r="BN40" s="288"/>
      <c r="BO40" s="289"/>
      <c r="BP40" s="290"/>
      <c r="BQ40" s="291"/>
      <c r="BR40" s="288"/>
      <c r="BS40" s="289"/>
      <c r="BT40" s="290"/>
      <c r="BU40" s="291"/>
      <c r="BV40" s="288"/>
      <c r="BW40" s="289"/>
      <c r="BX40" s="290"/>
      <c r="BY40" s="291"/>
      <c r="BZ40" s="288"/>
      <c r="CA40" s="289"/>
      <c r="CB40" s="290"/>
      <c r="CC40" s="291"/>
      <c r="CD40" s="288"/>
      <c r="CE40" s="289"/>
      <c r="CF40" s="290"/>
      <c r="CG40" s="291"/>
      <c r="CH40" s="288"/>
      <c r="CI40" s="289"/>
      <c r="CJ40" s="290"/>
      <c r="CK40" s="291"/>
      <c r="CL40" s="288"/>
      <c r="CM40" s="289"/>
      <c r="CN40" s="290"/>
      <c r="CO40" s="291"/>
      <c r="CP40" s="288"/>
      <c r="CQ40" s="289"/>
      <c r="CR40" s="290"/>
      <c r="CS40" s="291"/>
      <c r="CT40" s="288"/>
      <c r="CU40" s="289"/>
      <c r="CV40" s="290"/>
      <c r="CW40" s="291"/>
      <c r="CX40" s="288"/>
      <c r="CY40" s="289"/>
      <c r="CZ40" s="290"/>
      <c r="DA40" s="291"/>
      <c r="DB40" s="288"/>
      <c r="DC40" s="289"/>
      <c r="DD40" s="290"/>
      <c r="DE40" s="291"/>
      <c r="DF40" s="288"/>
      <c r="DG40" s="289"/>
      <c r="DH40" s="290"/>
      <c r="DI40" s="291"/>
      <c r="DJ40" s="288"/>
      <c r="DK40" s="289"/>
      <c r="DL40" s="290"/>
      <c r="DM40" s="291"/>
      <c r="DN40" s="288"/>
      <c r="DO40" s="289"/>
      <c r="DP40" s="290"/>
      <c r="DQ40" s="291"/>
      <c r="DR40" s="288"/>
      <c r="DS40" s="289"/>
      <c r="DT40" s="290"/>
      <c r="DU40" s="291"/>
      <c r="DV40" s="288"/>
      <c r="DW40" s="289"/>
      <c r="DX40" s="290"/>
      <c r="DY40" s="291"/>
      <c r="DZ40" s="288"/>
      <c r="EA40" s="289"/>
      <c r="EB40" s="290"/>
      <c r="EC40" s="291"/>
    </row>
    <row x14ac:dyDescent="0.25" r="41" customHeight="1" ht="17.25">
      <c r="A41" s="1"/>
      <c r="B41" s="288">
        <v>35</v>
      </c>
      <c r="C41" s="289">
        <v>29</v>
      </c>
      <c r="D41" s="290">
        <v>35</v>
      </c>
      <c r="E41" s="291">
        <v>35</v>
      </c>
      <c r="F41" s="288"/>
      <c r="G41" s="289"/>
      <c r="H41" s="290">
        <v>35</v>
      </c>
      <c r="I41" s="291">
        <v>34</v>
      </c>
      <c r="J41" s="288"/>
      <c r="K41" s="289"/>
      <c r="L41" s="290"/>
      <c r="M41" s="291"/>
      <c r="N41" s="288"/>
      <c r="O41" s="289"/>
      <c r="P41" s="290"/>
      <c r="Q41" s="291"/>
      <c r="R41" s="288"/>
      <c r="S41" s="289"/>
      <c r="T41" s="290"/>
      <c r="U41" s="291"/>
      <c r="V41" s="288"/>
      <c r="W41" s="289"/>
      <c r="X41" s="290"/>
      <c r="Y41" s="291"/>
      <c r="Z41" s="288"/>
      <c r="AA41" s="289"/>
      <c r="AB41" s="290">
        <v>35</v>
      </c>
      <c r="AC41" s="291">
        <v>27</v>
      </c>
      <c r="AD41" s="288"/>
      <c r="AE41" s="289"/>
      <c r="AF41" s="290"/>
      <c r="AG41" s="291"/>
      <c r="AH41" s="288"/>
      <c r="AI41" s="289"/>
      <c r="AJ41" s="290">
        <v>35</v>
      </c>
      <c r="AK41" s="291">
        <v>16</v>
      </c>
      <c r="AL41" s="288">
        <v>35</v>
      </c>
      <c r="AM41" s="289">
        <v>28</v>
      </c>
      <c r="AN41" s="290"/>
      <c r="AO41" s="291"/>
      <c r="AP41" s="288"/>
      <c r="AQ41" s="289"/>
      <c r="AR41" s="290"/>
      <c r="AS41" s="291"/>
      <c r="AT41" s="288">
        <v>35</v>
      </c>
      <c r="AU41" s="289">
        <v>10</v>
      </c>
      <c r="AV41" s="290">
        <v>35</v>
      </c>
      <c r="AW41" s="291">
        <v>19</v>
      </c>
      <c r="AX41" s="288"/>
      <c r="AY41" s="289"/>
      <c r="AZ41" s="290">
        <v>35</v>
      </c>
      <c r="BA41" s="291">
        <v>15</v>
      </c>
      <c r="BB41" s="288"/>
      <c r="BC41" s="289"/>
      <c r="BD41" s="290"/>
      <c r="BE41" s="291"/>
      <c r="BF41" s="288"/>
      <c r="BG41" s="289"/>
      <c r="BH41" s="290"/>
      <c r="BI41" s="291"/>
      <c r="BJ41" s="288"/>
      <c r="BK41" s="289"/>
      <c r="BL41" s="290"/>
      <c r="BM41" s="291"/>
      <c r="BN41" s="288"/>
      <c r="BO41" s="289"/>
      <c r="BP41" s="290"/>
      <c r="BQ41" s="291"/>
      <c r="BR41" s="288"/>
      <c r="BS41" s="289"/>
      <c r="BT41" s="290"/>
      <c r="BU41" s="291"/>
      <c r="BV41" s="288"/>
      <c r="BW41" s="289"/>
      <c r="BX41" s="290"/>
      <c r="BY41" s="291"/>
      <c r="BZ41" s="288"/>
      <c r="CA41" s="289"/>
      <c r="CB41" s="290"/>
      <c r="CC41" s="291"/>
      <c r="CD41" s="288"/>
      <c r="CE41" s="289"/>
      <c r="CF41" s="290"/>
      <c r="CG41" s="291"/>
      <c r="CH41" s="288"/>
      <c r="CI41" s="289"/>
      <c r="CJ41" s="290"/>
      <c r="CK41" s="291"/>
      <c r="CL41" s="288"/>
      <c r="CM41" s="289"/>
      <c r="CN41" s="290"/>
      <c r="CO41" s="291"/>
      <c r="CP41" s="288"/>
      <c r="CQ41" s="289"/>
      <c r="CR41" s="290"/>
      <c r="CS41" s="291"/>
      <c r="CT41" s="288"/>
      <c r="CU41" s="289"/>
      <c r="CV41" s="290"/>
      <c r="CW41" s="291"/>
      <c r="CX41" s="288"/>
      <c r="CY41" s="289"/>
      <c r="CZ41" s="290"/>
      <c r="DA41" s="291"/>
      <c r="DB41" s="288"/>
      <c r="DC41" s="289"/>
      <c r="DD41" s="290"/>
      <c r="DE41" s="291"/>
      <c r="DF41" s="288"/>
      <c r="DG41" s="289"/>
      <c r="DH41" s="290"/>
      <c r="DI41" s="291"/>
      <c r="DJ41" s="288"/>
      <c r="DK41" s="289"/>
      <c r="DL41" s="290"/>
      <c r="DM41" s="291"/>
      <c r="DN41" s="288"/>
      <c r="DO41" s="289"/>
      <c r="DP41" s="290"/>
      <c r="DQ41" s="291"/>
      <c r="DR41" s="288"/>
      <c r="DS41" s="289"/>
      <c r="DT41" s="290"/>
      <c r="DU41" s="291"/>
      <c r="DV41" s="288"/>
      <c r="DW41" s="289"/>
      <c r="DX41" s="290"/>
      <c r="DY41" s="291"/>
      <c r="DZ41" s="288"/>
      <c r="EA41" s="289"/>
      <c r="EB41" s="290"/>
      <c r="EC41" s="291"/>
    </row>
    <row x14ac:dyDescent="0.25" r="42" customHeight="1" ht="17.25">
      <c r="A42" s="1"/>
      <c r="B42" s="288">
        <v>36</v>
      </c>
      <c r="C42" s="289">
        <v>43</v>
      </c>
      <c r="D42" s="290">
        <v>36</v>
      </c>
      <c r="E42" s="291">
        <v>38</v>
      </c>
      <c r="F42" s="288"/>
      <c r="G42" s="289"/>
      <c r="H42" s="290">
        <v>36</v>
      </c>
      <c r="I42" s="291">
        <v>13</v>
      </c>
      <c r="J42" s="288"/>
      <c r="K42" s="289"/>
      <c r="L42" s="290"/>
      <c r="M42" s="291"/>
      <c r="N42" s="288"/>
      <c r="O42" s="289"/>
      <c r="P42" s="290"/>
      <c r="Q42" s="291"/>
      <c r="R42" s="288"/>
      <c r="S42" s="289"/>
      <c r="T42" s="290"/>
      <c r="U42" s="291"/>
      <c r="V42" s="288"/>
      <c r="W42" s="289"/>
      <c r="X42" s="290"/>
      <c r="Y42" s="291"/>
      <c r="Z42" s="288"/>
      <c r="AA42" s="289"/>
      <c r="AB42" s="290">
        <v>36</v>
      </c>
      <c r="AC42" s="291">
        <v>23</v>
      </c>
      <c r="AD42" s="288"/>
      <c r="AE42" s="289"/>
      <c r="AF42" s="290"/>
      <c r="AG42" s="291"/>
      <c r="AH42" s="288"/>
      <c r="AI42" s="289"/>
      <c r="AJ42" s="290">
        <v>36</v>
      </c>
      <c r="AK42" s="291">
        <v>33</v>
      </c>
      <c r="AL42" s="288">
        <v>36</v>
      </c>
      <c r="AM42" s="289">
        <v>12</v>
      </c>
      <c r="AN42" s="290"/>
      <c r="AO42" s="291"/>
      <c r="AP42" s="288"/>
      <c r="AQ42" s="289"/>
      <c r="AR42" s="290"/>
      <c r="AS42" s="291"/>
      <c r="AT42" s="288">
        <v>36</v>
      </c>
      <c r="AU42" s="289">
        <v>22</v>
      </c>
      <c r="AV42" s="290">
        <v>36</v>
      </c>
      <c r="AW42" s="291">
        <v>32</v>
      </c>
      <c r="AX42" s="288"/>
      <c r="AY42" s="289"/>
      <c r="AZ42" s="290">
        <v>36</v>
      </c>
      <c r="BA42" s="291">
        <v>38</v>
      </c>
      <c r="BB42" s="288"/>
      <c r="BC42" s="289"/>
      <c r="BD42" s="290"/>
      <c r="BE42" s="291"/>
      <c r="BF42" s="288"/>
      <c r="BG42" s="289"/>
      <c r="BH42" s="290"/>
      <c r="BI42" s="291"/>
      <c r="BJ42" s="288"/>
      <c r="BK42" s="289"/>
      <c r="BL42" s="290"/>
      <c r="BM42" s="291"/>
      <c r="BN42" s="288"/>
      <c r="BO42" s="289"/>
      <c r="BP42" s="290"/>
      <c r="BQ42" s="291"/>
      <c r="BR42" s="288"/>
      <c r="BS42" s="289"/>
      <c r="BT42" s="290"/>
      <c r="BU42" s="291"/>
      <c r="BV42" s="288"/>
      <c r="BW42" s="289"/>
      <c r="BX42" s="290"/>
      <c r="BY42" s="291"/>
      <c r="BZ42" s="288"/>
      <c r="CA42" s="289"/>
      <c r="CB42" s="290"/>
      <c r="CC42" s="291"/>
      <c r="CD42" s="288"/>
      <c r="CE42" s="289"/>
      <c r="CF42" s="290"/>
      <c r="CG42" s="291"/>
      <c r="CH42" s="288"/>
      <c r="CI42" s="289"/>
      <c r="CJ42" s="290"/>
      <c r="CK42" s="291"/>
      <c r="CL42" s="288"/>
      <c r="CM42" s="289"/>
      <c r="CN42" s="290"/>
      <c r="CO42" s="291"/>
      <c r="CP42" s="288"/>
      <c r="CQ42" s="289"/>
      <c r="CR42" s="290"/>
      <c r="CS42" s="291"/>
      <c r="CT42" s="288"/>
      <c r="CU42" s="289"/>
      <c r="CV42" s="290"/>
      <c r="CW42" s="291"/>
      <c r="CX42" s="288"/>
      <c r="CY42" s="289"/>
      <c r="CZ42" s="290"/>
      <c r="DA42" s="291"/>
      <c r="DB42" s="288"/>
      <c r="DC42" s="289"/>
      <c r="DD42" s="290"/>
      <c r="DE42" s="291"/>
      <c r="DF42" s="288"/>
      <c r="DG42" s="289"/>
      <c r="DH42" s="290"/>
      <c r="DI42" s="291"/>
      <c r="DJ42" s="288"/>
      <c r="DK42" s="289"/>
      <c r="DL42" s="290"/>
      <c r="DM42" s="291"/>
      <c r="DN42" s="288"/>
      <c r="DO42" s="289"/>
      <c r="DP42" s="290"/>
      <c r="DQ42" s="291"/>
      <c r="DR42" s="288"/>
      <c r="DS42" s="289"/>
      <c r="DT42" s="290"/>
      <c r="DU42" s="291"/>
      <c r="DV42" s="288"/>
      <c r="DW42" s="289"/>
      <c r="DX42" s="290"/>
      <c r="DY42" s="291"/>
      <c r="DZ42" s="288"/>
      <c r="EA42" s="289"/>
      <c r="EB42" s="290"/>
      <c r="EC42" s="291"/>
    </row>
    <row x14ac:dyDescent="0.25" r="43" customHeight="1" ht="17.25">
      <c r="A43" s="1"/>
      <c r="B43" s="288">
        <v>37</v>
      </c>
      <c r="C43" s="289">
        <v>36</v>
      </c>
      <c r="D43" s="290">
        <v>37</v>
      </c>
      <c r="E43" s="291">
        <v>29</v>
      </c>
      <c r="F43" s="288"/>
      <c r="G43" s="289"/>
      <c r="H43" s="290"/>
      <c r="I43" s="291"/>
      <c r="J43" s="288"/>
      <c r="K43" s="289"/>
      <c r="L43" s="290"/>
      <c r="M43" s="291"/>
      <c r="N43" s="288"/>
      <c r="O43" s="289"/>
      <c r="P43" s="290"/>
      <c r="Q43" s="291"/>
      <c r="R43" s="288"/>
      <c r="S43" s="289"/>
      <c r="T43" s="290"/>
      <c r="U43" s="291"/>
      <c r="V43" s="288"/>
      <c r="W43" s="289"/>
      <c r="X43" s="290"/>
      <c r="Y43" s="291"/>
      <c r="Z43" s="288"/>
      <c r="AA43" s="289"/>
      <c r="AB43" s="290"/>
      <c r="AC43" s="291"/>
      <c r="AD43" s="288"/>
      <c r="AE43" s="289"/>
      <c r="AF43" s="290"/>
      <c r="AG43" s="291"/>
      <c r="AH43" s="288"/>
      <c r="AI43" s="289"/>
      <c r="AJ43" s="290">
        <v>37</v>
      </c>
      <c r="AK43" s="291">
        <v>24</v>
      </c>
      <c r="AL43" s="288">
        <v>37</v>
      </c>
      <c r="AM43" s="289">
        <v>40</v>
      </c>
      <c r="AN43" s="290"/>
      <c r="AO43" s="291"/>
      <c r="AP43" s="288"/>
      <c r="AQ43" s="289"/>
      <c r="AR43" s="290"/>
      <c r="AS43" s="291"/>
      <c r="AT43" s="288">
        <v>37</v>
      </c>
      <c r="AU43" s="289">
        <v>38</v>
      </c>
      <c r="AV43" s="290">
        <v>37</v>
      </c>
      <c r="AW43" s="291">
        <v>21</v>
      </c>
      <c r="AX43" s="288"/>
      <c r="AY43" s="289"/>
      <c r="AZ43" s="290">
        <v>37</v>
      </c>
      <c r="BA43" s="291">
        <v>28</v>
      </c>
      <c r="BB43" s="288"/>
      <c r="BC43" s="289"/>
      <c r="BD43" s="290"/>
      <c r="BE43" s="291"/>
      <c r="BF43" s="288"/>
      <c r="BG43" s="289"/>
      <c r="BH43" s="290"/>
      <c r="BI43" s="291"/>
      <c r="BJ43" s="288"/>
      <c r="BK43" s="289"/>
      <c r="BL43" s="290"/>
      <c r="BM43" s="291"/>
      <c r="BN43" s="288"/>
      <c r="BO43" s="289"/>
      <c r="BP43" s="290"/>
      <c r="BQ43" s="291"/>
      <c r="BR43" s="288"/>
      <c r="BS43" s="289"/>
      <c r="BT43" s="290"/>
      <c r="BU43" s="291"/>
      <c r="BV43" s="288"/>
      <c r="BW43" s="289"/>
      <c r="BX43" s="290"/>
      <c r="BY43" s="291"/>
      <c r="BZ43" s="288"/>
      <c r="CA43" s="289"/>
      <c r="CB43" s="290"/>
      <c r="CC43" s="291"/>
      <c r="CD43" s="288"/>
      <c r="CE43" s="289"/>
      <c r="CF43" s="290"/>
      <c r="CG43" s="291"/>
      <c r="CH43" s="288"/>
      <c r="CI43" s="289"/>
      <c r="CJ43" s="290"/>
      <c r="CK43" s="291"/>
      <c r="CL43" s="288"/>
      <c r="CM43" s="289"/>
      <c r="CN43" s="290"/>
      <c r="CO43" s="291"/>
      <c r="CP43" s="288"/>
      <c r="CQ43" s="289"/>
      <c r="CR43" s="290"/>
      <c r="CS43" s="291"/>
      <c r="CT43" s="288"/>
      <c r="CU43" s="289"/>
      <c r="CV43" s="290"/>
      <c r="CW43" s="291"/>
      <c r="CX43" s="288"/>
      <c r="CY43" s="289"/>
      <c r="CZ43" s="290"/>
      <c r="DA43" s="291"/>
      <c r="DB43" s="288"/>
      <c r="DC43" s="289"/>
      <c r="DD43" s="290"/>
      <c r="DE43" s="291"/>
      <c r="DF43" s="288"/>
      <c r="DG43" s="289"/>
      <c r="DH43" s="290"/>
      <c r="DI43" s="291"/>
      <c r="DJ43" s="288"/>
      <c r="DK43" s="289"/>
      <c r="DL43" s="290"/>
      <c r="DM43" s="291"/>
      <c r="DN43" s="288"/>
      <c r="DO43" s="289"/>
      <c r="DP43" s="290"/>
      <c r="DQ43" s="291"/>
      <c r="DR43" s="288"/>
      <c r="DS43" s="289"/>
      <c r="DT43" s="290"/>
      <c r="DU43" s="291"/>
      <c r="DV43" s="288"/>
      <c r="DW43" s="289"/>
      <c r="DX43" s="290"/>
      <c r="DY43" s="291"/>
      <c r="DZ43" s="288"/>
      <c r="EA43" s="289"/>
      <c r="EB43" s="290"/>
      <c r="EC43" s="291"/>
    </row>
    <row x14ac:dyDescent="0.25" r="44" customHeight="1" ht="17.25">
      <c r="A44" s="1"/>
      <c r="B44" s="288">
        <v>38</v>
      </c>
      <c r="C44" s="289">
        <v>30</v>
      </c>
      <c r="D44" s="290">
        <v>38</v>
      </c>
      <c r="E44" s="291">
        <v>31</v>
      </c>
      <c r="F44" s="288"/>
      <c r="G44" s="289"/>
      <c r="H44" s="290"/>
      <c r="I44" s="291"/>
      <c r="J44" s="288"/>
      <c r="K44" s="289"/>
      <c r="L44" s="290"/>
      <c r="M44" s="291"/>
      <c r="N44" s="288"/>
      <c r="O44" s="289"/>
      <c r="P44" s="290"/>
      <c r="Q44" s="291"/>
      <c r="R44" s="288"/>
      <c r="S44" s="289"/>
      <c r="T44" s="290"/>
      <c r="U44" s="291"/>
      <c r="V44" s="288"/>
      <c r="W44" s="289"/>
      <c r="X44" s="290"/>
      <c r="Y44" s="291"/>
      <c r="Z44" s="288"/>
      <c r="AA44" s="289"/>
      <c r="AB44" s="290"/>
      <c r="AC44" s="291"/>
      <c r="AD44" s="288"/>
      <c r="AE44" s="289"/>
      <c r="AF44" s="290"/>
      <c r="AG44" s="291"/>
      <c r="AH44" s="288"/>
      <c r="AI44" s="289"/>
      <c r="AJ44" s="290">
        <v>38</v>
      </c>
      <c r="AK44" s="291">
        <v>41</v>
      </c>
      <c r="AL44" s="288">
        <v>38</v>
      </c>
      <c r="AM44" s="289">
        <v>22</v>
      </c>
      <c r="AN44" s="290"/>
      <c r="AO44" s="291"/>
      <c r="AP44" s="288"/>
      <c r="AQ44" s="289"/>
      <c r="AR44" s="290"/>
      <c r="AS44" s="291"/>
      <c r="AT44" s="288">
        <v>38</v>
      </c>
      <c r="AU44" s="289">
        <v>22</v>
      </c>
      <c r="AV44" s="290">
        <v>38</v>
      </c>
      <c r="AW44" s="291">
        <v>28</v>
      </c>
      <c r="AX44" s="288"/>
      <c r="AY44" s="289"/>
      <c r="AZ44" s="290">
        <v>38</v>
      </c>
      <c r="BA44" s="291">
        <v>23</v>
      </c>
      <c r="BB44" s="288"/>
      <c r="BC44" s="289"/>
      <c r="BD44" s="290"/>
      <c r="BE44" s="291"/>
      <c r="BF44" s="288"/>
      <c r="BG44" s="289"/>
      <c r="BH44" s="290"/>
      <c r="BI44" s="291"/>
      <c r="BJ44" s="288"/>
      <c r="BK44" s="289"/>
      <c r="BL44" s="290"/>
      <c r="BM44" s="291"/>
      <c r="BN44" s="288"/>
      <c r="BO44" s="289"/>
      <c r="BP44" s="290"/>
      <c r="BQ44" s="291"/>
      <c r="BR44" s="288"/>
      <c r="BS44" s="289"/>
      <c r="BT44" s="290"/>
      <c r="BU44" s="291"/>
      <c r="BV44" s="288"/>
      <c r="BW44" s="289"/>
      <c r="BX44" s="290"/>
      <c r="BY44" s="291"/>
      <c r="BZ44" s="288"/>
      <c r="CA44" s="289"/>
      <c r="CB44" s="290"/>
      <c r="CC44" s="291"/>
      <c r="CD44" s="288"/>
      <c r="CE44" s="289"/>
      <c r="CF44" s="290"/>
      <c r="CG44" s="291"/>
      <c r="CH44" s="288"/>
      <c r="CI44" s="289"/>
      <c r="CJ44" s="290"/>
      <c r="CK44" s="291"/>
      <c r="CL44" s="288"/>
      <c r="CM44" s="289"/>
      <c r="CN44" s="290"/>
      <c r="CO44" s="291"/>
      <c r="CP44" s="288"/>
      <c r="CQ44" s="289"/>
      <c r="CR44" s="290"/>
      <c r="CS44" s="291"/>
      <c r="CT44" s="288"/>
      <c r="CU44" s="289"/>
      <c r="CV44" s="290"/>
      <c r="CW44" s="291"/>
      <c r="CX44" s="288"/>
      <c r="CY44" s="289"/>
      <c r="CZ44" s="290"/>
      <c r="DA44" s="291"/>
      <c r="DB44" s="288"/>
      <c r="DC44" s="289"/>
      <c r="DD44" s="290"/>
      <c r="DE44" s="291"/>
      <c r="DF44" s="288"/>
      <c r="DG44" s="289"/>
      <c r="DH44" s="290"/>
      <c r="DI44" s="291"/>
      <c r="DJ44" s="288"/>
      <c r="DK44" s="289"/>
      <c r="DL44" s="290"/>
      <c r="DM44" s="291"/>
      <c r="DN44" s="288"/>
      <c r="DO44" s="289"/>
      <c r="DP44" s="290"/>
      <c r="DQ44" s="291"/>
      <c r="DR44" s="288"/>
      <c r="DS44" s="289"/>
      <c r="DT44" s="290"/>
      <c r="DU44" s="291"/>
      <c r="DV44" s="288"/>
      <c r="DW44" s="289"/>
      <c r="DX44" s="290"/>
      <c r="DY44" s="291"/>
      <c r="DZ44" s="288"/>
      <c r="EA44" s="289"/>
      <c r="EB44" s="290"/>
      <c r="EC44" s="291"/>
    </row>
    <row x14ac:dyDescent="0.25" r="45" customHeight="1" ht="17.25">
      <c r="A45" s="1"/>
      <c r="B45" s="288">
        <v>39</v>
      </c>
      <c r="C45" s="289">
        <v>23</v>
      </c>
      <c r="D45" s="290">
        <v>39</v>
      </c>
      <c r="E45" s="291">
        <v>43</v>
      </c>
      <c r="F45" s="288"/>
      <c r="G45" s="289"/>
      <c r="H45" s="290"/>
      <c r="I45" s="291"/>
      <c r="J45" s="288"/>
      <c r="K45" s="289"/>
      <c r="L45" s="290"/>
      <c r="M45" s="291"/>
      <c r="N45" s="288"/>
      <c r="O45" s="289"/>
      <c r="P45" s="290"/>
      <c r="Q45" s="291"/>
      <c r="R45" s="288"/>
      <c r="S45" s="289"/>
      <c r="T45" s="290"/>
      <c r="U45" s="291"/>
      <c r="V45" s="288"/>
      <c r="W45" s="289"/>
      <c r="X45" s="290"/>
      <c r="Y45" s="291"/>
      <c r="Z45" s="288"/>
      <c r="AA45" s="289"/>
      <c r="AB45" s="290"/>
      <c r="AC45" s="291"/>
      <c r="AD45" s="288"/>
      <c r="AE45" s="289"/>
      <c r="AF45" s="290"/>
      <c r="AG45" s="291"/>
      <c r="AH45" s="288"/>
      <c r="AI45" s="289"/>
      <c r="AJ45" s="290">
        <v>39</v>
      </c>
      <c r="AK45" s="291">
        <v>30</v>
      </c>
      <c r="AL45" s="288">
        <v>39</v>
      </c>
      <c r="AM45" s="289">
        <v>13</v>
      </c>
      <c r="AN45" s="290"/>
      <c r="AO45" s="291"/>
      <c r="AP45" s="288"/>
      <c r="AQ45" s="289"/>
      <c r="AR45" s="290"/>
      <c r="AS45" s="291"/>
      <c r="AT45" s="288">
        <v>39</v>
      </c>
      <c r="AU45" s="289">
        <v>8</v>
      </c>
      <c r="AV45" s="290">
        <v>39</v>
      </c>
      <c r="AW45" s="291">
        <v>18</v>
      </c>
      <c r="AX45" s="288"/>
      <c r="AY45" s="289"/>
      <c r="AZ45" s="290">
        <v>39</v>
      </c>
      <c r="BA45" s="291">
        <v>29</v>
      </c>
      <c r="BB45" s="288"/>
      <c r="BC45" s="289"/>
      <c r="BD45" s="290"/>
      <c r="BE45" s="291"/>
      <c r="BF45" s="288"/>
      <c r="BG45" s="289"/>
      <c r="BH45" s="290"/>
      <c r="BI45" s="291"/>
      <c r="BJ45" s="288"/>
      <c r="BK45" s="289"/>
      <c r="BL45" s="290"/>
      <c r="BM45" s="291"/>
      <c r="BN45" s="288"/>
      <c r="BO45" s="289"/>
      <c r="BP45" s="290"/>
      <c r="BQ45" s="291"/>
      <c r="BR45" s="288"/>
      <c r="BS45" s="289"/>
      <c r="BT45" s="290"/>
      <c r="BU45" s="291"/>
      <c r="BV45" s="288"/>
      <c r="BW45" s="289"/>
      <c r="BX45" s="290"/>
      <c r="BY45" s="291"/>
      <c r="BZ45" s="288"/>
      <c r="CA45" s="289"/>
      <c r="CB45" s="290"/>
      <c r="CC45" s="291"/>
      <c r="CD45" s="288"/>
      <c r="CE45" s="289"/>
      <c r="CF45" s="290"/>
      <c r="CG45" s="291"/>
      <c r="CH45" s="288"/>
      <c r="CI45" s="289"/>
      <c r="CJ45" s="290"/>
      <c r="CK45" s="291"/>
      <c r="CL45" s="288"/>
      <c r="CM45" s="289"/>
      <c r="CN45" s="290"/>
      <c r="CO45" s="291"/>
      <c r="CP45" s="288"/>
      <c r="CQ45" s="289"/>
      <c r="CR45" s="290"/>
      <c r="CS45" s="291"/>
      <c r="CT45" s="288"/>
      <c r="CU45" s="289"/>
      <c r="CV45" s="290"/>
      <c r="CW45" s="291"/>
      <c r="CX45" s="288"/>
      <c r="CY45" s="289"/>
      <c r="CZ45" s="290"/>
      <c r="DA45" s="291"/>
      <c r="DB45" s="288"/>
      <c r="DC45" s="289"/>
      <c r="DD45" s="290"/>
      <c r="DE45" s="291"/>
      <c r="DF45" s="288"/>
      <c r="DG45" s="289"/>
      <c r="DH45" s="290"/>
      <c r="DI45" s="291"/>
      <c r="DJ45" s="288"/>
      <c r="DK45" s="289"/>
      <c r="DL45" s="290"/>
      <c r="DM45" s="291"/>
      <c r="DN45" s="288"/>
      <c r="DO45" s="289"/>
      <c r="DP45" s="290"/>
      <c r="DQ45" s="291"/>
      <c r="DR45" s="288"/>
      <c r="DS45" s="289"/>
      <c r="DT45" s="290"/>
      <c r="DU45" s="291"/>
      <c r="DV45" s="288"/>
      <c r="DW45" s="289"/>
      <c r="DX45" s="290"/>
      <c r="DY45" s="291"/>
      <c r="DZ45" s="288"/>
      <c r="EA45" s="289"/>
      <c r="EB45" s="290"/>
      <c r="EC45" s="291"/>
    </row>
    <row x14ac:dyDescent="0.25" r="46" customHeight="1" ht="17.25">
      <c r="A46" s="1"/>
      <c r="B46" s="288">
        <v>40</v>
      </c>
      <c r="C46" s="289">
        <v>23</v>
      </c>
      <c r="D46" s="290">
        <v>40</v>
      </c>
      <c r="E46" s="291">
        <v>38</v>
      </c>
      <c r="F46" s="288"/>
      <c r="G46" s="289"/>
      <c r="H46" s="290"/>
      <c r="I46" s="291"/>
      <c r="J46" s="288"/>
      <c r="K46" s="289"/>
      <c r="L46" s="290"/>
      <c r="M46" s="291"/>
      <c r="N46" s="288"/>
      <c r="O46" s="289"/>
      <c r="P46" s="290"/>
      <c r="Q46" s="291"/>
      <c r="R46" s="288"/>
      <c r="S46" s="289"/>
      <c r="T46" s="290"/>
      <c r="U46" s="291"/>
      <c r="V46" s="288"/>
      <c r="W46" s="289"/>
      <c r="X46" s="290"/>
      <c r="Y46" s="291"/>
      <c r="Z46" s="288"/>
      <c r="AA46" s="289"/>
      <c r="AB46" s="290"/>
      <c r="AC46" s="291"/>
      <c r="AD46" s="288"/>
      <c r="AE46" s="289"/>
      <c r="AF46" s="290"/>
      <c r="AG46" s="291"/>
      <c r="AH46" s="288"/>
      <c r="AI46" s="289"/>
      <c r="AJ46" s="290">
        <v>40</v>
      </c>
      <c r="AK46" s="291">
        <v>24</v>
      </c>
      <c r="AL46" s="288">
        <v>40</v>
      </c>
      <c r="AM46" s="289">
        <v>17</v>
      </c>
      <c r="AN46" s="290"/>
      <c r="AO46" s="291"/>
      <c r="AP46" s="288"/>
      <c r="AQ46" s="289"/>
      <c r="AR46" s="290"/>
      <c r="AS46" s="291"/>
      <c r="AT46" s="288">
        <v>40</v>
      </c>
      <c r="AU46" s="289">
        <v>31</v>
      </c>
      <c r="AV46" s="290">
        <v>40</v>
      </c>
      <c r="AW46" s="291">
        <v>16</v>
      </c>
      <c r="AX46" s="288"/>
      <c r="AY46" s="289"/>
      <c r="AZ46" s="290">
        <v>40</v>
      </c>
      <c r="BA46" s="291">
        <v>49</v>
      </c>
      <c r="BB46" s="288"/>
      <c r="BC46" s="289"/>
      <c r="BD46" s="290"/>
      <c r="BE46" s="291"/>
      <c r="BF46" s="288"/>
      <c r="BG46" s="289"/>
      <c r="BH46" s="290"/>
      <c r="BI46" s="291"/>
      <c r="BJ46" s="288"/>
      <c r="BK46" s="289"/>
      <c r="BL46" s="290"/>
      <c r="BM46" s="291"/>
      <c r="BN46" s="288"/>
      <c r="BO46" s="289"/>
      <c r="BP46" s="290"/>
      <c r="BQ46" s="291"/>
      <c r="BR46" s="288"/>
      <c r="BS46" s="289"/>
      <c r="BT46" s="290"/>
      <c r="BU46" s="291"/>
      <c r="BV46" s="288"/>
      <c r="BW46" s="289"/>
      <c r="BX46" s="290"/>
      <c r="BY46" s="291"/>
      <c r="BZ46" s="288"/>
      <c r="CA46" s="289"/>
      <c r="CB46" s="290"/>
      <c r="CC46" s="291"/>
      <c r="CD46" s="288"/>
      <c r="CE46" s="289"/>
      <c r="CF46" s="290"/>
      <c r="CG46" s="291"/>
      <c r="CH46" s="288"/>
      <c r="CI46" s="289"/>
      <c r="CJ46" s="290"/>
      <c r="CK46" s="291"/>
      <c r="CL46" s="288"/>
      <c r="CM46" s="289"/>
      <c r="CN46" s="290"/>
      <c r="CO46" s="291"/>
      <c r="CP46" s="288"/>
      <c r="CQ46" s="289"/>
      <c r="CR46" s="290"/>
      <c r="CS46" s="291"/>
      <c r="CT46" s="288"/>
      <c r="CU46" s="289"/>
      <c r="CV46" s="290"/>
      <c r="CW46" s="291"/>
      <c r="CX46" s="288"/>
      <c r="CY46" s="289"/>
      <c r="CZ46" s="290"/>
      <c r="DA46" s="291"/>
      <c r="DB46" s="288"/>
      <c r="DC46" s="289"/>
      <c r="DD46" s="290"/>
      <c r="DE46" s="291"/>
      <c r="DF46" s="288"/>
      <c r="DG46" s="289"/>
      <c r="DH46" s="290"/>
      <c r="DI46" s="291"/>
      <c r="DJ46" s="288"/>
      <c r="DK46" s="289"/>
      <c r="DL46" s="290"/>
      <c r="DM46" s="291"/>
      <c r="DN46" s="288"/>
      <c r="DO46" s="289"/>
      <c r="DP46" s="290"/>
      <c r="DQ46" s="291"/>
      <c r="DR46" s="288"/>
      <c r="DS46" s="289"/>
      <c r="DT46" s="290"/>
      <c r="DU46" s="291"/>
      <c r="DV46" s="288"/>
      <c r="DW46" s="289"/>
      <c r="DX46" s="290"/>
      <c r="DY46" s="291"/>
      <c r="DZ46" s="288"/>
      <c r="EA46" s="289"/>
      <c r="EB46" s="290"/>
      <c r="EC46" s="291"/>
    </row>
    <row x14ac:dyDescent="0.25" r="47" customHeight="1" ht="17.25">
      <c r="A47" s="1"/>
      <c r="B47" s="288">
        <v>41</v>
      </c>
      <c r="C47" s="289">
        <v>57</v>
      </c>
      <c r="D47" s="290"/>
      <c r="E47" s="291"/>
      <c r="F47" s="288"/>
      <c r="G47" s="289"/>
      <c r="H47" s="290"/>
      <c r="I47" s="291"/>
      <c r="J47" s="288"/>
      <c r="K47" s="289"/>
      <c r="L47" s="290"/>
      <c r="M47" s="291"/>
      <c r="N47" s="288"/>
      <c r="O47" s="289"/>
      <c r="P47" s="290"/>
      <c r="Q47" s="291"/>
      <c r="R47" s="288"/>
      <c r="S47" s="289"/>
      <c r="T47" s="290"/>
      <c r="U47" s="291"/>
      <c r="V47" s="288"/>
      <c r="W47" s="289"/>
      <c r="X47" s="290"/>
      <c r="Y47" s="291"/>
      <c r="Z47" s="288"/>
      <c r="AA47" s="289"/>
      <c r="AB47" s="290"/>
      <c r="AC47" s="291"/>
      <c r="AD47" s="288"/>
      <c r="AE47" s="289"/>
      <c r="AF47" s="290"/>
      <c r="AG47" s="291"/>
      <c r="AH47" s="288"/>
      <c r="AI47" s="289"/>
      <c r="AJ47" s="290">
        <v>41</v>
      </c>
      <c r="AK47" s="291">
        <v>34</v>
      </c>
      <c r="AL47" s="288">
        <v>41</v>
      </c>
      <c r="AM47" s="289">
        <v>13</v>
      </c>
      <c r="AN47" s="290"/>
      <c r="AO47" s="291"/>
      <c r="AP47" s="288"/>
      <c r="AQ47" s="289"/>
      <c r="AR47" s="290"/>
      <c r="AS47" s="291"/>
      <c r="AT47" s="288">
        <v>41</v>
      </c>
      <c r="AU47" s="289">
        <v>29</v>
      </c>
      <c r="AV47" s="290">
        <v>41</v>
      </c>
      <c r="AW47" s="291">
        <v>18</v>
      </c>
      <c r="AX47" s="288"/>
      <c r="AY47" s="289"/>
      <c r="AZ47" s="290">
        <v>41</v>
      </c>
      <c r="BA47" s="291">
        <v>26</v>
      </c>
      <c r="BB47" s="288"/>
      <c r="BC47" s="289"/>
      <c r="BD47" s="290"/>
      <c r="BE47" s="291"/>
      <c r="BF47" s="288"/>
      <c r="BG47" s="289"/>
      <c r="BH47" s="290"/>
      <c r="BI47" s="291"/>
      <c r="BJ47" s="288"/>
      <c r="BK47" s="289"/>
      <c r="BL47" s="290"/>
      <c r="BM47" s="291"/>
      <c r="BN47" s="288"/>
      <c r="BO47" s="289"/>
      <c r="BP47" s="290"/>
      <c r="BQ47" s="291"/>
      <c r="BR47" s="288"/>
      <c r="BS47" s="289"/>
      <c r="BT47" s="290"/>
      <c r="BU47" s="291"/>
      <c r="BV47" s="288"/>
      <c r="BW47" s="289"/>
      <c r="BX47" s="290"/>
      <c r="BY47" s="291"/>
      <c r="BZ47" s="288"/>
      <c r="CA47" s="289"/>
      <c r="CB47" s="290"/>
      <c r="CC47" s="291"/>
      <c r="CD47" s="288"/>
      <c r="CE47" s="289"/>
      <c r="CF47" s="290"/>
      <c r="CG47" s="291"/>
      <c r="CH47" s="288"/>
      <c r="CI47" s="289"/>
      <c r="CJ47" s="290"/>
      <c r="CK47" s="291"/>
      <c r="CL47" s="288"/>
      <c r="CM47" s="289"/>
      <c r="CN47" s="290"/>
      <c r="CO47" s="291"/>
      <c r="CP47" s="288"/>
      <c r="CQ47" s="289"/>
      <c r="CR47" s="290"/>
      <c r="CS47" s="291"/>
      <c r="CT47" s="288"/>
      <c r="CU47" s="289"/>
      <c r="CV47" s="290"/>
      <c r="CW47" s="291"/>
      <c r="CX47" s="288"/>
      <c r="CY47" s="289"/>
      <c r="CZ47" s="290"/>
      <c r="DA47" s="291"/>
      <c r="DB47" s="288"/>
      <c r="DC47" s="289"/>
      <c r="DD47" s="290"/>
      <c r="DE47" s="291"/>
      <c r="DF47" s="288"/>
      <c r="DG47" s="289"/>
      <c r="DH47" s="290"/>
      <c r="DI47" s="291"/>
      <c r="DJ47" s="288"/>
      <c r="DK47" s="289"/>
      <c r="DL47" s="290"/>
      <c r="DM47" s="291"/>
      <c r="DN47" s="288"/>
      <c r="DO47" s="289"/>
      <c r="DP47" s="290"/>
      <c r="DQ47" s="291"/>
      <c r="DR47" s="288"/>
      <c r="DS47" s="289"/>
      <c r="DT47" s="290"/>
      <c r="DU47" s="291"/>
      <c r="DV47" s="288"/>
      <c r="DW47" s="289"/>
      <c r="DX47" s="290"/>
      <c r="DY47" s="291"/>
      <c r="DZ47" s="288"/>
      <c r="EA47" s="289"/>
      <c r="EB47" s="290"/>
      <c r="EC47" s="291"/>
    </row>
    <row x14ac:dyDescent="0.25" r="48" customHeight="1" ht="17.25">
      <c r="A48" s="1"/>
      <c r="B48" s="288">
        <v>42</v>
      </c>
      <c r="C48" s="289">
        <v>38</v>
      </c>
      <c r="D48" s="290"/>
      <c r="E48" s="291"/>
      <c r="F48" s="288"/>
      <c r="G48" s="289"/>
      <c r="H48" s="290"/>
      <c r="I48" s="291"/>
      <c r="J48" s="288"/>
      <c r="K48" s="289"/>
      <c r="L48" s="290"/>
      <c r="M48" s="291"/>
      <c r="N48" s="288"/>
      <c r="O48" s="289"/>
      <c r="P48" s="290"/>
      <c r="Q48" s="291"/>
      <c r="R48" s="288"/>
      <c r="S48" s="289"/>
      <c r="T48" s="290"/>
      <c r="U48" s="291"/>
      <c r="V48" s="288"/>
      <c r="W48" s="289"/>
      <c r="X48" s="290"/>
      <c r="Y48" s="291"/>
      <c r="Z48" s="288"/>
      <c r="AA48" s="289"/>
      <c r="AB48" s="290"/>
      <c r="AC48" s="291"/>
      <c r="AD48" s="288"/>
      <c r="AE48" s="289"/>
      <c r="AF48" s="290"/>
      <c r="AG48" s="291"/>
      <c r="AH48" s="288"/>
      <c r="AI48" s="289"/>
      <c r="AJ48" s="290">
        <v>42</v>
      </c>
      <c r="AK48" s="291">
        <v>17</v>
      </c>
      <c r="AL48" s="288">
        <v>42</v>
      </c>
      <c r="AM48" s="289">
        <v>11</v>
      </c>
      <c r="AN48" s="290"/>
      <c r="AO48" s="291"/>
      <c r="AP48" s="288"/>
      <c r="AQ48" s="289"/>
      <c r="AR48" s="290"/>
      <c r="AS48" s="291"/>
      <c r="AT48" s="288">
        <v>42</v>
      </c>
      <c r="AU48" s="289">
        <v>25</v>
      </c>
      <c r="AV48" s="290">
        <v>42</v>
      </c>
      <c r="AW48" s="291">
        <v>22</v>
      </c>
      <c r="AX48" s="288"/>
      <c r="AY48" s="289"/>
      <c r="AZ48" s="290">
        <v>42</v>
      </c>
      <c r="BA48" s="291">
        <v>20</v>
      </c>
      <c r="BB48" s="288"/>
      <c r="BC48" s="289"/>
      <c r="BD48" s="290"/>
      <c r="BE48" s="291"/>
      <c r="BF48" s="288"/>
      <c r="BG48" s="289"/>
      <c r="BH48" s="290"/>
      <c r="BI48" s="291"/>
      <c r="BJ48" s="288"/>
      <c r="BK48" s="289"/>
      <c r="BL48" s="290"/>
      <c r="BM48" s="291"/>
      <c r="BN48" s="288"/>
      <c r="BO48" s="289"/>
      <c r="BP48" s="290"/>
      <c r="BQ48" s="291"/>
      <c r="BR48" s="288"/>
      <c r="BS48" s="289"/>
      <c r="BT48" s="290"/>
      <c r="BU48" s="291"/>
      <c r="BV48" s="288"/>
      <c r="BW48" s="289"/>
      <c r="BX48" s="290"/>
      <c r="BY48" s="291"/>
      <c r="BZ48" s="288"/>
      <c r="CA48" s="289"/>
      <c r="CB48" s="290"/>
      <c r="CC48" s="291"/>
      <c r="CD48" s="288"/>
      <c r="CE48" s="289"/>
      <c r="CF48" s="290"/>
      <c r="CG48" s="291"/>
      <c r="CH48" s="288"/>
      <c r="CI48" s="289"/>
      <c r="CJ48" s="290"/>
      <c r="CK48" s="291"/>
      <c r="CL48" s="288"/>
      <c r="CM48" s="289"/>
      <c r="CN48" s="290"/>
      <c r="CO48" s="291"/>
      <c r="CP48" s="288"/>
      <c r="CQ48" s="289"/>
      <c r="CR48" s="290"/>
      <c r="CS48" s="291"/>
      <c r="CT48" s="288"/>
      <c r="CU48" s="289"/>
      <c r="CV48" s="290"/>
      <c r="CW48" s="291"/>
      <c r="CX48" s="288"/>
      <c r="CY48" s="289"/>
      <c r="CZ48" s="290"/>
      <c r="DA48" s="291"/>
      <c r="DB48" s="288"/>
      <c r="DC48" s="289"/>
      <c r="DD48" s="290"/>
      <c r="DE48" s="291"/>
      <c r="DF48" s="288"/>
      <c r="DG48" s="289"/>
      <c r="DH48" s="290"/>
      <c r="DI48" s="291"/>
      <c r="DJ48" s="288"/>
      <c r="DK48" s="289"/>
      <c r="DL48" s="290"/>
      <c r="DM48" s="291"/>
      <c r="DN48" s="288"/>
      <c r="DO48" s="289"/>
      <c r="DP48" s="290"/>
      <c r="DQ48" s="291"/>
      <c r="DR48" s="288"/>
      <c r="DS48" s="289"/>
      <c r="DT48" s="290"/>
      <c r="DU48" s="291"/>
      <c r="DV48" s="288"/>
      <c r="DW48" s="289"/>
      <c r="DX48" s="290"/>
      <c r="DY48" s="291"/>
      <c r="DZ48" s="288"/>
      <c r="EA48" s="289"/>
      <c r="EB48" s="290"/>
      <c r="EC48" s="291"/>
    </row>
    <row x14ac:dyDescent="0.25" r="49" customHeight="1" ht="17.25">
      <c r="A49" s="1"/>
      <c r="B49" s="288">
        <v>43</v>
      </c>
      <c r="C49" s="289">
        <v>34</v>
      </c>
      <c r="D49" s="290"/>
      <c r="E49" s="291"/>
      <c r="F49" s="288"/>
      <c r="G49" s="289"/>
      <c r="H49" s="290"/>
      <c r="I49" s="291"/>
      <c r="J49" s="288"/>
      <c r="K49" s="289"/>
      <c r="L49" s="290"/>
      <c r="M49" s="291"/>
      <c r="N49" s="288"/>
      <c r="O49" s="289"/>
      <c r="P49" s="290"/>
      <c r="Q49" s="291"/>
      <c r="R49" s="288"/>
      <c r="S49" s="289"/>
      <c r="T49" s="290"/>
      <c r="U49" s="291"/>
      <c r="V49" s="288"/>
      <c r="W49" s="289"/>
      <c r="X49" s="290"/>
      <c r="Y49" s="291"/>
      <c r="Z49" s="288"/>
      <c r="AA49" s="289"/>
      <c r="AB49" s="290"/>
      <c r="AC49" s="291"/>
      <c r="AD49" s="288"/>
      <c r="AE49" s="289"/>
      <c r="AF49" s="290"/>
      <c r="AG49" s="291"/>
      <c r="AH49" s="288"/>
      <c r="AI49" s="289"/>
      <c r="AJ49" s="290"/>
      <c r="AK49" s="291"/>
      <c r="AL49" s="288">
        <v>43</v>
      </c>
      <c r="AM49" s="289">
        <v>5</v>
      </c>
      <c r="AN49" s="290"/>
      <c r="AO49" s="291"/>
      <c r="AP49" s="288"/>
      <c r="AQ49" s="289"/>
      <c r="AR49" s="290"/>
      <c r="AS49" s="291"/>
      <c r="AT49" s="288">
        <v>43</v>
      </c>
      <c r="AU49" s="289">
        <v>28</v>
      </c>
      <c r="AV49" s="290">
        <v>43</v>
      </c>
      <c r="AW49" s="291">
        <v>13</v>
      </c>
      <c r="AX49" s="288"/>
      <c r="AY49" s="289"/>
      <c r="AZ49" s="290">
        <v>43</v>
      </c>
      <c r="BA49" s="291">
        <v>27</v>
      </c>
      <c r="BB49" s="288"/>
      <c r="BC49" s="289"/>
      <c r="BD49" s="290"/>
      <c r="BE49" s="291"/>
      <c r="BF49" s="288"/>
      <c r="BG49" s="289"/>
      <c r="BH49" s="290"/>
      <c r="BI49" s="291"/>
      <c r="BJ49" s="288"/>
      <c r="BK49" s="289"/>
      <c r="BL49" s="290"/>
      <c r="BM49" s="291"/>
      <c r="BN49" s="288"/>
      <c r="BO49" s="289"/>
      <c r="BP49" s="290"/>
      <c r="BQ49" s="291"/>
      <c r="BR49" s="288"/>
      <c r="BS49" s="289"/>
      <c r="BT49" s="290"/>
      <c r="BU49" s="291"/>
      <c r="BV49" s="288"/>
      <c r="BW49" s="289"/>
      <c r="BX49" s="290"/>
      <c r="BY49" s="291"/>
      <c r="BZ49" s="288"/>
      <c r="CA49" s="289"/>
      <c r="CB49" s="290"/>
      <c r="CC49" s="291"/>
      <c r="CD49" s="288"/>
      <c r="CE49" s="289"/>
      <c r="CF49" s="290"/>
      <c r="CG49" s="291"/>
      <c r="CH49" s="288"/>
      <c r="CI49" s="289"/>
      <c r="CJ49" s="290"/>
      <c r="CK49" s="291"/>
      <c r="CL49" s="288"/>
      <c r="CM49" s="289"/>
      <c r="CN49" s="290"/>
      <c r="CO49" s="291"/>
      <c r="CP49" s="288"/>
      <c r="CQ49" s="289"/>
      <c r="CR49" s="290"/>
      <c r="CS49" s="291"/>
      <c r="CT49" s="288"/>
      <c r="CU49" s="289"/>
      <c r="CV49" s="290"/>
      <c r="CW49" s="291"/>
      <c r="CX49" s="288"/>
      <c r="CY49" s="289"/>
      <c r="CZ49" s="290"/>
      <c r="DA49" s="291"/>
      <c r="DB49" s="288"/>
      <c r="DC49" s="289"/>
      <c r="DD49" s="290"/>
      <c r="DE49" s="291"/>
      <c r="DF49" s="288"/>
      <c r="DG49" s="289"/>
      <c r="DH49" s="290"/>
      <c r="DI49" s="291"/>
      <c r="DJ49" s="288"/>
      <c r="DK49" s="289"/>
      <c r="DL49" s="290"/>
      <c r="DM49" s="291"/>
      <c r="DN49" s="288"/>
      <c r="DO49" s="289"/>
      <c r="DP49" s="290"/>
      <c r="DQ49" s="291"/>
      <c r="DR49" s="288"/>
      <c r="DS49" s="289"/>
      <c r="DT49" s="290"/>
      <c r="DU49" s="291"/>
      <c r="DV49" s="288"/>
      <c r="DW49" s="289"/>
      <c r="DX49" s="290"/>
      <c r="DY49" s="291"/>
      <c r="DZ49" s="288"/>
      <c r="EA49" s="289"/>
      <c r="EB49" s="290"/>
      <c r="EC49" s="291"/>
    </row>
    <row x14ac:dyDescent="0.25" r="50" customHeight="1" ht="17.25">
      <c r="A50" s="1"/>
      <c r="B50" s="288">
        <v>44</v>
      </c>
      <c r="C50" s="289">
        <v>34</v>
      </c>
      <c r="D50" s="290"/>
      <c r="E50" s="291"/>
      <c r="F50" s="288"/>
      <c r="G50" s="289"/>
      <c r="H50" s="290"/>
      <c r="I50" s="291"/>
      <c r="J50" s="288"/>
      <c r="K50" s="289"/>
      <c r="L50" s="290"/>
      <c r="M50" s="291"/>
      <c r="N50" s="288"/>
      <c r="O50" s="289"/>
      <c r="P50" s="290"/>
      <c r="Q50" s="291"/>
      <c r="R50" s="288"/>
      <c r="S50" s="289"/>
      <c r="T50" s="290"/>
      <c r="U50" s="291"/>
      <c r="V50" s="288"/>
      <c r="W50" s="289"/>
      <c r="X50" s="290"/>
      <c r="Y50" s="291"/>
      <c r="Z50" s="288"/>
      <c r="AA50" s="289"/>
      <c r="AB50" s="290"/>
      <c r="AC50" s="291"/>
      <c r="AD50" s="288"/>
      <c r="AE50" s="289"/>
      <c r="AF50" s="290"/>
      <c r="AG50" s="291"/>
      <c r="AH50" s="288"/>
      <c r="AI50" s="289"/>
      <c r="AJ50" s="290"/>
      <c r="AK50" s="291"/>
      <c r="AL50" s="288">
        <v>44</v>
      </c>
      <c r="AM50" s="289">
        <v>26</v>
      </c>
      <c r="AN50" s="290"/>
      <c r="AO50" s="291"/>
      <c r="AP50" s="288"/>
      <c r="AQ50" s="289"/>
      <c r="AR50" s="290"/>
      <c r="AS50" s="291"/>
      <c r="AT50" s="288">
        <v>44</v>
      </c>
      <c r="AU50" s="289">
        <v>28</v>
      </c>
      <c r="AV50" s="290">
        <v>44</v>
      </c>
      <c r="AW50" s="291">
        <v>30</v>
      </c>
      <c r="AX50" s="288"/>
      <c r="AY50" s="289"/>
      <c r="AZ50" s="290">
        <v>44</v>
      </c>
      <c r="BA50" s="291">
        <v>31</v>
      </c>
      <c r="BB50" s="288"/>
      <c r="BC50" s="289"/>
      <c r="BD50" s="290"/>
      <c r="BE50" s="291"/>
      <c r="BF50" s="288"/>
      <c r="BG50" s="289"/>
      <c r="BH50" s="290"/>
      <c r="BI50" s="291"/>
      <c r="BJ50" s="288"/>
      <c r="BK50" s="289"/>
      <c r="BL50" s="290"/>
      <c r="BM50" s="291"/>
      <c r="BN50" s="288"/>
      <c r="BO50" s="289"/>
      <c r="BP50" s="290"/>
      <c r="BQ50" s="291"/>
      <c r="BR50" s="288"/>
      <c r="BS50" s="289"/>
      <c r="BT50" s="290"/>
      <c r="BU50" s="291"/>
      <c r="BV50" s="288"/>
      <c r="BW50" s="289"/>
      <c r="BX50" s="290"/>
      <c r="BY50" s="291"/>
      <c r="BZ50" s="288"/>
      <c r="CA50" s="289"/>
      <c r="CB50" s="290"/>
      <c r="CC50" s="291"/>
      <c r="CD50" s="288"/>
      <c r="CE50" s="289"/>
      <c r="CF50" s="290"/>
      <c r="CG50" s="291"/>
      <c r="CH50" s="288"/>
      <c r="CI50" s="289"/>
      <c r="CJ50" s="290"/>
      <c r="CK50" s="291"/>
      <c r="CL50" s="288"/>
      <c r="CM50" s="289"/>
      <c r="CN50" s="290"/>
      <c r="CO50" s="291"/>
      <c r="CP50" s="288"/>
      <c r="CQ50" s="289"/>
      <c r="CR50" s="290"/>
      <c r="CS50" s="291"/>
      <c r="CT50" s="288"/>
      <c r="CU50" s="289"/>
      <c r="CV50" s="290"/>
      <c r="CW50" s="291"/>
      <c r="CX50" s="288"/>
      <c r="CY50" s="289"/>
      <c r="CZ50" s="290"/>
      <c r="DA50" s="291"/>
      <c r="DB50" s="288"/>
      <c r="DC50" s="289"/>
      <c r="DD50" s="290"/>
      <c r="DE50" s="291"/>
      <c r="DF50" s="288"/>
      <c r="DG50" s="289"/>
      <c r="DH50" s="290"/>
      <c r="DI50" s="291"/>
      <c r="DJ50" s="288"/>
      <c r="DK50" s="289"/>
      <c r="DL50" s="290"/>
      <c r="DM50" s="291"/>
      <c r="DN50" s="288"/>
      <c r="DO50" s="289"/>
      <c r="DP50" s="290"/>
      <c r="DQ50" s="291"/>
      <c r="DR50" s="288"/>
      <c r="DS50" s="289"/>
      <c r="DT50" s="290"/>
      <c r="DU50" s="291"/>
      <c r="DV50" s="288"/>
      <c r="DW50" s="289"/>
      <c r="DX50" s="290"/>
      <c r="DY50" s="291"/>
      <c r="DZ50" s="288"/>
      <c r="EA50" s="289"/>
      <c r="EB50" s="290"/>
      <c r="EC50" s="291"/>
    </row>
    <row x14ac:dyDescent="0.25" r="51" customHeight="1" ht="17.25">
      <c r="A51" s="1"/>
      <c r="B51" s="288">
        <v>45</v>
      </c>
      <c r="C51" s="289">
        <v>28</v>
      </c>
      <c r="D51" s="290"/>
      <c r="E51" s="291"/>
      <c r="F51" s="288"/>
      <c r="G51" s="289"/>
      <c r="H51" s="290"/>
      <c r="I51" s="291"/>
      <c r="J51" s="288"/>
      <c r="K51" s="289"/>
      <c r="L51" s="290"/>
      <c r="M51" s="291"/>
      <c r="N51" s="288"/>
      <c r="O51" s="289"/>
      <c r="P51" s="290"/>
      <c r="Q51" s="291"/>
      <c r="R51" s="288"/>
      <c r="S51" s="289"/>
      <c r="T51" s="290"/>
      <c r="U51" s="291"/>
      <c r="V51" s="288"/>
      <c r="W51" s="289"/>
      <c r="X51" s="290"/>
      <c r="Y51" s="291"/>
      <c r="Z51" s="288"/>
      <c r="AA51" s="289"/>
      <c r="AB51" s="290"/>
      <c r="AC51" s="291"/>
      <c r="AD51" s="288"/>
      <c r="AE51" s="289"/>
      <c r="AF51" s="290"/>
      <c r="AG51" s="291"/>
      <c r="AH51" s="288"/>
      <c r="AI51" s="289"/>
      <c r="AJ51" s="290"/>
      <c r="AK51" s="291"/>
      <c r="AL51" s="288">
        <v>45</v>
      </c>
      <c r="AM51" s="289">
        <v>17</v>
      </c>
      <c r="AN51" s="290"/>
      <c r="AO51" s="291"/>
      <c r="AP51" s="288"/>
      <c r="AQ51" s="289"/>
      <c r="AR51" s="290"/>
      <c r="AS51" s="291"/>
      <c r="AT51" s="288">
        <v>45</v>
      </c>
      <c r="AU51" s="289">
        <v>25</v>
      </c>
      <c r="AV51" s="290">
        <v>45</v>
      </c>
      <c r="AW51" s="291">
        <v>5</v>
      </c>
      <c r="AX51" s="288"/>
      <c r="AY51" s="289"/>
      <c r="AZ51" s="290">
        <v>45</v>
      </c>
      <c r="BA51" s="291">
        <v>25</v>
      </c>
      <c r="BB51" s="288"/>
      <c r="BC51" s="289"/>
      <c r="BD51" s="290"/>
      <c r="BE51" s="291"/>
      <c r="BF51" s="288"/>
      <c r="BG51" s="289"/>
      <c r="BH51" s="290"/>
      <c r="BI51" s="291"/>
      <c r="BJ51" s="288"/>
      <c r="BK51" s="289"/>
      <c r="BL51" s="290"/>
      <c r="BM51" s="291"/>
      <c r="BN51" s="288"/>
      <c r="BO51" s="289"/>
      <c r="BP51" s="290"/>
      <c r="BQ51" s="291"/>
      <c r="BR51" s="288"/>
      <c r="BS51" s="289"/>
      <c r="BT51" s="290"/>
      <c r="BU51" s="291"/>
      <c r="BV51" s="288"/>
      <c r="BW51" s="289"/>
      <c r="BX51" s="290"/>
      <c r="BY51" s="291"/>
      <c r="BZ51" s="288"/>
      <c r="CA51" s="289"/>
      <c r="CB51" s="290"/>
      <c r="CC51" s="291"/>
      <c r="CD51" s="288"/>
      <c r="CE51" s="289"/>
      <c r="CF51" s="290"/>
      <c r="CG51" s="291"/>
      <c r="CH51" s="288"/>
      <c r="CI51" s="289"/>
      <c r="CJ51" s="290"/>
      <c r="CK51" s="291"/>
      <c r="CL51" s="288"/>
      <c r="CM51" s="289"/>
      <c r="CN51" s="290"/>
      <c r="CO51" s="291"/>
      <c r="CP51" s="288"/>
      <c r="CQ51" s="289"/>
      <c r="CR51" s="290"/>
      <c r="CS51" s="291"/>
      <c r="CT51" s="288"/>
      <c r="CU51" s="289"/>
      <c r="CV51" s="290"/>
      <c r="CW51" s="291"/>
      <c r="CX51" s="288"/>
      <c r="CY51" s="289"/>
      <c r="CZ51" s="290"/>
      <c r="DA51" s="291"/>
      <c r="DB51" s="288"/>
      <c r="DC51" s="289"/>
      <c r="DD51" s="290"/>
      <c r="DE51" s="291"/>
      <c r="DF51" s="288"/>
      <c r="DG51" s="289"/>
      <c r="DH51" s="290"/>
      <c r="DI51" s="291"/>
      <c r="DJ51" s="288"/>
      <c r="DK51" s="289"/>
      <c r="DL51" s="290"/>
      <c r="DM51" s="291"/>
      <c r="DN51" s="288"/>
      <c r="DO51" s="289"/>
      <c r="DP51" s="290"/>
      <c r="DQ51" s="291"/>
      <c r="DR51" s="288"/>
      <c r="DS51" s="289"/>
      <c r="DT51" s="290"/>
      <c r="DU51" s="291"/>
      <c r="DV51" s="288"/>
      <c r="DW51" s="289"/>
      <c r="DX51" s="290"/>
      <c r="DY51" s="291"/>
      <c r="DZ51" s="288"/>
      <c r="EA51" s="289"/>
      <c r="EB51" s="290"/>
      <c r="EC51" s="291"/>
    </row>
    <row x14ac:dyDescent="0.25" r="52" customHeight="1" ht="17.25">
      <c r="A52" s="1"/>
      <c r="B52" s="288">
        <v>46</v>
      </c>
      <c r="C52" s="289">
        <v>34</v>
      </c>
      <c r="D52" s="290"/>
      <c r="E52" s="291"/>
      <c r="F52" s="288"/>
      <c r="G52" s="289"/>
      <c r="H52" s="290"/>
      <c r="I52" s="291"/>
      <c r="J52" s="288"/>
      <c r="K52" s="289"/>
      <c r="L52" s="290"/>
      <c r="M52" s="291"/>
      <c r="N52" s="288"/>
      <c r="O52" s="289"/>
      <c r="P52" s="290"/>
      <c r="Q52" s="291"/>
      <c r="R52" s="288"/>
      <c r="S52" s="289"/>
      <c r="T52" s="290"/>
      <c r="U52" s="291"/>
      <c r="V52" s="288"/>
      <c r="W52" s="289"/>
      <c r="X52" s="290"/>
      <c r="Y52" s="291"/>
      <c r="Z52" s="288"/>
      <c r="AA52" s="289"/>
      <c r="AB52" s="290"/>
      <c r="AC52" s="291"/>
      <c r="AD52" s="288"/>
      <c r="AE52" s="289"/>
      <c r="AF52" s="290"/>
      <c r="AG52" s="291"/>
      <c r="AH52" s="288"/>
      <c r="AI52" s="289"/>
      <c r="AJ52" s="290"/>
      <c r="AK52" s="291"/>
      <c r="AL52" s="288">
        <v>46</v>
      </c>
      <c r="AM52" s="289">
        <v>11</v>
      </c>
      <c r="AN52" s="290"/>
      <c r="AO52" s="291"/>
      <c r="AP52" s="288"/>
      <c r="AQ52" s="289"/>
      <c r="AR52" s="290"/>
      <c r="AS52" s="291"/>
      <c r="AT52" s="288">
        <v>46</v>
      </c>
      <c r="AU52" s="289">
        <v>13</v>
      </c>
      <c r="AV52" s="290">
        <v>46</v>
      </c>
      <c r="AW52" s="291">
        <v>28</v>
      </c>
      <c r="AX52" s="288"/>
      <c r="AY52" s="289"/>
      <c r="AZ52" s="290">
        <v>46</v>
      </c>
      <c r="BA52" s="291">
        <v>24</v>
      </c>
      <c r="BB52" s="288"/>
      <c r="BC52" s="289"/>
      <c r="BD52" s="290"/>
      <c r="BE52" s="291"/>
      <c r="BF52" s="288"/>
      <c r="BG52" s="289"/>
      <c r="BH52" s="290"/>
      <c r="BI52" s="291"/>
      <c r="BJ52" s="288"/>
      <c r="BK52" s="289"/>
      <c r="BL52" s="290"/>
      <c r="BM52" s="291"/>
      <c r="BN52" s="288"/>
      <c r="BO52" s="289"/>
      <c r="BP52" s="290"/>
      <c r="BQ52" s="291"/>
      <c r="BR52" s="288"/>
      <c r="BS52" s="289"/>
      <c r="BT52" s="290"/>
      <c r="BU52" s="291"/>
      <c r="BV52" s="288"/>
      <c r="BW52" s="289"/>
      <c r="BX52" s="290"/>
      <c r="BY52" s="291"/>
      <c r="BZ52" s="288"/>
      <c r="CA52" s="289"/>
      <c r="CB52" s="290"/>
      <c r="CC52" s="291"/>
      <c r="CD52" s="288"/>
      <c r="CE52" s="289"/>
      <c r="CF52" s="290"/>
      <c r="CG52" s="291"/>
      <c r="CH52" s="288"/>
      <c r="CI52" s="289"/>
      <c r="CJ52" s="290"/>
      <c r="CK52" s="291"/>
      <c r="CL52" s="288"/>
      <c r="CM52" s="289"/>
      <c r="CN52" s="290"/>
      <c r="CO52" s="291"/>
      <c r="CP52" s="288"/>
      <c r="CQ52" s="289"/>
      <c r="CR52" s="290"/>
      <c r="CS52" s="291"/>
      <c r="CT52" s="288"/>
      <c r="CU52" s="289"/>
      <c r="CV52" s="290"/>
      <c r="CW52" s="291"/>
      <c r="CX52" s="288"/>
      <c r="CY52" s="289"/>
      <c r="CZ52" s="290"/>
      <c r="DA52" s="291"/>
      <c r="DB52" s="288"/>
      <c r="DC52" s="289"/>
      <c r="DD52" s="290"/>
      <c r="DE52" s="291"/>
      <c r="DF52" s="288"/>
      <c r="DG52" s="289"/>
      <c r="DH52" s="290"/>
      <c r="DI52" s="291"/>
      <c r="DJ52" s="288"/>
      <c r="DK52" s="289"/>
      <c r="DL52" s="290"/>
      <c r="DM52" s="291"/>
      <c r="DN52" s="288"/>
      <c r="DO52" s="289"/>
      <c r="DP52" s="290"/>
      <c r="DQ52" s="291"/>
      <c r="DR52" s="288"/>
      <c r="DS52" s="289"/>
      <c r="DT52" s="290"/>
      <c r="DU52" s="291"/>
      <c r="DV52" s="288"/>
      <c r="DW52" s="289"/>
      <c r="DX52" s="290"/>
      <c r="DY52" s="291"/>
      <c r="DZ52" s="288"/>
      <c r="EA52" s="289"/>
      <c r="EB52" s="290"/>
      <c r="EC52" s="291"/>
    </row>
    <row x14ac:dyDescent="0.25" r="53" customHeight="1" ht="17.25">
      <c r="A53" s="1"/>
      <c r="B53" s="288">
        <v>47</v>
      </c>
      <c r="C53" s="289">
        <v>31</v>
      </c>
      <c r="D53" s="290"/>
      <c r="E53" s="291"/>
      <c r="F53" s="288"/>
      <c r="G53" s="289"/>
      <c r="H53" s="290"/>
      <c r="I53" s="291"/>
      <c r="J53" s="288"/>
      <c r="K53" s="289"/>
      <c r="L53" s="290"/>
      <c r="M53" s="291"/>
      <c r="N53" s="288"/>
      <c r="O53" s="289"/>
      <c r="P53" s="290"/>
      <c r="Q53" s="291"/>
      <c r="R53" s="288"/>
      <c r="S53" s="289"/>
      <c r="T53" s="290"/>
      <c r="U53" s="291"/>
      <c r="V53" s="288"/>
      <c r="W53" s="289"/>
      <c r="X53" s="290"/>
      <c r="Y53" s="291"/>
      <c r="Z53" s="288"/>
      <c r="AA53" s="289"/>
      <c r="AB53" s="290"/>
      <c r="AC53" s="291"/>
      <c r="AD53" s="288"/>
      <c r="AE53" s="289"/>
      <c r="AF53" s="290"/>
      <c r="AG53" s="291"/>
      <c r="AH53" s="288"/>
      <c r="AI53" s="289"/>
      <c r="AJ53" s="290"/>
      <c r="AK53" s="291"/>
      <c r="AL53" s="288">
        <v>47</v>
      </c>
      <c r="AM53" s="289">
        <v>9</v>
      </c>
      <c r="AN53" s="290"/>
      <c r="AO53" s="291"/>
      <c r="AP53" s="288"/>
      <c r="AQ53" s="289"/>
      <c r="AR53" s="290"/>
      <c r="AS53" s="291"/>
      <c r="AT53" s="288">
        <v>47</v>
      </c>
      <c r="AU53" s="289">
        <v>15</v>
      </c>
      <c r="AV53" s="290">
        <v>47</v>
      </c>
      <c r="AW53" s="291">
        <v>7</v>
      </c>
      <c r="AX53" s="288"/>
      <c r="AY53" s="289"/>
      <c r="AZ53" s="290">
        <v>47</v>
      </c>
      <c r="BA53" s="291">
        <v>23</v>
      </c>
      <c r="BB53" s="288"/>
      <c r="BC53" s="289"/>
      <c r="BD53" s="290"/>
      <c r="BE53" s="291"/>
      <c r="BF53" s="288"/>
      <c r="BG53" s="289"/>
      <c r="BH53" s="290"/>
      <c r="BI53" s="291"/>
      <c r="BJ53" s="288"/>
      <c r="BK53" s="289"/>
      <c r="BL53" s="290"/>
      <c r="BM53" s="291"/>
      <c r="BN53" s="288"/>
      <c r="BO53" s="289"/>
      <c r="BP53" s="290"/>
      <c r="BQ53" s="291"/>
      <c r="BR53" s="288"/>
      <c r="BS53" s="289"/>
      <c r="BT53" s="290"/>
      <c r="BU53" s="291"/>
      <c r="BV53" s="288"/>
      <c r="BW53" s="289"/>
      <c r="BX53" s="290"/>
      <c r="BY53" s="291"/>
      <c r="BZ53" s="288"/>
      <c r="CA53" s="289"/>
      <c r="CB53" s="290"/>
      <c r="CC53" s="291"/>
      <c r="CD53" s="288"/>
      <c r="CE53" s="289"/>
      <c r="CF53" s="290"/>
      <c r="CG53" s="291"/>
      <c r="CH53" s="288"/>
      <c r="CI53" s="289"/>
      <c r="CJ53" s="290"/>
      <c r="CK53" s="291"/>
      <c r="CL53" s="288"/>
      <c r="CM53" s="289"/>
      <c r="CN53" s="290"/>
      <c r="CO53" s="291"/>
      <c r="CP53" s="288"/>
      <c r="CQ53" s="289"/>
      <c r="CR53" s="290"/>
      <c r="CS53" s="291"/>
      <c r="CT53" s="288"/>
      <c r="CU53" s="289"/>
      <c r="CV53" s="290"/>
      <c r="CW53" s="291"/>
      <c r="CX53" s="288"/>
      <c r="CY53" s="289"/>
      <c r="CZ53" s="290"/>
      <c r="DA53" s="291"/>
      <c r="DB53" s="288"/>
      <c r="DC53" s="289"/>
      <c r="DD53" s="290"/>
      <c r="DE53" s="291"/>
      <c r="DF53" s="288"/>
      <c r="DG53" s="289"/>
      <c r="DH53" s="290"/>
      <c r="DI53" s="291"/>
      <c r="DJ53" s="288"/>
      <c r="DK53" s="289"/>
      <c r="DL53" s="290"/>
      <c r="DM53" s="291"/>
      <c r="DN53" s="288"/>
      <c r="DO53" s="289"/>
      <c r="DP53" s="290"/>
      <c r="DQ53" s="291"/>
      <c r="DR53" s="288"/>
      <c r="DS53" s="289"/>
      <c r="DT53" s="290"/>
      <c r="DU53" s="291"/>
      <c r="DV53" s="288"/>
      <c r="DW53" s="289"/>
      <c r="DX53" s="290"/>
      <c r="DY53" s="291"/>
      <c r="DZ53" s="288"/>
      <c r="EA53" s="289"/>
      <c r="EB53" s="290"/>
      <c r="EC53" s="291"/>
    </row>
    <row x14ac:dyDescent="0.25" r="54" customHeight="1" ht="17.25">
      <c r="A54" s="1"/>
      <c r="B54" s="288">
        <v>48</v>
      </c>
      <c r="C54" s="289">
        <v>22</v>
      </c>
      <c r="D54" s="290"/>
      <c r="E54" s="291"/>
      <c r="F54" s="288"/>
      <c r="G54" s="289"/>
      <c r="H54" s="290"/>
      <c r="I54" s="291"/>
      <c r="J54" s="288"/>
      <c r="K54" s="289"/>
      <c r="L54" s="290"/>
      <c r="M54" s="291"/>
      <c r="N54" s="288"/>
      <c r="O54" s="289"/>
      <c r="P54" s="290"/>
      <c r="Q54" s="291"/>
      <c r="R54" s="288"/>
      <c r="S54" s="289"/>
      <c r="T54" s="290"/>
      <c r="U54" s="291"/>
      <c r="V54" s="288"/>
      <c r="W54" s="289"/>
      <c r="X54" s="290"/>
      <c r="Y54" s="291"/>
      <c r="Z54" s="288"/>
      <c r="AA54" s="289"/>
      <c r="AB54" s="290"/>
      <c r="AC54" s="291"/>
      <c r="AD54" s="288"/>
      <c r="AE54" s="289"/>
      <c r="AF54" s="290"/>
      <c r="AG54" s="291"/>
      <c r="AH54" s="288"/>
      <c r="AI54" s="289"/>
      <c r="AJ54" s="290"/>
      <c r="AK54" s="291"/>
      <c r="AL54" s="288">
        <v>48</v>
      </c>
      <c r="AM54" s="289">
        <v>14</v>
      </c>
      <c r="AN54" s="290"/>
      <c r="AO54" s="291"/>
      <c r="AP54" s="288"/>
      <c r="AQ54" s="289"/>
      <c r="AR54" s="290"/>
      <c r="AS54" s="291"/>
      <c r="AT54" s="288">
        <v>48</v>
      </c>
      <c r="AU54" s="289">
        <v>22</v>
      </c>
      <c r="AV54" s="290">
        <v>48</v>
      </c>
      <c r="AW54" s="291">
        <v>47</v>
      </c>
      <c r="AX54" s="288"/>
      <c r="AY54" s="289"/>
      <c r="AZ54" s="290">
        <v>48</v>
      </c>
      <c r="BA54" s="291">
        <v>35</v>
      </c>
      <c r="BB54" s="288"/>
      <c r="BC54" s="289"/>
      <c r="BD54" s="290"/>
      <c r="BE54" s="291"/>
      <c r="BF54" s="288"/>
      <c r="BG54" s="289"/>
      <c r="BH54" s="290"/>
      <c r="BI54" s="291"/>
      <c r="BJ54" s="288"/>
      <c r="BK54" s="289"/>
      <c r="BL54" s="290"/>
      <c r="BM54" s="291"/>
      <c r="BN54" s="288"/>
      <c r="BO54" s="289"/>
      <c r="BP54" s="290"/>
      <c r="BQ54" s="291"/>
      <c r="BR54" s="288"/>
      <c r="BS54" s="289"/>
      <c r="BT54" s="290"/>
      <c r="BU54" s="291"/>
      <c r="BV54" s="288"/>
      <c r="BW54" s="289"/>
      <c r="BX54" s="290"/>
      <c r="BY54" s="291"/>
      <c r="BZ54" s="288"/>
      <c r="CA54" s="289"/>
      <c r="CB54" s="290"/>
      <c r="CC54" s="291"/>
      <c r="CD54" s="288"/>
      <c r="CE54" s="289"/>
      <c r="CF54" s="290"/>
      <c r="CG54" s="291"/>
      <c r="CH54" s="288"/>
      <c r="CI54" s="289"/>
      <c r="CJ54" s="290"/>
      <c r="CK54" s="291"/>
      <c r="CL54" s="288"/>
      <c r="CM54" s="289"/>
      <c r="CN54" s="290"/>
      <c r="CO54" s="291"/>
      <c r="CP54" s="288"/>
      <c r="CQ54" s="289"/>
      <c r="CR54" s="290"/>
      <c r="CS54" s="291"/>
      <c r="CT54" s="288"/>
      <c r="CU54" s="289"/>
      <c r="CV54" s="290"/>
      <c r="CW54" s="291"/>
      <c r="CX54" s="288"/>
      <c r="CY54" s="289"/>
      <c r="CZ54" s="290"/>
      <c r="DA54" s="291"/>
      <c r="DB54" s="288"/>
      <c r="DC54" s="289"/>
      <c r="DD54" s="290"/>
      <c r="DE54" s="291"/>
      <c r="DF54" s="288"/>
      <c r="DG54" s="289"/>
      <c r="DH54" s="290"/>
      <c r="DI54" s="291"/>
      <c r="DJ54" s="288"/>
      <c r="DK54" s="289"/>
      <c r="DL54" s="290"/>
      <c r="DM54" s="291"/>
      <c r="DN54" s="288"/>
      <c r="DO54" s="289"/>
      <c r="DP54" s="290"/>
      <c r="DQ54" s="291"/>
      <c r="DR54" s="288"/>
      <c r="DS54" s="289"/>
      <c r="DT54" s="290"/>
      <c r="DU54" s="291"/>
      <c r="DV54" s="288"/>
      <c r="DW54" s="289"/>
      <c r="DX54" s="290"/>
      <c r="DY54" s="291"/>
      <c r="DZ54" s="288"/>
      <c r="EA54" s="289"/>
      <c r="EB54" s="290"/>
      <c r="EC54" s="291"/>
    </row>
    <row x14ac:dyDescent="0.25" r="55" customHeight="1" ht="17.25">
      <c r="A55" s="1"/>
      <c r="B55" s="288">
        <v>49</v>
      </c>
      <c r="C55" s="289">
        <v>33</v>
      </c>
      <c r="D55" s="290"/>
      <c r="E55" s="291"/>
      <c r="F55" s="288"/>
      <c r="G55" s="289"/>
      <c r="H55" s="290"/>
      <c r="I55" s="291"/>
      <c r="J55" s="288"/>
      <c r="K55" s="289"/>
      <c r="L55" s="290"/>
      <c r="M55" s="291"/>
      <c r="N55" s="288"/>
      <c r="O55" s="289"/>
      <c r="P55" s="290"/>
      <c r="Q55" s="291"/>
      <c r="R55" s="288"/>
      <c r="S55" s="289"/>
      <c r="T55" s="290"/>
      <c r="U55" s="291"/>
      <c r="V55" s="288"/>
      <c r="W55" s="289"/>
      <c r="X55" s="290"/>
      <c r="Y55" s="291"/>
      <c r="Z55" s="288"/>
      <c r="AA55" s="289"/>
      <c r="AB55" s="290"/>
      <c r="AC55" s="291"/>
      <c r="AD55" s="288"/>
      <c r="AE55" s="289"/>
      <c r="AF55" s="290"/>
      <c r="AG55" s="291"/>
      <c r="AH55" s="288"/>
      <c r="AI55" s="289"/>
      <c r="AJ55" s="290"/>
      <c r="AK55" s="291"/>
      <c r="AL55" s="288">
        <v>49</v>
      </c>
      <c r="AM55" s="289">
        <v>20</v>
      </c>
      <c r="AN55" s="290"/>
      <c r="AO55" s="291"/>
      <c r="AP55" s="288"/>
      <c r="AQ55" s="289"/>
      <c r="AR55" s="290"/>
      <c r="AS55" s="291"/>
      <c r="AT55" s="288">
        <v>49</v>
      </c>
      <c r="AU55" s="289">
        <v>26</v>
      </c>
      <c r="AV55" s="290">
        <v>49</v>
      </c>
      <c r="AW55" s="291">
        <v>39</v>
      </c>
      <c r="AX55" s="288"/>
      <c r="AY55" s="289"/>
      <c r="AZ55" s="290"/>
      <c r="BA55" s="291"/>
      <c r="BB55" s="288"/>
      <c r="BC55" s="289"/>
      <c r="BD55" s="290"/>
      <c r="BE55" s="291"/>
      <c r="BF55" s="288"/>
      <c r="BG55" s="289"/>
      <c r="BH55" s="290"/>
      <c r="BI55" s="291"/>
      <c r="BJ55" s="288"/>
      <c r="BK55" s="289"/>
      <c r="BL55" s="290"/>
      <c r="BM55" s="291"/>
      <c r="BN55" s="288"/>
      <c r="BO55" s="289"/>
      <c r="BP55" s="290"/>
      <c r="BQ55" s="291"/>
      <c r="BR55" s="288"/>
      <c r="BS55" s="289"/>
      <c r="BT55" s="290"/>
      <c r="BU55" s="291"/>
      <c r="BV55" s="288"/>
      <c r="BW55" s="289"/>
      <c r="BX55" s="290"/>
      <c r="BY55" s="291"/>
      <c r="BZ55" s="288"/>
      <c r="CA55" s="289"/>
      <c r="CB55" s="290"/>
      <c r="CC55" s="291"/>
      <c r="CD55" s="288"/>
      <c r="CE55" s="289"/>
      <c r="CF55" s="290"/>
      <c r="CG55" s="291"/>
      <c r="CH55" s="288"/>
      <c r="CI55" s="289"/>
      <c r="CJ55" s="290"/>
      <c r="CK55" s="291"/>
      <c r="CL55" s="288"/>
      <c r="CM55" s="289"/>
      <c r="CN55" s="290"/>
      <c r="CO55" s="291"/>
      <c r="CP55" s="288"/>
      <c r="CQ55" s="289"/>
      <c r="CR55" s="290"/>
      <c r="CS55" s="291"/>
      <c r="CT55" s="288"/>
      <c r="CU55" s="289"/>
      <c r="CV55" s="290"/>
      <c r="CW55" s="291"/>
      <c r="CX55" s="288"/>
      <c r="CY55" s="289"/>
      <c r="CZ55" s="290"/>
      <c r="DA55" s="291"/>
      <c r="DB55" s="288"/>
      <c r="DC55" s="289"/>
      <c r="DD55" s="290"/>
      <c r="DE55" s="291"/>
      <c r="DF55" s="288"/>
      <c r="DG55" s="289"/>
      <c r="DH55" s="290"/>
      <c r="DI55" s="291"/>
      <c r="DJ55" s="288"/>
      <c r="DK55" s="289"/>
      <c r="DL55" s="290"/>
      <c r="DM55" s="291"/>
      <c r="DN55" s="288"/>
      <c r="DO55" s="289"/>
      <c r="DP55" s="290"/>
      <c r="DQ55" s="291"/>
      <c r="DR55" s="288"/>
      <c r="DS55" s="289"/>
      <c r="DT55" s="290"/>
      <c r="DU55" s="291"/>
      <c r="DV55" s="288"/>
      <c r="DW55" s="289"/>
      <c r="DX55" s="290"/>
      <c r="DY55" s="291"/>
      <c r="DZ55" s="288"/>
      <c r="EA55" s="289"/>
      <c r="EB55" s="290"/>
      <c r="EC55" s="291"/>
    </row>
    <row x14ac:dyDescent="0.25" r="56" customHeight="1" ht="17.25">
      <c r="A56" s="1"/>
      <c r="B56" s="288">
        <v>50</v>
      </c>
      <c r="C56" s="289">
        <v>26</v>
      </c>
      <c r="D56" s="290"/>
      <c r="E56" s="291"/>
      <c r="F56" s="288"/>
      <c r="G56" s="289"/>
      <c r="H56" s="290"/>
      <c r="I56" s="291"/>
      <c r="J56" s="288"/>
      <c r="K56" s="289"/>
      <c r="L56" s="290"/>
      <c r="M56" s="291"/>
      <c r="N56" s="288"/>
      <c r="O56" s="289"/>
      <c r="P56" s="290"/>
      <c r="Q56" s="291"/>
      <c r="R56" s="288"/>
      <c r="S56" s="289"/>
      <c r="T56" s="290"/>
      <c r="U56" s="291"/>
      <c r="V56" s="288"/>
      <c r="W56" s="289"/>
      <c r="X56" s="290"/>
      <c r="Y56" s="291"/>
      <c r="Z56" s="288"/>
      <c r="AA56" s="289"/>
      <c r="AB56" s="290"/>
      <c r="AC56" s="291"/>
      <c r="AD56" s="288"/>
      <c r="AE56" s="289"/>
      <c r="AF56" s="290"/>
      <c r="AG56" s="291"/>
      <c r="AH56" s="288"/>
      <c r="AI56" s="289"/>
      <c r="AJ56" s="290"/>
      <c r="AK56" s="291"/>
      <c r="AL56" s="288">
        <v>50</v>
      </c>
      <c r="AM56" s="289">
        <v>23</v>
      </c>
      <c r="AN56" s="290"/>
      <c r="AO56" s="291"/>
      <c r="AP56" s="288"/>
      <c r="AQ56" s="289"/>
      <c r="AR56" s="290"/>
      <c r="AS56" s="291"/>
      <c r="AT56" s="288">
        <v>50</v>
      </c>
      <c r="AU56" s="289">
        <v>11</v>
      </c>
      <c r="AV56" s="290">
        <v>50</v>
      </c>
      <c r="AW56" s="291">
        <v>46</v>
      </c>
      <c r="AX56" s="288"/>
      <c r="AY56" s="289"/>
      <c r="AZ56" s="290"/>
      <c r="BA56" s="291"/>
      <c r="BB56" s="288"/>
      <c r="BC56" s="289"/>
      <c r="BD56" s="290"/>
      <c r="BE56" s="291"/>
      <c r="BF56" s="288"/>
      <c r="BG56" s="289"/>
      <c r="BH56" s="290"/>
      <c r="BI56" s="291"/>
      <c r="BJ56" s="288"/>
      <c r="BK56" s="289"/>
      <c r="BL56" s="290"/>
      <c r="BM56" s="291"/>
      <c r="BN56" s="288"/>
      <c r="BO56" s="289"/>
      <c r="BP56" s="290"/>
      <c r="BQ56" s="291"/>
      <c r="BR56" s="288"/>
      <c r="BS56" s="289"/>
      <c r="BT56" s="290"/>
      <c r="BU56" s="291"/>
      <c r="BV56" s="288"/>
      <c r="BW56" s="289"/>
      <c r="BX56" s="290"/>
      <c r="BY56" s="291"/>
      <c r="BZ56" s="288"/>
      <c r="CA56" s="289"/>
      <c r="CB56" s="290"/>
      <c r="CC56" s="291"/>
      <c r="CD56" s="288"/>
      <c r="CE56" s="289"/>
      <c r="CF56" s="290"/>
      <c r="CG56" s="291"/>
      <c r="CH56" s="288"/>
      <c r="CI56" s="289"/>
      <c r="CJ56" s="290"/>
      <c r="CK56" s="291"/>
      <c r="CL56" s="288"/>
      <c r="CM56" s="289"/>
      <c r="CN56" s="290"/>
      <c r="CO56" s="291"/>
      <c r="CP56" s="288"/>
      <c r="CQ56" s="289"/>
      <c r="CR56" s="290"/>
      <c r="CS56" s="291"/>
      <c r="CT56" s="288"/>
      <c r="CU56" s="289"/>
      <c r="CV56" s="290"/>
      <c r="CW56" s="291"/>
      <c r="CX56" s="288"/>
      <c r="CY56" s="289"/>
      <c r="CZ56" s="290"/>
      <c r="DA56" s="291"/>
      <c r="DB56" s="288"/>
      <c r="DC56" s="289"/>
      <c r="DD56" s="290"/>
      <c r="DE56" s="291"/>
      <c r="DF56" s="288"/>
      <c r="DG56" s="289"/>
      <c r="DH56" s="290"/>
      <c r="DI56" s="291"/>
      <c r="DJ56" s="288"/>
      <c r="DK56" s="289"/>
      <c r="DL56" s="290"/>
      <c r="DM56" s="291"/>
      <c r="DN56" s="288"/>
      <c r="DO56" s="289"/>
      <c r="DP56" s="290"/>
      <c r="DQ56" s="291"/>
      <c r="DR56" s="288"/>
      <c r="DS56" s="289"/>
      <c r="DT56" s="290"/>
      <c r="DU56" s="291"/>
      <c r="DV56" s="288"/>
      <c r="DW56" s="289"/>
      <c r="DX56" s="290"/>
      <c r="DY56" s="291"/>
      <c r="DZ56" s="288"/>
      <c r="EA56" s="289"/>
      <c r="EB56" s="290"/>
      <c r="EC56" s="291"/>
    </row>
    <row x14ac:dyDescent="0.25" r="57" customHeight="1" ht="17.25">
      <c r="A57" s="1"/>
      <c r="B57" s="288"/>
      <c r="C57" s="289"/>
      <c r="D57" s="290"/>
      <c r="E57" s="291"/>
      <c r="F57" s="288"/>
      <c r="G57" s="289"/>
      <c r="H57" s="290"/>
      <c r="I57" s="291"/>
      <c r="J57" s="288"/>
      <c r="K57" s="289"/>
      <c r="L57" s="290"/>
      <c r="M57" s="291"/>
      <c r="N57" s="288"/>
      <c r="O57" s="289"/>
      <c r="P57" s="290"/>
      <c r="Q57" s="291"/>
      <c r="R57" s="288"/>
      <c r="S57" s="289"/>
      <c r="T57" s="290"/>
      <c r="U57" s="291"/>
      <c r="V57" s="288"/>
      <c r="W57" s="289"/>
      <c r="X57" s="290"/>
      <c r="Y57" s="291"/>
      <c r="Z57" s="288"/>
      <c r="AA57" s="289"/>
      <c r="AB57" s="290"/>
      <c r="AC57" s="291"/>
      <c r="AD57" s="288"/>
      <c r="AE57" s="289"/>
      <c r="AF57" s="290"/>
      <c r="AG57" s="291"/>
      <c r="AH57" s="288"/>
      <c r="AI57" s="289"/>
      <c r="AJ57" s="290"/>
      <c r="AK57" s="291"/>
      <c r="AL57" s="288">
        <v>51</v>
      </c>
      <c r="AM57" s="289">
        <v>19</v>
      </c>
      <c r="AN57" s="290"/>
      <c r="AO57" s="291"/>
      <c r="AP57" s="288"/>
      <c r="AQ57" s="289"/>
      <c r="AR57" s="290"/>
      <c r="AS57" s="291"/>
      <c r="AT57" s="288">
        <v>51</v>
      </c>
      <c r="AU57" s="289">
        <v>23</v>
      </c>
      <c r="AV57" s="290">
        <v>51</v>
      </c>
      <c r="AW57" s="291">
        <v>64</v>
      </c>
      <c r="AX57" s="288"/>
      <c r="AY57" s="289"/>
      <c r="AZ57" s="290"/>
      <c r="BA57" s="291"/>
      <c r="BB57" s="288"/>
      <c r="BC57" s="289"/>
      <c r="BD57" s="290"/>
      <c r="BE57" s="291"/>
      <c r="BF57" s="288"/>
      <c r="BG57" s="289"/>
      <c r="BH57" s="290"/>
      <c r="BI57" s="291"/>
      <c r="BJ57" s="288"/>
      <c r="BK57" s="289"/>
      <c r="BL57" s="290"/>
      <c r="BM57" s="291"/>
      <c r="BN57" s="288"/>
      <c r="BO57" s="289"/>
      <c r="BP57" s="290"/>
      <c r="BQ57" s="291"/>
      <c r="BR57" s="288"/>
      <c r="BS57" s="289"/>
      <c r="BT57" s="290"/>
      <c r="BU57" s="291"/>
      <c r="BV57" s="288"/>
      <c r="BW57" s="289"/>
      <c r="BX57" s="290"/>
      <c r="BY57" s="291"/>
      <c r="BZ57" s="288"/>
      <c r="CA57" s="289"/>
      <c r="CB57" s="290"/>
      <c r="CC57" s="291"/>
      <c r="CD57" s="288"/>
      <c r="CE57" s="289"/>
      <c r="CF57" s="290"/>
      <c r="CG57" s="291"/>
      <c r="CH57" s="288"/>
      <c r="CI57" s="289"/>
      <c r="CJ57" s="290"/>
      <c r="CK57" s="291"/>
      <c r="CL57" s="288"/>
      <c r="CM57" s="289"/>
      <c r="CN57" s="290"/>
      <c r="CO57" s="291"/>
      <c r="CP57" s="288"/>
      <c r="CQ57" s="289"/>
      <c r="CR57" s="290"/>
      <c r="CS57" s="291"/>
      <c r="CT57" s="288"/>
      <c r="CU57" s="289"/>
      <c r="CV57" s="290"/>
      <c r="CW57" s="291"/>
      <c r="CX57" s="288"/>
      <c r="CY57" s="289"/>
      <c r="CZ57" s="290"/>
      <c r="DA57" s="291"/>
      <c r="DB57" s="288"/>
      <c r="DC57" s="289"/>
      <c r="DD57" s="290"/>
      <c r="DE57" s="291"/>
      <c r="DF57" s="288"/>
      <c r="DG57" s="289"/>
      <c r="DH57" s="290"/>
      <c r="DI57" s="291"/>
      <c r="DJ57" s="288"/>
      <c r="DK57" s="289"/>
      <c r="DL57" s="290"/>
      <c r="DM57" s="291"/>
      <c r="DN57" s="288"/>
      <c r="DO57" s="289"/>
      <c r="DP57" s="290"/>
      <c r="DQ57" s="291"/>
      <c r="DR57" s="288"/>
      <c r="DS57" s="289"/>
      <c r="DT57" s="290"/>
      <c r="DU57" s="291"/>
      <c r="DV57" s="288"/>
      <c r="DW57" s="289"/>
      <c r="DX57" s="290"/>
      <c r="DY57" s="291"/>
      <c r="DZ57" s="288"/>
      <c r="EA57" s="289"/>
      <c r="EB57" s="290"/>
      <c r="EC57" s="291"/>
    </row>
    <row x14ac:dyDescent="0.25" r="58" customHeight="1" ht="17.25">
      <c r="A58" s="1"/>
      <c r="B58" s="288"/>
      <c r="C58" s="289"/>
      <c r="D58" s="290"/>
      <c r="E58" s="291"/>
      <c r="F58" s="288"/>
      <c r="G58" s="289"/>
      <c r="H58" s="290"/>
      <c r="I58" s="291"/>
      <c r="J58" s="288"/>
      <c r="K58" s="289"/>
      <c r="L58" s="290"/>
      <c r="M58" s="291"/>
      <c r="N58" s="288"/>
      <c r="O58" s="289"/>
      <c r="P58" s="290"/>
      <c r="Q58" s="291"/>
      <c r="R58" s="288"/>
      <c r="S58" s="289"/>
      <c r="T58" s="290"/>
      <c r="U58" s="291"/>
      <c r="V58" s="288"/>
      <c r="W58" s="289"/>
      <c r="X58" s="290"/>
      <c r="Y58" s="291"/>
      <c r="Z58" s="288"/>
      <c r="AA58" s="289"/>
      <c r="AB58" s="290"/>
      <c r="AC58" s="291"/>
      <c r="AD58" s="288"/>
      <c r="AE58" s="289"/>
      <c r="AF58" s="290"/>
      <c r="AG58" s="291"/>
      <c r="AH58" s="288"/>
      <c r="AI58" s="289"/>
      <c r="AJ58" s="290"/>
      <c r="AK58" s="291"/>
      <c r="AL58" s="288">
        <v>52</v>
      </c>
      <c r="AM58" s="289">
        <v>9</v>
      </c>
      <c r="AN58" s="290"/>
      <c r="AO58" s="291"/>
      <c r="AP58" s="288"/>
      <c r="AQ58" s="289"/>
      <c r="AR58" s="290"/>
      <c r="AS58" s="291"/>
      <c r="AT58" s="288">
        <v>52</v>
      </c>
      <c r="AU58" s="289">
        <v>15</v>
      </c>
      <c r="AV58" s="290">
        <v>52</v>
      </c>
      <c r="AW58" s="291">
        <v>34</v>
      </c>
      <c r="AX58" s="288"/>
      <c r="AY58" s="289"/>
      <c r="AZ58" s="290"/>
      <c r="BA58" s="291"/>
      <c r="BB58" s="288"/>
      <c r="BC58" s="289"/>
      <c r="BD58" s="290"/>
      <c r="BE58" s="291"/>
      <c r="BF58" s="288"/>
      <c r="BG58" s="289"/>
      <c r="BH58" s="290"/>
      <c r="BI58" s="291"/>
      <c r="BJ58" s="288"/>
      <c r="BK58" s="289"/>
      <c r="BL58" s="290"/>
      <c r="BM58" s="291"/>
      <c r="BN58" s="288"/>
      <c r="BO58" s="289"/>
      <c r="BP58" s="290"/>
      <c r="BQ58" s="291"/>
      <c r="BR58" s="288"/>
      <c r="BS58" s="289"/>
      <c r="BT58" s="290"/>
      <c r="BU58" s="291"/>
      <c r="BV58" s="288"/>
      <c r="BW58" s="289"/>
      <c r="BX58" s="290"/>
      <c r="BY58" s="291"/>
      <c r="BZ58" s="288"/>
      <c r="CA58" s="289"/>
      <c r="CB58" s="290"/>
      <c r="CC58" s="291"/>
      <c r="CD58" s="288"/>
      <c r="CE58" s="289"/>
      <c r="CF58" s="290"/>
      <c r="CG58" s="291"/>
      <c r="CH58" s="288"/>
      <c r="CI58" s="289"/>
      <c r="CJ58" s="290"/>
      <c r="CK58" s="291"/>
      <c r="CL58" s="288"/>
      <c r="CM58" s="289"/>
      <c r="CN58" s="290"/>
      <c r="CO58" s="291"/>
      <c r="CP58" s="288"/>
      <c r="CQ58" s="289"/>
      <c r="CR58" s="290"/>
      <c r="CS58" s="291"/>
      <c r="CT58" s="288"/>
      <c r="CU58" s="289"/>
      <c r="CV58" s="290"/>
      <c r="CW58" s="291"/>
      <c r="CX58" s="288"/>
      <c r="CY58" s="289"/>
      <c r="CZ58" s="290"/>
      <c r="DA58" s="291"/>
      <c r="DB58" s="288"/>
      <c r="DC58" s="289"/>
      <c r="DD58" s="290"/>
      <c r="DE58" s="291"/>
      <c r="DF58" s="288"/>
      <c r="DG58" s="289"/>
      <c r="DH58" s="290"/>
      <c r="DI58" s="291"/>
      <c r="DJ58" s="288"/>
      <c r="DK58" s="289"/>
      <c r="DL58" s="290"/>
      <c r="DM58" s="291"/>
      <c r="DN58" s="288"/>
      <c r="DO58" s="289"/>
      <c r="DP58" s="290"/>
      <c r="DQ58" s="291"/>
      <c r="DR58" s="288"/>
      <c r="DS58" s="289"/>
      <c r="DT58" s="290"/>
      <c r="DU58" s="291"/>
      <c r="DV58" s="288"/>
      <c r="DW58" s="289"/>
      <c r="DX58" s="290"/>
      <c r="DY58" s="291"/>
      <c r="DZ58" s="288"/>
      <c r="EA58" s="289"/>
      <c r="EB58" s="290"/>
      <c r="EC58" s="291"/>
    </row>
    <row x14ac:dyDescent="0.25" r="59" customHeight="1" ht="17.25">
      <c r="A59" s="1"/>
      <c r="B59" s="288"/>
      <c r="C59" s="289"/>
      <c r="D59" s="290"/>
      <c r="E59" s="291"/>
      <c r="F59" s="288"/>
      <c r="G59" s="289"/>
      <c r="H59" s="290"/>
      <c r="I59" s="291"/>
      <c r="J59" s="288"/>
      <c r="K59" s="289"/>
      <c r="L59" s="290"/>
      <c r="M59" s="291"/>
      <c r="N59" s="288"/>
      <c r="O59" s="289"/>
      <c r="P59" s="290"/>
      <c r="Q59" s="291"/>
      <c r="R59" s="288"/>
      <c r="S59" s="289"/>
      <c r="T59" s="290"/>
      <c r="U59" s="291"/>
      <c r="V59" s="288"/>
      <c r="W59" s="289"/>
      <c r="X59" s="290"/>
      <c r="Y59" s="291"/>
      <c r="Z59" s="288"/>
      <c r="AA59" s="289"/>
      <c r="AB59" s="290"/>
      <c r="AC59" s="291"/>
      <c r="AD59" s="288"/>
      <c r="AE59" s="289"/>
      <c r="AF59" s="290"/>
      <c r="AG59" s="291"/>
      <c r="AH59" s="288"/>
      <c r="AI59" s="289"/>
      <c r="AJ59" s="290"/>
      <c r="AK59" s="291"/>
      <c r="AL59" s="288">
        <v>53</v>
      </c>
      <c r="AM59" s="289">
        <v>6</v>
      </c>
      <c r="AN59" s="290"/>
      <c r="AO59" s="291"/>
      <c r="AP59" s="288"/>
      <c r="AQ59" s="289"/>
      <c r="AR59" s="290"/>
      <c r="AS59" s="291"/>
      <c r="AT59" s="288">
        <v>53</v>
      </c>
      <c r="AU59" s="289">
        <v>12</v>
      </c>
      <c r="AV59" s="290"/>
      <c r="AW59" s="291"/>
      <c r="AX59" s="288"/>
      <c r="AY59" s="289"/>
      <c r="AZ59" s="290"/>
      <c r="BA59" s="291"/>
      <c r="BB59" s="288"/>
      <c r="BC59" s="289"/>
      <c r="BD59" s="290"/>
      <c r="BE59" s="291"/>
      <c r="BF59" s="288"/>
      <c r="BG59" s="289"/>
      <c r="BH59" s="290"/>
      <c r="BI59" s="291"/>
      <c r="BJ59" s="288"/>
      <c r="BK59" s="289"/>
      <c r="BL59" s="290"/>
      <c r="BM59" s="291"/>
      <c r="BN59" s="288"/>
      <c r="BO59" s="289"/>
      <c r="BP59" s="290"/>
      <c r="BQ59" s="291"/>
      <c r="BR59" s="288"/>
      <c r="BS59" s="289"/>
      <c r="BT59" s="290"/>
      <c r="BU59" s="291"/>
      <c r="BV59" s="288"/>
      <c r="BW59" s="289"/>
      <c r="BX59" s="290"/>
      <c r="BY59" s="291"/>
      <c r="BZ59" s="288"/>
      <c r="CA59" s="289"/>
      <c r="CB59" s="290"/>
      <c r="CC59" s="291"/>
      <c r="CD59" s="288"/>
      <c r="CE59" s="289"/>
      <c r="CF59" s="290"/>
      <c r="CG59" s="291"/>
      <c r="CH59" s="288"/>
      <c r="CI59" s="289"/>
      <c r="CJ59" s="290"/>
      <c r="CK59" s="291"/>
      <c r="CL59" s="288"/>
      <c r="CM59" s="289"/>
      <c r="CN59" s="290"/>
      <c r="CO59" s="291"/>
      <c r="CP59" s="288"/>
      <c r="CQ59" s="289"/>
      <c r="CR59" s="290"/>
      <c r="CS59" s="291"/>
      <c r="CT59" s="288"/>
      <c r="CU59" s="289"/>
      <c r="CV59" s="290"/>
      <c r="CW59" s="291"/>
      <c r="CX59" s="288"/>
      <c r="CY59" s="289"/>
      <c r="CZ59" s="290"/>
      <c r="DA59" s="291"/>
      <c r="DB59" s="288"/>
      <c r="DC59" s="289"/>
      <c r="DD59" s="290"/>
      <c r="DE59" s="291"/>
      <c r="DF59" s="288"/>
      <c r="DG59" s="289"/>
      <c r="DH59" s="290"/>
      <c r="DI59" s="291"/>
      <c r="DJ59" s="288"/>
      <c r="DK59" s="289"/>
      <c r="DL59" s="290"/>
      <c r="DM59" s="291"/>
      <c r="DN59" s="288"/>
      <c r="DO59" s="289"/>
      <c r="DP59" s="290"/>
      <c r="DQ59" s="291"/>
      <c r="DR59" s="288"/>
      <c r="DS59" s="289"/>
      <c r="DT59" s="290"/>
      <c r="DU59" s="291"/>
      <c r="DV59" s="288"/>
      <c r="DW59" s="289"/>
      <c r="DX59" s="290"/>
      <c r="DY59" s="291"/>
      <c r="DZ59" s="288"/>
      <c r="EA59" s="289"/>
      <c r="EB59" s="290"/>
      <c r="EC59" s="291"/>
    </row>
    <row x14ac:dyDescent="0.25" r="60" customHeight="1" ht="17.25">
      <c r="A60" s="1"/>
      <c r="B60" s="288"/>
      <c r="C60" s="289"/>
      <c r="D60" s="290"/>
      <c r="E60" s="291"/>
      <c r="F60" s="288"/>
      <c r="G60" s="289"/>
      <c r="H60" s="290"/>
      <c r="I60" s="291"/>
      <c r="J60" s="288"/>
      <c r="K60" s="289"/>
      <c r="L60" s="290"/>
      <c r="M60" s="291"/>
      <c r="N60" s="288"/>
      <c r="O60" s="289"/>
      <c r="P60" s="290"/>
      <c r="Q60" s="291"/>
      <c r="R60" s="288"/>
      <c r="S60" s="289"/>
      <c r="T60" s="290"/>
      <c r="U60" s="291"/>
      <c r="V60" s="288"/>
      <c r="W60" s="289"/>
      <c r="X60" s="290"/>
      <c r="Y60" s="291"/>
      <c r="Z60" s="288"/>
      <c r="AA60" s="289"/>
      <c r="AB60" s="290"/>
      <c r="AC60" s="291"/>
      <c r="AD60" s="288"/>
      <c r="AE60" s="289"/>
      <c r="AF60" s="290"/>
      <c r="AG60" s="291"/>
      <c r="AH60" s="288"/>
      <c r="AI60" s="289"/>
      <c r="AJ60" s="290"/>
      <c r="AK60" s="291"/>
      <c r="AL60" s="288">
        <v>54</v>
      </c>
      <c r="AM60" s="289">
        <v>7</v>
      </c>
      <c r="AN60" s="290"/>
      <c r="AO60" s="291"/>
      <c r="AP60" s="288"/>
      <c r="AQ60" s="289"/>
      <c r="AR60" s="290"/>
      <c r="AS60" s="291"/>
      <c r="AT60" s="288">
        <v>54</v>
      </c>
      <c r="AU60" s="289">
        <v>17</v>
      </c>
      <c r="AV60" s="290"/>
      <c r="AW60" s="291"/>
      <c r="AX60" s="288"/>
      <c r="AY60" s="289"/>
      <c r="AZ60" s="290"/>
      <c r="BA60" s="291"/>
      <c r="BB60" s="288"/>
      <c r="BC60" s="289"/>
      <c r="BD60" s="290"/>
      <c r="BE60" s="291"/>
      <c r="BF60" s="288"/>
      <c r="BG60" s="289"/>
      <c r="BH60" s="290"/>
      <c r="BI60" s="291"/>
      <c r="BJ60" s="288"/>
      <c r="BK60" s="289"/>
      <c r="BL60" s="290"/>
      <c r="BM60" s="291"/>
      <c r="BN60" s="288"/>
      <c r="BO60" s="289"/>
      <c r="BP60" s="290"/>
      <c r="BQ60" s="291"/>
      <c r="BR60" s="288"/>
      <c r="BS60" s="289"/>
      <c r="BT60" s="290"/>
      <c r="BU60" s="291"/>
      <c r="BV60" s="288"/>
      <c r="BW60" s="289"/>
      <c r="BX60" s="290"/>
      <c r="BY60" s="291"/>
      <c r="BZ60" s="288"/>
      <c r="CA60" s="289"/>
      <c r="CB60" s="290"/>
      <c r="CC60" s="291"/>
      <c r="CD60" s="288"/>
      <c r="CE60" s="289"/>
      <c r="CF60" s="290"/>
      <c r="CG60" s="291"/>
      <c r="CH60" s="288"/>
      <c r="CI60" s="289"/>
      <c r="CJ60" s="290"/>
      <c r="CK60" s="291"/>
      <c r="CL60" s="288"/>
      <c r="CM60" s="289"/>
      <c r="CN60" s="290"/>
      <c r="CO60" s="291"/>
      <c r="CP60" s="288"/>
      <c r="CQ60" s="289"/>
      <c r="CR60" s="290"/>
      <c r="CS60" s="291"/>
      <c r="CT60" s="288"/>
      <c r="CU60" s="289"/>
      <c r="CV60" s="290"/>
      <c r="CW60" s="291"/>
      <c r="CX60" s="288"/>
      <c r="CY60" s="289"/>
      <c r="CZ60" s="290"/>
      <c r="DA60" s="291"/>
      <c r="DB60" s="288"/>
      <c r="DC60" s="289"/>
      <c r="DD60" s="290"/>
      <c r="DE60" s="291"/>
      <c r="DF60" s="288"/>
      <c r="DG60" s="289"/>
      <c r="DH60" s="290"/>
      <c r="DI60" s="291"/>
      <c r="DJ60" s="288"/>
      <c r="DK60" s="289"/>
      <c r="DL60" s="290"/>
      <c r="DM60" s="291"/>
      <c r="DN60" s="288"/>
      <c r="DO60" s="289"/>
      <c r="DP60" s="290"/>
      <c r="DQ60" s="291"/>
      <c r="DR60" s="288"/>
      <c r="DS60" s="289"/>
      <c r="DT60" s="290"/>
      <c r="DU60" s="291"/>
      <c r="DV60" s="288"/>
      <c r="DW60" s="289"/>
      <c r="DX60" s="290"/>
      <c r="DY60" s="291"/>
      <c r="DZ60" s="288"/>
      <c r="EA60" s="289"/>
      <c r="EB60" s="290"/>
      <c r="EC60" s="291"/>
    </row>
    <row x14ac:dyDescent="0.25" r="61" customHeight="1" ht="17.25">
      <c r="A61" s="1"/>
      <c r="B61" s="288"/>
      <c r="C61" s="289"/>
      <c r="D61" s="290"/>
      <c r="E61" s="291"/>
      <c r="F61" s="288"/>
      <c r="G61" s="289"/>
      <c r="H61" s="290"/>
      <c r="I61" s="291"/>
      <c r="J61" s="288"/>
      <c r="K61" s="289"/>
      <c r="L61" s="290"/>
      <c r="M61" s="291"/>
      <c r="N61" s="288"/>
      <c r="O61" s="289"/>
      <c r="P61" s="290"/>
      <c r="Q61" s="291"/>
      <c r="R61" s="288"/>
      <c r="S61" s="289"/>
      <c r="T61" s="290"/>
      <c r="U61" s="291"/>
      <c r="V61" s="288"/>
      <c r="W61" s="289"/>
      <c r="X61" s="290"/>
      <c r="Y61" s="291"/>
      <c r="Z61" s="288"/>
      <c r="AA61" s="289"/>
      <c r="AB61" s="290"/>
      <c r="AC61" s="291"/>
      <c r="AD61" s="288"/>
      <c r="AE61" s="289"/>
      <c r="AF61" s="290"/>
      <c r="AG61" s="291"/>
      <c r="AH61" s="288"/>
      <c r="AI61" s="289"/>
      <c r="AJ61" s="290"/>
      <c r="AK61" s="291"/>
      <c r="AL61" s="288">
        <v>55</v>
      </c>
      <c r="AM61" s="289">
        <v>23</v>
      </c>
      <c r="AN61" s="290"/>
      <c r="AO61" s="291"/>
      <c r="AP61" s="288"/>
      <c r="AQ61" s="289"/>
      <c r="AR61" s="290"/>
      <c r="AS61" s="291"/>
      <c r="AT61" s="288">
        <v>55</v>
      </c>
      <c r="AU61" s="289">
        <v>13</v>
      </c>
      <c r="AV61" s="290"/>
      <c r="AW61" s="291"/>
      <c r="AX61" s="288"/>
      <c r="AY61" s="289"/>
      <c r="AZ61" s="290"/>
      <c r="BA61" s="291"/>
      <c r="BB61" s="288"/>
      <c r="BC61" s="289"/>
      <c r="BD61" s="290"/>
      <c r="BE61" s="291"/>
      <c r="BF61" s="288"/>
      <c r="BG61" s="289"/>
      <c r="BH61" s="290"/>
      <c r="BI61" s="291"/>
      <c r="BJ61" s="288"/>
      <c r="BK61" s="289"/>
      <c r="BL61" s="290"/>
      <c r="BM61" s="291"/>
      <c r="BN61" s="288"/>
      <c r="BO61" s="289"/>
      <c r="BP61" s="290"/>
      <c r="BQ61" s="291"/>
      <c r="BR61" s="288"/>
      <c r="BS61" s="289"/>
      <c r="BT61" s="290"/>
      <c r="BU61" s="291"/>
      <c r="BV61" s="288"/>
      <c r="BW61" s="289"/>
      <c r="BX61" s="290"/>
      <c r="BY61" s="291"/>
      <c r="BZ61" s="288"/>
      <c r="CA61" s="289"/>
      <c r="CB61" s="290"/>
      <c r="CC61" s="291"/>
      <c r="CD61" s="288"/>
      <c r="CE61" s="289"/>
      <c r="CF61" s="290"/>
      <c r="CG61" s="291"/>
      <c r="CH61" s="288"/>
      <c r="CI61" s="289"/>
      <c r="CJ61" s="290"/>
      <c r="CK61" s="291"/>
      <c r="CL61" s="288"/>
      <c r="CM61" s="289"/>
      <c r="CN61" s="290"/>
      <c r="CO61" s="291"/>
      <c r="CP61" s="288"/>
      <c r="CQ61" s="289"/>
      <c r="CR61" s="290"/>
      <c r="CS61" s="291"/>
      <c r="CT61" s="288"/>
      <c r="CU61" s="289"/>
      <c r="CV61" s="290"/>
      <c r="CW61" s="291"/>
      <c r="CX61" s="288"/>
      <c r="CY61" s="289"/>
      <c r="CZ61" s="290"/>
      <c r="DA61" s="291"/>
      <c r="DB61" s="288"/>
      <c r="DC61" s="289"/>
      <c r="DD61" s="290"/>
      <c r="DE61" s="291"/>
      <c r="DF61" s="288"/>
      <c r="DG61" s="289"/>
      <c r="DH61" s="290"/>
      <c r="DI61" s="291"/>
      <c r="DJ61" s="288"/>
      <c r="DK61" s="289"/>
      <c r="DL61" s="290"/>
      <c r="DM61" s="291"/>
      <c r="DN61" s="288"/>
      <c r="DO61" s="289"/>
      <c r="DP61" s="290"/>
      <c r="DQ61" s="291"/>
      <c r="DR61" s="288"/>
      <c r="DS61" s="289"/>
      <c r="DT61" s="290"/>
      <c r="DU61" s="291"/>
      <c r="DV61" s="288"/>
      <c r="DW61" s="289"/>
      <c r="DX61" s="290"/>
      <c r="DY61" s="291"/>
      <c r="DZ61" s="288"/>
      <c r="EA61" s="289"/>
      <c r="EB61" s="290"/>
      <c r="EC61" s="291"/>
    </row>
    <row x14ac:dyDescent="0.25" r="62" customHeight="1" ht="17.25">
      <c r="A62" s="1"/>
      <c r="B62" s="288"/>
      <c r="C62" s="289"/>
      <c r="D62" s="290"/>
      <c r="E62" s="291"/>
      <c r="F62" s="288"/>
      <c r="G62" s="289"/>
      <c r="H62" s="290"/>
      <c r="I62" s="291"/>
      <c r="J62" s="288"/>
      <c r="K62" s="289"/>
      <c r="L62" s="290"/>
      <c r="M62" s="291"/>
      <c r="N62" s="288"/>
      <c r="O62" s="289"/>
      <c r="P62" s="290"/>
      <c r="Q62" s="291"/>
      <c r="R62" s="288"/>
      <c r="S62" s="289"/>
      <c r="T62" s="290"/>
      <c r="U62" s="291"/>
      <c r="V62" s="288"/>
      <c r="W62" s="289"/>
      <c r="X62" s="290"/>
      <c r="Y62" s="291"/>
      <c r="Z62" s="288"/>
      <c r="AA62" s="289"/>
      <c r="AB62" s="290"/>
      <c r="AC62" s="291"/>
      <c r="AD62" s="288"/>
      <c r="AE62" s="289"/>
      <c r="AF62" s="290"/>
      <c r="AG62" s="291"/>
      <c r="AH62" s="288"/>
      <c r="AI62" s="289"/>
      <c r="AJ62" s="290"/>
      <c r="AK62" s="291"/>
      <c r="AL62" s="288">
        <v>56</v>
      </c>
      <c r="AM62" s="289">
        <v>13</v>
      </c>
      <c r="AN62" s="290"/>
      <c r="AO62" s="291"/>
      <c r="AP62" s="288"/>
      <c r="AQ62" s="289"/>
      <c r="AR62" s="290"/>
      <c r="AS62" s="291"/>
      <c r="AT62" s="288">
        <v>56</v>
      </c>
      <c r="AU62" s="289">
        <v>12</v>
      </c>
      <c r="AV62" s="290"/>
      <c r="AW62" s="291"/>
      <c r="AX62" s="288"/>
      <c r="AY62" s="289"/>
      <c r="AZ62" s="290"/>
      <c r="BA62" s="291"/>
      <c r="BB62" s="288"/>
      <c r="BC62" s="289"/>
      <c r="BD62" s="290"/>
      <c r="BE62" s="291"/>
      <c r="BF62" s="288"/>
      <c r="BG62" s="289"/>
      <c r="BH62" s="290"/>
      <c r="BI62" s="291"/>
      <c r="BJ62" s="288"/>
      <c r="BK62" s="289"/>
      <c r="BL62" s="290"/>
      <c r="BM62" s="291"/>
      <c r="BN62" s="288"/>
      <c r="BO62" s="289"/>
      <c r="BP62" s="290"/>
      <c r="BQ62" s="291"/>
      <c r="BR62" s="288"/>
      <c r="BS62" s="289"/>
      <c r="BT62" s="290"/>
      <c r="BU62" s="291"/>
      <c r="BV62" s="288"/>
      <c r="BW62" s="289"/>
      <c r="BX62" s="290"/>
      <c r="BY62" s="291"/>
      <c r="BZ62" s="288"/>
      <c r="CA62" s="289"/>
      <c r="CB62" s="290"/>
      <c r="CC62" s="291"/>
      <c r="CD62" s="288"/>
      <c r="CE62" s="289"/>
      <c r="CF62" s="290"/>
      <c r="CG62" s="291"/>
      <c r="CH62" s="288"/>
      <c r="CI62" s="289"/>
      <c r="CJ62" s="290"/>
      <c r="CK62" s="291"/>
      <c r="CL62" s="288"/>
      <c r="CM62" s="289"/>
      <c r="CN62" s="290"/>
      <c r="CO62" s="291"/>
      <c r="CP62" s="288"/>
      <c r="CQ62" s="289"/>
      <c r="CR62" s="290"/>
      <c r="CS62" s="291"/>
      <c r="CT62" s="288"/>
      <c r="CU62" s="289"/>
      <c r="CV62" s="290"/>
      <c r="CW62" s="291"/>
      <c r="CX62" s="288"/>
      <c r="CY62" s="289"/>
      <c r="CZ62" s="290"/>
      <c r="DA62" s="291"/>
      <c r="DB62" s="288"/>
      <c r="DC62" s="289"/>
      <c r="DD62" s="290"/>
      <c r="DE62" s="291"/>
      <c r="DF62" s="288"/>
      <c r="DG62" s="289"/>
      <c r="DH62" s="290"/>
      <c r="DI62" s="291"/>
      <c r="DJ62" s="288"/>
      <c r="DK62" s="289"/>
      <c r="DL62" s="290"/>
      <c r="DM62" s="291"/>
      <c r="DN62" s="288"/>
      <c r="DO62" s="289"/>
      <c r="DP62" s="290"/>
      <c r="DQ62" s="291"/>
      <c r="DR62" s="288"/>
      <c r="DS62" s="289"/>
      <c r="DT62" s="290"/>
      <c r="DU62" s="291"/>
      <c r="DV62" s="288"/>
      <c r="DW62" s="289"/>
      <c r="DX62" s="290"/>
      <c r="DY62" s="291"/>
      <c r="DZ62" s="288"/>
      <c r="EA62" s="289"/>
      <c r="EB62" s="290"/>
      <c r="EC62" s="291"/>
    </row>
    <row x14ac:dyDescent="0.25" r="63" customHeight="1" ht="17.25">
      <c r="A63" s="1"/>
      <c r="B63" s="288"/>
      <c r="C63" s="289"/>
      <c r="D63" s="290"/>
      <c r="E63" s="291"/>
      <c r="F63" s="288"/>
      <c r="G63" s="289"/>
      <c r="H63" s="290"/>
      <c r="I63" s="291"/>
      <c r="J63" s="288"/>
      <c r="K63" s="289"/>
      <c r="L63" s="290"/>
      <c r="M63" s="291"/>
      <c r="N63" s="288"/>
      <c r="O63" s="289"/>
      <c r="P63" s="290"/>
      <c r="Q63" s="291"/>
      <c r="R63" s="288"/>
      <c r="S63" s="289"/>
      <c r="T63" s="290"/>
      <c r="U63" s="291"/>
      <c r="V63" s="288"/>
      <c r="W63" s="289"/>
      <c r="X63" s="290"/>
      <c r="Y63" s="291"/>
      <c r="Z63" s="288"/>
      <c r="AA63" s="289"/>
      <c r="AB63" s="290"/>
      <c r="AC63" s="291"/>
      <c r="AD63" s="288"/>
      <c r="AE63" s="289"/>
      <c r="AF63" s="290"/>
      <c r="AG63" s="291"/>
      <c r="AH63" s="288"/>
      <c r="AI63" s="289"/>
      <c r="AJ63" s="290"/>
      <c r="AK63" s="291"/>
      <c r="AL63" s="288">
        <v>57</v>
      </c>
      <c r="AM63" s="289">
        <v>11</v>
      </c>
      <c r="AN63" s="290"/>
      <c r="AO63" s="291"/>
      <c r="AP63" s="288"/>
      <c r="AQ63" s="289"/>
      <c r="AR63" s="290"/>
      <c r="AS63" s="291"/>
      <c r="AT63" s="288">
        <v>57</v>
      </c>
      <c r="AU63" s="289">
        <v>21</v>
      </c>
      <c r="AV63" s="290"/>
      <c r="AW63" s="291"/>
      <c r="AX63" s="288"/>
      <c r="AY63" s="289"/>
      <c r="AZ63" s="290"/>
      <c r="BA63" s="291"/>
      <c r="BB63" s="288"/>
      <c r="BC63" s="289"/>
      <c r="BD63" s="290"/>
      <c r="BE63" s="291"/>
      <c r="BF63" s="288"/>
      <c r="BG63" s="289"/>
      <c r="BH63" s="290"/>
      <c r="BI63" s="291"/>
      <c r="BJ63" s="288"/>
      <c r="BK63" s="289"/>
      <c r="BL63" s="290"/>
      <c r="BM63" s="291"/>
      <c r="BN63" s="288"/>
      <c r="BO63" s="289"/>
      <c r="BP63" s="290"/>
      <c r="BQ63" s="291"/>
      <c r="BR63" s="288"/>
      <c r="BS63" s="289"/>
      <c r="BT63" s="290"/>
      <c r="BU63" s="291"/>
      <c r="BV63" s="288"/>
      <c r="BW63" s="289"/>
      <c r="BX63" s="290"/>
      <c r="BY63" s="291"/>
      <c r="BZ63" s="288"/>
      <c r="CA63" s="289"/>
      <c r="CB63" s="290"/>
      <c r="CC63" s="291"/>
      <c r="CD63" s="288"/>
      <c r="CE63" s="289"/>
      <c r="CF63" s="290"/>
      <c r="CG63" s="291"/>
      <c r="CH63" s="288"/>
      <c r="CI63" s="289"/>
      <c r="CJ63" s="290"/>
      <c r="CK63" s="291"/>
      <c r="CL63" s="288"/>
      <c r="CM63" s="289"/>
      <c r="CN63" s="290"/>
      <c r="CO63" s="291"/>
      <c r="CP63" s="288"/>
      <c r="CQ63" s="289"/>
      <c r="CR63" s="290"/>
      <c r="CS63" s="291"/>
      <c r="CT63" s="288"/>
      <c r="CU63" s="289"/>
      <c r="CV63" s="290"/>
      <c r="CW63" s="291"/>
      <c r="CX63" s="288"/>
      <c r="CY63" s="289"/>
      <c r="CZ63" s="290"/>
      <c r="DA63" s="291"/>
      <c r="DB63" s="288"/>
      <c r="DC63" s="289"/>
      <c r="DD63" s="290"/>
      <c r="DE63" s="291"/>
      <c r="DF63" s="288"/>
      <c r="DG63" s="289"/>
      <c r="DH63" s="290"/>
      <c r="DI63" s="291"/>
      <c r="DJ63" s="288"/>
      <c r="DK63" s="289"/>
      <c r="DL63" s="290"/>
      <c r="DM63" s="291"/>
      <c r="DN63" s="288"/>
      <c r="DO63" s="289"/>
      <c r="DP63" s="290"/>
      <c r="DQ63" s="291"/>
      <c r="DR63" s="288"/>
      <c r="DS63" s="289"/>
      <c r="DT63" s="290"/>
      <c r="DU63" s="291"/>
      <c r="DV63" s="288"/>
      <c r="DW63" s="289"/>
      <c r="DX63" s="290"/>
      <c r="DY63" s="291"/>
      <c r="DZ63" s="288"/>
      <c r="EA63" s="289"/>
      <c r="EB63" s="290"/>
      <c r="EC63" s="291"/>
    </row>
    <row x14ac:dyDescent="0.25" r="64" customHeight="1" ht="17.25">
      <c r="A64" s="1"/>
      <c r="B64" s="288"/>
      <c r="C64" s="289"/>
      <c r="D64" s="290"/>
      <c r="E64" s="291"/>
      <c r="F64" s="288"/>
      <c r="G64" s="289"/>
      <c r="H64" s="290"/>
      <c r="I64" s="291"/>
      <c r="J64" s="288"/>
      <c r="K64" s="289"/>
      <c r="L64" s="290"/>
      <c r="M64" s="291"/>
      <c r="N64" s="288"/>
      <c r="O64" s="289"/>
      <c r="P64" s="290"/>
      <c r="Q64" s="291"/>
      <c r="R64" s="288"/>
      <c r="S64" s="289"/>
      <c r="T64" s="290"/>
      <c r="U64" s="291"/>
      <c r="V64" s="288"/>
      <c r="W64" s="289"/>
      <c r="X64" s="290"/>
      <c r="Y64" s="291"/>
      <c r="Z64" s="288"/>
      <c r="AA64" s="289"/>
      <c r="AB64" s="290"/>
      <c r="AC64" s="291"/>
      <c r="AD64" s="288"/>
      <c r="AE64" s="289"/>
      <c r="AF64" s="290"/>
      <c r="AG64" s="291"/>
      <c r="AH64" s="288"/>
      <c r="AI64" s="289"/>
      <c r="AJ64" s="290"/>
      <c r="AK64" s="291"/>
      <c r="AL64" s="288">
        <v>58</v>
      </c>
      <c r="AM64" s="289">
        <v>11</v>
      </c>
      <c r="AN64" s="290"/>
      <c r="AO64" s="291"/>
      <c r="AP64" s="288"/>
      <c r="AQ64" s="289"/>
      <c r="AR64" s="290"/>
      <c r="AS64" s="291"/>
      <c r="AT64" s="288">
        <v>58</v>
      </c>
      <c r="AU64" s="289">
        <v>14</v>
      </c>
      <c r="AV64" s="290"/>
      <c r="AW64" s="291"/>
      <c r="AX64" s="288"/>
      <c r="AY64" s="289"/>
      <c r="AZ64" s="290"/>
      <c r="BA64" s="291"/>
      <c r="BB64" s="288"/>
      <c r="BC64" s="289"/>
      <c r="BD64" s="290"/>
      <c r="BE64" s="291"/>
      <c r="BF64" s="288"/>
      <c r="BG64" s="289"/>
      <c r="BH64" s="290"/>
      <c r="BI64" s="291"/>
      <c r="BJ64" s="288"/>
      <c r="BK64" s="289"/>
      <c r="BL64" s="290"/>
      <c r="BM64" s="291"/>
      <c r="BN64" s="288"/>
      <c r="BO64" s="289"/>
      <c r="BP64" s="290"/>
      <c r="BQ64" s="291"/>
      <c r="BR64" s="288"/>
      <c r="BS64" s="289"/>
      <c r="BT64" s="290"/>
      <c r="BU64" s="291"/>
      <c r="BV64" s="288"/>
      <c r="BW64" s="289"/>
      <c r="BX64" s="290"/>
      <c r="BY64" s="291"/>
      <c r="BZ64" s="288"/>
      <c r="CA64" s="289"/>
      <c r="CB64" s="290"/>
      <c r="CC64" s="291"/>
      <c r="CD64" s="288"/>
      <c r="CE64" s="289"/>
      <c r="CF64" s="290"/>
      <c r="CG64" s="291"/>
      <c r="CH64" s="288"/>
      <c r="CI64" s="289"/>
      <c r="CJ64" s="290"/>
      <c r="CK64" s="291"/>
      <c r="CL64" s="288"/>
      <c r="CM64" s="289"/>
      <c r="CN64" s="290"/>
      <c r="CO64" s="291"/>
      <c r="CP64" s="288"/>
      <c r="CQ64" s="289"/>
      <c r="CR64" s="290"/>
      <c r="CS64" s="291"/>
      <c r="CT64" s="288"/>
      <c r="CU64" s="289"/>
      <c r="CV64" s="290"/>
      <c r="CW64" s="291"/>
      <c r="CX64" s="288"/>
      <c r="CY64" s="289"/>
      <c r="CZ64" s="290"/>
      <c r="DA64" s="291"/>
      <c r="DB64" s="288"/>
      <c r="DC64" s="289"/>
      <c r="DD64" s="290"/>
      <c r="DE64" s="291"/>
      <c r="DF64" s="288"/>
      <c r="DG64" s="289"/>
      <c r="DH64" s="290"/>
      <c r="DI64" s="291"/>
      <c r="DJ64" s="288"/>
      <c r="DK64" s="289"/>
      <c r="DL64" s="290"/>
      <c r="DM64" s="291"/>
      <c r="DN64" s="288"/>
      <c r="DO64" s="289"/>
      <c r="DP64" s="290"/>
      <c r="DQ64" s="291"/>
      <c r="DR64" s="288"/>
      <c r="DS64" s="289"/>
      <c r="DT64" s="290"/>
      <c r="DU64" s="291"/>
      <c r="DV64" s="288"/>
      <c r="DW64" s="289"/>
      <c r="DX64" s="290"/>
      <c r="DY64" s="291"/>
      <c r="DZ64" s="288"/>
      <c r="EA64" s="289"/>
      <c r="EB64" s="290"/>
      <c r="EC64" s="291"/>
    </row>
    <row x14ac:dyDescent="0.25" r="65" customHeight="1" ht="17.25">
      <c r="A65" s="1"/>
      <c r="B65" s="288"/>
      <c r="C65" s="289"/>
      <c r="D65" s="290"/>
      <c r="E65" s="291"/>
      <c r="F65" s="288"/>
      <c r="G65" s="289"/>
      <c r="H65" s="290"/>
      <c r="I65" s="291"/>
      <c r="J65" s="288"/>
      <c r="K65" s="289"/>
      <c r="L65" s="290"/>
      <c r="M65" s="291"/>
      <c r="N65" s="288"/>
      <c r="O65" s="289"/>
      <c r="P65" s="290"/>
      <c r="Q65" s="291"/>
      <c r="R65" s="288"/>
      <c r="S65" s="289"/>
      <c r="T65" s="290"/>
      <c r="U65" s="291"/>
      <c r="V65" s="288"/>
      <c r="W65" s="289"/>
      <c r="X65" s="290"/>
      <c r="Y65" s="291"/>
      <c r="Z65" s="288"/>
      <c r="AA65" s="289"/>
      <c r="AB65" s="290"/>
      <c r="AC65" s="291"/>
      <c r="AD65" s="288"/>
      <c r="AE65" s="289"/>
      <c r="AF65" s="290"/>
      <c r="AG65" s="291"/>
      <c r="AH65" s="288"/>
      <c r="AI65" s="289"/>
      <c r="AJ65" s="290"/>
      <c r="AK65" s="291"/>
      <c r="AL65" s="288">
        <v>59</v>
      </c>
      <c r="AM65" s="289">
        <v>17</v>
      </c>
      <c r="AN65" s="290"/>
      <c r="AO65" s="291"/>
      <c r="AP65" s="288"/>
      <c r="AQ65" s="289"/>
      <c r="AR65" s="290"/>
      <c r="AS65" s="291"/>
      <c r="AT65" s="288">
        <v>59</v>
      </c>
      <c r="AU65" s="289">
        <v>21</v>
      </c>
      <c r="AV65" s="290"/>
      <c r="AW65" s="291"/>
      <c r="AX65" s="288"/>
      <c r="AY65" s="289"/>
      <c r="AZ65" s="290"/>
      <c r="BA65" s="291"/>
      <c r="BB65" s="288"/>
      <c r="BC65" s="289"/>
      <c r="BD65" s="290"/>
      <c r="BE65" s="291"/>
      <c r="BF65" s="288"/>
      <c r="BG65" s="289"/>
      <c r="BH65" s="290"/>
      <c r="BI65" s="291"/>
      <c r="BJ65" s="288"/>
      <c r="BK65" s="289"/>
      <c r="BL65" s="290"/>
      <c r="BM65" s="291"/>
      <c r="BN65" s="288"/>
      <c r="BO65" s="289"/>
      <c r="BP65" s="290"/>
      <c r="BQ65" s="291"/>
      <c r="BR65" s="288"/>
      <c r="BS65" s="289"/>
      <c r="BT65" s="290"/>
      <c r="BU65" s="291"/>
      <c r="BV65" s="288"/>
      <c r="BW65" s="289"/>
      <c r="BX65" s="290"/>
      <c r="BY65" s="291"/>
      <c r="BZ65" s="288"/>
      <c r="CA65" s="289"/>
      <c r="CB65" s="290"/>
      <c r="CC65" s="291"/>
      <c r="CD65" s="288"/>
      <c r="CE65" s="289"/>
      <c r="CF65" s="290"/>
      <c r="CG65" s="291"/>
      <c r="CH65" s="288"/>
      <c r="CI65" s="289"/>
      <c r="CJ65" s="290"/>
      <c r="CK65" s="291"/>
      <c r="CL65" s="288"/>
      <c r="CM65" s="289"/>
      <c r="CN65" s="290"/>
      <c r="CO65" s="291"/>
      <c r="CP65" s="288"/>
      <c r="CQ65" s="289"/>
      <c r="CR65" s="290"/>
      <c r="CS65" s="291"/>
      <c r="CT65" s="288"/>
      <c r="CU65" s="289"/>
      <c r="CV65" s="290"/>
      <c r="CW65" s="291"/>
      <c r="CX65" s="288"/>
      <c r="CY65" s="289"/>
      <c r="CZ65" s="290"/>
      <c r="DA65" s="291"/>
      <c r="DB65" s="288"/>
      <c r="DC65" s="289"/>
      <c r="DD65" s="290"/>
      <c r="DE65" s="291"/>
      <c r="DF65" s="288"/>
      <c r="DG65" s="289"/>
      <c r="DH65" s="290"/>
      <c r="DI65" s="291"/>
      <c r="DJ65" s="288"/>
      <c r="DK65" s="289"/>
      <c r="DL65" s="290"/>
      <c r="DM65" s="291"/>
      <c r="DN65" s="288"/>
      <c r="DO65" s="289"/>
      <c r="DP65" s="290"/>
      <c r="DQ65" s="291"/>
      <c r="DR65" s="288"/>
      <c r="DS65" s="289"/>
      <c r="DT65" s="290"/>
      <c r="DU65" s="291"/>
      <c r="DV65" s="288"/>
      <c r="DW65" s="289"/>
      <c r="DX65" s="290"/>
      <c r="DY65" s="291"/>
      <c r="DZ65" s="288"/>
      <c r="EA65" s="289"/>
      <c r="EB65" s="290"/>
      <c r="EC65" s="291"/>
    </row>
    <row x14ac:dyDescent="0.25" r="66" customHeight="1" ht="17.25">
      <c r="A66" s="1"/>
      <c r="B66" s="288"/>
      <c r="C66" s="289"/>
      <c r="D66" s="290"/>
      <c r="E66" s="291"/>
      <c r="F66" s="288"/>
      <c r="G66" s="289"/>
      <c r="H66" s="290"/>
      <c r="I66" s="291"/>
      <c r="J66" s="288"/>
      <c r="K66" s="289"/>
      <c r="L66" s="290"/>
      <c r="M66" s="291"/>
      <c r="N66" s="288"/>
      <c r="O66" s="289"/>
      <c r="P66" s="290"/>
      <c r="Q66" s="291"/>
      <c r="R66" s="288"/>
      <c r="S66" s="289"/>
      <c r="T66" s="290"/>
      <c r="U66" s="291"/>
      <c r="V66" s="288"/>
      <c r="W66" s="289"/>
      <c r="X66" s="290"/>
      <c r="Y66" s="291"/>
      <c r="Z66" s="288"/>
      <c r="AA66" s="289"/>
      <c r="AB66" s="290"/>
      <c r="AC66" s="291"/>
      <c r="AD66" s="288"/>
      <c r="AE66" s="289"/>
      <c r="AF66" s="290"/>
      <c r="AG66" s="291"/>
      <c r="AH66" s="288"/>
      <c r="AI66" s="289"/>
      <c r="AJ66" s="290"/>
      <c r="AK66" s="291"/>
      <c r="AL66" s="288">
        <v>60</v>
      </c>
      <c r="AM66" s="289">
        <v>12</v>
      </c>
      <c r="AN66" s="290"/>
      <c r="AO66" s="291"/>
      <c r="AP66" s="288"/>
      <c r="AQ66" s="289"/>
      <c r="AR66" s="290"/>
      <c r="AS66" s="291"/>
      <c r="AT66" s="288">
        <v>60</v>
      </c>
      <c r="AU66" s="289">
        <v>22</v>
      </c>
      <c r="AV66" s="290"/>
      <c r="AW66" s="291"/>
      <c r="AX66" s="288"/>
      <c r="AY66" s="289"/>
      <c r="AZ66" s="290"/>
      <c r="BA66" s="291"/>
      <c r="BB66" s="288"/>
      <c r="BC66" s="289"/>
      <c r="BD66" s="290"/>
      <c r="BE66" s="291"/>
      <c r="BF66" s="288"/>
      <c r="BG66" s="289"/>
      <c r="BH66" s="290"/>
      <c r="BI66" s="291"/>
      <c r="BJ66" s="288"/>
      <c r="BK66" s="289"/>
      <c r="BL66" s="290"/>
      <c r="BM66" s="291"/>
      <c r="BN66" s="288"/>
      <c r="BO66" s="289"/>
      <c r="BP66" s="290"/>
      <c r="BQ66" s="291"/>
      <c r="BR66" s="288"/>
      <c r="BS66" s="289"/>
      <c r="BT66" s="290"/>
      <c r="BU66" s="291"/>
      <c r="BV66" s="288"/>
      <c r="BW66" s="289"/>
      <c r="BX66" s="290"/>
      <c r="BY66" s="291"/>
      <c r="BZ66" s="288"/>
      <c r="CA66" s="289"/>
      <c r="CB66" s="290"/>
      <c r="CC66" s="291"/>
      <c r="CD66" s="288"/>
      <c r="CE66" s="289"/>
      <c r="CF66" s="290"/>
      <c r="CG66" s="291"/>
      <c r="CH66" s="288"/>
      <c r="CI66" s="289"/>
      <c r="CJ66" s="290"/>
      <c r="CK66" s="291"/>
      <c r="CL66" s="288"/>
      <c r="CM66" s="289"/>
      <c r="CN66" s="290"/>
      <c r="CO66" s="291"/>
      <c r="CP66" s="288"/>
      <c r="CQ66" s="289"/>
      <c r="CR66" s="290"/>
      <c r="CS66" s="291"/>
      <c r="CT66" s="288"/>
      <c r="CU66" s="289"/>
      <c r="CV66" s="290"/>
      <c r="CW66" s="291"/>
      <c r="CX66" s="288"/>
      <c r="CY66" s="289"/>
      <c r="CZ66" s="290"/>
      <c r="DA66" s="291"/>
      <c r="DB66" s="288"/>
      <c r="DC66" s="289"/>
      <c r="DD66" s="290"/>
      <c r="DE66" s="291"/>
      <c r="DF66" s="288"/>
      <c r="DG66" s="289"/>
      <c r="DH66" s="290"/>
      <c r="DI66" s="291"/>
      <c r="DJ66" s="288"/>
      <c r="DK66" s="289"/>
      <c r="DL66" s="290"/>
      <c r="DM66" s="291"/>
      <c r="DN66" s="288"/>
      <c r="DO66" s="289"/>
      <c r="DP66" s="290"/>
      <c r="DQ66" s="291"/>
      <c r="DR66" s="288"/>
      <c r="DS66" s="289"/>
      <c r="DT66" s="290"/>
      <c r="DU66" s="291"/>
      <c r="DV66" s="288"/>
      <c r="DW66" s="289"/>
      <c r="DX66" s="290"/>
      <c r="DY66" s="291"/>
      <c r="DZ66" s="288"/>
      <c r="EA66" s="289"/>
      <c r="EB66" s="290"/>
      <c r="EC66" s="291"/>
    </row>
    <row x14ac:dyDescent="0.25" r="67" customHeight="1" ht="17.25">
      <c r="A67" s="1"/>
      <c r="B67" s="288"/>
      <c r="C67" s="289"/>
      <c r="D67" s="290"/>
      <c r="E67" s="291"/>
      <c r="F67" s="288"/>
      <c r="G67" s="289"/>
      <c r="H67" s="290"/>
      <c r="I67" s="291"/>
      <c r="J67" s="288"/>
      <c r="K67" s="289"/>
      <c r="L67" s="290"/>
      <c r="M67" s="291"/>
      <c r="N67" s="288"/>
      <c r="O67" s="289"/>
      <c r="P67" s="290"/>
      <c r="Q67" s="291"/>
      <c r="R67" s="288"/>
      <c r="S67" s="289"/>
      <c r="T67" s="290"/>
      <c r="U67" s="291"/>
      <c r="V67" s="288"/>
      <c r="W67" s="289"/>
      <c r="X67" s="290"/>
      <c r="Y67" s="291"/>
      <c r="Z67" s="288"/>
      <c r="AA67" s="289"/>
      <c r="AB67" s="290"/>
      <c r="AC67" s="291"/>
      <c r="AD67" s="288"/>
      <c r="AE67" s="289"/>
      <c r="AF67" s="290"/>
      <c r="AG67" s="291"/>
      <c r="AH67" s="288"/>
      <c r="AI67" s="289"/>
      <c r="AJ67" s="290"/>
      <c r="AK67" s="291"/>
      <c r="AL67" s="288">
        <v>61</v>
      </c>
      <c r="AM67" s="289">
        <v>8</v>
      </c>
      <c r="AN67" s="290"/>
      <c r="AO67" s="291"/>
      <c r="AP67" s="288"/>
      <c r="AQ67" s="289"/>
      <c r="AR67" s="290"/>
      <c r="AS67" s="291"/>
      <c r="AT67" s="288">
        <v>61</v>
      </c>
      <c r="AU67" s="289">
        <v>11</v>
      </c>
      <c r="AV67" s="290"/>
      <c r="AW67" s="291"/>
      <c r="AX67" s="288"/>
      <c r="AY67" s="289"/>
      <c r="AZ67" s="290"/>
      <c r="BA67" s="291"/>
      <c r="BB67" s="288"/>
      <c r="BC67" s="289"/>
      <c r="BD67" s="290"/>
      <c r="BE67" s="291"/>
      <c r="BF67" s="288"/>
      <c r="BG67" s="289"/>
      <c r="BH67" s="290"/>
      <c r="BI67" s="291"/>
      <c r="BJ67" s="288"/>
      <c r="BK67" s="289"/>
      <c r="BL67" s="290"/>
      <c r="BM67" s="291"/>
      <c r="BN67" s="288"/>
      <c r="BO67" s="289"/>
      <c r="BP67" s="290"/>
      <c r="BQ67" s="291"/>
      <c r="BR67" s="288"/>
      <c r="BS67" s="289"/>
      <c r="BT67" s="290"/>
      <c r="BU67" s="291"/>
      <c r="BV67" s="288"/>
      <c r="BW67" s="289"/>
      <c r="BX67" s="290"/>
      <c r="BY67" s="291"/>
      <c r="BZ67" s="288"/>
      <c r="CA67" s="289"/>
      <c r="CB67" s="290"/>
      <c r="CC67" s="291"/>
      <c r="CD67" s="288"/>
      <c r="CE67" s="289"/>
      <c r="CF67" s="290"/>
      <c r="CG67" s="291"/>
      <c r="CH67" s="288"/>
      <c r="CI67" s="289"/>
      <c r="CJ67" s="290"/>
      <c r="CK67" s="291"/>
      <c r="CL67" s="288"/>
      <c r="CM67" s="289"/>
      <c r="CN67" s="290"/>
      <c r="CO67" s="291"/>
      <c r="CP67" s="288"/>
      <c r="CQ67" s="289"/>
      <c r="CR67" s="290"/>
      <c r="CS67" s="291"/>
      <c r="CT67" s="288"/>
      <c r="CU67" s="289"/>
      <c r="CV67" s="290"/>
      <c r="CW67" s="291"/>
      <c r="CX67" s="288"/>
      <c r="CY67" s="289"/>
      <c r="CZ67" s="290"/>
      <c r="DA67" s="291"/>
      <c r="DB67" s="288"/>
      <c r="DC67" s="289"/>
      <c r="DD67" s="290"/>
      <c r="DE67" s="291"/>
      <c r="DF67" s="288"/>
      <c r="DG67" s="289"/>
      <c r="DH67" s="290"/>
      <c r="DI67" s="291"/>
      <c r="DJ67" s="288"/>
      <c r="DK67" s="289"/>
      <c r="DL67" s="290"/>
      <c r="DM67" s="291"/>
      <c r="DN67" s="288"/>
      <c r="DO67" s="289"/>
      <c r="DP67" s="290"/>
      <c r="DQ67" s="291"/>
      <c r="DR67" s="288"/>
      <c r="DS67" s="289"/>
      <c r="DT67" s="290"/>
      <c r="DU67" s="291"/>
      <c r="DV67" s="288"/>
      <c r="DW67" s="289"/>
      <c r="DX67" s="290"/>
      <c r="DY67" s="291"/>
      <c r="DZ67" s="288"/>
      <c r="EA67" s="289"/>
      <c r="EB67" s="290"/>
      <c r="EC67" s="291"/>
    </row>
    <row x14ac:dyDescent="0.25" r="68" customHeight="1" ht="17.25">
      <c r="A68" s="1"/>
      <c r="B68" s="288"/>
      <c r="C68" s="289"/>
      <c r="D68" s="290"/>
      <c r="E68" s="291"/>
      <c r="F68" s="288"/>
      <c r="G68" s="289"/>
      <c r="H68" s="290"/>
      <c r="I68" s="291"/>
      <c r="J68" s="288"/>
      <c r="K68" s="289"/>
      <c r="L68" s="290"/>
      <c r="M68" s="291"/>
      <c r="N68" s="288"/>
      <c r="O68" s="289"/>
      <c r="P68" s="290"/>
      <c r="Q68" s="291"/>
      <c r="R68" s="288"/>
      <c r="S68" s="289"/>
      <c r="T68" s="290"/>
      <c r="U68" s="291"/>
      <c r="V68" s="288"/>
      <c r="W68" s="289"/>
      <c r="X68" s="290"/>
      <c r="Y68" s="291"/>
      <c r="Z68" s="288"/>
      <c r="AA68" s="289"/>
      <c r="AB68" s="290"/>
      <c r="AC68" s="291"/>
      <c r="AD68" s="288"/>
      <c r="AE68" s="289"/>
      <c r="AF68" s="290"/>
      <c r="AG68" s="291"/>
      <c r="AH68" s="288"/>
      <c r="AI68" s="289"/>
      <c r="AJ68" s="290"/>
      <c r="AK68" s="291"/>
      <c r="AL68" s="288">
        <v>62</v>
      </c>
      <c r="AM68" s="289">
        <v>12</v>
      </c>
      <c r="AN68" s="290"/>
      <c r="AO68" s="291"/>
      <c r="AP68" s="288"/>
      <c r="AQ68" s="289"/>
      <c r="AR68" s="290"/>
      <c r="AS68" s="291"/>
      <c r="AT68" s="288">
        <v>62</v>
      </c>
      <c r="AU68" s="289">
        <v>12</v>
      </c>
      <c r="AV68" s="290"/>
      <c r="AW68" s="291"/>
      <c r="AX68" s="288"/>
      <c r="AY68" s="289"/>
      <c r="AZ68" s="290"/>
      <c r="BA68" s="291"/>
      <c r="BB68" s="288"/>
      <c r="BC68" s="289"/>
      <c r="BD68" s="290"/>
      <c r="BE68" s="291"/>
      <c r="BF68" s="288"/>
      <c r="BG68" s="289"/>
      <c r="BH68" s="290"/>
      <c r="BI68" s="291"/>
      <c r="BJ68" s="288"/>
      <c r="BK68" s="289"/>
      <c r="BL68" s="290"/>
      <c r="BM68" s="291"/>
      <c r="BN68" s="288"/>
      <c r="BO68" s="289"/>
      <c r="BP68" s="290"/>
      <c r="BQ68" s="291"/>
      <c r="BR68" s="288"/>
      <c r="BS68" s="289"/>
      <c r="BT68" s="290"/>
      <c r="BU68" s="291"/>
      <c r="BV68" s="288"/>
      <c r="BW68" s="289"/>
      <c r="BX68" s="290"/>
      <c r="BY68" s="291"/>
      <c r="BZ68" s="288"/>
      <c r="CA68" s="289"/>
      <c r="CB68" s="290"/>
      <c r="CC68" s="291"/>
      <c r="CD68" s="288"/>
      <c r="CE68" s="289"/>
      <c r="CF68" s="290"/>
      <c r="CG68" s="291"/>
      <c r="CH68" s="288"/>
      <c r="CI68" s="289"/>
      <c r="CJ68" s="290"/>
      <c r="CK68" s="291"/>
      <c r="CL68" s="288"/>
      <c r="CM68" s="289"/>
      <c r="CN68" s="290"/>
      <c r="CO68" s="291"/>
      <c r="CP68" s="288"/>
      <c r="CQ68" s="289"/>
      <c r="CR68" s="290"/>
      <c r="CS68" s="291"/>
      <c r="CT68" s="288"/>
      <c r="CU68" s="289"/>
      <c r="CV68" s="290"/>
      <c r="CW68" s="291"/>
      <c r="CX68" s="288"/>
      <c r="CY68" s="289"/>
      <c r="CZ68" s="290"/>
      <c r="DA68" s="291"/>
      <c r="DB68" s="288"/>
      <c r="DC68" s="289"/>
      <c r="DD68" s="290"/>
      <c r="DE68" s="291"/>
      <c r="DF68" s="288"/>
      <c r="DG68" s="289"/>
      <c r="DH68" s="290"/>
      <c r="DI68" s="291"/>
      <c r="DJ68" s="288"/>
      <c r="DK68" s="289"/>
      <c r="DL68" s="290"/>
      <c r="DM68" s="291"/>
      <c r="DN68" s="288"/>
      <c r="DO68" s="289"/>
      <c r="DP68" s="290"/>
      <c r="DQ68" s="291"/>
      <c r="DR68" s="288"/>
      <c r="DS68" s="289"/>
      <c r="DT68" s="290"/>
      <c r="DU68" s="291"/>
      <c r="DV68" s="288"/>
      <c r="DW68" s="289"/>
      <c r="DX68" s="290"/>
      <c r="DY68" s="291"/>
      <c r="DZ68" s="288"/>
      <c r="EA68" s="289"/>
      <c r="EB68" s="290"/>
      <c r="EC68" s="291"/>
    </row>
    <row x14ac:dyDescent="0.25" r="69" customHeight="1" ht="17.25">
      <c r="A69" s="1"/>
      <c r="B69" s="288"/>
      <c r="C69" s="289"/>
      <c r="D69" s="290"/>
      <c r="E69" s="291"/>
      <c r="F69" s="288"/>
      <c r="G69" s="289"/>
      <c r="H69" s="290"/>
      <c r="I69" s="291"/>
      <c r="J69" s="288"/>
      <c r="K69" s="289"/>
      <c r="L69" s="290"/>
      <c r="M69" s="291"/>
      <c r="N69" s="288"/>
      <c r="O69" s="289"/>
      <c r="P69" s="290"/>
      <c r="Q69" s="291"/>
      <c r="R69" s="288"/>
      <c r="S69" s="289"/>
      <c r="T69" s="290"/>
      <c r="U69" s="291"/>
      <c r="V69" s="288"/>
      <c r="W69" s="289"/>
      <c r="X69" s="290"/>
      <c r="Y69" s="291"/>
      <c r="Z69" s="288"/>
      <c r="AA69" s="289"/>
      <c r="AB69" s="290"/>
      <c r="AC69" s="291"/>
      <c r="AD69" s="288"/>
      <c r="AE69" s="289"/>
      <c r="AF69" s="290"/>
      <c r="AG69" s="291"/>
      <c r="AH69" s="288"/>
      <c r="AI69" s="289"/>
      <c r="AJ69" s="290"/>
      <c r="AK69" s="291"/>
      <c r="AL69" s="288">
        <v>63</v>
      </c>
      <c r="AM69" s="289">
        <v>11</v>
      </c>
      <c r="AN69" s="290"/>
      <c r="AO69" s="291"/>
      <c r="AP69" s="288"/>
      <c r="AQ69" s="289"/>
      <c r="AR69" s="290"/>
      <c r="AS69" s="291"/>
      <c r="AT69" s="288">
        <v>63</v>
      </c>
      <c r="AU69" s="289">
        <v>19</v>
      </c>
      <c r="AV69" s="290"/>
      <c r="AW69" s="291"/>
      <c r="AX69" s="288"/>
      <c r="AY69" s="289"/>
      <c r="AZ69" s="290"/>
      <c r="BA69" s="291"/>
      <c r="BB69" s="288"/>
      <c r="BC69" s="289"/>
      <c r="BD69" s="290"/>
      <c r="BE69" s="291"/>
      <c r="BF69" s="288"/>
      <c r="BG69" s="289"/>
      <c r="BH69" s="290"/>
      <c r="BI69" s="291"/>
      <c r="BJ69" s="288"/>
      <c r="BK69" s="289"/>
      <c r="BL69" s="290"/>
      <c r="BM69" s="291"/>
      <c r="BN69" s="288"/>
      <c r="BO69" s="289"/>
      <c r="BP69" s="290"/>
      <c r="BQ69" s="291"/>
      <c r="BR69" s="288"/>
      <c r="BS69" s="289"/>
      <c r="BT69" s="290"/>
      <c r="BU69" s="291"/>
      <c r="BV69" s="288"/>
      <c r="BW69" s="289"/>
      <c r="BX69" s="290"/>
      <c r="BY69" s="291"/>
      <c r="BZ69" s="288"/>
      <c r="CA69" s="289"/>
      <c r="CB69" s="290"/>
      <c r="CC69" s="291"/>
      <c r="CD69" s="288"/>
      <c r="CE69" s="289"/>
      <c r="CF69" s="290"/>
      <c r="CG69" s="291"/>
      <c r="CH69" s="288"/>
      <c r="CI69" s="289"/>
      <c r="CJ69" s="290"/>
      <c r="CK69" s="291"/>
      <c r="CL69" s="288"/>
      <c r="CM69" s="289"/>
      <c r="CN69" s="290"/>
      <c r="CO69" s="291"/>
      <c r="CP69" s="288"/>
      <c r="CQ69" s="289"/>
      <c r="CR69" s="290"/>
      <c r="CS69" s="291"/>
      <c r="CT69" s="288"/>
      <c r="CU69" s="289"/>
      <c r="CV69" s="290"/>
      <c r="CW69" s="291"/>
      <c r="CX69" s="288"/>
      <c r="CY69" s="289"/>
      <c r="CZ69" s="290"/>
      <c r="DA69" s="291"/>
      <c r="DB69" s="288"/>
      <c r="DC69" s="289"/>
      <c r="DD69" s="290"/>
      <c r="DE69" s="291"/>
      <c r="DF69" s="288"/>
      <c r="DG69" s="289"/>
      <c r="DH69" s="290"/>
      <c r="DI69" s="291"/>
      <c r="DJ69" s="288"/>
      <c r="DK69" s="289"/>
      <c r="DL69" s="290"/>
      <c r="DM69" s="291"/>
      <c r="DN69" s="288"/>
      <c r="DO69" s="289"/>
      <c r="DP69" s="290"/>
      <c r="DQ69" s="291"/>
      <c r="DR69" s="288"/>
      <c r="DS69" s="289"/>
      <c r="DT69" s="290"/>
      <c r="DU69" s="291"/>
      <c r="DV69" s="288"/>
      <c r="DW69" s="289"/>
      <c r="DX69" s="290"/>
      <c r="DY69" s="291"/>
      <c r="DZ69" s="288"/>
      <c r="EA69" s="289"/>
      <c r="EB69" s="290"/>
      <c r="EC69" s="291"/>
    </row>
    <row x14ac:dyDescent="0.25" r="70" customHeight="1" ht="17.25">
      <c r="A70" s="1"/>
      <c r="B70" s="288"/>
      <c r="C70" s="289"/>
      <c r="D70" s="290"/>
      <c r="E70" s="291"/>
      <c r="F70" s="288"/>
      <c r="G70" s="289"/>
      <c r="H70" s="290"/>
      <c r="I70" s="291"/>
      <c r="J70" s="288"/>
      <c r="K70" s="289"/>
      <c r="L70" s="290"/>
      <c r="M70" s="291"/>
      <c r="N70" s="288"/>
      <c r="O70" s="289"/>
      <c r="P70" s="290"/>
      <c r="Q70" s="291"/>
      <c r="R70" s="288"/>
      <c r="S70" s="289"/>
      <c r="T70" s="290"/>
      <c r="U70" s="291"/>
      <c r="V70" s="288"/>
      <c r="W70" s="289"/>
      <c r="X70" s="290"/>
      <c r="Y70" s="291"/>
      <c r="Z70" s="288"/>
      <c r="AA70" s="289"/>
      <c r="AB70" s="290"/>
      <c r="AC70" s="291"/>
      <c r="AD70" s="288"/>
      <c r="AE70" s="289"/>
      <c r="AF70" s="290"/>
      <c r="AG70" s="291"/>
      <c r="AH70" s="288"/>
      <c r="AI70" s="289"/>
      <c r="AJ70" s="290"/>
      <c r="AK70" s="291"/>
      <c r="AL70" s="288">
        <v>64</v>
      </c>
      <c r="AM70" s="289">
        <v>10</v>
      </c>
      <c r="AN70" s="290"/>
      <c r="AO70" s="291"/>
      <c r="AP70" s="288"/>
      <c r="AQ70" s="289"/>
      <c r="AR70" s="290"/>
      <c r="AS70" s="291"/>
      <c r="AT70" s="288">
        <v>64</v>
      </c>
      <c r="AU70" s="289">
        <v>12</v>
      </c>
      <c r="AV70" s="290"/>
      <c r="AW70" s="291"/>
      <c r="AX70" s="288"/>
      <c r="AY70" s="289"/>
      <c r="AZ70" s="290"/>
      <c r="BA70" s="291"/>
      <c r="BB70" s="288"/>
      <c r="BC70" s="289"/>
      <c r="BD70" s="290"/>
      <c r="BE70" s="291"/>
      <c r="BF70" s="288"/>
      <c r="BG70" s="289"/>
      <c r="BH70" s="290"/>
      <c r="BI70" s="291"/>
      <c r="BJ70" s="288"/>
      <c r="BK70" s="289"/>
      <c r="BL70" s="290"/>
      <c r="BM70" s="291"/>
      <c r="BN70" s="288"/>
      <c r="BO70" s="289"/>
      <c r="BP70" s="290"/>
      <c r="BQ70" s="291"/>
      <c r="BR70" s="288"/>
      <c r="BS70" s="289"/>
      <c r="BT70" s="290"/>
      <c r="BU70" s="291"/>
      <c r="BV70" s="288"/>
      <c r="BW70" s="289"/>
      <c r="BX70" s="290"/>
      <c r="BY70" s="291"/>
      <c r="BZ70" s="288"/>
      <c r="CA70" s="289"/>
      <c r="CB70" s="290"/>
      <c r="CC70" s="291"/>
      <c r="CD70" s="288"/>
      <c r="CE70" s="289"/>
      <c r="CF70" s="290"/>
      <c r="CG70" s="291"/>
      <c r="CH70" s="288"/>
      <c r="CI70" s="289"/>
      <c r="CJ70" s="290"/>
      <c r="CK70" s="291"/>
      <c r="CL70" s="288"/>
      <c r="CM70" s="289"/>
      <c r="CN70" s="290"/>
      <c r="CO70" s="291"/>
      <c r="CP70" s="288"/>
      <c r="CQ70" s="289"/>
      <c r="CR70" s="290"/>
      <c r="CS70" s="291"/>
      <c r="CT70" s="288"/>
      <c r="CU70" s="289"/>
      <c r="CV70" s="290"/>
      <c r="CW70" s="291"/>
      <c r="CX70" s="288"/>
      <c r="CY70" s="289"/>
      <c r="CZ70" s="290"/>
      <c r="DA70" s="291"/>
      <c r="DB70" s="288"/>
      <c r="DC70" s="289"/>
      <c r="DD70" s="290"/>
      <c r="DE70" s="291"/>
      <c r="DF70" s="288"/>
      <c r="DG70" s="289"/>
      <c r="DH70" s="290"/>
      <c r="DI70" s="291"/>
      <c r="DJ70" s="288"/>
      <c r="DK70" s="289"/>
      <c r="DL70" s="290"/>
      <c r="DM70" s="291"/>
      <c r="DN70" s="288"/>
      <c r="DO70" s="289"/>
      <c r="DP70" s="290"/>
      <c r="DQ70" s="291"/>
      <c r="DR70" s="288"/>
      <c r="DS70" s="289"/>
      <c r="DT70" s="290"/>
      <c r="DU70" s="291"/>
      <c r="DV70" s="288"/>
      <c r="DW70" s="289"/>
      <c r="DX70" s="290"/>
      <c r="DY70" s="291"/>
      <c r="DZ70" s="288"/>
      <c r="EA70" s="289"/>
      <c r="EB70" s="290"/>
      <c r="EC70" s="291"/>
    </row>
    <row x14ac:dyDescent="0.25" r="71" customHeight="1" ht="17.25">
      <c r="A71" s="1"/>
      <c r="B71" s="288"/>
      <c r="C71" s="289"/>
      <c r="D71" s="290"/>
      <c r="E71" s="291"/>
      <c r="F71" s="288"/>
      <c r="G71" s="289"/>
      <c r="H71" s="290"/>
      <c r="I71" s="291"/>
      <c r="J71" s="288"/>
      <c r="K71" s="289"/>
      <c r="L71" s="290"/>
      <c r="M71" s="291"/>
      <c r="N71" s="288"/>
      <c r="O71" s="289"/>
      <c r="P71" s="290"/>
      <c r="Q71" s="291"/>
      <c r="R71" s="288"/>
      <c r="S71" s="289"/>
      <c r="T71" s="290"/>
      <c r="U71" s="291"/>
      <c r="V71" s="288"/>
      <c r="W71" s="289"/>
      <c r="X71" s="290"/>
      <c r="Y71" s="291"/>
      <c r="Z71" s="288"/>
      <c r="AA71" s="289"/>
      <c r="AB71" s="290"/>
      <c r="AC71" s="291"/>
      <c r="AD71" s="288"/>
      <c r="AE71" s="289"/>
      <c r="AF71" s="290"/>
      <c r="AG71" s="291"/>
      <c r="AH71" s="288"/>
      <c r="AI71" s="289"/>
      <c r="AJ71" s="290"/>
      <c r="AK71" s="291"/>
      <c r="AL71" s="288">
        <v>65</v>
      </c>
      <c r="AM71" s="289">
        <v>13</v>
      </c>
      <c r="AN71" s="290"/>
      <c r="AO71" s="291"/>
      <c r="AP71" s="288"/>
      <c r="AQ71" s="289"/>
      <c r="AR71" s="290"/>
      <c r="AS71" s="291"/>
      <c r="AT71" s="288">
        <v>65</v>
      </c>
      <c r="AU71" s="289">
        <v>25</v>
      </c>
      <c r="AV71" s="290"/>
      <c r="AW71" s="291"/>
      <c r="AX71" s="288"/>
      <c r="AY71" s="289"/>
      <c r="AZ71" s="290"/>
      <c r="BA71" s="291"/>
      <c r="BB71" s="288"/>
      <c r="BC71" s="289"/>
      <c r="BD71" s="290"/>
      <c r="BE71" s="291"/>
      <c r="BF71" s="288"/>
      <c r="BG71" s="289"/>
      <c r="BH71" s="290"/>
      <c r="BI71" s="291"/>
      <c r="BJ71" s="288"/>
      <c r="BK71" s="289"/>
      <c r="BL71" s="290"/>
      <c r="BM71" s="291"/>
      <c r="BN71" s="288"/>
      <c r="BO71" s="289"/>
      <c r="BP71" s="290"/>
      <c r="BQ71" s="291"/>
      <c r="BR71" s="288"/>
      <c r="BS71" s="289"/>
      <c r="BT71" s="290"/>
      <c r="BU71" s="291"/>
      <c r="BV71" s="288"/>
      <c r="BW71" s="289"/>
      <c r="BX71" s="290"/>
      <c r="BY71" s="291"/>
      <c r="BZ71" s="288"/>
      <c r="CA71" s="289"/>
      <c r="CB71" s="290"/>
      <c r="CC71" s="291"/>
      <c r="CD71" s="288"/>
      <c r="CE71" s="289"/>
      <c r="CF71" s="290"/>
      <c r="CG71" s="291"/>
      <c r="CH71" s="288"/>
      <c r="CI71" s="289"/>
      <c r="CJ71" s="290"/>
      <c r="CK71" s="291"/>
      <c r="CL71" s="288"/>
      <c r="CM71" s="289"/>
      <c r="CN71" s="290"/>
      <c r="CO71" s="291"/>
      <c r="CP71" s="288"/>
      <c r="CQ71" s="289"/>
      <c r="CR71" s="290"/>
      <c r="CS71" s="291"/>
      <c r="CT71" s="288"/>
      <c r="CU71" s="289"/>
      <c r="CV71" s="290"/>
      <c r="CW71" s="291"/>
      <c r="CX71" s="288"/>
      <c r="CY71" s="289"/>
      <c r="CZ71" s="290"/>
      <c r="DA71" s="291"/>
      <c r="DB71" s="288"/>
      <c r="DC71" s="289"/>
      <c r="DD71" s="290"/>
      <c r="DE71" s="291"/>
      <c r="DF71" s="288"/>
      <c r="DG71" s="289"/>
      <c r="DH71" s="290"/>
      <c r="DI71" s="291"/>
      <c r="DJ71" s="288"/>
      <c r="DK71" s="289"/>
      <c r="DL71" s="290"/>
      <c r="DM71" s="291"/>
      <c r="DN71" s="288"/>
      <c r="DO71" s="289"/>
      <c r="DP71" s="290"/>
      <c r="DQ71" s="291"/>
      <c r="DR71" s="288"/>
      <c r="DS71" s="289"/>
      <c r="DT71" s="290"/>
      <c r="DU71" s="291"/>
      <c r="DV71" s="288"/>
      <c r="DW71" s="289"/>
      <c r="DX71" s="290"/>
      <c r="DY71" s="291"/>
      <c r="DZ71" s="288"/>
      <c r="EA71" s="289"/>
      <c r="EB71" s="290"/>
      <c r="EC71" s="291"/>
    </row>
    <row x14ac:dyDescent="0.25" r="72" customHeight="1" ht="17.25">
      <c r="A72" s="1"/>
      <c r="B72" s="288"/>
      <c r="C72" s="289"/>
      <c r="D72" s="290"/>
      <c r="E72" s="291"/>
      <c r="F72" s="288"/>
      <c r="G72" s="289"/>
      <c r="H72" s="290"/>
      <c r="I72" s="291"/>
      <c r="J72" s="288"/>
      <c r="K72" s="289"/>
      <c r="L72" s="290"/>
      <c r="M72" s="291"/>
      <c r="N72" s="288"/>
      <c r="O72" s="289"/>
      <c r="P72" s="290"/>
      <c r="Q72" s="291"/>
      <c r="R72" s="288"/>
      <c r="S72" s="289"/>
      <c r="T72" s="290"/>
      <c r="U72" s="291"/>
      <c r="V72" s="288"/>
      <c r="W72" s="289"/>
      <c r="X72" s="290"/>
      <c r="Y72" s="291"/>
      <c r="Z72" s="288"/>
      <c r="AA72" s="289"/>
      <c r="AB72" s="290"/>
      <c r="AC72" s="291"/>
      <c r="AD72" s="288"/>
      <c r="AE72" s="289"/>
      <c r="AF72" s="290"/>
      <c r="AG72" s="291"/>
      <c r="AH72" s="288"/>
      <c r="AI72" s="289"/>
      <c r="AJ72" s="290"/>
      <c r="AK72" s="291"/>
      <c r="AL72" s="288">
        <v>66</v>
      </c>
      <c r="AM72" s="289">
        <v>20</v>
      </c>
      <c r="AN72" s="290"/>
      <c r="AO72" s="291"/>
      <c r="AP72" s="288"/>
      <c r="AQ72" s="289"/>
      <c r="AR72" s="290"/>
      <c r="AS72" s="291"/>
      <c r="AT72" s="288">
        <v>66</v>
      </c>
      <c r="AU72" s="289">
        <v>24</v>
      </c>
      <c r="AV72" s="290"/>
      <c r="AW72" s="291"/>
      <c r="AX72" s="288"/>
      <c r="AY72" s="289"/>
      <c r="AZ72" s="290"/>
      <c r="BA72" s="291"/>
      <c r="BB72" s="288"/>
      <c r="BC72" s="289"/>
      <c r="BD72" s="290"/>
      <c r="BE72" s="291"/>
      <c r="BF72" s="288"/>
      <c r="BG72" s="289"/>
      <c r="BH72" s="290"/>
      <c r="BI72" s="291"/>
      <c r="BJ72" s="288"/>
      <c r="BK72" s="289"/>
      <c r="BL72" s="290"/>
      <c r="BM72" s="291"/>
      <c r="BN72" s="288"/>
      <c r="BO72" s="289"/>
      <c r="BP72" s="290"/>
      <c r="BQ72" s="291"/>
      <c r="BR72" s="288"/>
      <c r="BS72" s="289"/>
      <c r="BT72" s="290"/>
      <c r="BU72" s="291"/>
      <c r="BV72" s="288"/>
      <c r="BW72" s="289"/>
      <c r="BX72" s="290"/>
      <c r="BY72" s="291"/>
      <c r="BZ72" s="288"/>
      <c r="CA72" s="289"/>
      <c r="CB72" s="290"/>
      <c r="CC72" s="291"/>
      <c r="CD72" s="288"/>
      <c r="CE72" s="289"/>
      <c r="CF72" s="290"/>
      <c r="CG72" s="291"/>
      <c r="CH72" s="288"/>
      <c r="CI72" s="289"/>
      <c r="CJ72" s="290"/>
      <c r="CK72" s="291"/>
      <c r="CL72" s="288"/>
      <c r="CM72" s="289"/>
      <c r="CN72" s="290"/>
      <c r="CO72" s="291"/>
      <c r="CP72" s="288"/>
      <c r="CQ72" s="289"/>
      <c r="CR72" s="290"/>
      <c r="CS72" s="291"/>
      <c r="CT72" s="288"/>
      <c r="CU72" s="289"/>
      <c r="CV72" s="290"/>
      <c r="CW72" s="291"/>
      <c r="CX72" s="288"/>
      <c r="CY72" s="289"/>
      <c r="CZ72" s="290"/>
      <c r="DA72" s="291"/>
      <c r="DB72" s="288"/>
      <c r="DC72" s="289"/>
      <c r="DD72" s="290"/>
      <c r="DE72" s="291"/>
      <c r="DF72" s="288"/>
      <c r="DG72" s="289"/>
      <c r="DH72" s="290"/>
      <c r="DI72" s="291"/>
      <c r="DJ72" s="288"/>
      <c r="DK72" s="289"/>
      <c r="DL72" s="290"/>
      <c r="DM72" s="291"/>
      <c r="DN72" s="288"/>
      <c r="DO72" s="289"/>
      <c r="DP72" s="290"/>
      <c r="DQ72" s="291"/>
      <c r="DR72" s="288"/>
      <c r="DS72" s="289"/>
      <c r="DT72" s="290"/>
      <c r="DU72" s="291"/>
      <c r="DV72" s="288"/>
      <c r="DW72" s="289"/>
      <c r="DX72" s="290"/>
      <c r="DY72" s="291"/>
      <c r="DZ72" s="288"/>
      <c r="EA72" s="289"/>
      <c r="EB72" s="290"/>
      <c r="EC72" s="291"/>
    </row>
    <row x14ac:dyDescent="0.25" r="73" customHeight="1" ht="17.25">
      <c r="A73" s="1"/>
      <c r="B73" s="292">
        <f>MAX(B7:B72)</f>
      </c>
      <c r="C73" s="292">
        <f>SUM(C7:C72)</f>
      </c>
      <c r="D73" s="292">
        <f>MAX(D7:D72)</f>
      </c>
      <c r="E73" s="292">
        <f>SUM(E7:E72)</f>
      </c>
      <c r="F73" s="292">
        <f>MAX(F7:F72)</f>
      </c>
      <c r="G73" s="292">
        <f>SUM(G7:G72)</f>
      </c>
      <c r="H73" s="292">
        <f>MAX(H7:H72)</f>
      </c>
      <c r="I73" s="292">
        <f>SUM(I7:I72)</f>
      </c>
      <c r="J73" s="292">
        <f>MAX(J7:J72)</f>
      </c>
      <c r="K73" s="292">
        <f>SUM(K7:K72)</f>
      </c>
      <c r="L73" s="292">
        <f>MAX(L7:L72)</f>
      </c>
      <c r="M73" s="292">
        <f>SUM(M7:M72)</f>
      </c>
      <c r="N73" s="292">
        <f>MAX(N7:N72)</f>
      </c>
      <c r="O73" s="292">
        <f>SUM(O7:O72)</f>
      </c>
      <c r="P73" s="292">
        <f>MAX(P7:P72)</f>
      </c>
      <c r="Q73" s="292">
        <f>SUM(Q7:Q72)</f>
      </c>
      <c r="R73" s="292">
        <f>MAX(R7:R72)</f>
      </c>
      <c r="S73" s="292">
        <f>SUM(S7:S72)</f>
      </c>
      <c r="T73" s="292">
        <f>MAX(T7:T72)</f>
      </c>
      <c r="U73" s="292">
        <f>SUM(U7:U72)</f>
      </c>
      <c r="V73" s="292">
        <f>MAX(V7:V72)</f>
      </c>
      <c r="W73" s="292">
        <f>SUM(W7:W72)</f>
      </c>
      <c r="X73" s="292">
        <f>MAX(X7:X72)</f>
      </c>
      <c r="Y73" s="292">
        <f>SUM(Y7:Y72)</f>
      </c>
      <c r="Z73" s="292">
        <f>MAX(Z7:Z72)</f>
      </c>
      <c r="AA73" s="292">
        <f>SUM(AA7:AA72)</f>
      </c>
      <c r="AB73" s="292">
        <f>MAX(AB7:AB72)</f>
      </c>
      <c r="AC73" s="292">
        <f>SUM(AC7:AC72)</f>
      </c>
      <c r="AD73" s="292">
        <f>MAX(AD7:AD72)</f>
      </c>
      <c r="AE73" s="292">
        <f>SUM(AE7:AE72)</f>
      </c>
      <c r="AF73" s="292">
        <f>MAX(AF7:AF72)</f>
      </c>
      <c r="AG73" s="292">
        <f>SUM(AG7:AG72)</f>
      </c>
      <c r="AH73" s="292">
        <f>MAX(AH7:AH72)</f>
      </c>
      <c r="AI73" s="292">
        <f>SUM(AI7:AI72)</f>
      </c>
      <c r="AJ73" s="292">
        <f>MAX(AJ7:AJ72)</f>
      </c>
      <c r="AK73" s="292">
        <f>SUM(AK7:AK72)</f>
      </c>
      <c r="AL73" s="288">
        <v>67</v>
      </c>
      <c r="AM73" s="289">
        <v>7</v>
      </c>
      <c r="AN73" s="292">
        <f>MAX(AN7:AN72)</f>
      </c>
      <c r="AO73" s="292">
        <f>SUM(AO7:AO72)</f>
      </c>
      <c r="AP73" s="292">
        <f>MAX(AP7:AP72)</f>
      </c>
      <c r="AQ73" s="292">
        <f>SUM(AQ7:AQ72)</f>
      </c>
      <c r="AR73" s="292">
        <f>MAX(AR7:AR72)</f>
      </c>
      <c r="AS73" s="292">
        <f>SUM(AS7:AS72)</f>
      </c>
      <c r="AT73" s="292">
        <f>MAX(AT7:AT72)</f>
      </c>
      <c r="AU73" s="292">
        <f>SUM(AU7:AU72)</f>
      </c>
      <c r="AV73" s="292">
        <f>MAX(AV7:AV72)</f>
      </c>
      <c r="AW73" s="292">
        <f>SUM(AW7:AW72)</f>
      </c>
      <c r="AX73" s="292">
        <f>MAX(AX7:AX72)</f>
      </c>
      <c r="AY73" s="292">
        <f>SUM(AY7:AY72)</f>
      </c>
      <c r="AZ73" s="292">
        <f>MAX(AZ7:AZ72)</f>
      </c>
      <c r="BA73" s="292">
        <f>SUM(BA7:BA72)</f>
      </c>
      <c r="BB73" s="292">
        <f>MAX(BB7:BB72)</f>
      </c>
      <c r="BC73" s="292">
        <f>SUM(BC7:BC72)</f>
      </c>
      <c r="BD73" s="292">
        <f>MAX(BD7:BD72)</f>
      </c>
      <c r="BE73" s="292">
        <f>SUM(BE7:BE72)</f>
      </c>
      <c r="BF73" s="292">
        <f>MAX(BF7:BF72)</f>
      </c>
      <c r="BG73" s="292">
        <f>SUM(BG7:BG72)</f>
      </c>
      <c r="BH73" s="292">
        <f>MAX(BH7:BH72)</f>
      </c>
      <c r="BI73" s="292">
        <f>SUM(BI7:BI72)</f>
      </c>
      <c r="BJ73" s="292">
        <f>MAX(BJ7:BJ72)</f>
      </c>
      <c r="BK73" s="292">
        <f>SUM(BK7:BK72)</f>
      </c>
      <c r="BL73" s="292">
        <f>MAX(BL7:BL72)</f>
      </c>
      <c r="BM73" s="292">
        <f>SUM(BM7:BM72)</f>
      </c>
      <c r="BN73" s="292">
        <f>MAX(BN7:BN72)</f>
      </c>
      <c r="BO73" s="292">
        <f>SUM(BO7:BO72)</f>
      </c>
      <c r="BP73" s="292">
        <f>MAX(BP7:BP72)</f>
      </c>
      <c r="BQ73" s="292">
        <f>SUM(BQ7:BQ72)</f>
      </c>
      <c r="BR73" s="292">
        <f>MAX(BR7:BR72)</f>
      </c>
      <c r="BS73" s="292">
        <f>SUM(BS7:BS72)</f>
      </c>
      <c r="BT73" s="292">
        <f>MAX(BT7:BT72)</f>
      </c>
      <c r="BU73" s="292">
        <f>SUM(BU7:BU72)</f>
      </c>
      <c r="BV73" s="292">
        <f>MAX(BV7:BV72)</f>
      </c>
      <c r="BW73" s="292">
        <f>SUM(BW7:BW72)</f>
      </c>
      <c r="BX73" s="292">
        <f>MAX(BX7:BX72)</f>
      </c>
      <c r="BY73" s="292">
        <f>SUM(BY7:BY72)</f>
      </c>
      <c r="BZ73" s="292">
        <f>MAX(BZ7:BZ72)</f>
      </c>
      <c r="CA73" s="292">
        <f>SUM(CA7:CA72)</f>
      </c>
      <c r="CB73" s="292">
        <f>MAX(CB7:CB72)</f>
      </c>
      <c r="CC73" s="292">
        <f>SUM(CC7:CC72)</f>
      </c>
      <c r="CD73" s="292">
        <f>MAX(CD7:CD72)</f>
      </c>
      <c r="CE73" s="292">
        <f>SUM(CE7:CE72)</f>
      </c>
      <c r="CF73" s="292">
        <f>MAX(CF7:CF72)</f>
      </c>
      <c r="CG73" s="292">
        <f>SUM(CG7:CG72)</f>
      </c>
      <c r="CH73" s="292">
        <f>MAX(CH7:CH72)</f>
      </c>
      <c r="CI73" s="292">
        <f>SUM(CI7:CI72)</f>
      </c>
      <c r="CJ73" s="292">
        <f>MAX(CJ7:CJ72)</f>
      </c>
      <c r="CK73" s="292">
        <f>SUM(CK7:CK72)</f>
      </c>
      <c r="CL73" s="292">
        <f>MAX(CL7:CL72)</f>
      </c>
      <c r="CM73" s="292">
        <f>SUM(CM7:CM72)</f>
      </c>
      <c r="CN73" s="292">
        <f>MAX(CN7:CN72)</f>
      </c>
      <c r="CO73" s="292">
        <f>SUM(CO7:CO72)</f>
      </c>
      <c r="CP73" s="292">
        <f>MAX(CP7:CP72)</f>
      </c>
      <c r="CQ73" s="292">
        <f>SUM(CQ7:CQ72)</f>
      </c>
      <c r="CR73" s="292">
        <f>MAX(CR7:CR72)</f>
      </c>
      <c r="CS73" s="292">
        <f>SUM(CS7:CS72)</f>
      </c>
      <c r="CT73" s="292">
        <f>MAX(CT7:CT72)</f>
      </c>
      <c r="CU73" s="292">
        <f>SUM(CU7:CU72)</f>
      </c>
      <c r="CV73" s="292">
        <f>MAX(CV7:CV72)</f>
      </c>
      <c r="CW73" s="292">
        <f>SUM(CW7:CW72)</f>
      </c>
      <c r="CX73" s="292">
        <f>MAX(CX7:CX72)</f>
      </c>
      <c r="CY73" s="292">
        <f>SUM(CY7:CY72)</f>
      </c>
      <c r="CZ73" s="292">
        <f>MAX(CZ7:CZ72)</f>
      </c>
      <c r="DA73" s="292">
        <f>SUM(DA7:DA72)</f>
      </c>
      <c r="DB73" s="292">
        <f>MAX(DB7:DB72)</f>
      </c>
      <c r="DC73" s="292">
        <f>SUM(DC7:DC72)</f>
      </c>
      <c r="DD73" s="292">
        <f>MAX(DD7:DD72)</f>
      </c>
      <c r="DE73" s="292">
        <f>SUM(DE7:DE72)</f>
      </c>
      <c r="DF73" s="292">
        <f>MAX(DF7:DF72)</f>
      </c>
      <c r="DG73" s="292">
        <f>SUM(DG7:DG72)</f>
      </c>
      <c r="DH73" s="292">
        <f>MAX(DH7:DH72)</f>
      </c>
      <c r="DI73" s="292">
        <f>SUM(DI7:DI72)</f>
      </c>
      <c r="DJ73" s="292">
        <f>MAX(DJ7:DJ72)</f>
      </c>
      <c r="DK73" s="292">
        <f>SUM(DK7:DK72)</f>
      </c>
      <c r="DL73" s="292">
        <f>MAX(DL7:DL72)</f>
      </c>
      <c r="DM73" s="292">
        <f>SUM(DM7:DM72)</f>
      </c>
      <c r="DN73" s="292">
        <f>MAX(DN7:DN72)</f>
      </c>
      <c r="DO73" s="292">
        <f>SUM(DO7:DO72)</f>
      </c>
      <c r="DP73" s="292">
        <f>MAX(DP7:DP72)</f>
      </c>
      <c r="DQ73" s="292">
        <f>SUM(DQ7:DQ72)</f>
      </c>
      <c r="DR73" s="292">
        <f>MAX(DR7:DR72)</f>
      </c>
      <c r="DS73" s="292">
        <f>SUM(DS7:DS72)</f>
      </c>
      <c r="DT73" s="292">
        <f>MAX(DT7:DT72)</f>
      </c>
      <c r="DU73" s="292">
        <f>SUM(DU7:DU72)</f>
      </c>
      <c r="DV73" s="292">
        <f>MAX(DV7:DV72)</f>
      </c>
      <c r="DW73" s="292">
        <f>SUM(DW7:DW72)</f>
      </c>
      <c r="DX73" s="292">
        <f>MAX(DX7:DX72)</f>
      </c>
      <c r="DY73" s="292">
        <f>SUM(DY7:DY72)</f>
      </c>
      <c r="DZ73" s="292">
        <f>MAX(DZ7:DZ72)</f>
      </c>
      <c r="EA73" s="292">
        <f>SUM(EA7:EA72)</f>
      </c>
      <c r="EB73" s="292">
        <f>MAX(EB7:EB72)</f>
      </c>
      <c r="EC73" s="292">
        <f>SUM(EC7:EC72)</f>
      </c>
    </row>
    <row x14ac:dyDescent="0.25" r="74" customHeight="1" ht="17.25">
      <c r="A74" s="1"/>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288">
        <v>68</v>
      </c>
      <c r="AM74" s="289">
        <v>35</v>
      </c>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row>
    <row x14ac:dyDescent="0.25" r="75" customHeight="1" ht="17.25">
      <c r="A75" s="1"/>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288">
        <v>69</v>
      </c>
      <c r="AM75" s="289">
        <v>36</v>
      </c>
      <c r="AN75" s="3"/>
      <c r="AO75" s="293" t="s">
        <v>211</v>
      </c>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row>
    <row x14ac:dyDescent="0.25" r="76" customHeight="1" ht="15">
      <c r="A76" s="1"/>
      <c r="B76" s="294" t="s">
        <v>212</v>
      </c>
      <c r="C76" s="295"/>
      <c r="D76" s="295"/>
      <c r="E76" s="295"/>
      <c r="F76" s="295"/>
      <c r="G76" s="296"/>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288">
        <v>70</v>
      </c>
      <c r="AM76" s="289">
        <v>5</v>
      </c>
      <c r="AN76" s="3"/>
      <c r="AO76" s="293" t="s">
        <v>213</v>
      </c>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row>
    <row x14ac:dyDescent="0.25" r="77" customHeight="1" ht="14.5">
      <c r="A77" s="1"/>
      <c r="B77" s="297" t="s">
        <v>214</v>
      </c>
      <c r="C77" s="298"/>
      <c r="D77" s="298"/>
      <c r="E77" s="299"/>
      <c r="F77" s="300">
        <v>23145</v>
      </c>
      <c r="G77" s="301"/>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288">
        <v>71</v>
      </c>
      <c r="AM77" s="289">
        <v>24</v>
      </c>
      <c r="AN77" s="3"/>
      <c r="AO77" s="293" t="s">
        <v>215</v>
      </c>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row>
    <row x14ac:dyDescent="0.25" r="78" customHeight="1" ht="17.25">
      <c r="A78" s="1"/>
      <c r="B78" s="302" t="s">
        <v>216</v>
      </c>
      <c r="C78" s="303"/>
      <c r="D78" s="303"/>
      <c r="E78" s="304"/>
      <c r="F78" s="305">
        <v>7957</v>
      </c>
      <c r="G78" s="306"/>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288">
        <v>72</v>
      </c>
      <c r="AM78" s="289">
        <v>20</v>
      </c>
      <c r="AN78" s="3"/>
      <c r="AO78" s="293" t="s">
        <v>217</v>
      </c>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row>
    <row x14ac:dyDescent="0.25" r="79" customHeight="1" ht="15">
      <c r="A79" s="1"/>
      <c r="B79" s="302" t="s">
        <v>218</v>
      </c>
      <c r="C79" s="303"/>
      <c r="D79" s="303"/>
      <c r="E79" s="304"/>
      <c r="F79" s="305">
        <f>SUM(F77:G78)</f>
      </c>
      <c r="G79" s="306"/>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288">
        <v>73</v>
      </c>
      <c r="AM79" s="289">
        <v>28</v>
      </c>
      <c r="AN79" s="3"/>
      <c r="AO79" s="307" t="s">
        <v>219</v>
      </c>
      <c r="AP79" s="308" t="s">
        <v>220</v>
      </c>
      <c r="AQ79" s="309" t="s">
        <v>221</v>
      </c>
      <c r="AR79" s="310"/>
      <c r="AS79" s="311"/>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row>
    <row x14ac:dyDescent="0.25" r="80" customHeight="1" ht="17.25">
      <c r="A80" s="1"/>
      <c r="B80" s="302" t="s">
        <v>222</v>
      </c>
      <c r="C80" s="303"/>
      <c r="D80" s="303"/>
      <c r="E80" s="304"/>
      <c r="F80" s="305">
        <f>SUM(B73,D73,F73,H73,J73,L73,N73,P73,R73,T73,V73,X73,Z73,AB73,AD73,AF73,AH73,AJ73,AL157,AN73,AP73,AR73,AT73,AV73,AX73,AZ73,BB73,BD73,BF73,BH73,BJ73,BL73,BN73,BP73,BR73,BT73,BV73,BX73,BZ73)</f>
      </c>
      <c r="G80" s="306"/>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288">
        <v>74</v>
      </c>
      <c r="AM80" s="289">
        <v>23</v>
      </c>
      <c r="AN80" s="3"/>
      <c r="AO80" s="312">
        <v>2</v>
      </c>
      <c r="AP80" s="313" t="s">
        <v>223</v>
      </c>
      <c r="AQ80" s="314" t="s">
        <v>224</v>
      </c>
      <c r="AR80" s="315"/>
      <c r="AS80" s="316"/>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row>
    <row x14ac:dyDescent="0.25" r="81" customHeight="1" ht="17.25">
      <c r="A81" s="1"/>
      <c r="B81" s="302" t="s">
        <v>225</v>
      </c>
      <c r="C81" s="303"/>
      <c r="D81" s="303"/>
      <c r="E81" s="304"/>
      <c r="F81" s="305">
        <f>SUM(CB73,CD73,CF73,CH73,CJ73,CL73,CN73,CP73,CR73,CT73,CV73,CX73,CZ73,DB73,DD73,DF73,DH73,DJ73,DL73,DN73,DP73,DR73,DT73,DV73,DX73,DZ73,EB73)</f>
      </c>
      <c r="G81" s="306"/>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288">
        <v>75</v>
      </c>
      <c r="AM81" s="289">
        <v>10</v>
      </c>
      <c r="AN81" s="3"/>
      <c r="AO81" s="317">
        <v>2</v>
      </c>
      <c r="AP81" s="318">
        <v>7</v>
      </c>
      <c r="AQ81" s="319" t="s">
        <v>226</v>
      </c>
      <c r="AR81" s="320"/>
      <c r="AS81" s="321"/>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row>
    <row x14ac:dyDescent="0.25" r="82" customHeight="1" ht="17.25">
      <c r="A82" s="1"/>
      <c r="B82" s="322" t="s">
        <v>227</v>
      </c>
      <c r="C82" s="323"/>
      <c r="D82" s="323"/>
      <c r="E82" s="324"/>
      <c r="F82" s="325">
        <f>SUM(F80:G81)</f>
      </c>
      <c r="G82" s="326"/>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288">
        <v>76</v>
      </c>
      <c r="AM82" s="289">
        <v>12</v>
      </c>
      <c r="AN82" s="3"/>
      <c r="AO82" s="317">
        <v>2</v>
      </c>
      <c r="AP82" s="318">
        <v>9</v>
      </c>
      <c r="AQ82" s="319" t="s">
        <v>228</v>
      </c>
      <c r="AR82" s="320"/>
      <c r="AS82" s="321"/>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row>
    <row x14ac:dyDescent="0.25" r="83" customHeight="1" ht="17.25">
      <c r="A83" s="1"/>
      <c r="B83" s="327"/>
      <c r="C83" s="327"/>
      <c r="D83" s="327"/>
      <c r="E83" s="327"/>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288">
        <v>77</v>
      </c>
      <c r="AM83" s="289">
        <v>20</v>
      </c>
      <c r="AN83" s="3"/>
      <c r="AO83" s="317">
        <v>5</v>
      </c>
      <c r="AP83" s="318">
        <v>10</v>
      </c>
      <c r="AQ83" s="319" t="s">
        <v>229</v>
      </c>
      <c r="AR83" s="320"/>
      <c r="AS83" s="321"/>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row>
    <row x14ac:dyDescent="0.25" r="84" customHeight="1" ht="17.25">
      <c r="A84" s="1"/>
      <c r="B84" s="272" t="s">
        <v>230</v>
      </c>
      <c r="C84" s="273"/>
      <c r="D84" s="273"/>
      <c r="E84" s="273"/>
      <c r="F84" s="274"/>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288">
        <v>78</v>
      </c>
      <c r="AM84" s="289">
        <v>72</v>
      </c>
      <c r="AN84" s="3"/>
      <c r="AO84" s="317">
        <v>8</v>
      </c>
      <c r="AP84" s="318">
        <v>3</v>
      </c>
      <c r="AQ84" s="319" t="s">
        <v>231</v>
      </c>
      <c r="AR84" s="320"/>
      <c r="AS84" s="321"/>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row>
    <row x14ac:dyDescent="0.25" r="85" customHeight="1" ht="17.25">
      <c r="A85" s="1"/>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288">
        <v>79</v>
      </c>
      <c r="AM85" s="289">
        <v>13</v>
      </c>
      <c r="AN85" s="3"/>
      <c r="AO85" s="317">
        <v>8</v>
      </c>
      <c r="AP85" s="318">
        <v>5</v>
      </c>
      <c r="AQ85" s="319" t="s">
        <v>232</v>
      </c>
      <c r="AR85" s="320"/>
      <c r="AS85" s="321"/>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row>
    <row x14ac:dyDescent="0.25" r="86" customHeight="1" ht="17.25">
      <c r="A86" s="1"/>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288">
        <v>80</v>
      </c>
      <c r="AM86" s="289">
        <v>19</v>
      </c>
      <c r="AN86" s="3"/>
      <c r="AO86" s="317">
        <v>8</v>
      </c>
      <c r="AP86" s="318">
        <v>6</v>
      </c>
      <c r="AQ86" s="319" t="s">
        <v>233</v>
      </c>
      <c r="AR86" s="320"/>
      <c r="AS86" s="321"/>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row>
    <row x14ac:dyDescent="0.25" r="87" customHeight="1" ht="17.25">
      <c r="A87" s="1"/>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288">
        <v>81</v>
      </c>
      <c r="AM87" s="289">
        <v>16</v>
      </c>
      <c r="AN87" s="3"/>
      <c r="AO87" s="317">
        <v>10</v>
      </c>
      <c r="AP87" s="318">
        <v>7</v>
      </c>
      <c r="AQ87" s="319" t="s">
        <v>234</v>
      </c>
      <c r="AR87" s="320"/>
      <c r="AS87" s="321"/>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row>
    <row x14ac:dyDescent="0.25" r="88" customHeight="1" ht="17.25">
      <c r="A88" s="1"/>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288">
        <v>82</v>
      </c>
      <c r="AM88" s="289">
        <v>8</v>
      </c>
      <c r="AN88" s="3"/>
      <c r="AO88" s="317">
        <v>14</v>
      </c>
      <c r="AP88" s="318">
        <v>1</v>
      </c>
      <c r="AQ88" s="319" t="s">
        <v>235</v>
      </c>
      <c r="AR88" s="320"/>
      <c r="AS88" s="321"/>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row>
    <row x14ac:dyDescent="0.25" r="89" customHeight="1" ht="17.25">
      <c r="A89" s="1"/>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288">
        <v>83</v>
      </c>
      <c r="AM89" s="289">
        <v>18</v>
      </c>
      <c r="AN89" s="3"/>
      <c r="AO89" s="317">
        <v>16</v>
      </c>
      <c r="AP89" s="318">
        <v>8</v>
      </c>
      <c r="AQ89" s="319" t="s">
        <v>236</v>
      </c>
      <c r="AR89" s="320"/>
      <c r="AS89" s="321"/>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row>
    <row x14ac:dyDescent="0.25" r="90" customHeight="1" ht="17.25">
      <c r="A90" s="1"/>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288">
        <v>84</v>
      </c>
      <c r="AM90" s="289">
        <v>12</v>
      </c>
      <c r="AN90" s="3"/>
      <c r="AO90" s="317">
        <v>18</v>
      </c>
      <c r="AP90" s="318">
        <v>50</v>
      </c>
      <c r="AQ90" s="319" t="s">
        <v>237</v>
      </c>
      <c r="AR90" s="320"/>
      <c r="AS90" s="321"/>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row>
    <row x14ac:dyDescent="0.25" r="91" customHeight="1" ht="17.25">
      <c r="A91" s="1"/>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288">
        <v>85</v>
      </c>
      <c r="AM91" s="289">
        <v>13</v>
      </c>
      <c r="AN91" s="3"/>
      <c r="AO91" s="317">
        <v>19</v>
      </c>
      <c r="AP91" s="318">
        <v>5</v>
      </c>
      <c r="AQ91" s="319" t="s">
        <v>238</v>
      </c>
      <c r="AR91" s="320"/>
      <c r="AS91" s="321"/>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row>
    <row x14ac:dyDescent="0.25" r="92" customHeight="1" ht="17.25">
      <c r="A92" s="1"/>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288">
        <v>86</v>
      </c>
      <c r="AM92" s="289">
        <v>17</v>
      </c>
      <c r="AN92" s="3"/>
      <c r="AO92" s="317">
        <v>22</v>
      </c>
      <c r="AP92" s="318">
        <v>2</v>
      </c>
      <c r="AQ92" s="319" t="s">
        <v>239</v>
      </c>
      <c r="AR92" s="320"/>
      <c r="AS92" s="321"/>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row>
    <row x14ac:dyDescent="0.25" r="93" customHeight="1" ht="17.25">
      <c r="A93" s="1"/>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288">
        <v>87</v>
      </c>
      <c r="AM93" s="289">
        <v>7</v>
      </c>
      <c r="AN93" s="3"/>
      <c r="AO93" s="317">
        <v>22</v>
      </c>
      <c r="AP93" s="318">
        <v>19</v>
      </c>
      <c r="AQ93" s="319" t="s">
        <v>240</v>
      </c>
      <c r="AR93" s="320"/>
      <c r="AS93" s="321"/>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row>
    <row x14ac:dyDescent="0.25" r="94" customHeight="1" ht="17.25">
      <c r="A94" s="1"/>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288">
        <v>88</v>
      </c>
      <c r="AM94" s="289">
        <v>18</v>
      </c>
      <c r="AN94" s="3"/>
      <c r="AO94" s="317">
        <v>22</v>
      </c>
      <c r="AP94" s="318">
        <v>19</v>
      </c>
      <c r="AQ94" s="319" t="s">
        <v>241</v>
      </c>
      <c r="AR94" s="320"/>
      <c r="AS94" s="321"/>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row>
    <row x14ac:dyDescent="0.25" r="95" customHeight="1" ht="17.25">
      <c r="A95" s="1"/>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288">
        <v>89</v>
      </c>
      <c r="AM95" s="289">
        <v>52</v>
      </c>
      <c r="AN95" s="3"/>
      <c r="AO95" s="317">
        <v>22</v>
      </c>
      <c r="AP95" s="318">
        <v>23</v>
      </c>
      <c r="AQ95" s="319" t="s">
        <v>242</v>
      </c>
      <c r="AR95" s="320"/>
      <c r="AS95" s="321"/>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row>
    <row x14ac:dyDescent="0.25" r="96" customHeight="1" ht="17.25">
      <c r="A96" s="1"/>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288">
        <v>90</v>
      </c>
      <c r="AM96" s="289">
        <v>17</v>
      </c>
      <c r="AN96" s="3"/>
      <c r="AO96" s="317">
        <v>24</v>
      </c>
      <c r="AP96" s="318">
        <v>1</v>
      </c>
      <c r="AQ96" s="319" t="s">
        <v>243</v>
      </c>
      <c r="AR96" s="320"/>
      <c r="AS96" s="321"/>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row>
    <row x14ac:dyDescent="0.25" r="97" customHeight="1" ht="17.25">
      <c r="A97" s="1"/>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288">
        <v>91</v>
      </c>
      <c r="AM97" s="289">
        <v>16</v>
      </c>
      <c r="AN97" s="3"/>
      <c r="AO97" s="317">
        <v>32</v>
      </c>
      <c r="AP97" s="318" t="s">
        <v>223</v>
      </c>
      <c r="AQ97" s="319" t="s">
        <v>244</v>
      </c>
      <c r="AR97" s="320"/>
      <c r="AS97" s="321"/>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row>
    <row x14ac:dyDescent="0.25" r="98" customHeight="1" ht="17.25">
      <c r="A98" s="1"/>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288">
        <v>92</v>
      </c>
      <c r="AM98" s="289">
        <v>15</v>
      </c>
      <c r="AN98" s="3"/>
      <c r="AO98" s="317">
        <v>34</v>
      </c>
      <c r="AP98" s="318">
        <v>13</v>
      </c>
      <c r="AQ98" s="319" t="s">
        <v>245</v>
      </c>
      <c r="AR98" s="320"/>
      <c r="AS98" s="321"/>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row>
    <row x14ac:dyDescent="0.25" r="99" customHeight="1" ht="17.25">
      <c r="A99" s="1"/>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288">
        <v>93</v>
      </c>
      <c r="AM99" s="289">
        <v>5</v>
      </c>
      <c r="AN99" s="3"/>
      <c r="AO99" s="317">
        <v>35</v>
      </c>
      <c r="AP99" s="318">
        <v>19</v>
      </c>
      <c r="AQ99" s="319" t="s">
        <v>246</v>
      </c>
      <c r="AR99" s="320"/>
      <c r="AS99" s="321"/>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row>
    <row x14ac:dyDescent="0.25" r="100" customHeight="1" ht="17.25">
      <c r="A100" s="1"/>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288">
        <v>94</v>
      </c>
      <c r="AM100" s="289">
        <v>23</v>
      </c>
      <c r="AN100" s="3"/>
      <c r="AO100" s="317">
        <v>36</v>
      </c>
      <c r="AP100" s="318">
        <v>2</v>
      </c>
      <c r="AQ100" s="319" t="s">
        <v>247</v>
      </c>
      <c r="AR100" s="320"/>
      <c r="AS100" s="321"/>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row>
    <row x14ac:dyDescent="0.25" r="101" customHeight="1" ht="17.25">
      <c r="A101" s="1"/>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288">
        <v>95</v>
      </c>
      <c r="AM101" s="289">
        <v>11</v>
      </c>
      <c r="AN101" s="3"/>
      <c r="AO101" s="317">
        <v>40</v>
      </c>
      <c r="AP101" s="318">
        <v>7</v>
      </c>
      <c r="AQ101" s="319" t="s">
        <v>248</v>
      </c>
      <c r="AR101" s="320"/>
      <c r="AS101" s="321"/>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row>
    <row x14ac:dyDescent="0.25" r="102" customHeight="1" ht="17.25">
      <c r="A102" s="1"/>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288">
        <v>96</v>
      </c>
      <c r="AM102" s="289">
        <v>13</v>
      </c>
      <c r="AN102" s="3"/>
      <c r="AO102" s="317">
        <v>41</v>
      </c>
      <c r="AP102" s="318">
        <v>9</v>
      </c>
      <c r="AQ102" s="319" t="s">
        <v>249</v>
      </c>
      <c r="AR102" s="320"/>
      <c r="AS102" s="321"/>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row>
    <row x14ac:dyDescent="0.25" r="103" customHeight="1" ht="17.25">
      <c r="A103" s="1"/>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288">
        <v>97</v>
      </c>
      <c r="AM103" s="289">
        <v>12</v>
      </c>
      <c r="AN103" s="3"/>
      <c r="AO103" s="317">
        <v>44</v>
      </c>
      <c r="AP103" s="318">
        <v>22</v>
      </c>
      <c r="AQ103" s="319" t="s">
        <v>250</v>
      </c>
      <c r="AR103" s="320"/>
      <c r="AS103" s="321"/>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row>
    <row x14ac:dyDescent="0.25" r="104" customHeight="1" ht="17.25">
      <c r="A104" s="1"/>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288">
        <v>98</v>
      </c>
      <c r="AM104" s="289">
        <v>9</v>
      </c>
      <c r="AN104" s="3"/>
      <c r="AO104" s="317">
        <v>45</v>
      </c>
      <c r="AP104" s="318" t="s">
        <v>251</v>
      </c>
      <c r="AQ104" s="319" t="s">
        <v>252</v>
      </c>
      <c r="AR104" s="320"/>
      <c r="AS104" s="321"/>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row>
    <row x14ac:dyDescent="0.25" r="105" customHeight="1" ht="17.25">
      <c r="A105" s="1"/>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288">
        <v>99</v>
      </c>
      <c r="AM105" s="289">
        <v>9</v>
      </c>
      <c r="AN105" s="3"/>
      <c r="AO105" s="317">
        <v>51</v>
      </c>
      <c r="AP105" s="318">
        <v>6</v>
      </c>
      <c r="AQ105" s="319" t="s">
        <v>253</v>
      </c>
      <c r="AR105" s="320"/>
      <c r="AS105" s="321"/>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row>
    <row x14ac:dyDescent="0.25" r="106" customHeight="1" ht="17.25">
      <c r="A106" s="1"/>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288">
        <v>100</v>
      </c>
      <c r="AM106" s="289">
        <v>5</v>
      </c>
      <c r="AN106" s="3"/>
      <c r="AO106" s="317">
        <v>68</v>
      </c>
      <c r="AP106" s="318">
        <v>19</v>
      </c>
      <c r="AQ106" s="319" t="s">
        <v>254</v>
      </c>
      <c r="AR106" s="320"/>
      <c r="AS106" s="321"/>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row>
    <row x14ac:dyDescent="0.25" r="107" customHeight="1" ht="17.25">
      <c r="A107" s="1"/>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288">
        <v>101</v>
      </c>
      <c r="AM107" s="289">
        <v>8</v>
      </c>
      <c r="AN107" s="3"/>
      <c r="AO107" s="317">
        <v>69</v>
      </c>
      <c r="AP107" s="318">
        <v>10</v>
      </c>
      <c r="AQ107" s="319" t="s">
        <v>255</v>
      </c>
      <c r="AR107" s="320"/>
      <c r="AS107" s="321"/>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row>
    <row x14ac:dyDescent="0.25" r="108" customHeight="1" ht="17.25">
      <c r="A108" s="1"/>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288">
        <v>102</v>
      </c>
      <c r="AM108" s="289">
        <v>28</v>
      </c>
      <c r="AN108" s="3"/>
      <c r="AO108" s="317">
        <v>69</v>
      </c>
      <c r="AP108" s="318">
        <v>10</v>
      </c>
      <c r="AQ108" s="319" t="s">
        <v>256</v>
      </c>
      <c r="AR108" s="320"/>
      <c r="AS108" s="321"/>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row>
    <row x14ac:dyDescent="0.25" r="109" customHeight="1" ht="17.25">
      <c r="A109" s="1"/>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288">
        <v>103</v>
      </c>
      <c r="AM109" s="289">
        <v>22</v>
      </c>
      <c r="AN109" s="3"/>
      <c r="AO109" s="317">
        <v>69</v>
      </c>
      <c r="AP109" s="318">
        <v>10</v>
      </c>
      <c r="AQ109" s="319" t="s">
        <v>257</v>
      </c>
      <c r="AR109" s="320"/>
      <c r="AS109" s="321"/>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row>
    <row x14ac:dyDescent="0.25" r="110" customHeight="1" ht="17.25">
      <c r="A110" s="1"/>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288">
        <v>104</v>
      </c>
      <c r="AM110" s="289">
        <v>35</v>
      </c>
      <c r="AN110" s="3"/>
      <c r="AO110" s="317">
        <v>69</v>
      </c>
      <c r="AP110" s="318">
        <v>26</v>
      </c>
      <c r="AQ110" s="319" t="s">
        <v>258</v>
      </c>
      <c r="AR110" s="320"/>
      <c r="AS110" s="321"/>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row>
    <row x14ac:dyDescent="0.25" r="111" customHeight="1" ht="17.25">
      <c r="A111" s="1"/>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288">
        <v>105</v>
      </c>
      <c r="AM111" s="289">
        <v>45</v>
      </c>
      <c r="AN111" s="3"/>
      <c r="AO111" s="317">
        <v>78</v>
      </c>
      <c r="AP111" s="318">
        <v>2</v>
      </c>
      <c r="AQ111" s="319" t="s">
        <v>259</v>
      </c>
      <c r="AR111" s="320"/>
      <c r="AS111" s="321"/>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row>
    <row x14ac:dyDescent="0.25" r="112" customHeight="1" ht="17.25">
      <c r="A112" s="1"/>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288">
        <v>106</v>
      </c>
      <c r="AM112" s="289">
        <v>48</v>
      </c>
      <c r="AN112" s="3"/>
      <c r="AO112" s="317">
        <v>78</v>
      </c>
      <c r="AP112" s="318">
        <v>24</v>
      </c>
      <c r="AQ112" s="319" t="s">
        <v>260</v>
      </c>
      <c r="AR112" s="320"/>
      <c r="AS112" s="321"/>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row>
    <row x14ac:dyDescent="0.25" r="113" customHeight="1" ht="17.25">
      <c r="A113" s="1"/>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288">
        <v>107</v>
      </c>
      <c r="AM113" s="289">
        <v>43</v>
      </c>
      <c r="AN113" s="3"/>
      <c r="AO113" s="317">
        <v>82</v>
      </c>
      <c r="AP113" s="318">
        <v>6</v>
      </c>
      <c r="AQ113" s="319" t="s">
        <v>261</v>
      </c>
      <c r="AR113" s="320"/>
      <c r="AS113" s="321"/>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row>
    <row x14ac:dyDescent="0.25" r="114" customHeight="1" ht="17.25">
      <c r="A114" s="1"/>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288">
        <v>108</v>
      </c>
      <c r="AM114" s="289">
        <v>13</v>
      </c>
      <c r="AN114" s="3"/>
      <c r="AO114" s="317">
        <v>89</v>
      </c>
      <c r="AP114" s="318">
        <v>20</v>
      </c>
      <c r="AQ114" s="319" t="s">
        <v>262</v>
      </c>
      <c r="AR114" s="320"/>
      <c r="AS114" s="321"/>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row>
    <row x14ac:dyDescent="0.25" r="115" customHeight="1" ht="17.25">
      <c r="A115" s="1"/>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288">
        <v>109</v>
      </c>
      <c r="AM115" s="289">
        <v>31</v>
      </c>
      <c r="AN115" s="3"/>
      <c r="AO115" s="317">
        <v>90</v>
      </c>
      <c r="AP115" s="318">
        <v>1</v>
      </c>
      <c r="AQ115" s="319" t="s">
        <v>263</v>
      </c>
      <c r="AR115" s="320"/>
      <c r="AS115" s="321"/>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row>
    <row x14ac:dyDescent="0.25" r="116" customHeight="1" ht="17.25">
      <c r="A116" s="1"/>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288">
        <v>110</v>
      </c>
      <c r="AM116" s="289">
        <v>7</v>
      </c>
      <c r="AN116" s="3"/>
      <c r="AO116" s="317">
        <v>91</v>
      </c>
      <c r="AP116" s="318" t="s">
        <v>264</v>
      </c>
      <c r="AQ116" s="319" t="s">
        <v>265</v>
      </c>
      <c r="AR116" s="320"/>
      <c r="AS116" s="321"/>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row>
    <row x14ac:dyDescent="0.25" r="117" customHeight="1" ht="17.25">
      <c r="A117" s="1"/>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288">
        <v>111</v>
      </c>
      <c r="AM117" s="289">
        <v>10</v>
      </c>
      <c r="AN117" s="3"/>
      <c r="AO117" s="317">
        <v>94</v>
      </c>
      <c r="AP117" s="318">
        <v>11</v>
      </c>
      <c r="AQ117" s="319" t="s">
        <v>266</v>
      </c>
      <c r="AR117" s="320"/>
      <c r="AS117" s="321"/>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c r="DF117" s="3"/>
      <c r="DG117" s="3"/>
      <c r="DH117" s="3"/>
      <c r="DI117" s="3"/>
      <c r="DJ117" s="3"/>
      <c r="DK117" s="3"/>
      <c r="DL117" s="3"/>
      <c r="DM117" s="3"/>
      <c r="DN117" s="3"/>
      <c r="DO117" s="3"/>
      <c r="DP117" s="3"/>
      <c r="DQ117" s="3"/>
      <c r="DR117" s="3"/>
      <c r="DS117" s="3"/>
      <c r="DT117" s="3"/>
      <c r="DU117" s="3"/>
      <c r="DV117" s="3"/>
      <c r="DW117" s="3"/>
      <c r="DX117" s="3"/>
      <c r="DY117" s="3"/>
      <c r="DZ117" s="3"/>
      <c r="EA117" s="3"/>
      <c r="EB117" s="3"/>
      <c r="EC117" s="3"/>
    </row>
    <row x14ac:dyDescent="0.25" r="118" customHeight="1" ht="17.25">
      <c r="A118" s="1"/>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288">
        <v>112</v>
      </c>
      <c r="AM118" s="289">
        <v>10</v>
      </c>
      <c r="AN118" s="3"/>
      <c r="AO118" s="317">
        <v>95</v>
      </c>
      <c r="AP118" s="318">
        <v>7</v>
      </c>
      <c r="AQ118" s="319" t="s">
        <v>267</v>
      </c>
      <c r="AR118" s="320"/>
      <c r="AS118" s="321"/>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c r="DF118" s="3"/>
      <c r="DG118" s="3"/>
      <c r="DH118" s="3"/>
      <c r="DI118" s="3"/>
      <c r="DJ118" s="3"/>
      <c r="DK118" s="3"/>
      <c r="DL118" s="3"/>
      <c r="DM118" s="3"/>
      <c r="DN118" s="3"/>
      <c r="DO118" s="3"/>
      <c r="DP118" s="3"/>
      <c r="DQ118" s="3"/>
      <c r="DR118" s="3"/>
      <c r="DS118" s="3"/>
      <c r="DT118" s="3"/>
      <c r="DU118" s="3"/>
      <c r="DV118" s="3"/>
      <c r="DW118" s="3"/>
      <c r="DX118" s="3"/>
      <c r="DY118" s="3"/>
      <c r="DZ118" s="3"/>
      <c r="EA118" s="3"/>
      <c r="EB118" s="3"/>
      <c r="EC118" s="3"/>
    </row>
    <row x14ac:dyDescent="0.25" r="119" customHeight="1" ht="17.25">
      <c r="A119" s="1"/>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288">
        <v>113</v>
      </c>
      <c r="AM119" s="289">
        <v>9</v>
      </c>
      <c r="AN119" s="3"/>
      <c r="AO119" s="317">
        <v>97</v>
      </c>
      <c r="AP119" s="318">
        <v>7</v>
      </c>
      <c r="AQ119" s="319" t="s">
        <v>268</v>
      </c>
      <c r="AR119" s="320"/>
      <c r="AS119" s="321"/>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c r="DF119" s="3"/>
      <c r="DG119" s="3"/>
      <c r="DH119" s="3"/>
      <c r="DI119" s="3"/>
      <c r="DJ119" s="3"/>
      <c r="DK119" s="3"/>
      <c r="DL119" s="3"/>
      <c r="DM119" s="3"/>
      <c r="DN119" s="3"/>
      <c r="DO119" s="3"/>
      <c r="DP119" s="3"/>
      <c r="DQ119" s="3"/>
      <c r="DR119" s="3"/>
      <c r="DS119" s="3"/>
      <c r="DT119" s="3"/>
      <c r="DU119" s="3"/>
      <c r="DV119" s="3"/>
      <c r="DW119" s="3"/>
      <c r="DX119" s="3"/>
      <c r="DY119" s="3"/>
      <c r="DZ119" s="3"/>
      <c r="EA119" s="3"/>
      <c r="EB119" s="3"/>
      <c r="EC119" s="3"/>
    </row>
    <row x14ac:dyDescent="0.25" r="120" customHeight="1" ht="17.25">
      <c r="A120" s="1"/>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288">
        <v>114</v>
      </c>
      <c r="AM120" s="289">
        <v>8</v>
      </c>
      <c r="AN120" s="3"/>
      <c r="AO120" s="317">
        <v>98</v>
      </c>
      <c r="AP120" s="318">
        <v>22</v>
      </c>
      <c r="AQ120" s="319" t="s">
        <v>269</v>
      </c>
      <c r="AR120" s="320"/>
      <c r="AS120" s="321"/>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c r="DF120" s="3"/>
      <c r="DG120" s="3"/>
      <c r="DH120" s="3"/>
      <c r="DI120" s="3"/>
      <c r="DJ120" s="3"/>
      <c r="DK120" s="3"/>
      <c r="DL120" s="3"/>
      <c r="DM120" s="3"/>
      <c r="DN120" s="3"/>
      <c r="DO120" s="3"/>
      <c r="DP120" s="3"/>
      <c r="DQ120" s="3"/>
      <c r="DR120" s="3"/>
      <c r="DS120" s="3"/>
      <c r="DT120" s="3"/>
      <c r="DU120" s="3"/>
      <c r="DV120" s="3"/>
      <c r="DW120" s="3"/>
      <c r="DX120" s="3"/>
      <c r="DY120" s="3"/>
      <c r="DZ120" s="3"/>
      <c r="EA120" s="3"/>
      <c r="EB120" s="3"/>
      <c r="EC120" s="3"/>
    </row>
    <row x14ac:dyDescent="0.25" r="121" customHeight="1" ht="17.25">
      <c r="A121" s="1"/>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288">
        <v>115</v>
      </c>
      <c r="AM121" s="289">
        <v>18</v>
      </c>
      <c r="AN121" s="3"/>
      <c r="AO121" s="317">
        <v>102</v>
      </c>
      <c r="AP121" s="318">
        <v>25</v>
      </c>
      <c r="AQ121" s="319" t="s">
        <v>270</v>
      </c>
      <c r="AR121" s="320"/>
      <c r="AS121" s="321"/>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c r="DF121" s="3"/>
      <c r="DG121" s="3"/>
      <c r="DH121" s="3"/>
      <c r="DI121" s="3"/>
      <c r="DJ121" s="3"/>
      <c r="DK121" s="3"/>
      <c r="DL121" s="3"/>
      <c r="DM121" s="3"/>
      <c r="DN121" s="3"/>
      <c r="DO121" s="3"/>
      <c r="DP121" s="3"/>
      <c r="DQ121" s="3"/>
      <c r="DR121" s="3"/>
      <c r="DS121" s="3"/>
      <c r="DT121" s="3"/>
      <c r="DU121" s="3"/>
      <c r="DV121" s="3"/>
      <c r="DW121" s="3"/>
      <c r="DX121" s="3"/>
      <c r="DY121" s="3"/>
      <c r="DZ121" s="3"/>
      <c r="EA121" s="3"/>
      <c r="EB121" s="3"/>
      <c r="EC121" s="3"/>
    </row>
    <row x14ac:dyDescent="0.25" r="122" customHeight="1" ht="17.25">
      <c r="A122" s="1"/>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288">
        <v>116</v>
      </c>
      <c r="AM122" s="289">
        <v>19</v>
      </c>
      <c r="AN122" s="3"/>
      <c r="AO122" s="317">
        <v>104</v>
      </c>
      <c r="AP122" s="318">
        <v>4</v>
      </c>
      <c r="AQ122" s="319" t="s">
        <v>271</v>
      </c>
      <c r="AR122" s="320"/>
      <c r="AS122" s="321"/>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c r="DF122" s="3"/>
      <c r="DG122" s="3"/>
      <c r="DH122" s="3"/>
      <c r="DI122" s="3"/>
      <c r="DJ122" s="3"/>
      <c r="DK122" s="3"/>
      <c r="DL122" s="3"/>
      <c r="DM122" s="3"/>
      <c r="DN122" s="3"/>
      <c r="DO122" s="3"/>
      <c r="DP122" s="3"/>
      <c r="DQ122" s="3"/>
      <c r="DR122" s="3"/>
      <c r="DS122" s="3"/>
      <c r="DT122" s="3"/>
      <c r="DU122" s="3"/>
      <c r="DV122" s="3"/>
      <c r="DW122" s="3"/>
      <c r="DX122" s="3"/>
      <c r="DY122" s="3"/>
      <c r="DZ122" s="3"/>
      <c r="EA122" s="3"/>
      <c r="EB122" s="3"/>
      <c r="EC122" s="3"/>
    </row>
    <row x14ac:dyDescent="0.25" r="123" customHeight="1" ht="17.25">
      <c r="A123" s="1"/>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288">
        <v>117</v>
      </c>
      <c r="AM123" s="289">
        <v>2</v>
      </c>
      <c r="AN123" s="3"/>
      <c r="AO123" s="317">
        <v>109</v>
      </c>
      <c r="AP123" s="318">
        <v>3</v>
      </c>
      <c r="AQ123" s="319" t="s">
        <v>246</v>
      </c>
      <c r="AR123" s="320"/>
      <c r="AS123" s="321"/>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c r="DF123" s="3"/>
      <c r="DG123" s="3"/>
      <c r="DH123" s="3"/>
      <c r="DI123" s="3"/>
      <c r="DJ123" s="3"/>
      <c r="DK123" s="3"/>
      <c r="DL123" s="3"/>
      <c r="DM123" s="3"/>
      <c r="DN123" s="3"/>
      <c r="DO123" s="3"/>
      <c r="DP123" s="3"/>
      <c r="DQ123" s="3"/>
      <c r="DR123" s="3"/>
      <c r="DS123" s="3"/>
      <c r="DT123" s="3"/>
      <c r="DU123" s="3"/>
      <c r="DV123" s="3"/>
      <c r="DW123" s="3"/>
      <c r="DX123" s="3"/>
      <c r="DY123" s="3"/>
      <c r="DZ123" s="3"/>
      <c r="EA123" s="3"/>
      <c r="EB123" s="3"/>
      <c r="EC123" s="3"/>
    </row>
    <row x14ac:dyDescent="0.25" r="124" customHeight="1" ht="17.25">
      <c r="A124" s="1"/>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288">
        <v>118</v>
      </c>
      <c r="AM124" s="289">
        <v>29</v>
      </c>
      <c r="AN124" s="3"/>
      <c r="AO124" s="317">
        <v>110</v>
      </c>
      <c r="AP124" s="318">
        <v>8</v>
      </c>
      <c r="AQ124" s="319" t="s">
        <v>258</v>
      </c>
      <c r="AR124" s="320"/>
      <c r="AS124" s="321"/>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c r="DF124" s="3"/>
      <c r="DG124" s="3"/>
      <c r="DH124" s="3"/>
      <c r="DI124" s="3"/>
      <c r="DJ124" s="3"/>
      <c r="DK124" s="3"/>
      <c r="DL124" s="3"/>
      <c r="DM124" s="3"/>
      <c r="DN124" s="3"/>
      <c r="DO124" s="3"/>
      <c r="DP124" s="3"/>
      <c r="DQ124" s="3"/>
      <c r="DR124" s="3"/>
      <c r="DS124" s="3"/>
      <c r="DT124" s="3"/>
      <c r="DU124" s="3"/>
      <c r="DV124" s="3"/>
      <c r="DW124" s="3"/>
      <c r="DX124" s="3"/>
      <c r="DY124" s="3"/>
      <c r="DZ124" s="3"/>
      <c r="EA124" s="3"/>
      <c r="EB124" s="3"/>
      <c r="EC124" s="3"/>
    </row>
    <row x14ac:dyDescent="0.25" r="125" customHeight="1" ht="17.25">
      <c r="A125" s="1"/>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288">
        <v>119</v>
      </c>
      <c r="AM125" s="289">
        <v>176</v>
      </c>
      <c r="AN125" s="3"/>
      <c r="AO125" s="317">
        <v>110</v>
      </c>
      <c r="AP125" s="318">
        <v>1</v>
      </c>
      <c r="AQ125" s="319" t="s">
        <v>272</v>
      </c>
      <c r="AR125" s="320"/>
      <c r="AS125" s="321"/>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c r="DF125" s="3"/>
      <c r="DG125" s="3"/>
      <c r="DH125" s="3"/>
      <c r="DI125" s="3"/>
      <c r="DJ125" s="3"/>
      <c r="DK125" s="3"/>
      <c r="DL125" s="3"/>
      <c r="DM125" s="3"/>
      <c r="DN125" s="3"/>
      <c r="DO125" s="3"/>
      <c r="DP125" s="3"/>
      <c r="DQ125" s="3"/>
      <c r="DR125" s="3"/>
      <c r="DS125" s="3"/>
      <c r="DT125" s="3"/>
      <c r="DU125" s="3"/>
      <c r="DV125" s="3"/>
      <c r="DW125" s="3"/>
      <c r="DX125" s="3"/>
      <c r="DY125" s="3"/>
      <c r="DZ125" s="3"/>
      <c r="EA125" s="3"/>
      <c r="EB125" s="3"/>
      <c r="EC125" s="3"/>
    </row>
    <row x14ac:dyDescent="0.25" r="126" customHeight="1" ht="17.25">
      <c r="A126" s="1"/>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288">
        <v>120</v>
      </c>
      <c r="AM126" s="289">
        <v>7</v>
      </c>
      <c r="AN126" s="3"/>
      <c r="AO126" s="317">
        <v>110</v>
      </c>
      <c r="AP126" s="318">
        <v>1</v>
      </c>
      <c r="AQ126" s="319" t="s">
        <v>273</v>
      </c>
      <c r="AR126" s="320"/>
      <c r="AS126" s="321"/>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c r="DF126" s="3"/>
      <c r="DG126" s="3"/>
      <c r="DH126" s="3"/>
      <c r="DI126" s="3"/>
      <c r="DJ126" s="3"/>
      <c r="DK126" s="3"/>
      <c r="DL126" s="3"/>
      <c r="DM126" s="3"/>
      <c r="DN126" s="3"/>
      <c r="DO126" s="3"/>
      <c r="DP126" s="3"/>
      <c r="DQ126" s="3"/>
      <c r="DR126" s="3"/>
      <c r="DS126" s="3"/>
      <c r="DT126" s="3"/>
      <c r="DU126" s="3"/>
      <c r="DV126" s="3"/>
      <c r="DW126" s="3"/>
      <c r="DX126" s="3"/>
      <c r="DY126" s="3"/>
      <c r="DZ126" s="3"/>
      <c r="EA126" s="3"/>
      <c r="EB126" s="3"/>
      <c r="EC126" s="3"/>
    </row>
    <row x14ac:dyDescent="0.25" r="127" customHeight="1" ht="17.25">
      <c r="A127" s="1"/>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288">
        <v>121</v>
      </c>
      <c r="AM127" s="289">
        <v>8</v>
      </c>
      <c r="AN127" s="3"/>
      <c r="AO127" s="317">
        <v>110</v>
      </c>
      <c r="AP127" s="318">
        <v>1</v>
      </c>
      <c r="AQ127" s="319" t="s">
        <v>274</v>
      </c>
      <c r="AR127" s="320"/>
      <c r="AS127" s="321"/>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c r="DF127" s="3"/>
      <c r="DG127" s="3"/>
      <c r="DH127" s="3"/>
      <c r="DI127" s="3"/>
      <c r="DJ127" s="3"/>
      <c r="DK127" s="3"/>
      <c r="DL127" s="3"/>
      <c r="DM127" s="3"/>
      <c r="DN127" s="3"/>
      <c r="DO127" s="3"/>
      <c r="DP127" s="3"/>
      <c r="DQ127" s="3"/>
      <c r="DR127" s="3"/>
      <c r="DS127" s="3"/>
      <c r="DT127" s="3"/>
      <c r="DU127" s="3"/>
      <c r="DV127" s="3"/>
      <c r="DW127" s="3"/>
      <c r="DX127" s="3"/>
      <c r="DY127" s="3"/>
      <c r="DZ127" s="3"/>
      <c r="EA127" s="3"/>
      <c r="EB127" s="3"/>
      <c r="EC127" s="3"/>
    </row>
    <row x14ac:dyDescent="0.25" r="128" customHeight="1" ht="17.25">
      <c r="A128" s="1"/>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288">
        <v>122</v>
      </c>
      <c r="AM128" s="289">
        <v>9</v>
      </c>
      <c r="AN128" s="3"/>
      <c r="AO128" s="317">
        <v>110</v>
      </c>
      <c r="AP128" s="318">
        <v>4</v>
      </c>
      <c r="AQ128" s="319" t="s">
        <v>275</v>
      </c>
      <c r="AR128" s="320"/>
      <c r="AS128" s="321"/>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c r="DF128" s="3"/>
      <c r="DG128" s="3"/>
      <c r="DH128" s="3"/>
      <c r="DI128" s="3"/>
      <c r="DJ128" s="3"/>
      <c r="DK128" s="3"/>
      <c r="DL128" s="3"/>
      <c r="DM128" s="3"/>
      <c r="DN128" s="3"/>
      <c r="DO128" s="3"/>
      <c r="DP128" s="3"/>
      <c r="DQ128" s="3"/>
      <c r="DR128" s="3"/>
      <c r="DS128" s="3"/>
      <c r="DT128" s="3"/>
      <c r="DU128" s="3"/>
      <c r="DV128" s="3"/>
      <c r="DW128" s="3"/>
      <c r="DX128" s="3"/>
      <c r="DY128" s="3"/>
      <c r="DZ128" s="3"/>
      <c r="EA128" s="3"/>
      <c r="EB128" s="3"/>
      <c r="EC128" s="3"/>
    </row>
    <row x14ac:dyDescent="0.25" r="129" customHeight="1" ht="17.25">
      <c r="A129" s="1"/>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288">
        <v>123</v>
      </c>
      <c r="AM129" s="289">
        <v>4</v>
      </c>
      <c r="AN129" s="3"/>
      <c r="AO129" s="317">
        <v>112</v>
      </c>
      <c r="AP129" s="318">
        <v>9</v>
      </c>
      <c r="AQ129" s="319" t="s">
        <v>276</v>
      </c>
      <c r="AR129" s="320"/>
      <c r="AS129" s="321"/>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c r="DF129" s="3"/>
      <c r="DG129" s="3"/>
      <c r="DH129" s="3"/>
      <c r="DI129" s="3"/>
      <c r="DJ129" s="3"/>
      <c r="DK129" s="3"/>
      <c r="DL129" s="3"/>
      <c r="DM129" s="3"/>
      <c r="DN129" s="3"/>
      <c r="DO129" s="3"/>
      <c r="DP129" s="3"/>
      <c r="DQ129" s="3"/>
      <c r="DR129" s="3"/>
      <c r="DS129" s="3"/>
      <c r="DT129" s="3"/>
      <c r="DU129" s="3"/>
      <c r="DV129" s="3"/>
      <c r="DW129" s="3"/>
      <c r="DX129" s="3"/>
      <c r="DY129" s="3"/>
      <c r="DZ129" s="3"/>
      <c r="EA129" s="3"/>
      <c r="EB129" s="3"/>
      <c r="EC129" s="3"/>
    </row>
    <row x14ac:dyDescent="0.25" r="130" customHeight="1" ht="17.25">
      <c r="A130" s="1"/>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288">
        <v>124</v>
      </c>
      <c r="AM130" s="289">
        <v>8</v>
      </c>
      <c r="AN130" s="3"/>
      <c r="AO130" s="317">
        <v>116</v>
      </c>
      <c r="AP130" s="318">
        <v>10</v>
      </c>
      <c r="AQ130" s="319" t="s">
        <v>277</v>
      </c>
      <c r="AR130" s="320"/>
      <c r="AS130" s="321"/>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3"/>
      <c r="DG130" s="3"/>
      <c r="DH130" s="3"/>
      <c r="DI130" s="3"/>
      <c r="DJ130" s="3"/>
      <c r="DK130" s="3"/>
      <c r="DL130" s="3"/>
      <c r="DM130" s="3"/>
      <c r="DN130" s="3"/>
      <c r="DO130" s="3"/>
      <c r="DP130" s="3"/>
      <c r="DQ130" s="3"/>
      <c r="DR130" s="3"/>
      <c r="DS130" s="3"/>
      <c r="DT130" s="3"/>
      <c r="DU130" s="3"/>
      <c r="DV130" s="3"/>
      <c r="DW130" s="3"/>
      <c r="DX130" s="3"/>
      <c r="DY130" s="3"/>
      <c r="DZ130" s="3"/>
      <c r="EA130" s="3"/>
      <c r="EB130" s="3"/>
      <c r="EC130" s="3"/>
    </row>
    <row x14ac:dyDescent="0.25" r="131" customHeight="1" ht="17.25">
      <c r="A131" s="1"/>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288">
        <v>125</v>
      </c>
      <c r="AM131" s="289">
        <v>5</v>
      </c>
      <c r="AN131" s="3"/>
      <c r="AO131" s="317">
        <v>117</v>
      </c>
      <c r="AP131" s="318">
        <v>1</v>
      </c>
      <c r="AQ131" s="319" t="s">
        <v>278</v>
      </c>
      <c r="AR131" s="320"/>
      <c r="AS131" s="321"/>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c r="DF131" s="3"/>
      <c r="DG131" s="3"/>
      <c r="DH131" s="3"/>
      <c r="DI131" s="3"/>
      <c r="DJ131" s="3"/>
      <c r="DK131" s="3"/>
      <c r="DL131" s="3"/>
      <c r="DM131" s="3"/>
      <c r="DN131" s="3"/>
      <c r="DO131" s="3"/>
      <c r="DP131" s="3"/>
      <c r="DQ131" s="3"/>
      <c r="DR131" s="3"/>
      <c r="DS131" s="3"/>
      <c r="DT131" s="3"/>
      <c r="DU131" s="3"/>
      <c r="DV131" s="3"/>
      <c r="DW131" s="3"/>
      <c r="DX131" s="3"/>
      <c r="DY131" s="3"/>
      <c r="DZ131" s="3"/>
      <c r="EA131" s="3"/>
      <c r="EB131" s="3"/>
      <c r="EC131" s="3"/>
    </row>
    <row x14ac:dyDescent="0.25" r="132" customHeight="1" ht="17.25">
      <c r="A132" s="1"/>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288">
        <v>126</v>
      </c>
      <c r="AM132" s="289">
        <v>6</v>
      </c>
      <c r="AN132" s="3"/>
      <c r="AO132" s="317">
        <v>118</v>
      </c>
      <c r="AP132" s="318">
        <v>6</v>
      </c>
      <c r="AQ132" s="319" t="s">
        <v>279</v>
      </c>
      <c r="AR132" s="320"/>
      <c r="AS132" s="321"/>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c r="DF132" s="3"/>
      <c r="DG132" s="3"/>
      <c r="DH132" s="3"/>
      <c r="DI132" s="3"/>
      <c r="DJ132" s="3"/>
      <c r="DK132" s="3"/>
      <c r="DL132" s="3"/>
      <c r="DM132" s="3"/>
      <c r="DN132" s="3"/>
      <c r="DO132" s="3"/>
      <c r="DP132" s="3"/>
      <c r="DQ132" s="3"/>
      <c r="DR132" s="3"/>
      <c r="DS132" s="3"/>
      <c r="DT132" s="3"/>
      <c r="DU132" s="3"/>
      <c r="DV132" s="3"/>
      <c r="DW132" s="3"/>
      <c r="DX132" s="3"/>
      <c r="DY132" s="3"/>
      <c r="DZ132" s="3"/>
      <c r="EA132" s="3"/>
      <c r="EB132" s="3"/>
      <c r="EC132" s="3"/>
    </row>
    <row x14ac:dyDescent="0.25" r="133" customHeight="1" ht="17.25">
      <c r="A133" s="1"/>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288">
        <v>127</v>
      </c>
      <c r="AM133" s="289">
        <v>5</v>
      </c>
      <c r="AN133" s="3"/>
      <c r="AO133" s="317">
        <v>118</v>
      </c>
      <c r="AP133" s="318" t="s">
        <v>280</v>
      </c>
      <c r="AQ133" s="319" t="s">
        <v>269</v>
      </c>
      <c r="AR133" s="320"/>
      <c r="AS133" s="321"/>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c r="DF133" s="3"/>
      <c r="DG133" s="3"/>
      <c r="DH133" s="3"/>
      <c r="DI133" s="3"/>
      <c r="DJ133" s="3"/>
      <c r="DK133" s="3"/>
      <c r="DL133" s="3"/>
      <c r="DM133" s="3"/>
      <c r="DN133" s="3"/>
      <c r="DO133" s="3"/>
      <c r="DP133" s="3"/>
      <c r="DQ133" s="3"/>
      <c r="DR133" s="3"/>
      <c r="DS133" s="3"/>
      <c r="DT133" s="3"/>
      <c r="DU133" s="3"/>
      <c r="DV133" s="3"/>
      <c r="DW133" s="3"/>
      <c r="DX133" s="3"/>
      <c r="DY133" s="3"/>
      <c r="DZ133" s="3"/>
      <c r="EA133" s="3"/>
      <c r="EB133" s="3"/>
      <c r="EC133" s="3"/>
    </row>
    <row x14ac:dyDescent="0.25" r="134" customHeight="1" ht="17.25">
      <c r="A134" s="1"/>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288">
        <v>128</v>
      </c>
      <c r="AM134" s="289">
        <v>6</v>
      </c>
      <c r="AN134" s="3"/>
      <c r="AO134" s="328">
        <v>140</v>
      </c>
      <c r="AP134" s="329">
        <v>4</v>
      </c>
      <c r="AQ134" s="330" t="s">
        <v>229</v>
      </c>
      <c r="AR134" s="331"/>
      <c r="AS134" s="332"/>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c r="DF134" s="3"/>
      <c r="DG134" s="3"/>
      <c r="DH134" s="3"/>
      <c r="DI134" s="3"/>
      <c r="DJ134" s="3"/>
      <c r="DK134" s="3"/>
      <c r="DL134" s="3"/>
      <c r="DM134" s="3"/>
      <c r="DN134" s="3"/>
      <c r="DO134" s="3"/>
      <c r="DP134" s="3"/>
      <c r="DQ134" s="3"/>
      <c r="DR134" s="3"/>
      <c r="DS134" s="3"/>
      <c r="DT134" s="3"/>
      <c r="DU134" s="3"/>
      <c r="DV134" s="3"/>
      <c r="DW134" s="3"/>
      <c r="DX134" s="3"/>
      <c r="DY134" s="3"/>
      <c r="DZ134" s="3"/>
      <c r="EA134" s="3"/>
      <c r="EB134" s="3"/>
      <c r="EC134" s="3"/>
    </row>
    <row x14ac:dyDescent="0.25" r="135" customHeight="1" ht="17.25">
      <c r="A135" s="1"/>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288">
        <v>129</v>
      </c>
      <c r="AM135" s="289">
        <v>8</v>
      </c>
      <c r="AN135" s="3"/>
      <c r="AO135" s="293" t="s">
        <v>281</v>
      </c>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c r="DF135" s="3"/>
      <c r="DG135" s="3"/>
      <c r="DH135" s="3"/>
      <c r="DI135" s="3"/>
      <c r="DJ135" s="3"/>
      <c r="DK135" s="3"/>
      <c r="DL135" s="3"/>
      <c r="DM135" s="3"/>
      <c r="DN135" s="3"/>
      <c r="DO135" s="3"/>
      <c r="DP135" s="3"/>
      <c r="DQ135" s="3"/>
      <c r="DR135" s="3"/>
      <c r="DS135" s="3"/>
      <c r="DT135" s="3"/>
      <c r="DU135" s="3"/>
      <c r="DV135" s="3"/>
      <c r="DW135" s="3"/>
      <c r="DX135" s="3"/>
      <c r="DY135" s="3"/>
      <c r="DZ135" s="3"/>
      <c r="EA135" s="3"/>
      <c r="EB135" s="3"/>
      <c r="EC135" s="3"/>
    </row>
    <row x14ac:dyDescent="0.25" r="136" customHeight="1" ht="17.25">
      <c r="A136" s="1"/>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288">
        <v>130</v>
      </c>
      <c r="AM136" s="289">
        <v>8</v>
      </c>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c r="DF136" s="3"/>
      <c r="DG136" s="3"/>
      <c r="DH136" s="3"/>
      <c r="DI136" s="3"/>
      <c r="DJ136" s="3"/>
      <c r="DK136" s="3"/>
      <c r="DL136" s="3"/>
      <c r="DM136" s="3"/>
      <c r="DN136" s="3"/>
      <c r="DO136" s="3"/>
      <c r="DP136" s="3"/>
      <c r="DQ136" s="3"/>
      <c r="DR136" s="3"/>
      <c r="DS136" s="3"/>
      <c r="DT136" s="3"/>
      <c r="DU136" s="3"/>
      <c r="DV136" s="3"/>
      <c r="DW136" s="3"/>
      <c r="DX136" s="3"/>
      <c r="DY136" s="3"/>
      <c r="DZ136" s="3"/>
      <c r="EA136" s="3"/>
      <c r="EB136" s="3"/>
      <c r="EC136" s="3"/>
    </row>
    <row x14ac:dyDescent="0.25" r="137" customHeight="1" ht="17.25">
      <c r="A137" s="1"/>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288">
        <v>131</v>
      </c>
      <c r="AM137" s="289">
        <v>3</v>
      </c>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c r="DF137" s="3"/>
      <c r="DG137" s="3"/>
      <c r="DH137" s="3"/>
      <c r="DI137" s="3"/>
      <c r="DJ137" s="3"/>
      <c r="DK137" s="3"/>
      <c r="DL137" s="3"/>
      <c r="DM137" s="3"/>
      <c r="DN137" s="3"/>
      <c r="DO137" s="3"/>
      <c r="DP137" s="3"/>
      <c r="DQ137" s="3"/>
      <c r="DR137" s="3"/>
      <c r="DS137" s="3"/>
      <c r="DT137" s="3"/>
      <c r="DU137" s="3"/>
      <c r="DV137" s="3"/>
      <c r="DW137" s="3"/>
      <c r="DX137" s="3"/>
      <c r="DY137" s="3"/>
      <c r="DZ137" s="3"/>
      <c r="EA137" s="3"/>
      <c r="EB137" s="3"/>
      <c r="EC137" s="3"/>
    </row>
    <row x14ac:dyDescent="0.25" r="138" customHeight="1" ht="17.25">
      <c r="A138" s="1"/>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288">
        <v>132</v>
      </c>
      <c r="AM138" s="289">
        <v>18</v>
      </c>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c r="DF138" s="3"/>
      <c r="DG138" s="3"/>
      <c r="DH138" s="3"/>
      <c r="DI138" s="3"/>
      <c r="DJ138" s="3"/>
      <c r="DK138" s="3"/>
      <c r="DL138" s="3"/>
      <c r="DM138" s="3"/>
      <c r="DN138" s="3"/>
      <c r="DO138" s="3"/>
      <c r="DP138" s="3"/>
      <c r="DQ138" s="3"/>
      <c r="DR138" s="3"/>
      <c r="DS138" s="3"/>
      <c r="DT138" s="3"/>
      <c r="DU138" s="3"/>
      <c r="DV138" s="3"/>
      <c r="DW138" s="3"/>
      <c r="DX138" s="3"/>
      <c r="DY138" s="3"/>
      <c r="DZ138" s="3"/>
      <c r="EA138" s="3"/>
      <c r="EB138" s="3"/>
      <c r="EC138" s="3"/>
    </row>
    <row x14ac:dyDescent="0.25" r="139" customHeight="1" ht="17.25">
      <c r="A139" s="1"/>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288">
        <v>133</v>
      </c>
      <c r="AM139" s="289">
        <v>3</v>
      </c>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c r="DF139" s="3"/>
      <c r="DG139" s="3"/>
      <c r="DH139" s="3"/>
      <c r="DI139" s="3"/>
      <c r="DJ139" s="3"/>
      <c r="DK139" s="3"/>
      <c r="DL139" s="3"/>
      <c r="DM139" s="3"/>
      <c r="DN139" s="3"/>
      <c r="DO139" s="3"/>
      <c r="DP139" s="3"/>
      <c r="DQ139" s="3"/>
      <c r="DR139" s="3"/>
      <c r="DS139" s="3"/>
      <c r="DT139" s="3"/>
      <c r="DU139" s="3"/>
      <c r="DV139" s="3"/>
      <c r="DW139" s="3"/>
      <c r="DX139" s="3"/>
      <c r="DY139" s="3"/>
      <c r="DZ139" s="3"/>
      <c r="EA139" s="3"/>
      <c r="EB139" s="3"/>
      <c r="EC139" s="3"/>
    </row>
    <row x14ac:dyDescent="0.25" r="140" customHeight="1" ht="17.25">
      <c r="A140" s="1"/>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288">
        <v>134</v>
      </c>
      <c r="AM140" s="289">
        <v>3</v>
      </c>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c r="DF140" s="3"/>
      <c r="DG140" s="3"/>
      <c r="DH140" s="3"/>
      <c r="DI140" s="3"/>
      <c r="DJ140" s="3"/>
      <c r="DK140" s="3"/>
      <c r="DL140" s="3"/>
      <c r="DM140" s="3"/>
      <c r="DN140" s="3"/>
      <c r="DO140" s="3"/>
      <c r="DP140" s="3"/>
      <c r="DQ140" s="3"/>
      <c r="DR140" s="3"/>
      <c r="DS140" s="3"/>
      <c r="DT140" s="3"/>
      <c r="DU140" s="3"/>
      <c r="DV140" s="3"/>
      <c r="DW140" s="3"/>
      <c r="DX140" s="3"/>
      <c r="DY140" s="3"/>
      <c r="DZ140" s="3"/>
      <c r="EA140" s="3"/>
      <c r="EB140" s="3"/>
      <c r="EC140" s="3"/>
    </row>
    <row x14ac:dyDescent="0.25" r="141" customHeight="1" ht="17.25">
      <c r="A141" s="1"/>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288">
        <v>135</v>
      </c>
      <c r="AM141" s="289">
        <v>21</v>
      </c>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c r="DF141" s="3"/>
      <c r="DG141" s="3"/>
      <c r="DH141" s="3"/>
      <c r="DI141" s="3"/>
      <c r="DJ141" s="3"/>
      <c r="DK141" s="3"/>
      <c r="DL141" s="3"/>
      <c r="DM141" s="3"/>
      <c r="DN141" s="3"/>
      <c r="DO141" s="3"/>
      <c r="DP141" s="3"/>
      <c r="DQ141" s="3"/>
      <c r="DR141" s="3"/>
      <c r="DS141" s="3"/>
      <c r="DT141" s="3"/>
      <c r="DU141" s="3"/>
      <c r="DV141" s="3"/>
      <c r="DW141" s="3"/>
      <c r="DX141" s="3"/>
      <c r="DY141" s="3"/>
      <c r="DZ141" s="3"/>
      <c r="EA141" s="3"/>
      <c r="EB141" s="3"/>
      <c r="EC141" s="3"/>
    </row>
    <row x14ac:dyDescent="0.25" r="142" customHeight="1" ht="17.25">
      <c r="A142" s="1"/>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288">
        <v>136</v>
      </c>
      <c r="AM142" s="289">
        <v>26</v>
      </c>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c r="DF142" s="3"/>
      <c r="DG142" s="3"/>
      <c r="DH142" s="3"/>
      <c r="DI142" s="3"/>
      <c r="DJ142" s="3"/>
      <c r="DK142" s="3"/>
      <c r="DL142" s="3"/>
      <c r="DM142" s="3"/>
      <c r="DN142" s="3"/>
      <c r="DO142" s="3"/>
      <c r="DP142" s="3"/>
      <c r="DQ142" s="3"/>
      <c r="DR142" s="3"/>
      <c r="DS142" s="3"/>
      <c r="DT142" s="3"/>
      <c r="DU142" s="3"/>
      <c r="DV142" s="3"/>
      <c r="DW142" s="3"/>
      <c r="DX142" s="3"/>
      <c r="DY142" s="3"/>
      <c r="DZ142" s="3"/>
      <c r="EA142" s="3"/>
      <c r="EB142" s="3"/>
      <c r="EC142" s="3"/>
    </row>
    <row x14ac:dyDescent="0.25" r="143" customHeight="1" ht="17.25">
      <c r="A143" s="1"/>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288">
        <v>137</v>
      </c>
      <c r="AM143" s="289">
        <v>9</v>
      </c>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c r="DF143" s="3"/>
      <c r="DG143" s="3"/>
      <c r="DH143" s="3"/>
      <c r="DI143" s="3"/>
      <c r="DJ143" s="3"/>
      <c r="DK143" s="3"/>
      <c r="DL143" s="3"/>
      <c r="DM143" s="3"/>
      <c r="DN143" s="3"/>
      <c r="DO143" s="3"/>
      <c r="DP143" s="3"/>
      <c r="DQ143" s="3"/>
      <c r="DR143" s="3"/>
      <c r="DS143" s="3"/>
      <c r="DT143" s="3"/>
      <c r="DU143" s="3"/>
      <c r="DV143" s="3"/>
      <c r="DW143" s="3"/>
      <c r="DX143" s="3"/>
      <c r="DY143" s="3"/>
      <c r="DZ143" s="3"/>
      <c r="EA143" s="3"/>
      <c r="EB143" s="3"/>
      <c r="EC143" s="3"/>
    </row>
    <row x14ac:dyDescent="0.25" r="144" customHeight="1" ht="17.25">
      <c r="A144" s="1"/>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288">
        <v>138</v>
      </c>
      <c r="AM144" s="289">
        <v>8</v>
      </c>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c r="DF144" s="3"/>
      <c r="DG144" s="3"/>
      <c r="DH144" s="3"/>
      <c r="DI144" s="3"/>
      <c r="DJ144" s="3"/>
      <c r="DK144" s="3"/>
      <c r="DL144" s="3"/>
      <c r="DM144" s="3"/>
      <c r="DN144" s="3"/>
      <c r="DO144" s="3"/>
      <c r="DP144" s="3"/>
      <c r="DQ144" s="3"/>
      <c r="DR144" s="3"/>
      <c r="DS144" s="3"/>
      <c r="DT144" s="3"/>
      <c r="DU144" s="3"/>
      <c r="DV144" s="3"/>
      <c r="DW144" s="3"/>
      <c r="DX144" s="3"/>
      <c r="DY144" s="3"/>
      <c r="DZ144" s="3"/>
      <c r="EA144" s="3"/>
      <c r="EB144" s="3"/>
      <c r="EC144" s="3"/>
    </row>
    <row x14ac:dyDescent="0.25" r="145" customHeight="1" ht="17.25">
      <c r="A145" s="1"/>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288">
        <v>139</v>
      </c>
      <c r="AM145" s="289">
        <v>24</v>
      </c>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c r="DF145" s="3"/>
      <c r="DG145" s="3"/>
      <c r="DH145" s="3"/>
      <c r="DI145" s="3"/>
      <c r="DJ145" s="3"/>
      <c r="DK145" s="3"/>
      <c r="DL145" s="3"/>
      <c r="DM145" s="3"/>
      <c r="DN145" s="3"/>
      <c r="DO145" s="3"/>
      <c r="DP145" s="3"/>
      <c r="DQ145" s="3"/>
      <c r="DR145" s="3"/>
      <c r="DS145" s="3"/>
      <c r="DT145" s="3"/>
      <c r="DU145" s="3"/>
      <c r="DV145" s="3"/>
      <c r="DW145" s="3"/>
      <c r="DX145" s="3"/>
      <c r="DY145" s="3"/>
      <c r="DZ145" s="3"/>
      <c r="EA145" s="3"/>
      <c r="EB145" s="3"/>
      <c r="EC145" s="3"/>
    </row>
    <row x14ac:dyDescent="0.25" r="146" customHeight="1" ht="17.25">
      <c r="A146" s="1"/>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288">
        <v>140</v>
      </c>
      <c r="AM146" s="289">
        <v>13</v>
      </c>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c r="DF146" s="3"/>
      <c r="DG146" s="3"/>
      <c r="DH146" s="3"/>
      <c r="DI146" s="3"/>
      <c r="DJ146" s="3"/>
      <c r="DK146" s="3"/>
      <c r="DL146" s="3"/>
      <c r="DM146" s="3"/>
      <c r="DN146" s="3"/>
      <c r="DO146" s="3"/>
      <c r="DP146" s="3"/>
      <c r="DQ146" s="3"/>
      <c r="DR146" s="3"/>
      <c r="DS146" s="3"/>
      <c r="DT146" s="3"/>
      <c r="DU146" s="3"/>
      <c r="DV146" s="3"/>
      <c r="DW146" s="3"/>
      <c r="DX146" s="3"/>
      <c r="DY146" s="3"/>
      <c r="DZ146" s="3"/>
      <c r="EA146" s="3"/>
      <c r="EB146" s="3"/>
      <c r="EC146" s="3"/>
    </row>
    <row x14ac:dyDescent="0.25" r="147" customHeight="1" ht="17.25">
      <c r="A147" s="1"/>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288">
        <v>141</v>
      </c>
      <c r="AM147" s="289">
        <v>10</v>
      </c>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c r="DF147" s="3"/>
      <c r="DG147" s="3"/>
      <c r="DH147" s="3"/>
      <c r="DI147" s="3"/>
      <c r="DJ147" s="3"/>
      <c r="DK147" s="3"/>
      <c r="DL147" s="3"/>
      <c r="DM147" s="3"/>
      <c r="DN147" s="3"/>
      <c r="DO147" s="3"/>
      <c r="DP147" s="3"/>
      <c r="DQ147" s="3"/>
      <c r="DR147" s="3"/>
      <c r="DS147" s="3"/>
      <c r="DT147" s="3"/>
      <c r="DU147" s="3"/>
      <c r="DV147" s="3"/>
      <c r="DW147" s="3"/>
      <c r="DX147" s="3"/>
      <c r="DY147" s="3"/>
      <c r="DZ147" s="3"/>
      <c r="EA147" s="3"/>
      <c r="EB147" s="3"/>
      <c r="EC147" s="3"/>
    </row>
    <row x14ac:dyDescent="0.25" r="148" customHeight="1" ht="17.25">
      <c r="A148" s="1"/>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288">
        <v>142</v>
      </c>
      <c r="AM148" s="289">
        <v>7</v>
      </c>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c r="DF148" s="3"/>
      <c r="DG148" s="3"/>
      <c r="DH148" s="3"/>
      <c r="DI148" s="3"/>
      <c r="DJ148" s="3"/>
      <c r="DK148" s="3"/>
      <c r="DL148" s="3"/>
      <c r="DM148" s="3"/>
      <c r="DN148" s="3"/>
      <c r="DO148" s="3"/>
      <c r="DP148" s="3"/>
      <c r="DQ148" s="3"/>
      <c r="DR148" s="3"/>
      <c r="DS148" s="3"/>
      <c r="DT148" s="3"/>
      <c r="DU148" s="3"/>
      <c r="DV148" s="3"/>
      <c r="DW148" s="3"/>
      <c r="DX148" s="3"/>
      <c r="DY148" s="3"/>
      <c r="DZ148" s="3"/>
      <c r="EA148" s="3"/>
      <c r="EB148" s="3"/>
      <c r="EC148" s="3"/>
    </row>
    <row x14ac:dyDescent="0.25" r="149" customHeight="1" ht="17.25">
      <c r="A149" s="1"/>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288">
        <v>143</v>
      </c>
      <c r="AM149" s="289">
        <v>12</v>
      </c>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c r="DF149" s="3"/>
      <c r="DG149" s="3"/>
      <c r="DH149" s="3"/>
      <c r="DI149" s="3"/>
      <c r="DJ149" s="3"/>
      <c r="DK149" s="3"/>
      <c r="DL149" s="3"/>
      <c r="DM149" s="3"/>
      <c r="DN149" s="3"/>
      <c r="DO149" s="3"/>
      <c r="DP149" s="3"/>
      <c r="DQ149" s="3"/>
      <c r="DR149" s="3"/>
      <c r="DS149" s="3"/>
      <c r="DT149" s="3"/>
      <c r="DU149" s="3"/>
      <c r="DV149" s="3"/>
      <c r="DW149" s="3"/>
      <c r="DX149" s="3"/>
      <c r="DY149" s="3"/>
      <c r="DZ149" s="3"/>
      <c r="EA149" s="3"/>
      <c r="EB149" s="3"/>
      <c r="EC149" s="3"/>
    </row>
    <row x14ac:dyDescent="0.25" r="150" customHeight="1" ht="17.25">
      <c r="A150" s="1"/>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288">
        <v>144</v>
      </c>
      <c r="AM150" s="289">
        <v>15</v>
      </c>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c r="DF150" s="3"/>
      <c r="DG150" s="3"/>
      <c r="DH150" s="3"/>
      <c r="DI150" s="3"/>
      <c r="DJ150" s="3"/>
      <c r="DK150" s="3"/>
      <c r="DL150" s="3"/>
      <c r="DM150" s="3"/>
      <c r="DN150" s="3"/>
      <c r="DO150" s="3"/>
      <c r="DP150" s="3"/>
      <c r="DQ150" s="3"/>
      <c r="DR150" s="3"/>
      <c r="DS150" s="3"/>
      <c r="DT150" s="3"/>
      <c r="DU150" s="3"/>
      <c r="DV150" s="3"/>
      <c r="DW150" s="3"/>
      <c r="DX150" s="3"/>
      <c r="DY150" s="3"/>
      <c r="DZ150" s="3"/>
      <c r="EA150" s="3"/>
      <c r="EB150" s="3"/>
      <c r="EC150" s="3"/>
    </row>
    <row x14ac:dyDescent="0.25" r="151" customHeight="1" ht="17.25">
      <c r="A151" s="1"/>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288">
        <v>145</v>
      </c>
      <c r="AM151" s="289">
        <v>21</v>
      </c>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c r="DF151" s="3"/>
      <c r="DG151" s="3"/>
      <c r="DH151" s="3"/>
      <c r="DI151" s="3"/>
      <c r="DJ151" s="3"/>
      <c r="DK151" s="3"/>
      <c r="DL151" s="3"/>
      <c r="DM151" s="3"/>
      <c r="DN151" s="3"/>
      <c r="DO151" s="3"/>
      <c r="DP151" s="3"/>
      <c r="DQ151" s="3"/>
      <c r="DR151" s="3"/>
      <c r="DS151" s="3"/>
      <c r="DT151" s="3"/>
      <c r="DU151" s="3"/>
      <c r="DV151" s="3"/>
      <c r="DW151" s="3"/>
      <c r="DX151" s="3"/>
      <c r="DY151" s="3"/>
      <c r="DZ151" s="3"/>
      <c r="EA151" s="3"/>
      <c r="EB151" s="3"/>
      <c r="EC151" s="3"/>
    </row>
    <row x14ac:dyDescent="0.25" r="152" customHeight="1" ht="17.25">
      <c r="A152" s="1"/>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288">
        <v>146</v>
      </c>
      <c r="AM152" s="289">
        <v>10</v>
      </c>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3"/>
      <c r="DG152" s="3"/>
      <c r="DH152" s="3"/>
      <c r="DI152" s="3"/>
      <c r="DJ152" s="3"/>
      <c r="DK152" s="3"/>
      <c r="DL152" s="3"/>
      <c r="DM152" s="3"/>
      <c r="DN152" s="3"/>
      <c r="DO152" s="3"/>
      <c r="DP152" s="3"/>
      <c r="DQ152" s="3"/>
      <c r="DR152" s="3"/>
      <c r="DS152" s="3"/>
      <c r="DT152" s="3"/>
      <c r="DU152" s="3"/>
      <c r="DV152" s="3"/>
      <c r="DW152" s="3"/>
      <c r="DX152" s="3"/>
      <c r="DY152" s="3"/>
      <c r="DZ152" s="3"/>
      <c r="EA152" s="3"/>
      <c r="EB152" s="3"/>
      <c r="EC152" s="3"/>
    </row>
    <row x14ac:dyDescent="0.25" r="153" customHeight="1" ht="17.25">
      <c r="A153" s="1"/>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288">
        <v>147</v>
      </c>
      <c r="AM153" s="289">
        <v>20</v>
      </c>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c r="DF153" s="3"/>
      <c r="DG153" s="3"/>
      <c r="DH153" s="3"/>
      <c r="DI153" s="3"/>
      <c r="DJ153" s="3"/>
      <c r="DK153" s="3"/>
      <c r="DL153" s="3"/>
      <c r="DM153" s="3"/>
      <c r="DN153" s="3"/>
      <c r="DO153" s="3"/>
      <c r="DP153" s="3"/>
      <c r="DQ153" s="3"/>
      <c r="DR153" s="3"/>
      <c r="DS153" s="3"/>
      <c r="DT153" s="3"/>
      <c r="DU153" s="3"/>
      <c r="DV153" s="3"/>
      <c r="DW153" s="3"/>
      <c r="DX153" s="3"/>
      <c r="DY153" s="3"/>
      <c r="DZ153" s="3"/>
      <c r="EA153" s="3"/>
      <c r="EB153" s="3"/>
      <c r="EC153" s="3"/>
    </row>
    <row x14ac:dyDescent="0.25" r="154" customHeight="1" ht="17.25">
      <c r="A154" s="1"/>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288">
        <v>148</v>
      </c>
      <c r="AM154" s="289">
        <v>14</v>
      </c>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c r="DF154" s="3"/>
      <c r="DG154" s="3"/>
      <c r="DH154" s="3"/>
      <c r="DI154" s="3"/>
      <c r="DJ154" s="3"/>
      <c r="DK154" s="3"/>
      <c r="DL154" s="3"/>
      <c r="DM154" s="3"/>
      <c r="DN154" s="3"/>
      <c r="DO154" s="3"/>
      <c r="DP154" s="3"/>
      <c r="DQ154" s="3"/>
      <c r="DR154" s="3"/>
      <c r="DS154" s="3"/>
      <c r="DT154" s="3"/>
      <c r="DU154" s="3"/>
      <c r="DV154" s="3"/>
      <c r="DW154" s="3"/>
      <c r="DX154" s="3"/>
      <c r="DY154" s="3"/>
      <c r="DZ154" s="3"/>
      <c r="EA154" s="3"/>
      <c r="EB154" s="3"/>
      <c r="EC154" s="3"/>
    </row>
    <row x14ac:dyDescent="0.25" r="155" customHeight="1" ht="17.25">
      <c r="A155" s="1"/>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288">
        <v>149</v>
      </c>
      <c r="AM155" s="289">
        <v>9</v>
      </c>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c r="DF155" s="3"/>
      <c r="DG155" s="3"/>
      <c r="DH155" s="3"/>
      <c r="DI155" s="3"/>
      <c r="DJ155" s="3"/>
      <c r="DK155" s="3"/>
      <c r="DL155" s="3"/>
      <c r="DM155" s="3"/>
      <c r="DN155" s="3"/>
      <c r="DO155" s="3"/>
      <c r="DP155" s="3"/>
      <c r="DQ155" s="3"/>
      <c r="DR155" s="3"/>
      <c r="DS155" s="3"/>
      <c r="DT155" s="3"/>
      <c r="DU155" s="3"/>
      <c r="DV155" s="3"/>
      <c r="DW155" s="3"/>
      <c r="DX155" s="3"/>
      <c r="DY155" s="3"/>
      <c r="DZ155" s="3"/>
      <c r="EA155" s="3"/>
      <c r="EB155" s="3"/>
      <c r="EC155" s="3"/>
    </row>
    <row x14ac:dyDescent="0.25" r="156" customHeight="1" ht="17.25">
      <c r="A156" s="1"/>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288">
        <v>150</v>
      </c>
      <c r="AM156" s="289">
        <v>6</v>
      </c>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c r="DF156" s="3"/>
      <c r="DG156" s="3"/>
      <c r="DH156" s="3"/>
      <c r="DI156" s="3"/>
      <c r="DJ156" s="3"/>
      <c r="DK156" s="3"/>
      <c r="DL156" s="3"/>
      <c r="DM156" s="3"/>
      <c r="DN156" s="3"/>
      <c r="DO156" s="3"/>
      <c r="DP156" s="3"/>
      <c r="DQ156" s="3"/>
      <c r="DR156" s="3"/>
      <c r="DS156" s="3"/>
      <c r="DT156" s="3"/>
      <c r="DU156" s="3"/>
      <c r="DV156" s="3"/>
      <c r="DW156" s="3"/>
      <c r="DX156" s="3"/>
      <c r="DY156" s="3"/>
      <c r="DZ156" s="3"/>
      <c r="EA156" s="3"/>
      <c r="EB156" s="3"/>
      <c r="EC156" s="3"/>
    </row>
    <row x14ac:dyDescent="0.25" r="157" customHeight="1" ht="17.25">
      <c r="A157" s="1"/>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292">
        <f>AL156</f>
      </c>
      <c r="AM157" s="292">
        <f>SUM(AM7:AM156)</f>
      </c>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c r="DF157" s="3"/>
      <c r="DG157" s="3"/>
      <c r="DH157" s="3"/>
      <c r="DI157" s="3"/>
      <c r="DJ157" s="3"/>
      <c r="DK157" s="3"/>
      <c r="DL157" s="3"/>
      <c r="DM157" s="3"/>
      <c r="DN157" s="3"/>
      <c r="DO157" s="3"/>
      <c r="DP157" s="3"/>
      <c r="DQ157" s="3"/>
      <c r="DR157" s="3"/>
      <c r="DS157" s="3"/>
      <c r="DT157" s="3"/>
      <c r="DU157" s="3"/>
      <c r="DV157" s="3"/>
      <c r="DW157" s="3"/>
      <c r="DX157" s="3"/>
      <c r="DY157" s="3"/>
      <c r="DZ157" s="3"/>
      <c r="EA157" s="3"/>
      <c r="EB157" s="3"/>
      <c r="EC157" s="3"/>
    </row>
  </sheetData>
  <mergeCells count="88">
    <mergeCell ref="B2:AB2"/>
    <mergeCell ref="B3:F3"/>
    <mergeCell ref="H3:L3"/>
    <mergeCell ref="N3:O3"/>
    <mergeCell ref="P3:AB3"/>
    <mergeCell ref="CB3:CF3"/>
    <mergeCell ref="B5:C5"/>
    <mergeCell ref="D5:E5"/>
    <mergeCell ref="F5:G5"/>
    <mergeCell ref="H5:I5"/>
    <mergeCell ref="J5:K5"/>
    <mergeCell ref="L5:M5"/>
    <mergeCell ref="N5:O5"/>
    <mergeCell ref="P5:Q5"/>
    <mergeCell ref="R5:S5"/>
    <mergeCell ref="T5:U5"/>
    <mergeCell ref="V5:W5"/>
    <mergeCell ref="X5:Y5"/>
    <mergeCell ref="Z5:AA5"/>
    <mergeCell ref="AB5:AC5"/>
    <mergeCell ref="AD5:AE5"/>
    <mergeCell ref="AF5:AG5"/>
    <mergeCell ref="AH5:AI5"/>
    <mergeCell ref="AJ5:AK5"/>
    <mergeCell ref="AL5:AM5"/>
    <mergeCell ref="AN5:AO5"/>
    <mergeCell ref="AP5:AQ5"/>
    <mergeCell ref="AR5:AS5"/>
    <mergeCell ref="AT5:AU5"/>
    <mergeCell ref="AV5:AW5"/>
    <mergeCell ref="AX5:AY5"/>
    <mergeCell ref="AZ5:BA5"/>
    <mergeCell ref="BB5:BC5"/>
    <mergeCell ref="BD5:BE5"/>
    <mergeCell ref="BF5:BG5"/>
    <mergeCell ref="BH5:BI5"/>
    <mergeCell ref="BJ5:BK5"/>
    <mergeCell ref="BL5:BM5"/>
    <mergeCell ref="BN5:BO5"/>
    <mergeCell ref="BP5:BQ5"/>
    <mergeCell ref="BR5:BS5"/>
    <mergeCell ref="BT5:BU5"/>
    <mergeCell ref="BV5:BW5"/>
    <mergeCell ref="BX5:BY5"/>
    <mergeCell ref="BZ5:CA5"/>
    <mergeCell ref="CB5:CC5"/>
    <mergeCell ref="CD5:CE5"/>
    <mergeCell ref="CF5:CG5"/>
    <mergeCell ref="CH5:CI5"/>
    <mergeCell ref="CJ5:CK5"/>
    <mergeCell ref="CL5:CM5"/>
    <mergeCell ref="CN5:CO5"/>
    <mergeCell ref="CP5:CQ5"/>
    <mergeCell ref="CR5:CS5"/>
    <mergeCell ref="CT5:CU5"/>
    <mergeCell ref="CV5:CW5"/>
    <mergeCell ref="CX5:CY5"/>
    <mergeCell ref="CZ5:DA5"/>
    <mergeCell ref="DB5:DC5"/>
    <mergeCell ref="DD5:DE5"/>
    <mergeCell ref="DF5:DG5"/>
    <mergeCell ref="DH5:DI5"/>
    <mergeCell ref="DJ5:DK5"/>
    <mergeCell ref="DL5:DM5"/>
    <mergeCell ref="DN5:DO5"/>
    <mergeCell ref="DP5:DQ5"/>
    <mergeCell ref="DR5:DS5"/>
    <mergeCell ref="DT5:DU5"/>
    <mergeCell ref="DV5:DW5"/>
    <mergeCell ref="DX5:DY5"/>
    <mergeCell ref="DZ5:EA5"/>
    <mergeCell ref="EB5:EC5"/>
    <mergeCell ref="B76:G76"/>
    <mergeCell ref="B77:E77"/>
    <mergeCell ref="F77:G77"/>
    <mergeCell ref="B78:E78"/>
    <mergeCell ref="F78:G78"/>
    <mergeCell ref="B79:E79"/>
    <mergeCell ref="F79:G79"/>
    <mergeCell ref="AQ79:AS79"/>
    <mergeCell ref="B80:E80"/>
    <mergeCell ref="F80:G80"/>
    <mergeCell ref="B81:E81"/>
    <mergeCell ref="F81:G81"/>
    <mergeCell ref="B82:E82"/>
    <mergeCell ref="F82:G82"/>
    <mergeCell ref="B83:E83"/>
    <mergeCell ref="B84:F8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I10"/>
  <sheetViews>
    <sheetView workbookViewId="0"/>
  </sheetViews>
  <sheetFormatPr defaultRowHeight="15" x14ac:dyDescent="0.25"/>
  <cols>
    <col min="1" max="1" style="245" width="13.005" customWidth="1" bestFit="1" hidden="1"/>
    <col min="2" max="2" style="245" width="13.005" customWidth="1" bestFit="1" hidden="1"/>
    <col min="3" max="3" style="245" width="13.005" customWidth="1" bestFit="1" hidden="1"/>
    <col min="4" max="4" style="245" width="13.005" customWidth="1" bestFit="1" hidden="1"/>
    <col min="5" max="5" style="245" width="13.005" customWidth="1" bestFit="1" hidden="1"/>
    <col min="6" max="6" style="245" width="13.005" customWidth="1" bestFit="1" hidden="1"/>
    <col min="7" max="7" style="245" width="13.005" customWidth="1" bestFit="1" hidden="1"/>
    <col min="8" max="8" style="245" width="13.005" customWidth="1" bestFit="1" hidden="1"/>
    <col min="9" max="9" style="245" width="13.005" customWidth="1" bestFit="1" hidden="1"/>
    <col min="10" max="10" style="245" width="13.005" customWidth="1" bestFit="1" hidden="1"/>
    <col min="11" max="11" style="245" width="13.005" customWidth="1" bestFit="1" hidden="1"/>
    <col min="12" max="12" style="245" width="13.005" customWidth="1" bestFit="1" hidden="1"/>
    <col min="13" max="13" style="245" width="13.005" customWidth="1" bestFit="1" hidden="1"/>
    <col min="14" max="14" style="245" width="13.005" customWidth="1" bestFit="1" hidden="1"/>
    <col min="15" max="15" style="245" width="13.005" customWidth="1" bestFit="1" hidden="1"/>
    <col min="16" max="16" style="245" width="13.005" customWidth="1" bestFit="1" hidden="1"/>
    <col min="17" max="17" style="245" width="13.005" customWidth="1" bestFit="1" hidden="1"/>
    <col min="18" max="18" style="245" width="13.005" customWidth="1" bestFit="1" hidden="1"/>
    <col min="19" max="19" style="245" width="13.005" customWidth="1" bestFit="1" hidden="1"/>
    <col min="20" max="20" style="245" width="13.005" customWidth="1" bestFit="1" hidden="1"/>
    <col min="21" max="21" style="245" width="13.005" customWidth="1" bestFit="1" hidden="1"/>
    <col min="22" max="22" style="245" width="13.005" customWidth="1" bestFit="1" hidden="1"/>
    <col min="23" max="23" style="245" width="13.005" customWidth="1" bestFit="1" hidden="1"/>
    <col min="24" max="24" style="245" width="13.005" customWidth="1" bestFit="1" hidden="1"/>
    <col min="25" max="25" style="245" width="13.005" customWidth="1" bestFit="1" hidden="1"/>
    <col min="26" max="26" style="245" width="2.005" customWidth="1" bestFit="1"/>
    <col min="27" max="27" style="264" width="12.43357142857143" customWidth="1" bestFit="1"/>
    <col min="28" max="28" style="265" width="12.43357142857143" customWidth="1" bestFit="1"/>
    <col min="29" max="29" style="266" width="9.147857142857141" customWidth="1" bestFit="1"/>
    <col min="30" max="30" style="266" width="12.43357142857143" customWidth="1" bestFit="1"/>
    <col min="31" max="31" style="266" width="12.43357142857143" customWidth="1" bestFit="1"/>
    <col min="32" max="32" style="267" width="10.290714285714287" customWidth="1" bestFit="1"/>
    <col min="33" max="33" style="245" width="8.719285714285713" customWidth="1" bestFit="1"/>
    <col min="34" max="34" style="245" width="8.719285714285713" customWidth="1" bestFit="1"/>
    <col min="35" max="35" style="245" width="8.719285714285713" customWidth="1" bestFit="1"/>
    <col min="36" max="36" style="245" width="8.719285714285713" customWidth="1" bestFit="1"/>
    <col min="37" max="37" style="245" width="8.719285714285713" customWidth="1" bestFit="1"/>
    <col min="38" max="38" style="245" width="8.719285714285713" customWidth="1" bestFit="1"/>
    <col min="39" max="39" style="245" width="8.719285714285713" customWidth="1" bestFit="1"/>
    <col min="40" max="40" style="245" width="8.719285714285713" customWidth="1" bestFit="1"/>
    <col min="41" max="41" style="245" width="8.719285714285713" customWidth="1" bestFit="1"/>
    <col min="42" max="42" style="245" width="8.719285714285713" customWidth="1" bestFit="1"/>
    <col min="43" max="43" style="245" width="8.719285714285713" customWidth="1" bestFit="1"/>
    <col min="44" max="44" style="245" width="8.719285714285713" customWidth="1" bestFit="1"/>
    <col min="45" max="45" style="245" width="8.719285714285713" customWidth="1" bestFit="1"/>
    <col min="46" max="46" style="245" width="8.719285714285713" customWidth="1" bestFit="1"/>
    <col min="47" max="47" style="245" width="8.719285714285713" customWidth="1" bestFit="1"/>
    <col min="48" max="48" style="245" width="8.719285714285713" customWidth="1" bestFit="1"/>
    <col min="49" max="49" style="245" width="8.719285714285713" customWidth="1" bestFit="1"/>
    <col min="50" max="50" style="245" width="8.719285714285713" customWidth="1" bestFit="1"/>
    <col min="51" max="51" style="245" width="8.719285714285713" customWidth="1" bestFit="1"/>
    <col min="52" max="52" style="245" width="8.147857142857141" customWidth="1" bestFit="1"/>
    <col min="53" max="53" style="265" width="13.005" customWidth="1" bestFit="1" hidden="1"/>
    <col min="54" max="54" style="265" width="13.005" customWidth="1" bestFit="1" hidden="1"/>
    <col min="55" max="55" style="266" width="13.005" customWidth="1" bestFit="1" hidden="1"/>
    <col min="56" max="56" style="266" width="13.005" customWidth="1" bestFit="1" hidden="1"/>
    <col min="57" max="57" style="266" width="13.005" customWidth="1" bestFit="1" hidden="1"/>
    <col min="58" max="58" style="267" width="13.005" customWidth="1" bestFit="1" hidden="1"/>
    <col min="59" max="59" style="268" width="13.005" customWidth="1" bestFit="1" hidden="1"/>
    <col min="60" max="60" style="268" width="13.005" customWidth="1" bestFit="1" hidden="1"/>
    <col min="61" max="61" style="268" width="13.005" customWidth="1" bestFit="1" hidden="1"/>
  </cols>
  <sheetData>
    <row x14ac:dyDescent="0.25" r="1" customHeight="1" ht="17.25">
      <c r="A1" s="227"/>
      <c r="B1" s="227"/>
      <c r="C1" s="227"/>
      <c r="D1" s="227"/>
      <c r="E1" s="227"/>
      <c r="F1" s="227"/>
      <c r="G1" s="227"/>
      <c r="H1" s="227"/>
      <c r="I1" s="227"/>
      <c r="J1" s="227"/>
      <c r="K1" s="227"/>
      <c r="L1" s="227"/>
      <c r="M1" s="227"/>
      <c r="N1" s="227"/>
      <c r="O1" s="227"/>
      <c r="P1" s="227"/>
      <c r="Q1" s="227"/>
      <c r="R1" s="227"/>
      <c r="S1" s="227"/>
      <c r="T1" s="227"/>
      <c r="U1" s="227"/>
      <c r="V1" s="227"/>
      <c r="W1" s="227"/>
      <c r="X1" s="227"/>
      <c r="Y1" s="227"/>
      <c r="Z1" s="227"/>
      <c r="AA1" s="248">
        <f>Progress!$AZ$20</f>
      </c>
      <c r="AB1" s="249"/>
      <c r="AC1" s="250"/>
      <c r="AD1" s="250"/>
      <c r="AE1" s="250"/>
      <c r="AF1" s="251"/>
      <c r="AG1" s="227"/>
      <c r="AH1" s="227"/>
      <c r="AI1" s="227"/>
      <c r="AJ1" s="227"/>
      <c r="AK1" s="227"/>
      <c r="AL1" s="227"/>
      <c r="AM1" s="227"/>
      <c r="AN1" s="227"/>
      <c r="AO1" s="227"/>
      <c r="AP1" s="227"/>
      <c r="AQ1" s="227"/>
      <c r="AR1" s="227"/>
      <c r="AS1" s="227"/>
      <c r="AT1" s="227"/>
      <c r="AU1" s="227"/>
      <c r="AV1" s="227"/>
      <c r="AW1" s="227"/>
      <c r="AX1" s="227"/>
      <c r="AY1" s="227"/>
      <c r="AZ1" s="227"/>
      <c r="BA1" s="249"/>
      <c r="BB1" s="249"/>
      <c r="BC1" s="250"/>
      <c r="BD1" s="250"/>
      <c r="BE1" s="250"/>
      <c r="BF1" s="251"/>
      <c r="BG1" s="252"/>
      <c r="BH1" s="252"/>
      <c r="BI1" s="252"/>
    </row>
    <row x14ac:dyDescent="0.25" r="2" customHeight="1" ht="17.25">
      <c r="A2" s="227"/>
      <c r="B2" s="227"/>
      <c r="C2" s="227"/>
      <c r="D2" s="227"/>
      <c r="E2" s="227"/>
      <c r="F2" s="227"/>
      <c r="G2" s="227"/>
      <c r="H2" s="227"/>
      <c r="I2" s="227"/>
      <c r="J2" s="227"/>
      <c r="K2" s="227"/>
      <c r="L2" s="227"/>
      <c r="M2" s="227"/>
      <c r="N2" s="227"/>
      <c r="O2" s="227"/>
      <c r="P2" s="227"/>
      <c r="Q2" s="227"/>
      <c r="R2" s="227"/>
      <c r="S2" s="227"/>
      <c r="T2" s="227"/>
      <c r="U2" s="227"/>
      <c r="V2" s="227"/>
      <c r="W2" s="227"/>
      <c r="X2" s="227"/>
      <c r="Y2" s="227"/>
      <c r="Z2" s="227"/>
      <c r="AA2" s="253"/>
      <c r="AB2" s="249"/>
      <c r="AC2" s="250"/>
      <c r="AD2" s="250"/>
      <c r="AE2" s="250"/>
      <c r="AF2" s="251"/>
      <c r="AG2" s="227"/>
      <c r="AH2" s="227"/>
      <c r="AI2" s="227"/>
      <c r="AJ2" s="227"/>
      <c r="AK2" s="227"/>
      <c r="AL2" s="227"/>
      <c r="AM2" s="227"/>
      <c r="AN2" s="227"/>
      <c r="AO2" s="227"/>
      <c r="AP2" s="227"/>
      <c r="AQ2" s="227"/>
      <c r="AR2" s="227"/>
      <c r="AS2" s="227"/>
      <c r="AT2" s="227"/>
      <c r="AU2" s="227"/>
      <c r="AV2" s="227"/>
      <c r="AW2" s="227"/>
      <c r="AX2" s="227"/>
      <c r="AY2" s="227"/>
      <c r="AZ2" s="227"/>
      <c r="BA2" s="249"/>
      <c r="BB2" s="249"/>
      <c r="BC2" s="250"/>
      <c r="BD2" s="250"/>
      <c r="BE2" s="250"/>
      <c r="BF2" s="251"/>
      <c r="BG2" s="252"/>
      <c r="BH2" s="252"/>
      <c r="BI2" s="252"/>
    </row>
    <row x14ac:dyDescent="0.25" r="3" customHeight="1" ht="17.25">
      <c r="A3" s="227"/>
      <c r="B3" s="227"/>
      <c r="C3" s="227"/>
      <c r="D3" s="227"/>
      <c r="E3" s="227"/>
      <c r="F3" s="227"/>
      <c r="G3" s="227"/>
      <c r="H3" s="227"/>
      <c r="I3" s="227"/>
      <c r="J3" s="227"/>
      <c r="K3" s="227"/>
      <c r="L3" s="227"/>
      <c r="M3" s="227"/>
      <c r="N3" s="227"/>
      <c r="O3" s="227"/>
      <c r="P3" s="227"/>
      <c r="Q3" s="227"/>
      <c r="R3" s="227"/>
      <c r="S3" s="227"/>
      <c r="T3" s="227"/>
      <c r="U3" s="227"/>
      <c r="V3" s="227"/>
      <c r="W3" s="227"/>
      <c r="X3" s="227"/>
      <c r="Y3" s="227"/>
      <c r="Z3" s="227"/>
      <c r="AA3" s="253"/>
      <c r="AB3" s="249"/>
      <c r="AC3" s="250"/>
      <c r="AD3" s="250"/>
      <c r="AE3" s="250"/>
      <c r="AF3" s="251"/>
      <c r="AG3" s="227"/>
      <c r="AH3" s="227"/>
      <c r="AI3" s="227"/>
      <c r="AJ3" s="227"/>
      <c r="AK3" s="227"/>
      <c r="AL3" s="227"/>
      <c r="AM3" s="227"/>
      <c r="AN3" s="227"/>
      <c r="AO3" s="227"/>
      <c r="AP3" s="227"/>
      <c r="AQ3" s="227"/>
      <c r="AR3" s="227"/>
      <c r="AS3" s="227"/>
      <c r="AT3" s="227"/>
      <c r="AU3" s="227"/>
      <c r="AV3" s="227"/>
      <c r="AW3" s="227"/>
      <c r="AX3" s="227"/>
      <c r="AY3" s="227"/>
      <c r="AZ3" s="227"/>
      <c r="BA3" s="249"/>
      <c r="BB3" s="249"/>
      <c r="BC3" s="250"/>
      <c r="BD3" s="250"/>
      <c r="BE3" s="250"/>
      <c r="BF3" s="251"/>
      <c r="BG3" s="252"/>
      <c r="BH3" s="252"/>
      <c r="BI3" s="252"/>
    </row>
    <row x14ac:dyDescent="0.25" r="4" customHeight="1" ht="17.25">
      <c r="A4" s="227"/>
      <c r="B4" s="227"/>
      <c r="C4" s="227"/>
      <c r="D4" s="227"/>
      <c r="E4" s="227"/>
      <c r="F4" s="227"/>
      <c r="G4" s="227"/>
      <c r="H4" s="227"/>
      <c r="I4" s="227"/>
      <c r="J4" s="227"/>
      <c r="K4" s="227"/>
      <c r="L4" s="227"/>
      <c r="M4" s="227"/>
      <c r="N4" s="227"/>
      <c r="O4" s="227"/>
      <c r="P4" s="227"/>
      <c r="Q4" s="227"/>
      <c r="R4" s="227"/>
      <c r="S4" s="227"/>
      <c r="T4" s="227"/>
      <c r="U4" s="227"/>
      <c r="V4" s="227"/>
      <c r="W4" s="227"/>
      <c r="X4" s="227"/>
      <c r="Y4" s="227"/>
      <c r="Z4" s="227"/>
      <c r="AA4" s="253"/>
      <c r="AB4" s="249"/>
      <c r="AC4" s="250"/>
      <c r="AD4" s="250"/>
      <c r="AE4" s="250"/>
      <c r="AF4" s="251"/>
      <c r="AG4" s="227"/>
      <c r="AH4" s="227"/>
      <c r="AI4" s="227"/>
      <c r="AJ4" s="227"/>
      <c r="AK4" s="227"/>
      <c r="AL4" s="227"/>
      <c r="AM4" s="227"/>
      <c r="AN4" s="227"/>
      <c r="AO4" s="227"/>
      <c r="AP4" s="227"/>
      <c r="AQ4" s="227"/>
      <c r="AR4" s="227"/>
      <c r="AS4" s="227"/>
      <c r="AT4" s="227"/>
      <c r="AU4" s="227"/>
      <c r="AV4" s="227"/>
      <c r="AW4" s="227"/>
      <c r="AX4" s="227"/>
      <c r="AY4" s="227"/>
      <c r="AZ4" s="227"/>
      <c r="BA4" s="249"/>
      <c r="BB4" s="249"/>
      <c r="BC4" s="250"/>
      <c r="BD4" s="250"/>
      <c r="BE4" s="250"/>
      <c r="BF4" s="251"/>
      <c r="BG4" s="252"/>
      <c r="BH4" s="252"/>
      <c r="BI4" s="252"/>
    </row>
    <row x14ac:dyDescent="0.25" r="5" customHeight="1" ht="17.25">
      <c r="A5" s="227"/>
      <c r="B5" s="227"/>
      <c r="C5" s="227"/>
      <c r="D5" s="227"/>
      <c r="E5" s="227"/>
      <c r="F5" s="227"/>
      <c r="G5" s="227"/>
      <c r="H5" s="227"/>
      <c r="I5" s="227"/>
      <c r="J5" s="227"/>
      <c r="K5" s="227"/>
      <c r="L5" s="227"/>
      <c r="M5" s="227"/>
      <c r="N5" s="227"/>
      <c r="O5" s="227"/>
      <c r="P5" s="227"/>
      <c r="Q5" s="227"/>
      <c r="R5" s="227"/>
      <c r="S5" s="227"/>
      <c r="T5" s="227"/>
      <c r="U5" s="227"/>
      <c r="V5" s="227"/>
      <c r="W5" s="227"/>
      <c r="X5" s="227"/>
      <c r="Y5" s="227"/>
      <c r="Z5" s="227"/>
      <c r="AA5" s="253"/>
      <c r="AB5" s="249"/>
      <c r="AC5" s="250"/>
      <c r="AD5" s="250"/>
      <c r="AE5" s="250"/>
      <c r="AF5" s="251"/>
      <c r="AG5" s="227"/>
      <c r="AH5" s="227"/>
      <c r="AI5" s="227"/>
      <c r="AJ5" s="227"/>
      <c r="AK5" s="227"/>
      <c r="AL5" s="227"/>
      <c r="AM5" s="227"/>
      <c r="AN5" s="227"/>
      <c r="AO5" s="227"/>
      <c r="AP5" s="227"/>
      <c r="AQ5" s="227"/>
      <c r="AR5" s="227"/>
      <c r="AS5" s="227"/>
      <c r="AT5" s="227"/>
      <c r="AU5" s="227"/>
      <c r="AV5" s="227"/>
      <c r="AW5" s="227"/>
      <c r="AX5" s="227"/>
      <c r="AY5" s="227"/>
      <c r="AZ5" s="227"/>
      <c r="BA5" s="249"/>
      <c r="BB5" s="249"/>
      <c r="BC5" s="250"/>
      <c r="BD5" s="250"/>
      <c r="BE5" s="250"/>
      <c r="BF5" s="251"/>
      <c r="BG5" s="252"/>
      <c r="BH5" s="252"/>
      <c r="BI5" s="252"/>
    </row>
    <row x14ac:dyDescent="0.25" r="6" customHeight="1" ht="17.25">
      <c r="A6" s="227"/>
      <c r="B6" s="227"/>
      <c r="C6" s="227"/>
      <c r="D6" s="227"/>
      <c r="E6" s="227"/>
      <c r="F6" s="227"/>
      <c r="G6" s="227"/>
      <c r="H6" s="227"/>
      <c r="I6" s="227"/>
      <c r="J6" s="227"/>
      <c r="K6" s="227"/>
      <c r="L6" s="227"/>
      <c r="M6" s="227"/>
      <c r="N6" s="227"/>
      <c r="O6" s="227"/>
      <c r="P6" s="227"/>
      <c r="Q6" s="227"/>
      <c r="R6" s="227"/>
      <c r="S6" s="227"/>
      <c r="T6" s="227"/>
      <c r="U6" s="227"/>
      <c r="V6" s="227"/>
      <c r="W6" s="227"/>
      <c r="X6" s="227"/>
      <c r="Y6" s="227"/>
      <c r="Z6" s="227"/>
      <c r="AA6" s="253"/>
      <c r="AB6" s="249"/>
      <c r="AC6" s="250"/>
      <c r="AD6" s="250"/>
      <c r="AE6" s="250"/>
      <c r="AF6" s="251"/>
      <c r="AG6" s="227"/>
      <c r="AH6" s="227"/>
      <c r="AI6" s="227"/>
      <c r="AJ6" s="227"/>
      <c r="AK6" s="227"/>
      <c r="AL6" s="227"/>
      <c r="AM6" s="227"/>
      <c r="AN6" s="227"/>
      <c r="AO6" s="227"/>
      <c r="AP6" s="227"/>
      <c r="AQ6" s="227"/>
      <c r="AR6" s="227"/>
      <c r="AS6" s="227"/>
      <c r="AT6" s="227"/>
      <c r="AU6" s="227"/>
      <c r="AV6" s="227"/>
      <c r="AW6" s="227"/>
      <c r="AX6" s="227"/>
      <c r="AY6" s="227"/>
      <c r="AZ6" s="227"/>
      <c r="BA6" s="249"/>
      <c r="BB6" s="249"/>
      <c r="BC6" s="250"/>
      <c r="BD6" s="250"/>
      <c r="BE6" s="250"/>
      <c r="BF6" s="251"/>
      <c r="BG6" s="252"/>
      <c r="BH6" s="252"/>
      <c r="BI6" s="252"/>
    </row>
    <row x14ac:dyDescent="0.25" r="7" customHeight="1" ht="17.25">
      <c r="A7" s="227"/>
      <c r="B7" s="227"/>
      <c r="C7" s="227"/>
      <c r="D7" s="227"/>
      <c r="E7" s="227"/>
      <c r="F7" s="227"/>
      <c r="G7" s="227"/>
      <c r="H7" s="227"/>
      <c r="I7" s="227"/>
      <c r="J7" s="227"/>
      <c r="K7" s="227"/>
      <c r="L7" s="227"/>
      <c r="M7" s="227"/>
      <c r="N7" s="227"/>
      <c r="O7" s="227"/>
      <c r="P7" s="227"/>
      <c r="Q7" s="227"/>
      <c r="R7" s="227"/>
      <c r="S7" s="227"/>
      <c r="T7" s="227"/>
      <c r="U7" s="227"/>
      <c r="V7" s="227"/>
      <c r="W7" s="227"/>
      <c r="X7" s="227"/>
      <c r="Y7" s="227"/>
      <c r="Z7" s="227"/>
      <c r="AA7" s="253"/>
      <c r="AB7" s="249"/>
      <c r="AC7" s="250"/>
      <c r="AD7" s="250"/>
      <c r="AE7" s="250"/>
      <c r="AF7" s="251"/>
      <c r="AG7" s="227"/>
      <c r="AH7" s="227"/>
      <c r="AI7" s="227"/>
      <c r="AJ7" s="227"/>
      <c r="AK7" s="227"/>
      <c r="AL7" s="227"/>
      <c r="AM7" s="227"/>
      <c r="AN7" s="227"/>
      <c r="AO7" s="227"/>
      <c r="AP7" s="227"/>
      <c r="AQ7" s="227"/>
      <c r="AR7" s="227"/>
      <c r="AS7" s="227"/>
      <c r="AT7" s="227"/>
      <c r="AU7" s="227"/>
      <c r="AV7" s="227"/>
      <c r="AW7" s="227"/>
      <c r="AX7" s="227"/>
      <c r="AY7" s="227"/>
      <c r="AZ7" s="227"/>
      <c r="BA7" s="249"/>
      <c r="BB7" s="249"/>
      <c r="BC7" s="250"/>
      <c r="BD7" s="250"/>
      <c r="BE7" s="250"/>
      <c r="BF7" s="251"/>
      <c r="BG7" s="252"/>
      <c r="BH7" s="252"/>
      <c r="BI7" s="252"/>
    </row>
    <row x14ac:dyDescent="0.25" r="8" customHeight="1" ht="17.25">
      <c r="A8" s="227"/>
      <c r="B8" s="227"/>
      <c r="C8" s="227"/>
      <c r="D8" s="227"/>
      <c r="E8" s="227"/>
      <c r="F8" s="227"/>
      <c r="G8" s="227"/>
      <c r="H8" s="227"/>
      <c r="I8" s="227"/>
      <c r="J8" s="227"/>
      <c r="K8" s="227"/>
      <c r="L8" s="227"/>
      <c r="M8" s="227"/>
      <c r="N8" s="227"/>
      <c r="O8" s="227"/>
      <c r="P8" s="227"/>
      <c r="Q8" s="227"/>
      <c r="R8" s="227"/>
      <c r="S8" s="227"/>
      <c r="T8" s="227"/>
      <c r="U8" s="227"/>
      <c r="V8" s="227"/>
      <c r="W8" s="227"/>
      <c r="X8" s="227"/>
      <c r="Y8" s="227"/>
      <c r="Z8" s="227"/>
      <c r="AA8" s="253"/>
      <c r="AB8" s="249"/>
      <c r="AC8" s="250"/>
      <c r="AD8" s="250"/>
      <c r="AE8" s="250"/>
      <c r="AF8" s="251"/>
      <c r="AG8" s="227"/>
      <c r="AH8" s="227"/>
      <c r="AI8" s="227"/>
      <c r="AJ8" s="227"/>
      <c r="AK8" s="227"/>
      <c r="AL8" s="227"/>
      <c r="AM8" s="227"/>
      <c r="AN8" s="227"/>
      <c r="AO8" s="227"/>
      <c r="AP8" s="227"/>
      <c r="AQ8" s="227"/>
      <c r="AR8" s="227"/>
      <c r="AS8" s="227"/>
      <c r="AT8" s="227"/>
      <c r="AU8" s="227"/>
      <c r="AV8" s="227"/>
      <c r="AW8" s="227"/>
      <c r="AX8" s="227"/>
      <c r="AY8" s="227"/>
      <c r="AZ8" s="227"/>
      <c r="BA8" s="249"/>
      <c r="BB8" s="249"/>
      <c r="BC8" s="250"/>
      <c r="BD8" s="250"/>
      <c r="BE8" s="250"/>
      <c r="BF8" s="251"/>
      <c r="BG8" s="252"/>
      <c r="BH8" s="252"/>
      <c r="BI8" s="252"/>
    </row>
    <row x14ac:dyDescent="0.25" r="9" customHeight="1" ht="17.25" customFormat="1" s="230">
      <c r="A9" s="229"/>
      <c r="B9" s="229"/>
      <c r="C9" s="229"/>
      <c r="D9" s="229"/>
      <c r="E9" s="229"/>
      <c r="F9" s="229"/>
      <c r="G9" s="229"/>
      <c r="H9" s="229"/>
      <c r="I9" s="229"/>
      <c r="J9" s="229"/>
      <c r="K9" s="229"/>
      <c r="L9" s="229"/>
      <c r="M9" s="229"/>
      <c r="N9" s="229"/>
      <c r="O9" s="229"/>
      <c r="P9" s="229"/>
      <c r="Q9" s="229"/>
      <c r="R9" s="229"/>
      <c r="S9" s="229"/>
      <c r="T9" s="229"/>
      <c r="U9" s="229"/>
      <c r="V9" s="229"/>
      <c r="W9" s="229"/>
      <c r="X9" s="229"/>
      <c r="Y9" s="229"/>
      <c r="Z9" s="229"/>
      <c r="AA9" s="254" t="s">
        <v>191</v>
      </c>
      <c r="AB9" s="255" t="s">
        <v>192</v>
      </c>
      <c r="AC9" s="256" t="s">
        <v>193</v>
      </c>
      <c r="AD9" s="256" t="s">
        <v>194</v>
      </c>
      <c r="AE9" s="256" t="s">
        <v>195</v>
      </c>
      <c r="AF9" s="257" t="s">
        <v>196</v>
      </c>
      <c r="AG9" s="229"/>
      <c r="AH9" s="229"/>
      <c r="AI9" s="229"/>
      <c r="AJ9" s="229"/>
      <c r="AK9" s="229"/>
      <c r="AL9" s="229"/>
      <c r="AM9" s="229"/>
      <c r="AN9" s="229"/>
      <c r="AO9" s="229"/>
      <c r="AP9" s="229"/>
      <c r="AQ9" s="229"/>
      <c r="AR9" s="229"/>
      <c r="AS9" s="229"/>
      <c r="AT9" s="229"/>
      <c r="AU9" s="229"/>
      <c r="AV9" s="229"/>
      <c r="AW9" s="229"/>
      <c r="AX9" s="229"/>
      <c r="AY9" s="229"/>
      <c r="AZ9" s="229"/>
      <c r="BA9" s="255" t="s">
        <v>191</v>
      </c>
      <c r="BB9" s="255" t="s">
        <v>192</v>
      </c>
      <c r="BC9" s="256" t="s">
        <v>193</v>
      </c>
      <c r="BD9" s="256" t="s">
        <v>194</v>
      </c>
      <c r="BE9" s="256" t="s">
        <v>195</v>
      </c>
      <c r="BF9" s="257" t="s">
        <v>196</v>
      </c>
      <c r="BG9" s="258" t="s">
        <v>197</v>
      </c>
      <c r="BH9" s="258" t="s">
        <v>198</v>
      </c>
      <c r="BI9" s="258" t="s">
        <v>199</v>
      </c>
    </row>
    <row x14ac:dyDescent="0.25" r="10" customHeight="1" ht="17.25">
      <c r="A10" s="227"/>
      <c r="B10" s="227"/>
      <c r="C10" s="227"/>
      <c r="D10" s="227"/>
      <c r="E10" s="227"/>
      <c r="F10" s="227"/>
      <c r="G10" s="227"/>
      <c r="H10" s="227"/>
      <c r="I10" s="227"/>
      <c r="J10" s="227"/>
      <c r="K10" s="227"/>
      <c r="L10" s="227"/>
      <c r="M10" s="227"/>
      <c r="N10" s="227"/>
      <c r="O10" s="227"/>
      <c r="P10" s="227"/>
      <c r="Q10" s="227"/>
      <c r="R10" s="227"/>
      <c r="S10" s="227"/>
      <c r="T10" s="227"/>
      <c r="U10" s="227"/>
      <c r="V10" s="227"/>
      <c r="W10" s="227"/>
      <c r="X10" s="227"/>
      <c r="Y10" s="227"/>
      <c r="Z10" s="227"/>
      <c r="AA10" s="259">
        <f>Planning!Q13</f>
      </c>
      <c r="AB10" s="260">
        <f>Planning!Q14</f>
      </c>
      <c r="AC10" s="261">
        <f>IF(Progress!$AZ$20=1,Progress!$AN$40,Progress!$AN$40/Progress!$AG$18)</f>
      </c>
      <c r="AD10" s="261">
        <f>IF(Progress!$AZ$20=1,Progress!$AO$40,Progress!$AO$40/Progress!$AG$18)</f>
      </c>
      <c r="AE10" s="261">
        <f>AD10-AC10</f>
      </c>
      <c r="AF10" s="262">
        <f>Planning!Z11</f>
        <v>25568.791666666668</v>
      </c>
      <c r="AG10" s="227"/>
      <c r="AH10" s="227"/>
      <c r="AI10" s="227"/>
      <c r="AJ10" s="227"/>
      <c r="AK10" s="227"/>
      <c r="AL10" s="227"/>
      <c r="AM10" s="227"/>
      <c r="AN10" s="227"/>
      <c r="AO10" s="227"/>
      <c r="AP10" s="227"/>
      <c r="AQ10" s="227"/>
      <c r="AR10" s="227"/>
      <c r="AS10" s="227"/>
      <c r="AT10" s="227"/>
      <c r="AU10" s="227"/>
      <c r="AV10" s="227"/>
      <c r="AW10" s="227"/>
      <c r="AX10" s="227"/>
      <c r="AY10" s="227"/>
      <c r="AZ10" s="227"/>
      <c r="BA10" s="260">
        <f>Planning!Q13</f>
      </c>
      <c r="BB10" s="260">
        <f>Planning!Q14</f>
      </c>
      <c r="BC10" s="261">
        <f>IF(Progress!$AZ$20=1,Progress!$AN$40,Progress!$AN$40/Progress!$AG$18)</f>
      </c>
      <c r="BD10" s="261">
        <f>IF(Progress!$AZ$20=1,Progress!$AO$40,Progress!$AO$40/Progress!$AG$18)</f>
      </c>
      <c r="BE10" s="261">
        <f>AD10-AC10</f>
      </c>
      <c r="BF10" s="262">
        <f>Planning!Z11</f>
        <v>25568.791666666668</v>
      </c>
      <c r="BG10" s="263">
        <f>Planning!Z13</f>
        <v>25568.791666666668</v>
      </c>
      <c r="BH10" s="263">
        <f>Planning!Z14</f>
        <v>25568.791666666668</v>
      </c>
      <c r="BI10" s="263">
        <f>Planning!AA15</f>
        <v>25568.791666666668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J88"/>
  <sheetViews>
    <sheetView workbookViewId="0"/>
  </sheetViews>
  <sheetFormatPr defaultRowHeight="15" x14ac:dyDescent="0.25"/>
  <cols>
    <col min="1" max="1" style="245" width="2.1478571428571427" customWidth="1" bestFit="1"/>
    <col min="2" max="2" style="246" width="17.719285714285714" customWidth="1" bestFit="1"/>
    <col min="3" max="3" style="247" width="12.43357142857143" customWidth="1" bestFit="1"/>
    <col min="4" max="4" style="247" width="12.43357142857143" customWidth="1" bestFit="1"/>
    <col min="5" max="5" style="247" width="10.862142857142858" customWidth="1" bestFit="1"/>
    <col min="6" max="6" style="247" width="10.862142857142858" customWidth="1" bestFit="1"/>
    <col min="7" max="7" style="247" width="10.862142857142858" customWidth="1" bestFit="1"/>
    <col min="8" max="8" style="247" width="12.43357142857143" customWidth="1" bestFit="1"/>
    <col min="9" max="9" style="245" width="1.5764285714285713" customWidth="1" bestFit="1"/>
    <col min="10" max="10" style="245" width="56.86214285714286" customWidth="1" bestFit="1"/>
  </cols>
  <sheetData>
    <row x14ac:dyDescent="0.25" r="1" customHeight="1" ht="8.25">
      <c r="A1" s="227"/>
      <c r="B1" s="228"/>
      <c r="C1" s="3"/>
      <c r="D1" s="3"/>
      <c r="E1" s="3"/>
      <c r="F1" s="3"/>
      <c r="G1" s="3"/>
      <c r="H1" s="3"/>
      <c r="I1" s="227"/>
      <c r="J1" s="229"/>
    </row>
    <row x14ac:dyDescent="0.25" r="2" customHeight="1" ht="18" hidden="1">
      <c r="A2" s="227"/>
      <c r="B2" s="228"/>
      <c r="C2" s="3"/>
      <c r="D2" s="3"/>
      <c r="E2" s="3"/>
      <c r="F2" s="3"/>
      <c r="G2" s="3"/>
      <c r="H2" s="3"/>
      <c r="I2" s="227"/>
      <c r="J2" s="229"/>
    </row>
    <row x14ac:dyDescent="0.25" r="3" customHeight="1" ht="18" hidden="1">
      <c r="A3" s="227"/>
      <c r="B3" s="228"/>
      <c r="C3" s="3"/>
      <c r="D3" s="3"/>
      <c r="E3" s="3"/>
      <c r="F3" s="3"/>
      <c r="G3" s="3"/>
      <c r="H3" s="3"/>
      <c r="I3" s="227"/>
      <c r="J3" s="229"/>
    </row>
    <row x14ac:dyDescent="0.25" r="4" customHeight="1" ht="18" hidden="1">
      <c r="A4" s="227"/>
      <c r="B4" s="228"/>
      <c r="C4" s="3"/>
      <c r="D4" s="3"/>
      <c r="E4" s="3"/>
      <c r="F4" s="3"/>
      <c r="G4" s="3"/>
      <c r="H4" s="3"/>
      <c r="I4" s="227"/>
      <c r="J4" s="229"/>
    </row>
    <row x14ac:dyDescent="0.25" r="5" customHeight="1" ht="18" hidden="1">
      <c r="A5" s="227"/>
      <c r="B5" s="228"/>
      <c r="C5" s="3"/>
      <c r="D5" s="3"/>
      <c r="E5" s="3"/>
      <c r="F5" s="3"/>
      <c r="G5" s="3"/>
      <c r="H5" s="3"/>
      <c r="I5" s="227"/>
      <c r="J5" s="229"/>
    </row>
    <row x14ac:dyDescent="0.25" r="6" customHeight="1" ht="18" hidden="1">
      <c r="A6" s="227"/>
      <c r="B6" s="228"/>
      <c r="C6" s="3"/>
      <c r="D6" s="3"/>
      <c r="E6" s="3"/>
      <c r="F6" s="3"/>
      <c r="G6" s="3"/>
      <c r="H6" s="3"/>
      <c r="I6" s="227"/>
      <c r="J6" s="229"/>
    </row>
    <row x14ac:dyDescent="0.25" r="7" customHeight="1" ht="18" hidden="1">
      <c r="A7" s="227"/>
      <c r="B7" s="228"/>
      <c r="C7" s="3"/>
      <c r="D7" s="3"/>
      <c r="E7" s="3"/>
      <c r="F7" s="3"/>
      <c r="G7" s="3"/>
      <c r="H7" s="3"/>
      <c r="I7" s="227"/>
      <c r="J7" s="229"/>
    </row>
    <row x14ac:dyDescent="0.25" r="8" customHeight="1" ht="18" hidden="1">
      <c r="A8" s="227"/>
      <c r="B8" s="228"/>
      <c r="C8" s="3"/>
      <c r="D8" s="3"/>
      <c r="E8" s="3"/>
      <c r="F8" s="3"/>
      <c r="G8" s="3"/>
      <c r="H8" s="3"/>
      <c r="I8" s="227"/>
      <c r="J8" s="229"/>
    </row>
    <row x14ac:dyDescent="0.25" r="9" customHeight="1" ht="18" hidden="1">
      <c r="A9" s="227"/>
      <c r="B9" s="228"/>
      <c r="C9" s="3"/>
      <c r="D9" s="3"/>
      <c r="E9" s="3"/>
      <c r="F9" s="3"/>
      <c r="G9" s="3"/>
      <c r="H9" s="3"/>
      <c r="I9" s="227"/>
      <c r="J9" s="229"/>
    </row>
    <row x14ac:dyDescent="0.25" r="10" customHeight="1" ht="18" hidden="1">
      <c r="A10" s="227"/>
      <c r="B10" s="228"/>
      <c r="C10" s="3"/>
      <c r="D10" s="3"/>
      <c r="E10" s="3"/>
      <c r="F10" s="3"/>
      <c r="G10" s="3"/>
      <c r="H10" s="3"/>
      <c r="I10" s="227"/>
      <c r="J10" s="229"/>
    </row>
    <row x14ac:dyDescent="0.25" r="11" customHeight="1" ht="18" hidden="1">
      <c r="A11" s="227"/>
      <c r="B11" s="228"/>
      <c r="C11" s="3"/>
      <c r="D11" s="3"/>
      <c r="E11" s="3"/>
      <c r="F11" s="3"/>
      <c r="G11" s="3"/>
      <c r="H11" s="3"/>
      <c r="I11" s="227"/>
      <c r="J11" s="229"/>
    </row>
    <row x14ac:dyDescent="0.25" r="12" customHeight="1" ht="18" hidden="1">
      <c r="A12" s="227"/>
      <c r="B12" s="228"/>
      <c r="C12" s="3"/>
      <c r="D12" s="3"/>
      <c r="E12" s="3"/>
      <c r="F12" s="3"/>
      <c r="G12" s="3"/>
      <c r="H12" s="3"/>
      <c r="I12" s="227"/>
      <c r="J12" s="229"/>
    </row>
    <row x14ac:dyDescent="0.25" r="13" customHeight="1" ht="18" hidden="1">
      <c r="A13" s="227"/>
      <c r="B13" s="228"/>
      <c r="C13" s="3"/>
      <c r="D13" s="3"/>
      <c r="E13" s="3"/>
      <c r="F13" s="3"/>
      <c r="G13" s="3"/>
      <c r="H13" s="3"/>
      <c r="I13" s="227"/>
      <c r="J13" s="229"/>
    </row>
    <row x14ac:dyDescent="0.25" r="14" customHeight="1" ht="18" hidden="1">
      <c r="A14" s="227"/>
      <c r="B14" s="228"/>
      <c r="C14" s="3"/>
      <c r="D14" s="3"/>
      <c r="E14" s="3"/>
      <c r="F14" s="3"/>
      <c r="G14" s="3"/>
      <c r="H14" s="3"/>
      <c r="I14" s="227"/>
      <c r="J14" s="229"/>
    </row>
    <row x14ac:dyDescent="0.25" r="15" customHeight="1" ht="18" hidden="1">
      <c r="A15" s="227"/>
      <c r="B15" s="228"/>
      <c r="C15" s="3"/>
      <c r="D15" s="3"/>
      <c r="E15" s="3"/>
      <c r="F15" s="3"/>
      <c r="G15" s="3"/>
      <c r="H15" s="3"/>
      <c r="I15" s="227"/>
      <c r="J15" s="229"/>
    </row>
    <row x14ac:dyDescent="0.25" r="16" customHeight="1" ht="18" hidden="1">
      <c r="A16" s="227"/>
      <c r="B16" s="228"/>
      <c r="C16" s="3"/>
      <c r="D16" s="3"/>
      <c r="E16" s="3"/>
      <c r="F16" s="3"/>
      <c r="G16" s="3"/>
      <c r="H16" s="3"/>
      <c r="I16" s="227"/>
      <c r="J16" s="229"/>
    </row>
    <row x14ac:dyDescent="0.25" r="17" customHeight="1" ht="18" hidden="1">
      <c r="A17" s="227"/>
      <c r="B17" s="228"/>
      <c r="C17" s="3"/>
      <c r="D17" s="3"/>
      <c r="E17" s="3"/>
      <c r="F17" s="3"/>
      <c r="G17" s="3"/>
      <c r="H17" s="3"/>
      <c r="I17" s="227"/>
      <c r="J17" s="229"/>
    </row>
    <row x14ac:dyDescent="0.25" r="18" customHeight="1" ht="18" hidden="1">
      <c r="A18" s="227"/>
      <c r="B18" s="228"/>
      <c r="C18" s="3"/>
      <c r="D18" s="3"/>
      <c r="E18" s="3"/>
      <c r="F18" s="3"/>
      <c r="G18" s="3"/>
      <c r="H18" s="3"/>
      <c r="I18" s="227"/>
      <c r="J18" s="229"/>
    </row>
    <row x14ac:dyDescent="0.25" r="19" customHeight="1" ht="18" hidden="1">
      <c r="A19" s="227"/>
      <c r="B19" s="228"/>
      <c r="C19" s="3"/>
      <c r="D19" s="3"/>
      <c r="E19" s="3"/>
      <c r="F19" s="3"/>
      <c r="G19" s="3"/>
      <c r="H19" s="3"/>
      <c r="I19" s="227"/>
      <c r="J19" s="229"/>
    </row>
    <row x14ac:dyDescent="0.25" r="20" customHeight="1" ht="14.5" customFormat="1" s="230">
      <c r="A20" s="229"/>
      <c r="B20" s="231" t="s">
        <v>188</v>
      </c>
      <c r="C20" s="232">
        <f>Progress!R19</f>
      </c>
      <c r="D20" s="232">
        <f>Progress!T19</f>
      </c>
      <c r="E20" s="232">
        <f>Progress!V19</f>
      </c>
      <c r="F20" s="232">
        <f>Progress!X19</f>
      </c>
      <c r="G20" s="232">
        <f>Progress!Z19</f>
      </c>
      <c r="H20" s="232">
        <f>Progress!AB20</f>
      </c>
      <c r="I20" s="229"/>
      <c r="J20" s="233" t="s">
        <v>189</v>
      </c>
    </row>
    <row x14ac:dyDescent="0.25" r="21" customHeight="1" ht="17.25" customFormat="1" s="230">
      <c r="A21" s="229"/>
      <c r="B21" s="234"/>
      <c r="C21" s="235"/>
      <c r="D21" s="235"/>
      <c r="E21" s="235"/>
      <c r="F21" s="235"/>
      <c r="G21" s="235"/>
      <c r="H21" s="235"/>
      <c r="I21" s="229"/>
      <c r="J21" s="236"/>
    </row>
    <row x14ac:dyDescent="0.25" r="22" customHeight="1" ht="17.25" customFormat="1" s="230">
      <c r="A22" s="229"/>
      <c r="B22" s="237"/>
      <c r="C22" s="238"/>
      <c r="D22" s="238"/>
      <c r="E22" s="238"/>
      <c r="F22" s="238"/>
      <c r="G22" s="238"/>
      <c r="H22" s="238"/>
      <c r="I22" s="229"/>
      <c r="J22" s="239"/>
    </row>
    <row x14ac:dyDescent="0.25" r="23" customHeight="1" ht="14.5">
      <c r="A23" s="227"/>
      <c r="B23" s="240">
        <f>IF(Progress!P23=0,"",Progress!P23)</f>
      </c>
      <c r="C23" s="241">
        <f>Progress!S23</f>
      </c>
      <c r="D23" s="241">
        <f>Progress!U23</f>
      </c>
      <c r="E23" s="241">
        <f>Progress!W23</f>
      </c>
      <c r="F23" s="241">
        <f>Progress!Y23</f>
      </c>
      <c r="G23" s="241">
        <f>Progress!AA23</f>
      </c>
      <c r="H23" s="241">
        <f>Progress!AC23</f>
      </c>
      <c r="I23" s="227"/>
      <c r="J23" s="242" t="s">
        <v>190</v>
      </c>
    </row>
    <row x14ac:dyDescent="0.25" r="24" customHeight="1" ht="14.5">
      <c r="A24" s="227"/>
      <c r="B24" s="240">
        <f>IF(Progress!P24=0,"",Progress!P24)</f>
      </c>
      <c r="C24" s="241">
        <f>Progress!S24</f>
      </c>
      <c r="D24" s="241">
        <f>Progress!U24</f>
      </c>
      <c r="E24" s="241">
        <f>Progress!W24</f>
      </c>
      <c r="F24" s="241">
        <f>Progress!Y24</f>
      </c>
      <c r="G24" s="241">
        <f>Progress!AA24</f>
      </c>
      <c r="H24" s="241">
        <f>Progress!AC24</f>
      </c>
      <c r="I24" s="227"/>
      <c r="J24" s="243"/>
    </row>
    <row x14ac:dyDescent="0.25" r="25" customHeight="1" ht="14.5">
      <c r="A25" s="227"/>
      <c r="B25" s="240">
        <f>IF(Progress!P25=0,"",Progress!P25)</f>
      </c>
      <c r="C25" s="241">
        <f>Progress!S25</f>
      </c>
      <c r="D25" s="241">
        <f>Progress!U25</f>
      </c>
      <c r="E25" s="241">
        <f>Progress!W25</f>
      </c>
      <c r="F25" s="241">
        <f>Progress!Y25</f>
      </c>
      <c r="G25" s="241">
        <f>Progress!AA25</f>
      </c>
      <c r="H25" s="241">
        <f>Progress!AC25</f>
      </c>
      <c r="I25" s="227"/>
      <c r="J25" s="243"/>
    </row>
    <row x14ac:dyDescent="0.25" r="26" customHeight="1" ht="14.5">
      <c r="A26" s="227"/>
      <c r="B26" s="240">
        <f>IF(Progress!P26=0,"",Progress!P26)</f>
      </c>
      <c r="C26" s="241">
        <f>Progress!S26</f>
      </c>
      <c r="D26" s="241">
        <f>Progress!U26</f>
      </c>
      <c r="E26" s="241">
        <f>Progress!W26</f>
      </c>
      <c r="F26" s="241">
        <f>Progress!Y26</f>
      </c>
      <c r="G26" s="241">
        <f>Progress!AA26</f>
      </c>
      <c r="H26" s="241">
        <f>Progress!AC26</f>
      </c>
      <c r="I26" s="227"/>
      <c r="J26" s="243"/>
    </row>
    <row x14ac:dyDescent="0.25" r="27" customHeight="1" ht="14.5">
      <c r="A27" s="227"/>
      <c r="B27" s="240">
        <f>IF(Progress!P27=0,"",Progress!P27)</f>
      </c>
      <c r="C27" s="241">
        <f>Progress!S27</f>
      </c>
      <c r="D27" s="241">
        <f>Progress!U27</f>
      </c>
      <c r="E27" s="241">
        <f>Progress!W27</f>
      </c>
      <c r="F27" s="241">
        <f>Progress!Y27</f>
      </c>
      <c r="G27" s="241">
        <f>Progress!AA27</f>
      </c>
      <c r="H27" s="241">
        <f>Progress!AC27</f>
      </c>
      <c r="I27" s="227"/>
      <c r="J27" s="243"/>
    </row>
    <row x14ac:dyDescent="0.25" r="28" customHeight="1" ht="14.5">
      <c r="A28" s="227"/>
      <c r="B28" s="240">
        <f>IF(Progress!P28=0,"",Progress!P28)</f>
      </c>
      <c r="C28" s="241">
        <f>Progress!S28</f>
      </c>
      <c r="D28" s="241">
        <f>Progress!U28</f>
      </c>
      <c r="E28" s="241">
        <f>Progress!W28</f>
      </c>
      <c r="F28" s="241">
        <f>Progress!Y28</f>
      </c>
      <c r="G28" s="241">
        <f>Progress!AA28</f>
      </c>
      <c r="H28" s="241">
        <f>Progress!AC28</f>
      </c>
      <c r="I28" s="227"/>
      <c r="J28" s="243"/>
    </row>
    <row x14ac:dyDescent="0.25" r="29" customHeight="1" ht="14.5">
      <c r="A29" s="227"/>
      <c r="B29" s="240">
        <f>IF(Progress!P29=0,"",Progress!P29)</f>
      </c>
      <c r="C29" s="241">
        <f>Progress!S29</f>
      </c>
      <c r="D29" s="241">
        <f>Progress!U29</f>
      </c>
      <c r="E29" s="241">
        <f>Progress!W29</f>
      </c>
      <c r="F29" s="241">
        <f>Progress!Y29</f>
      </c>
      <c r="G29" s="241">
        <f>Progress!AA29</f>
      </c>
      <c r="H29" s="241">
        <f>Progress!AC29</f>
      </c>
      <c r="I29" s="227"/>
      <c r="J29" s="243"/>
    </row>
    <row x14ac:dyDescent="0.25" r="30" customHeight="1" ht="14.5">
      <c r="A30" s="227"/>
      <c r="B30" s="240">
        <f>IF(Progress!P30=0,"",Progress!P30)</f>
      </c>
      <c r="C30" s="241">
        <f>Progress!S30</f>
      </c>
      <c r="D30" s="241">
        <f>Progress!U30</f>
      </c>
      <c r="E30" s="241">
        <f>Progress!W30</f>
      </c>
      <c r="F30" s="241">
        <f>Progress!Y30</f>
      </c>
      <c r="G30" s="241">
        <f>Progress!AA30</f>
      </c>
      <c r="H30" s="241">
        <f>Progress!AC30</f>
      </c>
      <c r="I30" s="227"/>
      <c r="J30" s="243"/>
    </row>
    <row x14ac:dyDescent="0.25" r="31" customHeight="1" ht="14.5">
      <c r="A31" s="227"/>
      <c r="B31" s="240">
        <f>IF(Progress!P31=0,"",Progress!P31)</f>
      </c>
      <c r="C31" s="241">
        <f>Progress!S31</f>
      </c>
      <c r="D31" s="241">
        <f>Progress!U31</f>
      </c>
      <c r="E31" s="241">
        <f>Progress!W31</f>
      </c>
      <c r="F31" s="241">
        <f>Progress!Y31</f>
      </c>
      <c r="G31" s="241">
        <f>Progress!AA31</f>
      </c>
      <c r="H31" s="241">
        <f>Progress!AC31</f>
      </c>
      <c r="I31" s="227"/>
      <c r="J31" s="243"/>
    </row>
    <row x14ac:dyDescent="0.25" r="32" customHeight="1" ht="14.5">
      <c r="A32" s="227"/>
      <c r="B32" s="240">
        <f>IF(Progress!P32=0,"",Progress!P32)</f>
      </c>
      <c r="C32" s="241">
        <f>Progress!S32</f>
      </c>
      <c r="D32" s="241">
        <f>Progress!U32</f>
      </c>
      <c r="E32" s="241">
        <f>Progress!W32</f>
      </c>
      <c r="F32" s="241">
        <f>Progress!Y32</f>
      </c>
      <c r="G32" s="241">
        <f>Progress!AA32</f>
      </c>
      <c r="H32" s="241">
        <f>Progress!AC32</f>
      </c>
      <c r="I32" s="227"/>
      <c r="J32" s="243"/>
    </row>
    <row x14ac:dyDescent="0.25" r="33" customHeight="1" ht="14.5">
      <c r="A33" s="227"/>
      <c r="B33" s="240">
        <f>IF(Progress!P33=0,"",Progress!P33)</f>
      </c>
      <c r="C33" s="241">
        <f>Progress!S33</f>
      </c>
      <c r="D33" s="241">
        <f>Progress!U33</f>
      </c>
      <c r="E33" s="241">
        <f>Progress!W33</f>
      </c>
      <c r="F33" s="241">
        <f>Progress!Y33</f>
      </c>
      <c r="G33" s="241">
        <f>Progress!AA33</f>
      </c>
      <c r="H33" s="241">
        <f>Progress!AC33</f>
      </c>
      <c r="I33" s="227"/>
      <c r="J33" s="243"/>
    </row>
    <row x14ac:dyDescent="0.25" r="34" customHeight="1" ht="14.5">
      <c r="A34" s="227"/>
      <c r="B34" s="240">
        <f>IF(Progress!P34=0,"",Progress!P34)</f>
      </c>
      <c r="C34" s="241">
        <f>Progress!S34</f>
      </c>
      <c r="D34" s="241">
        <f>Progress!U34</f>
      </c>
      <c r="E34" s="241">
        <f>Progress!W34</f>
      </c>
      <c r="F34" s="241">
        <f>Progress!Y34</f>
      </c>
      <c r="G34" s="241">
        <f>Progress!AA34</f>
      </c>
      <c r="H34" s="241">
        <f>Progress!AC34</f>
      </c>
      <c r="I34" s="227"/>
      <c r="J34" s="243"/>
    </row>
    <row x14ac:dyDescent="0.25" r="35" customHeight="1" ht="14.5">
      <c r="A35" s="227"/>
      <c r="B35" s="240">
        <f>IF(Progress!P35=0,"",Progress!P35)</f>
      </c>
      <c r="C35" s="241">
        <f>Progress!S35</f>
      </c>
      <c r="D35" s="241">
        <f>Progress!U35</f>
      </c>
      <c r="E35" s="241">
        <f>Progress!W35</f>
      </c>
      <c r="F35" s="241">
        <f>Progress!Y35</f>
      </c>
      <c r="G35" s="241">
        <f>Progress!AA35</f>
      </c>
      <c r="H35" s="241">
        <f>Progress!AC35</f>
      </c>
      <c r="I35" s="227"/>
      <c r="J35" s="243"/>
    </row>
    <row x14ac:dyDescent="0.25" r="36" customHeight="1" ht="14.5">
      <c r="A36" s="227"/>
      <c r="B36" s="240">
        <f>IF(Progress!P36=0,"",Progress!P36)</f>
      </c>
      <c r="C36" s="241">
        <f>Progress!S36</f>
      </c>
      <c r="D36" s="241">
        <f>Progress!U36</f>
      </c>
      <c r="E36" s="241">
        <f>Progress!W36</f>
      </c>
      <c r="F36" s="241">
        <f>Progress!Y36</f>
      </c>
      <c r="G36" s="241">
        <f>Progress!AA36</f>
      </c>
      <c r="H36" s="241">
        <f>Progress!AC36</f>
      </c>
      <c r="I36" s="227"/>
      <c r="J36" s="243"/>
    </row>
    <row x14ac:dyDescent="0.25" r="37" customHeight="1" ht="14.5">
      <c r="A37" s="227"/>
      <c r="B37" s="240">
        <f>IF(Progress!P37=0,"",Progress!P37)</f>
      </c>
      <c r="C37" s="241">
        <f>Progress!S37</f>
      </c>
      <c r="D37" s="241">
        <f>Progress!U37</f>
      </c>
      <c r="E37" s="241">
        <f>Progress!W37</f>
      </c>
      <c r="F37" s="241">
        <f>Progress!Y37</f>
      </c>
      <c r="G37" s="241">
        <f>Progress!AA37</f>
      </c>
      <c r="H37" s="241">
        <f>Progress!AC37</f>
      </c>
      <c r="I37" s="227"/>
      <c r="J37" s="243"/>
    </row>
    <row x14ac:dyDescent="0.25" r="38" customHeight="1" ht="14.5">
      <c r="A38" s="227"/>
      <c r="B38" s="240">
        <f>IF(Progress!P38=0,"",Progress!P38)</f>
      </c>
      <c r="C38" s="241">
        <f>Progress!S38</f>
      </c>
      <c r="D38" s="241">
        <f>Progress!U38</f>
      </c>
      <c r="E38" s="241">
        <f>Progress!W38</f>
      </c>
      <c r="F38" s="241">
        <f>Progress!Y38</f>
      </c>
      <c r="G38" s="241">
        <f>Progress!AA38</f>
      </c>
      <c r="H38" s="241">
        <f>Progress!AC38</f>
      </c>
      <c r="I38" s="227"/>
      <c r="J38" s="243"/>
    </row>
    <row x14ac:dyDescent="0.25" r="39" customHeight="1" ht="14.5">
      <c r="A39" s="227"/>
      <c r="B39" s="240">
        <f>IF(Progress!P39=0,"",Progress!P39)</f>
      </c>
      <c r="C39" s="241">
        <f>Progress!S39</f>
      </c>
      <c r="D39" s="241">
        <f>Progress!U39</f>
      </c>
      <c r="E39" s="241">
        <f>Progress!W39</f>
      </c>
      <c r="F39" s="241">
        <f>Progress!Y39</f>
      </c>
      <c r="G39" s="241">
        <f>Progress!AA39</f>
      </c>
      <c r="H39" s="241">
        <f>Progress!AC39</f>
      </c>
      <c r="I39" s="227"/>
      <c r="J39" s="243"/>
    </row>
    <row x14ac:dyDescent="0.25" r="40" customHeight="1" ht="14.5">
      <c r="A40" s="227"/>
      <c r="B40" s="240">
        <f>IF(Progress!P40=0,"",Progress!P40)</f>
      </c>
      <c r="C40" s="241">
        <f>Progress!S40</f>
      </c>
      <c r="D40" s="241">
        <f>Progress!U40</f>
      </c>
      <c r="E40" s="241">
        <f>Progress!W40</f>
      </c>
      <c r="F40" s="241">
        <f>Progress!Y40</f>
      </c>
      <c r="G40" s="241">
        <f>Progress!AA40</f>
      </c>
      <c r="H40" s="241">
        <f>Progress!AC40</f>
      </c>
      <c r="I40" s="227"/>
      <c r="J40" s="243"/>
    </row>
    <row x14ac:dyDescent="0.25" r="41" customHeight="1" ht="14.5">
      <c r="A41" s="227"/>
      <c r="B41" s="240">
        <f>IF(Progress!P41=0,"",Progress!P41)</f>
      </c>
      <c r="C41" s="241">
        <f>Progress!S41</f>
      </c>
      <c r="D41" s="241">
        <f>Progress!U41</f>
      </c>
      <c r="E41" s="241">
        <f>Progress!W41</f>
      </c>
      <c r="F41" s="241">
        <f>Progress!Y41</f>
      </c>
      <c r="G41" s="241">
        <f>Progress!AA41</f>
      </c>
      <c r="H41" s="241">
        <f>Progress!AC41</f>
      </c>
      <c r="I41" s="227"/>
      <c r="J41" s="243"/>
    </row>
    <row x14ac:dyDescent="0.25" r="42" customHeight="1" ht="14.5">
      <c r="A42" s="227"/>
      <c r="B42" s="240">
        <f>IF(Progress!P42=0,"",Progress!P42)</f>
      </c>
      <c r="C42" s="241">
        <f>Progress!S42</f>
      </c>
      <c r="D42" s="241">
        <f>Progress!U42</f>
      </c>
      <c r="E42" s="241">
        <f>Progress!W42</f>
      </c>
      <c r="F42" s="241">
        <f>Progress!Y42</f>
      </c>
      <c r="G42" s="241">
        <f>Progress!AA42</f>
      </c>
      <c r="H42" s="241">
        <f>Progress!AC42</f>
      </c>
      <c r="I42" s="227"/>
      <c r="J42" s="243"/>
    </row>
    <row x14ac:dyDescent="0.25" r="43" customHeight="1" ht="14.5">
      <c r="A43" s="227"/>
      <c r="B43" s="240">
        <f>IF(Progress!P43=0,"",Progress!P43)</f>
      </c>
      <c r="C43" s="241">
        <f>Progress!S43</f>
      </c>
      <c r="D43" s="241">
        <f>Progress!U43</f>
      </c>
      <c r="E43" s="241">
        <f>Progress!W43</f>
      </c>
      <c r="F43" s="241">
        <f>Progress!Y43</f>
      </c>
      <c r="G43" s="241">
        <f>Progress!AA43</f>
      </c>
      <c r="H43" s="241">
        <f>Progress!AC43</f>
      </c>
      <c r="I43" s="227"/>
      <c r="J43" s="243"/>
    </row>
    <row x14ac:dyDescent="0.25" r="44" customHeight="1" ht="14.5">
      <c r="A44" s="227"/>
      <c r="B44" s="240">
        <f>IF(Progress!P44=0,"",Progress!P44)</f>
      </c>
      <c r="C44" s="241">
        <f>Progress!S44</f>
      </c>
      <c r="D44" s="241">
        <f>Progress!U44</f>
      </c>
      <c r="E44" s="241">
        <f>Progress!W44</f>
      </c>
      <c r="F44" s="241">
        <f>Progress!Y44</f>
      </c>
      <c r="G44" s="241">
        <f>Progress!AA44</f>
      </c>
      <c r="H44" s="241">
        <f>Progress!AC44</f>
      </c>
      <c r="I44" s="227"/>
      <c r="J44" s="243"/>
    </row>
    <row x14ac:dyDescent="0.25" r="45" customHeight="1" ht="14.5">
      <c r="A45" s="227"/>
      <c r="B45" s="240">
        <f>IF(Progress!P45=0,"",Progress!P45)</f>
      </c>
      <c r="C45" s="241">
        <f>Progress!S45</f>
      </c>
      <c r="D45" s="241">
        <f>Progress!U45</f>
      </c>
      <c r="E45" s="241">
        <f>Progress!W45</f>
      </c>
      <c r="F45" s="241">
        <f>Progress!Y45</f>
      </c>
      <c r="G45" s="241">
        <f>Progress!AA45</f>
      </c>
      <c r="H45" s="241">
        <f>Progress!AC45</f>
      </c>
      <c r="I45" s="227"/>
      <c r="J45" s="243"/>
    </row>
    <row x14ac:dyDescent="0.25" r="46" customHeight="1" ht="14.5">
      <c r="A46" s="227"/>
      <c r="B46" s="240">
        <f>IF(Progress!P46=0,"",Progress!P46)</f>
      </c>
      <c r="C46" s="241">
        <f>Progress!S46</f>
      </c>
      <c r="D46" s="241">
        <f>Progress!U46</f>
      </c>
      <c r="E46" s="241">
        <f>Progress!W46</f>
      </c>
      <c r="F46" s="241">
        <f>Progress!Y46</f>
      </c>
      <c r="G46" s="241">
        <f>Progress!AA46</f>
      </c>
      <c r="H46" s="241">
        <f>Progress!AC46</f>
      </c>
      <c r="I46" s="227"/>
      <c r="J46" s="243"/>
    </row>
    <row x14ac:dyDescent="0.25" r="47" customHeight="1" ht="14.5">
      <c r="A47" s="227"/>
      <c r="B47" s="240">
        <f>IF(Progress!P47=0,"",Progress!P47)</f>
      </c>
      <c r="C47" s="241">
        <f>Progress!S47</f>
      </c>
      <c r="D47" s="241">
        <f>Progress!U47</f>
      </c>
      <c r="E47" s="241">
        <f>Progress!W47</f>
      </c>
      <c r="F47" s="241">
        <f>Progress!Y47</f>
      </c>
      <c r="G47" s="241">
        <f>Progress!AA47</f>
      </c>
      <c r="H47" s="241">
        <f>Progress!AC47</f>
      </c>
      <c r="I47" s="227"/>
      <c r="J47" s="243"/>
    </row>
    <row x14ac:dyDescent="0.25" r="48" customHeight="1" ht="14.5">
      <c r="A48" s="227"/>
      <c r="B48" s="240">
        <f>IF(Progress!P48=0,"",Progress!P48)</f>
      </c>
      <c r="C48" s="241">
        <f>Progress!S48</f>
      </c>
      <c r="D48" s="241">
        <f>Progress!U48</f>
      </c>
      <c r="E48" s="241">
        <f>Progress!W48</f>
      </c>
      <c r="F48" s="241">
        <f>Progress!Y48</f>
      </c>
      <c r="G48" s="241">
        <f>Progress!AA48</f>
      </c>
      <c r="H48" s="241">
        <f>Progress!AC48</f>
      </c>
      <c r="I48" s="227"/>
      <c r="J48" s="243"/>
    </row>
    <row x14ac:dyDescent="0.25" r="49" customHeight="1" ht="14.5">
      <c r="A49" s="227"/>
      <c r="B49" s="240">
        <f>IF(Progress!P49=0,"",Progress!P49)</f>
      </c>
      <c r="C49" s="241">
        <f>Progress!S49</f>
      </c>
      <c r="D49" s="241">
        <f>Progress!U49</f>
      </c>
      <c r="E49" s="241">
        <f>Progress!W49</f>
      </c>
      <c r="F49" s="241">
        <f>Progress!Y49</f>
      </c>
      <c r="G49" s="241">
        <f>Progress!AA49</f>
      </c>
      <c r="H49" s="241">
        <f>Progress!AC49</f>
      </c>
      <c r="I49" s="227"/>
      <c r="J49" s="243"/>
    </row>
    <row x14ac:dyDescent="0.25" r="50" customHeight="1" ht="14.5">
      <c r="A50" s="227"/>
      <c r="B50" s="240">
        <f>IF(Progress!P50=0,"",Progress!P50)</f>
      </c>
      <c r="C50" s="241">
        <f>Progress!S50</f>
      </c>
      <c r="D50" s="241">
        <f>Progress!U50</f>
      </c>
      <c r="E50" s="241">
        <f>Progress!W50</f>
      </c>
      <c r="F50" s="241">
        <f>Progress!Y50</f>
      </c>
      <c r="G50" s="241">
        <f>Progress!AA50</f>
      </c>
      <c r="H50" s="241">
        <f>Progress!AC50</f>
      </c>
      <c r="I50" s="227"/>
      <c r="J50" s="243"/>
    </row>
    <row x14ac:dyDescent="0.25" r="51" customHeight="1" ht="14.5">
      <c r="A51" s="227"/>
      <c r="B51" s="240">
        <f>IF(Progress!P51=0,"",Progress!P51)</f>
      </c>
      <c r="C51" s="241">
        <f>Progress!S51</f>
      </c>
      <c r="D51" s="241">
        <f>Progress!U51</f>
      </c>
      <c r="E51" s="241">
        <f>Progress!W51</f>
      </c>
      <c r="F51" s="241">
        <f>Progress!Y51</f>
      </c>
      <c r="G51" s="241">
        <f>Progress!AA51</f>
      </c>
      <c r="H51" s="241">
        <f>Progress!AC51</f>
      </c>
      <c r="I51" s="227"/>
      <c r="J51" s="243"/>
    </row>
    <row x14ac:dyDescent="0.25" r="52" customHeight="1" ht="14.5">
      <c r="A52" s="227"/>
      <c r="B52" s="240">
        <f>IF(Progress!P52=0,"",Progress!P52)</f>
      </c>
      <c r="C52" s="241">
        <f>Progress!S52</f>
      </c>
      <c r="D52" s="241">
        <f>Progress!U52</f>
      </c>
      <c r="E52" s="241">
        <f>Progress!W52</f>
      </c>
      <c r="F52" s="241">
        <f>Progress!Y52</f>
      </c>
      <c r="G52" s="241">
        <f>Progress!AA52</f>
      </c>
      <c r="H52" s="241">
        <f>Progress!AC52</f>
      </c>
      <c r="I52" s="227"/>
      <c r="J52" s="243"/>
    </row>
    <row x14ac:dyDescent="0.25" r="53" customHeight="1" ht="14.5">
      <c r="A53" s="227"/>
      <c r="B53" s="240">
        <f>IF(Progress!P53=0,"",Progress!P53)</f>
      </c>
      <c r="C53" s="241">
        <f>Progress!S53</f>
      </c>
      <c r="D53" s="241">
        <f>Progress!U53</f>
      </c>
      <c r="E53" s="241">
        <f>Progress!W53</f>
      </c>
      <c r="F53" s="241">
        <f>Progress!Y53</f>
      </c>
      <c r="G53" s="241">
        <f>Progress!AA53</f>
      </c>
      <c r="H53" s="241">
        <f>Progress!AC53</f>
      </c>
      <c r="I53" s="227"/>
      <c r="J53" s="243"/>
    </row>
    <row x14ac:dyDescent="0.25" r="54" customHeight="1" ht="14.5">
      <c r="A54" s="227"/>
      <c r="B54" s="240">
        <f>IF(Progress!P54=0,"",Progress!P54)</f>
      </c>
      <c r="C54" s="241">
        <f>Progress!S54</f>
      </c>
      <c r="D54" s="241">
        <f>Progress!U54</f>
      </c>
      <c r="E54" s="241">
        <f>Progress!W54</f>
      </c>
      <c r="F54" s="241">
        <f>Progress!Y54</f>
      </c>
      <c r="G54" s="241">
        <f>Progress!AA54</f>
      </c>
      <c r="H54" s="241">
        <f>Progress!AC54</f>
      </c>
      <c r="I54" s="227"/>
      <c r="J54" s="243"/>
    </row>
    <row x14ac:dyDescent="0.25" r="55" customHeight="1" ht="14.5">
      <c r="A55" s="227"/>
      <c r="B55" s="240">
        <f>IF(Progress!P55=0,"",Progress!P55)</f>
      </c>
      <c r="C55" s="241">
        <f>Progress!S55</f>
      </c>
      <c r="D55" s="241">
        <f>Progress!U55</f>
      </c>
      <c r="E55" s="241">
        <f>Progress!W55</f>
      </c>
      <c r="F55" s="241">
        <f>Progress!Y55</f>
      </c>
      <c r="G55" s="241">
        <f>Progress!AA55</f>
      </c>
      <c r="H55" s="241">
        <f>Progress!AC55</f>
      </c>
      <c r="I55" s="227"/>
      <c r="J55" s="243"/>
    </row>
    <row x14ac:dyDescent="0.25" r="56" customHeight="1" ht="14.5">
      <c r="A56" s="227"/>
      <c r="B56" s="240">
        <f>IF(Progress!P56=0,"",Progress!P56)</f>
      </c>
      <c r="C56" s="241">
        <f>Progress!S56</f>
      </c>
      <c r="D56" s="241">
        <f>Progress!U56</f>
      </c>
      <c r="E56" s="241">
        <f>Progress!W56</f>
      </c>
      <c r="F56" s="241">
        <f>Progress!Y56</f>
      </c>
      <c r="G56" s="241">
        <f>Progress!AA56</f>
      </c>
      <c r="H56" s="241">
        <f>Progress!AC56</f>
      </c>
      <c r="I56" s="227"/>
      <c r="J56" s="243"/>
    </row>
    <row x14ac:dyDescent="0.25" r="57" customHeight="1" ht="14.5">
      <c r="A57" s="227"/>
      <c r="B57" s="240">
        <f>IF(Progress!P57=0,"",Progress!P57)</f>
      </c>
      <c r="C57" s="241">
        <f>Progress!S57</f>
      </c>
      <c r="D57" s="241">
        <f>Progress!U57</f>
      </c>
      <c r="E57" s="241">
        <f>Progress!W57</f>
      </c>
      <c r="F57" s="241">
        <f>Progress!Y57</f>
      </c>
      <c r="G57" s="241">
        <f>Progress!AA57</f>
      </c>
      <c r="H57" s="241">
        <f>Progress!AC57</f>
      </c>
      <c r="I57" s="227"/>
      <c r="J57" s="243"/>
    </row>
    <row x14ac:dyDescent="0.25" r="58" customHeight="1" ht="14.5">
      <c r="A58" s="227"/>
      <c r="B58" s="240">
        <f>IF(Progress!P58=0,"",Progress!P58)</f>
      </c>
      <c r="C58" s="241">
        <f>Progress!S58</f>
      </c>
      <c r="D58" s="241">
        <f>Progress!U58</f>
      </c>
      <c r="E58" s="241">
        <f>Progress!W58</f>
      </c>
      <c r="F58" s="241">
        <f>Progress!Y58</f>
      </c>
      <c r="G58" s="241">
        <f>Progress!AA58</f>
      </c>
      <c r="H58" s="241">
        <f>Progress!AC58</f>
      </c>
      <c r="I58" s="227"/>
      <c r="J58" s="243"/>
    </row>
    <row x14ac:dyDescent="0.25" r="59" customHeight="1" ht="14.5">
      <c r="A59" s="227"/>
      <c r="B59" s="240">
        <f>IF(Progress!P59=0,"",Progress!P59)</f>
      </c>
      <c r="C59" s="241">
        <f>Progress!S59</f>
      </c>
      <c r="D59" s="241">
        <f>Progress!U59</f>
      </c>
      <c r="E59" s="241">
        <f>Progress!W59</f>
      </c>
      <c r="F59" s="241">
        <f>Progress!Y59</f>
      </c>
      <c r="G59" s="241">
        <f>Progress!AA59</f>
      </c>
      <c r="H59" s="241">
        <f>Progress!AC59</f>
      </c>
      <c r="I59" s="227"/>
      <c r="J59" s="243"/>
    </row>
    <row x14ac:dyDescent="0.25" r="60" customHeight="1" ht="14.5">
      <c r="A60" s="227"/>
      <c r="B60" s="240">
        <f>IF(Progress!P60=0,"",Progress!P60)</f>
      </c>
      <c r="C60" s="241">
        <f>Progress!S60</f>
      </c>
      <c r="D60" s="241">
        <f>Progress!U60</f>
      </c>
      <c r="E60" s="241">
        <f>Progress!W60</f>
      </c>
      <c r="F60" s="241">
        <f>Progress!Y60</f>
      </c>
      <c r="G60" s="241">
        <f>Progress!AA60</f>
      </c>
      <c r="H60" s="241">
        <f>Progress!AC60</f>
      </c>
      <c r="I60" s="227"/>
      <c r="J60" s="243"/>
    </row>
    <row x14ac:dyDescent="0.25" r="61" customHeight="1" ht="14.5">
      <c r="A61" s="227"/>
      <c r="B61" s="240">
        <f>IF(Progress!P61=0,"",Progress!P61)</f>
      </c>
      <c r="C61" s="241">
        <f>Progress!S61</f>
      </c>
      <c r="D61" s="241">
        <f>Progress!U61</f>
      </c>
      <c r="E61" s="241">
        <f>Progress!W61</f>
      </c>
      <c r="F61" s="241">
        <f>Progress!Y61</f>
      </c>
      <c r="G61" s="241">
        <f>Progress!AA61</f>
      </c>
      <c r="H61" s="241">
        <f>Progress!AC61</f>
      </c>
      <c r="I61" s="227"/>
      <c r="J61" s="243"/>
    </row>
    <row x14ac:dyDescent="0.25" r="62" customHeight="1" ht="14.5">
      <c r="A62" s="227"/>
      <c r="B62" s="240">
        <f>IF(Progress!P62=0,"",Progress!P62)</f>
      </c>
      <c r="C62" s="241">
        <f>Progress!S62</f>
      </c>
      <c r="D62" s="241">
        <f>Progress!U62</f>
      </c>
      <c r="E62" s="241">
        <f>Progress!W62</f>
      </c>
      <c r="F62" s="241">
        <f>Progress!Y62</f>
      </c>
      <c r="G62" s="241">
        <f>Progress!AA62</f>
      </c>
      <c r="H62" s="241">
        <f>Progress!AC62</f>
      </c>
      <c r="I62" s="227"/>
      <c r="J62" s="243"/>
    </row>
    <row x14ac:dyDescent="0.25" r="63" customHeight="1" ht="14.5">
      <c r="A63" s="227"/>
      <c r="B63" s="240">
        <f>IF(Progress!P63=0,"",Progress!P63)</f>
      </c>
      <c r="C63" s="241">
        <f>Progress!S63</f>
      </c>
      <c r="D63" s="241">
        <f>Progress!U63</f>
      </c>
      <c r="E63" s="241">
        <f>Progress!W63</f>
      </c>
      <c r="F63" s="241">
        <f>Progress!Y63</f>
      </c>
      <c r="G63" s="241">
        <f>Progress!AA63</f>
      </c>
      <c r="H63" s="241">
        <f>Progress!AC63</f>
      </c>
      <c r="I63" s="227"/>
      <c r="J63" s="243"/>
    </row>
    <row x14ac:dyDescent="0.25" r="64" customHeight="1" ht="14.5">
      <c r="A64" s="227"/>
      <c r="B64" s="240">
        <f>IF(Progress!P64=0,"",Progress!P64)</f>
      </c>
      <c r="C64" s="241">
        <f>Progress!S64</f>
      </c>
      <c r="D64" s="241">
        <f>Progress!U64</f>
      </c>
      <c r="E64" s="241">
        <f>Progress!W64</f>
      </c>
      <c r="F64" s="241">
        <f>Progress!Y64</f>
      </c>
      <c r="G64" s="241">
        <f>Progress!AA64</f>
      </c>
      <c r="H64" s="241">
        <f>Progress!AC64</f>
      </c>
      <c r="I64" s="227"/>
      <c r="J64" s="243"/>
    </row>
    <row x14ac:dyDescent="0.25" r="65" customHeight="1" ht="14.5">
      <c r="A65" s="227"/>
      <c r="B65" s="240">
        <f>IF(Progress!P65=0,"",Progress!P65)</f>
      </c>
      <c r="C65" s="241">
        <f>Progress!S65</f>
      </c>
      <c r="D65" s="241">
        <f>Progress!U65</f>
      </c>
      <c r="E65" s="241">
        <f>Progress!W65</f>
      </c>
      <c r="F65" s="241">
        <f>Progress!Y65</f>
      </c>
      <c r="G65" s="241">
        <f>Progress!AA65</f>
      </c>
      <c r="H65" s="241">
        <f>Progress!AC65</f>
      </c>
      <c r="I65" s="227"/>
      <c r="J65" s="244"/>
    </row>
    <row x14ac:dyDescent="0.25" r="66" customHeight="1" ht="17.25">
      <c r="A66" s="227"/>
      <c r="B66" s="240">
        <f>IF(Progress!P66=0,"",Progress!P66)</f>
      </c>
      <c r="C66" s="241">
        <f>Progress!S66</f>
      </c>
      <c r="D66" s="241">
        <f>Progress!U66</f>
      </c>
      <c r="E66" s="241">
        <f>Progress!W66</f>
      </c>
      <c r="F66" s="241">
        <f>Progress!Y66</f>
      </c>
      <c r="G66" s="241">
        <f>Progress!AA66</f>
      </c>
      <c r="H66" s="241">
        <f>Progress!AC66</f>
      </c>
      <c r="I66" s="227"/>
      <c r="J66" s="229"/>
    </row>
    <row x14ac:dyDescent="0.25" r="67" customHeight="1" ht="17.25">
      <c r="A67" s="227"/>
      <c r="B67" s="240">
        <f>IF(Progress!P67=0,"",Progress!P67)</f>
      </c>
      <c r="C67" s="241">
        <f>Progress!S67</f>
      </c>
      <c r="D67" s="241">
        <f>Progress!U67</f>
      </c>
      <c r="E67" s="241">
        <f>Progress!W67</f>
      </c>
      <c r="F67" s="241">
        <f>Progress!Y67</f>
      </c>
      <c r="G67" s="241">
        <f>Progress!AA67</f>
      </c>
      <c r="H67" s="241">
        <f>Progress!AC67</f>
      </c>
      <c r="I67" s="227"/>
      <c r="J67" s="229"/>
    </row>
    <row x14ac:dyDescent="0.25" r="68" customHeight="1" ht="17.25">
      <c r="A68" s="227"/>
      <c r="B68" s="240">
        <f>IF(Progress!P68=0,"",Progress!P68)</f>
      </c>
      <c r="C68" s="241">
        <f>Progress!S68</f>
      </c>
      <c r="D68" s="241">
        <f>Progress!U68</f>
      </c>
      <c r="E68" s="241">
        <f>Progress!W68</f>
      </c>
      <c r="F68" s="241">
        <f>Progress!Y68</f>
      </c>
      <c r="G68" s="241">
        <f>Progress!AA68</f>
      </c>
      <c r="H68" s="241">
        <f>Progress!AC68</f>
      </c>
      <c r="I68" s="227"/>
      <c r="J68" s="229"/>
    </row>
    <row x14ac:dyDescent="0.25" r="69" customHeight="1" ht="17.25">
      <c r="A69" s="227"/>
      <c r="B69" s="240">
        <f>IF(Progress!P69=0,"",Progress!P69)</f>
      </c>
      <c r="C69" s="241">
        <f>Progress!S69</f>
      </c>
      <c r="D69" s="241">
        <f>Progress!U69</f>
      </c>
      <c r="E69" s="241">
        <f>Progress!W69</f>
      </c>
      <c r="F69" s="241">
        <f>Progress!Y69</f>
      </c>
      <c r="G69" s="241">
        <f>Progress!AA69</f>
      </c>
      <c r="H69" s="241">
        <f>Progress!AC69</f>
      </c>
      <c r="I69" s="227"/>
      <c r="J69" s="229"/>
    </row>
    <row x14ac:dyDescent="0.25" r="70" customHeight="1" ht="17.25">
      <c r="A70" s="227"/>
      <c r="B70" s="240">
        <f>IF(Progress!P70=0,"",Progress!P70)</f>
      </c>
      <c r="C70" s="241">
        <f>Progress!S70</f>
      </c>
      <c r="D70" s="241">
        <f>Progress!U70</f>
      </c>
      <c r="E70" s="241">
        <f>Progress!W70</f>
      </c>
      <c r="F70" s="241">
        <f>Progress!Y70</f>
      </c>
      <c r="G70" s="241">
        <f>Progress!AA70</f>
      </c>
      <c r="H70" s="241">
        <f>Progress!AC70</f>
      </c>
      <c r="I70" s="227"/>
      <c r="J70" s="229"/>
    </row>
    <row x14ac:dyDescent="0.25" r="71" customHeight="1" ht="17.25">
      <c r="A71" s="227"/>
      <c r="B71" s="240">
        <f>IF(Progress!P71=0,"",Progress!P71)</f>
      </c>
      <c r="C71" s="241">
        <f>Progress!S71</f>
      </c>
      <c r="D71" s="241">
        <f>Progress!U71</f>
      </c>
      <c r="E71" s="241">
        <f>Progress!W71</f>
      </c>
      <c r="F71" s="241">
        <f>Progress!Y71</f>
      </c>
      <c r="G71" s="241">
        <f>Progress!AA71</f>
      </c>
      <c r="H71" s="241">
        <f>Progress!AC71</f>
      </c>
      <c r="I71" s="227"/>
      <c r="J71" s="229"/>
    </row>
    <row x14ac:dyDescent="0.25" r="72" customHeight="1" ht="17.25">
      <c r="A72" s="227"/>
      <c r="B72" s="240">
        <f>IF(Progress!P72=0,"",Progress!P72)</f>
      </c>
      <c r="C72" s="241">
        <f>Progress!S72</f>
      </c>
      <c r="D72" s="241">
        <f>Progress!U72</f>
      </c>
      <c r="E72" s="241">
        <f>Progress!W72</f>
      </c>
      <c r="F72" s="241">
        <f>Progress!Y72</f>
      </c>
      <c r="G72" s="241">
        <f>Progress!AA72</f>
      </c>
      <c r="H72" s="241">
        <f>Progress!AC72</f>
      </c>
      <c r="I72" s="227"/>
      <c r="J72" s="229"/>
    </row>
    <row x14ac:dyDescent="0.25" r="73" customHeight="1" ht="17.25">
      <c r="A73" s="227"/>
      <c r="B73" s="240">
        <f>IF(Progress!P73=0,"",Progress!P73)</f>
      </c>
      <c r="C73" s="241">
        <f>Progress!S73</f>
      </c>
      <c r="D73" s="241">
        <f>Progress!U73</f>
      </c>
      <c r="E73" s="241">
        <f>Progress!W73</f>
      </c>
      <c r="F73" s="241">
        <f>Progress!Y73</f>
      </c>
      <c r="G73" s="241">
        <f>Progress!AA73</f>
      </c>
      <c r="H73" s="241">
        <f>Progress!AC73</f>
      </c>
      <c r="I73" s="227"/>
      <c r="J73" s="229"/>
    </row>
    <row x14ac:dyDescent="0.25" r="74" customHeight="1" ht="17.25">
      <c r="A74" s="227"/>
      <c r="B74" s="240">
        <f>IF(Progress!P74=0,"",Progress!P74)</f>
      </c>
      <c r="C74" s="241">
        <f>Progress!S74</f>
      </c>
      <c r="D74" s="241">
        <f>Progress!U74</f>
      </c>
      <c r="E74" s="241">
        <f>Progress!W74</f>
      </c>
      <c r="F74" s="241">
        <f>Progress!Y74</f>
      </c>
      <c r="G74" s="241">
        <f>Progress!AA74</f>
      </c>
      <c r="H74" s="241">
        <f>Progress!AC74</f>
      </c>
      <c r="I74" s="227"/>
      <c r="J74" s="229"/>
    </row>
    <row x14ac:dyDescent="0.25" r="75" customHeight="1" ht="17.25">
      <c r="A75" s="227"/>
      <c r="B75" s="240">
        <f>IF(Progress!P75=0,"",Progress!P75)</f>
      </c>
      <c r="C75" s="241">
        <f>Progress!S75</f>
      </c>
      <c r="D75" s="241">
        <f>Progress!U75</f>
      </c>
      <c r="E75" s="241">
        <f>Progress!W75</f>
      </c>
      <c r="F75" s="241">
        <f>Progress!Y75</f>
      </c>
      <c r="G75" s="241">
        <f>Progress!AA75</f>
      </c>
      <c r="H75" s="241">
        <f>Progress!AC75</f>
      </c>
      <c r="I75" s="227"/>
      <c r="J75" s="229"/>
    </row>
    <row x14ac:dyDescent="0.25" r="76" customHeight="1" ht="17.25">
      <c r="A76" s="227"/>
      <c r="B76" s="240">
        <f>IF(Progress!P76=0,"",Progress!P76)</f>
      </c>
      <c r="C76" s="241">
        <f>Progress!S76</f>
      </c>
      <c r="D76" s="241">
        <f>Progress!U76</f>
      </c>
      <c r="E76" s="241">
        <f>Progress!W76</f>
      </c>
      <c r="F76" s="241">
        <f>Progress!Y76</f>
      </c>
      <c r="G76" s="241">
        <f>Progress!AA76</f>
      </c>
      <c r="H76" s="241">
        <f>Progress!AC76</f>
      </c>
      <c r="I76" s="227"/>
      <c r="J76" s="229"/>
    </row>
    <row x14ac:dyDescent="0.25" r="77" customHeight="1" ht="17.25">
      <c r="A77" s="227"/>
      <c r="B77" s="240">
        <f>IF(Progress!P77=0,"",Progress!P77)</f>
      </c>
      <c r="C77" s="241">
        <f>Progress!S77</f>
      </c>
      <c r="D77" s="241">
        <f>Progress!U77</f>
      </c>
      <c r="E77" s="241">
        <f>Progress!W77</f>
      </c>
      <c r="F77" s="241">
        <f>Progress!Y77</f>
      </c>
      <c r="G77" s="241">
        <f>Progress!AA77</f>
      </c>
      <c r="H77" s="241">
        <f>Progress!AC77</f>
      </c>
      <c r="I77" s="227"/>
      <c r="J77" s="229"/>
    </row>
    <row x14ac:dyDescent="0.25" r="78" customHeight="1" ht="17.25">
      <c r="A78" s="227"/>
      <c r="B78" s="240">
        <f>IF(Progress!P78=0,"",Progress!P78)</f>
      </c>
      <c r="C78" s="241">
        <f>Progress!S78</f>
      </c>
      <c r="D78" s="241">
        <f>Progress!U78</f>
      </c>
      <c r="E78" s="241">
        <f>Progress!W78</f>
      </c>
      <c r="F78" s="241">
        <f>Progress!Y78</f>
      </c>
      <c r="G78" s="241">
        <f>Progress!AA78</f>
      </c>
      <c r="H78" s="241">
        <f>Progress!AC78</f>
      </c>
      <c r="I78" s="227"/>
      <c r="J78" s="229"/>
    </row>
    <row x14ac:dyDescent="0.25" r="79" customHeight="1" ht="17.25">
      <c r="A79" s="227"/>
      <c r="B79" s="240">
        <f>IF(Progress!P79=0,"",Progress!P79)</f>
      </c>
      <c r="C79" s="241">
        <f>Progress!S79</f>
      </c>
      <c r="D79" s="241">
        <f>Progress!U79</f>
      </c>
      <c r="E79" s="241">
        <f>Progress!W79</f>
      </c>
      <c r="F79" s="241">
        <f>Progress!Y79</f>
      </c>
      <c r="G79" s="241">
        <f>Progress!AA79</f>
      </c>
      <c r="H79" s="241">
        <f>Progress!AC79</f>
      </c>
      <c r="I79" s="227"/>
      <c r="J79" s="229"/>
    </row>
    <row x14ac:dyDescent="0.25" r="80" customHeight="1" ht="17.25">
      <c r="A80" s="227"/>
      <c r="B80" s="240">
        <f>IF(Progress!P80=0,"",Progress!P80)</f>
      </c>
      <c r="C80" s="241">
        <f>Progress!S80</f>
      </c>
      <c r="D80" s="241">
        <f>Progress!U80</f>
      </c>
      <c r="E80" s="241">
        <f>Progress!W80</f>
      </c>
      <c r="F80" s="241">
        <f>Progress!Y80</f>
      </c>
      <c r="G80" s="241">
        <f>Progress!AA80</f>
      </c>
      <c r="H80" s="241">
        <f>Progress!AC80</f>
      </c>
      <c r="I80" s="227"/>
      <c r="J80" s="229"/>
    </row>
    <row x14ac:dyDescent="0.25" r="81" customHeight="1" ht="17.25">
      <c r="A81" s="227"/>
      <c r="B81" s="240">
        <f>IF(Progress!P81=0,"",Progress!P81)</f>
      </c>
      <c r="C81" s="241">
        <f>Progress!S81</f>
      </c>
      <c r="D81" s="241">
        <f>Progress!U81</f>
      </c>
      <c r="E81" s="241">
        <f>Progress!W81</f>
      </c>
      <c r="F81" s="241">
        <f>Progress!Y81</f>
      </c>
      <c r="G81" s="241">
        <f>Progress!AA81</f>
      </c>
      <c r="H81" s="241">
        <f>Progress!AC81</f>
      </c>
      <c r="I81" s="227"/>
      <c r="J81" s="229"/>
    </row>
    <row x14ac:dyDescent="0.25" r="82" customHeight="1" ht="17.25">
      <c r="A82" s="227"/>
      <c r="B82" s="240">
        <f>IF(Progress!P82=0,"",Progress!P82)</f>
      </c>
      <c r="C82" s="241">
        <f>Progress!S82</f>
      </c>
      <c r="D82" s="241">
        <f>Progress!U82</f>
      </c>
      <c r="E82" s="241">
        <f>Progress!W82</f>
      </c>
      <c r="F82" s="241">
        <f>Progress!Y82</f>
      </c>
      <c r="G82" s="241">
        <f>Progress!AA82</f>
      </c>
      <c r="H82" s="241">
        <f>Progress!AC82</f>
      </c>
      <c r="I82" s="227"/>
      <c r="J82" s="229"/>
    </row>
    <row x14ac:dyDescent="0.25" r="83" customHeight="1" ht="17.25">
      <c r="A83" s="227"/>
      <c r="B83" s="240">
        <f>IF(Progress!P83=0,"",Progress!P83)</f>
      </c>
      <c r="C83" s="241">
        <f>Progress!S83</f>
      </c>
      <c r="D83" s="241">
        <f>Progress!U83</f>
      </c>
      <c r="E83" s="241">
        <f>Progress!W83</f>
      </c>
      <c r="F83" s="241">
        <f>Progress!Y83</f>
      </c>
      <c r="G83" s="241">
        <f>Progress!AA83</f>
      </c>
      <c r="H83" s="241">
        <f>Progress!AC83</f>
      </c>
      <c r="I83" s="227"/>
      <c r="J83" s="229"/>
    </row>
    <row x14ac:dyDescent="0.25" r="84" customHeight="1" ht="17.25">
      <c r="A84" s="227"/>
      <c r="B84" s="240">
        <f>IF(Progress!P84=0,"",Progress!P84)</f>
      </c>
      <c r="C84" s="241">
        <f>Progress!S84</f>
      </c>
      <c r="D84" s="241">
        <f>Progress!U84</f>
      </c>
      <c r="E84" s="241">
        <f>Progress!W84</f>
      </c>
      <c r="F84" s="241">
        <f>Progress!Y84</f>
      </c>
      <c r="G84" s="241">
        <f>Progress!AA84</f>
      </c>
      <c r="H84" s="241">
        <f>Progress!AC84</f>
      </c>
      <c r="I84" s="227"/>
      <c r="J84" s="229"/>
    </row>
    <row x14ac:dyDescent="0.25" r="85" customHeight="1" ht="17.25">
      <c r="A85" s="227"/>
      <c r="B85" s="240">
        <f>IF(Progress!P85=0,"",Progress!P85)</f>
      </c>
      <c r="C85" s="241">
        <f>Progress!S85</f>
      </c>
      <c r="D85" s="241">
        <f>Progress!U85</f>
      </c>
      <c r="E85" s="241">
        <f>Progress!W85</f>
      </c>
      <c r="F85" s="241">
        <f>Progress!Y85</f>
      </c>
      <c r="G85" s="241">
        <f>Progress!AA85</f>
      </c>
      <c r="H85" s="241">
        <f>Progress!AC85</f>
      </c>
      <c r="I85" s="227"/>
      <c r="J85" s="229"/>
    </row>
    <row x14ac:dyDescent="0.25" r="86" customHeight="1" ht="17.25">
      <c r="A86" s="227"/>
      <c r="B86" s="240">
        <f>IF(Progress!P86=0,"",Progress!P86)</f>
      </c>
      <c r="C86" s="241">
        <f>Progress!S86</f>
      </c>
      <c r="D86" s="241">
        <f>Progress!U86</f>
      </c>
      <c r="E86" s="241">
        <f>Progress!W86</f>
      </c>
      <c r="F86" s="241">
        <f>Progress!Y86</f>
      </c>
      <c r="G86" s="241">
        <f>Progress!AA86</f>
      </c>
      <c r="H86" s="241">
        <f>Progress!AC86</f>
      </c>
      <c r="I86" s="227"/>
      <c r="J86" s="229"/>
    </row>
    <row x14ac:dyDescent="0.25" r="87" customHeight="1" ht="17.25">
      <c r="A87" s="227"/>
      <c r="B87" s="240">
        <f>IF(Progress!P87=0,"",Progress!P87)</f>
      </c>
      <c r="C87" s="241">
        <f>Progress!S87</f>
      </c>
      <c r="D87" s="241">
        <f>Progress!U87</f>
      </c>
      <c r="E87" s="241">
        <f>Progress!W87</f>
      </c>
      <c r="F87" s="241">
        <f>Progress!Y87</f>
      </c>
      <c r="G87" s="241">
        <f>Progress!AA87</f>
      </c>
      <c r="H87" s="241">
        <f>Progress!AC87</f>
      </c>
      <c r="I87" s="227"/>
      <c r="J87" s="229"/>
    </row>
    <row x14ac:dyDescent="0.25" r="88" customHeight="1" ht="17.25">
      <c r="A88" s="227"/>
      <c r="B88" s="240">
        <f>IF(Progress!P88=0,"",Progress!P88)</f>
      </c>
      <c r="C88" s="241">
        <f>Progress!S88</f>
      </c>
      <c r="D88" s="241">
        <f>Progress!U88</f>
      </c>
      <c r="E88" s="241">
        <f>Progress!W88</f>
      </c>
      <c r="F88" s="241">
        <f>Progress!Y88</f>
      </c>
      <c r="G88" s="241">
        <f>Progress!AA88</f>
      </c>
      <c r="H88" s="241">
        <f>Progress!AC88</f>
      </c>
      <c r="I88" s="227"/>
      <c r="J88" s="229"/>
    </row>
  </sheetData>
  <mergeCells count="9">
    <mergeCell ref="B20:B22"/>
    <mergeCell ref="C20:C22"/>
    <mergeCell ref="D20:D22"/>
    <mergeCell ref="E20:E22"/>
    <mergeCell ref="F20:F22"/>
    <mergeCell ref="G20:G22"/>
    <mergeCell ref="H20:H22"/>
    <mergeCell ref="J20:J22"/>
    <mergeCell ref="J23:J6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H532"/>
  <sheetViews>
    <sheetView workbookViewId="0">
      <pane state="frozen" activePane="bottomLeft" topLeftCell="A39" ySplit="38" xSplit="0"/>
    </sheetView>
  </sheetViews>
  <sheetFormatPr defaultRowHeight="15" x14ac:dyDescent="0.25"/>
  <cols>
    <col min="1" max="1" style="216" width="13.005" customWidth="1" bestFit="1" hidden="1"/>
    <col min="2" max="2" style="216" width="13.005" customWidth="1" bestFit="1" hidden="1"/>
    <col min="3" max="3" style="216" width="13.005" customWidth="1" bestFit="1" hidden="1"/>
    <col min="4" max="4" style="216" width="13.005" customWidth="1" bestFit="1" hidden="1"/>
    <col min="5" max="5" style="217" width="9.147857142857141" customWidth="1" bestFit="1"/>
    <col min="6" max="6" style="217" width="9.862142857142858" customWidth="1" bestFit="1"/>
    <col min="7" max="7" style="217" width="10.719285714285713" customWidth="1" bestFit="1"/>
    <col min="8" max="8" style="216" width="1.1478571428571427" customWidth="1" bestFit="1"/>
    <col min="9" max="9" style="218" width="4.147857142857143" customWidth="1" bestFit="1"/>
    <col min="10" max="10" style="217" width="15.862142857142858" customWidth="1" bestFit="1"/>
    <col min="11" max="11" style="219" width="9.290714285714287" customWidth="1" bestFit="1"/>
    <col min="12" max="12" style="217" width="5.862142857142857" customWidth="1" bestFit="1"/>
    <col min="13" max="13" style="220" width="6.2907142857142855" customWidth="1" bestFit="1"/>
    <col min="14" max="14" style="220" width="7.576428571428571" customWidth="1" bestFit="1"/>
    <col min="15" max="15" style="221" width="11.290714285714287" customWidth="1" bestFit="1"/>
    <col min="16" max="16" style="218" width="8.576428571428572" customWidth="1" bestFit="1"/>
    <col min="17" max="17" style="222" width="5.147857142857143" customWidth="1" bestFit="1"/>
    <col min="18" max="18" style="222" width="5.147857142857143" customWidth="1" bestFit="1"/>
    <col min="19" max="19" style="217" width="5.147857142857143" customWidth="1" bestFit="1"/>
    <col min="20" max="20" style="216" width="13.005" customWidth="1" bestFit="1" hidden="1"/>
    <col min="21" max="21" style="221" width="10.290714285714287" customWidth="1" bestFit="1"/>
    <col min="22" max="22" style="218" width="10.290714285714287" customWidth="1" bestFit="1"/>
    <col min="23" max="23" style="218" width="10.290714285714287" customWidth="1" bestFit="1"/>
    <col min="24" max="24" style="223" width="0.7192857142857143" customWidth="1" bestFit="1"/>
    <col min="25" max="25" style="216" width="13.005" customWidth="1" bestFit="1" hidden="1"/>
    <col min="26" max="26" style="216" width="13.005" customWidth="1" bestFit="1" hidden="1"/>
    <col min="27" max="27" style="218" width="16.576428571428572" customWidth="1" bestFit="1"/>
    <col min="28" max="28" style="218" width="10.862142857142858" customWidth="1" bestFit="1"/>
    <col min="29" max="29" style="218" width="9.576428571428572" customWidth="1" bestFit="1"/>
    <col min="30" max="30" style="218" width="9.576428571428572" customWidth="1" bestFit="1"/>
    <col min="31" max="31" style="219" width="9.576428571428572" customWidth="1" bestFit="1"/>
    <col min="32" max="32" style="224" width="7.576428571428571" customWidth="1" bestFit="1"/>
    <col min="33" max="33" style="216" width="1.5764285714285713" customWidth="1" bestFit="1"/>
    <col min="34" max="34" style="221" width="12.862142857142858" customWidth="1" bestFit="1"/>
    <col min="35" max="35" style="221" width="7.576428571428571" customWidth="1" bestFit="1"/>
    <col min="36" max="36" style="221" width="7.576428571428571" customWidth="1" bestFit="1"/>
    <col min="37" max="37" style="221" width="7.576428571428571" customWidth="1" bestFit="1"/>
    <col min="38" max="38" style="221" width="7.576428571428571" customWidth="1" bestFit="1"/>
    <col min="39" max="39" style="221" width="7.576428571428571" customWidth="1" bestFit="1"/>
    <col min="40" max="40" style="221" width="8.862142857142858" customWidth="1" bestFit="1"/>
    <col min="41" max="41" style="216" width="1.5764285714285713" customWidth="1" bestFit="1"/>
    <col min="42" max="42" style="225" width="11.005" customWidth="1" bestFit="1"/>
    <col min="43" max="43" style="218" width="10.147857142857141" customWidth="1" bestFit="1"/>
    <col min="44" max="44" style="218" width="10.147857142857141" customWidth="1" bestFit="1"/>
    <col min="45" max="45" style="226" width="9.147857142857141" customWidth="1" bestFit="1"/>
    <col min="46" max="46" style="216" width="2.1478571428571427" customWidth="1" bestFit="1"/>
    <col min="47" max="47" style="216" width="15.862142857142858" customWidth="1" bestFit="1"/>
    <col min="48" max="48" style="216" width="8.862142857142858" customWidth="1" bestFit="1"/>
    <col min="49" max="49" style="216" width="4.576428571428571" customWidth="1" bestFit="1"/>
    <col min="50" max="50" style="216" width="4.576428571428571" customWidth="1" bestFit="1"/>
    <col min="51" max="51" style="216" width="4.576428571428571" customWidth="1" bestFit="1"/>
    <col min="52" max="52" style="216" width="4.576428571428571" customWidth="1" bestFit="1"/>
    <col min="53" max="53" style="216" width="4.576428571428571" customWidth="1" bestFit="1"/>
    <col min="54" max="54" style="216" width="2.5764285714285715" customWidth="1" bestFit="1"/>
    <col min="55" max="55" style="216" width="2.5764285714285715" customWidth="1" bestFit="1"/>
    <col min="56" max="56" style="216" width="2.5764285714285715" customWidth="1" bestFit="1"/>
    <col min="57" max="57" style="216" width="2.5764285714285715" customWidth="1" bestFit="1"/>
    <col min="58" max="58" style="216" width="2.5764285714285715" customWidth="1" bestFit="1"/>
    <col min="59" max="59" style="216" width="2.5764285714285715" customWidth="1" bestFit="1"/>
    <col min="60" max="60" style="216" width="12.43357142857143" customWidth="1" bestFit="1"/>
  </cols>
  <sheetData>
    <row x14ac:dyDescent="0.25" r="1" customHeight="1" ht="18" hidden="1">
      <c r="A1" s="1"/>
      <c r="B1" s="1"/>
      <c r="C1" s="1"/>
      <c r="D1" s="1"/>
      <c r="E1" s="2"/>
      <c r="F1" s="2"/>
      <c r="G1" s="2"/>
      <c r="H1" s="1"/>
      <c r="I1" s="3"/>
      <c r="J1" s="2"/>
      <c r="K1" s="4"/>
      <c r="L1" s="2"/>
      <c r="M1" s="5"/>
      <c r="N1" s="5"/>
      <c r="O1" s="6"/>
      <c r="P1" s="3"/>
      <c r="Q1" s="7"/>
      <c r="R1" s="7"/>
      <c r="S1" s="2"/>
      <c r="T1" s="1"/>
      <c r="U1" s="6"/>
      <c r="V1" s="3"/>
      <c r="W1" s="3"/>
      <c r="X1" s="7"/>
      <c r="Y1" s="1"/>
      <c r="Z1" s="1"/>
      <c r="AA1" s="3"/>
      <c r="AB1" s="3"/>
      <c r="AC1" s="3"/>
      <c r="AD1" s="3"/>
      <c r="AE1" s="4"/>
      <c r="AF1" s="8"/>
      <c r="AG1" s="1"/>
      <c r="AH1" s="6"/>
      <c r="AI1" s="6"/>
      <c r="AJ1" s="6"/>
      <c r="AK1" s="6"/>
      <c r="AL1" s="6"/>
      <c r="AM1" s="6"/>
      <c r="AN1" s="6"/>
      <c r="AO1" s="1"/>
      <c r="AP1" s="9"/>
      <c r="AQ1" s="2"/>
      <c r="AR1" s="3"/>
      <c r="AS1" s="10"/>
      <c r="AT1" s="1"/>
      <c r="AU1" s="1"/>
      <c r="AV1" s="1"/>
      <c r="AW1" s="1"/>
      <c r="AX1" s="1"/>
      <c r="AY1" s="1"/>
      <c r="AZ1" s="1"/>
      <c r="BA1" s="1"/>
      <c r="BB1" s="1"/>
      <c r="BC1" s="1"/>
      <c r="BD1" s="1"/>
      <c r="BE1" s="1"/>
      <c r="BF1" s="1"/>
      <c r="BG1" s="1"/>
      <c r="BH1" s="1"/>
    </row>
    <row x14ac:dyDescent="0.25" r="2" customHeight="1" ht="18" hidden="1">
      <c r="A2" s="1"/>
      <c r="B2" s="1"/>
      <c r="C2" s="1"/>
      <c r="D2" s="1"/>
      <c r="E2" s="2"/>
      <c r="F2" s="2"/>
      <c r="G2" s="2"/>
      <c r="H2" s="1"/>
      <c r="I2" s="3"/>
      <c r="J2" s="2"/>
      <c r="K2" s="4"/>
      <c r="L2" s="2"/>
      <c r="M2" s="5"/>
      <c r="N2" s="5"/>
      <c r="O2" s="6"/>
      <c r="P2" s="3"/>
      <c r="Q2" s="7"/>
      <c r="R2" s="7"/>
      <c r="S2" s="2"/>
      <c r="T2" s="1"/>
      <c r="U2" s="6"/>
      <c r="V2" s="3"/>
      <c r="W2" s="3"/>
      <c r="X2" s="7"/>
      <c r="Y2" s="1"/>
      <c r="Z2" s="1"/>
      <c r="AA2" s="3"/>
      <c r="AB2" s="3"/>
      <c r="AC2" s="3"/>
      <c r="AD2" s="3"/>
      <c r="AE2" s="4"/>
      <c r="AF2" s="8"/>
      <c r="AG2" s="1"/>
      <c r="AH2" s="6"/>
      <c r="AI2" s="6"/>
      <c r="AJ2" s="6"/>
      <c r="AK2" s="6"/>
      <c r="AL2" s="6"/>
      <c r="AM2" s="6"/>
      <c r="AN2" s="6"/>
      <c r="AO2" s="1"/>
      <c r="AP2" s="9"/>
      <c r="AQ2" s="2"/>
      <c r="AR2" s="3"/>
      <c r="AS2" s="10"/>
      <c r="AT2" s="1"/>
      <c r="AU2" s="1"/>
      <c r="AV2" s="1"/>
      <c r="AW2" s="1"/>
      <c r="AX2" s="1"/>
      <c r="AY2" s="1"/>
      <c r="AZ2" s="1"/>
      <c r="BA2" s="1"/>
      <c r="BB2" s="1"/>
      <c r="BC2" s="1"/>
      <c r="BD2" s="1"/>
      <c r="BE2" s="1"/>
      <c r="BF2" s="1"/>
      <c r="BG2" s="1"/>
      <c r="BH2" s="1"/>
    </row>
    <row x14ac:dyDescent="0.25" r="3" customHeight="1" ht="18" hidden="1">
      <c r="A3" s="1"/>
      <c r="B3" s="1"/>
      <c r="C3" s="1"/>
      <c r="D3" s="1"/>
      <c r="E3" s="2"/>
      <c r="F3" s="2"/>
      <c r="G3" s="2"/>
      <c r="H3" s="1"/>
      <c r="I3" s="3"/>
      <c r="J3" s="2"/>
      <c r="K3" s="4"/>
      <c r="L3" s="2"/>
      <c r="M3" s="5"/>
      <c r="N3" s="5"/>
      <c r="O3" s="6"/>
      <c r="P3" s="3"/>
      <c r="Q3" s="7"/>
      <c r="R3" s="7"/>
      <c r="S3" s="2"/>
      <c r="T3" s="1"/>
      <c r="U3" s="6"/>
      <c r="V3" s="3"/>
      <c r="W3" s="3"/>
      <c r="X3" s="7"/>
      <c r="Y3" s="1"/>
      <c r="Z3" s="1"/>
      <c r="AA3" s="3"/>
      <c r="AB3" s="3"/>
      <c r="AC3" s="3"/>
      <c r="AD3" s="3"/>
      <c r="AE3" s="4"/>
      <c r="AF3" s="8"/>
      <c r="AG3" s="1"/>
      <c r="AH3" s="6"/>
      <c r="AI3" s="6"/>
      <c r="AJ3" s="6"/>
      <c r="AK3" s="6"/>
      <c r="AL3" s="6"/>
      <c r="AM3" s="6"/>
      <c r="AN3" s="6"/>
      <c r="AO3" s="1"/>
      <c r="AP3" s="9"/>
      <c r="AQ3" s="2"/>
      <c r="AR3" s="3"/>
      <c r="AS3" s="10"/>
      <c r="AT3" s="1"/>
      <c r="AU3" s="1"/>
      <c r="AV3" s="1"/>
      <c r="AW3" s="1"/>
      <c r="AX3" s="1"/>
      <c r="AY3" s="1"/>
      <c r="AZ3" s="1"/>
      <c r="BA3" s="1"/>
      <c r="BB3" s="1"/>
      <c r="BC3" s="1"/>
      <c r="BD3" s="1"/>
      <c r="BE3" s="1"/>
      <c r="BF3" s="1"/>
      <c r="BG3" s="1"/>
      <c r="BH3" s="1"/>
    </row>
    <row x14ac:dyDescent="0.25" r="4" customHeight="1" ht="18" hidden="1">
      <c r="A4" s="1"/>
      <c r="B4" s="1"/>
      <c r="C4" s="1"/>
      <c r="D4" s="1"/>
      <c r="E4" s="2"/>
      <c r="F4" s="2"/>
      <c r="G4" s="2"/>
      <c r="H4" s="1"/>
      <c r="I4" s="3"/>
      <c r="J4" s="2"/>
      <c r="K4" s="4"/>
      <c r="L4" s="2"/>
      <c r="M4" s="5"/>
      <c r="N4" s="5"/>
      <c r="O4" s="6"/>
      <c r="P4" s="3"/>
      <c r="Q4" s="7"/>
      <c r="R4" s="7"/>
      <c r="S4" s="2"/>
      <c r="T4" s="1"/>
      <c r="U4" s="6"/>
      <c r="V4" s="3"/>
      <c r="W4" s="3"/>
      <c r="X4" s="7"/>
      <c r="Y4" s="1"/>
      <c r="Z4" s="1"/>
      <c r="AA4" s="3"/>
      <c r="AB4" s="3"/>
      <c r="AC4" s="3"/>
      <c r="AD4" s="3"/>
      <c r="AE4" s="4"/>
      <c r="AF4" s="8"/>
      <c r="AG4" s="1"/>
      <c r="AH4" s="6"/>
      <c r="AI4" s="6"/>
      <c r="AJ4" s="6"/>
      <c r="AK4" s="6"/>
      <c r="AL4" s="6"/>
      <c r="AM4" s="6"/>
      <c r="AN4" s="6"/>
      <c r="AO4" s="1"/>
      <c r="AP4" s="9"/>
      <c r="AQ4" s="2"/>
      <c r="AR4" s="3"/>
      <c r="AS4" s="10"/>
      <c r="AT4" s="1"/>
      <c r="AU4" s="1"/>
      <c r="AV4" s="1"/>
      <c r="AW4" s="1"/>
      <c r="AX4" s="1"/>
      <c r="AY4" s="1"/>
      <c r="AZ4" s="1"/>
      <c r="BA4" s="1"/>
      <c r="BB4" s="1"/>
      <c r="BC4" s="1"/>
      <c r="BD4" s="1"/>
      <c r="BE4" s="1"/>
      <c r="BF4" s="1"/>
      <c r="BG4" s="1"/>
      <c r="BH4" s="1"/>
    </row>
    <row x14ac:dyDescent="0.25" r="5" customHeight="1" ht="18" hidden="1">
      <c r="A5" s="1"/>
      <c r="B5" s="1"/>
      <c r="C5" s="1"/>
      <c r="D5" s="1"/>
      <c r="E5" s="2"/>
      <c r="F5" s="2"/>
      <c r="G5" s="2"/>
      <c r="H5" s="1"/>
      <c r="I5" s="3"/>
      <c r="J5" s="2"/>
      <c r="K5" s="4"/>
      <c r="L5" s="2"/>
      <c r="M5" s="5"/>
      <c r="N5" s="5"/>
      <c r="O5" s="6"/>
      <c r="P5" s="3"/>
      <c r="Q5" s="7"/>
      <c r="R5" s="7"/>
      <c r="S5" s="2"/>
      <c r="T5" s="1"/>
      <c r="U5" s="6"/>
      <c r="V5" s="3"/>
      <c r="W5" s="3"/>
      <c r="X5" s="7"/>
      <c r="Y5" s="1"/>
      <c r="Z5" s="1"/>
      <c r="AA5" s="3"/>
      <c r="AB5" s="3"/>
      <c r="AC5" s="3"/>
      <c r="AD5" s="3"/>
      <c r="AE5" s="4"/>
      <c r="AF5" s="8"/>
      <c r="AG5" s="1"/>
      <c r="AH5" s="6"/>
      <c r="AI5" s="6"/>
      <c r="AJ5" s="6"/>
      <c r="AK5" s="6"/>
      <c r="AL5" s="6"/>
      <c r="AM5" s="6"/>
      <c r="AN5" s="6"/>
      <c r="AO5" s="1"/>
      <c r="AP5" s="9"/>
      <c r="AQ5" s="2"/>
      <c r="AR5" s="3"/>
      <c r="AS5" s="10"/>
      <c r="AT5" s="1"/>
      <c r="AU5" s="1"/>
      <c r="AV5" s="1"/>
      <c r="AW5" s="1"/>
      <c r="AX5" s="1"/>
      <c r="AY5" s="1"/>
      <c r="AZ5" s="1"/>
      <c r="BA5" s="1"/>
      <c r="BB5" s="1"/>
      <c r="BC5" s="1"/>
      <c r="BD5" s="1"/>
      <c r="BE5" s="1"/>
      <c r="BF5" s="1"/>
      <c r="BG5" s="1"/>
      <c r="BH5" s="1"/>
    </row>
    <row x14ac:dyDescent="0.25" r="6" customHeight="1" ht="18" hidden="1">
      <c r="A6" s="1"/>
      <c r="B6" s="1"/>
      <c r="C6" s="1"/>
      <c r="D6" s="1"/>
      <c r="E6" s="2"/>
      <c r="F6" s="2"/>
      <c r="G6" s="2"/>
      <c r="H6" s="1"/>
      <c r="I6" s="3"/>
      <c r="J6" s="2"/>
      <c r="K6" s="4"/>
      <c r="L6" s="2"/>
      <c r="M6" s="5"/>
      <c r="N6" s="5"/>
      <c r="O6" s="6"/>
      <c r="P6" s="3"/>
      <c r="Q6" s="7"/>
      <c r="R6" s="7"/>
      <c r="S6" s="2"/>
      <c r="T6" s="1"/>
      <c r="U6" s="6"/>
      <c r="V6" s="3"/>
      <c r="W6" s="3"/>
      <c r="X6" s="7"/>
      <c r="Y6" s="1"/>
      <c r="Z6" s="1"/>
      <c r="AA6" s="3"/>
      <c r="AB6" s="3"/>
      <c r="AC6" s="3"/>
      <c r="AD6" s="3"/>
      <c r="AE6" s="4"/>
      <c r="AF6" s="8"/>
      <c r="AG6" s="1"/>
      <c r="AH6" s="6"/>
      <c r="AI6" s="6"/>
      <c r="AJ6" s="6"/>
      <c r="AK6" s="6"/>
      <c r="AL6" s="6"/>
      <c r="AM6" s="6"/>
      <c r="AN6" s="6"/>
      <c r="AO6" s="1"/>
      <c r="AP6" s="9"/>
      <c r="AQ6" s="2"/>
      <c r="AR6" s="3"/>
      <c r="AS6" s="10"/>
      <c r="AT6" s="1"/>
      <c r="AU6" s="1"/>
      <c r="AV6" s="1"/>
      <c r="AW6" s="1"/>
      <c r="AX6" s="1"/>
      <c r="AY6" s="1"/>
      <c r="AZ6" s="1"/>
      <c r="BA6" s="1"/>
      <c r="BB6" s="1"/>
      <c r="BC6" s="1"/>
      <c r="BD6" s="1"/>
      <c r="BE6" s="1"/>
      <c r="BF6" s="1"/>
      <c r="BG6" s="1"/>
      <c r="BH6" s="1"/>
    </row>
    <row x14ac:dyDescent="0.25" r="7" customHeight="1" ht="18" hidden="1">
      <c r="A7" s="1"/>
      <c r="B7" s="1"/>
      <c r="C7" s="1"/>
      <c r="D7" s="1"/>
      <c r="E7" s="2"/>
      <c r="F7" s="2"/>
      <c r="G7" s="2"/>
      <c r="H7" s="1"/>
      <c r="I7" s="3"/>
      <c r="J7" s="2"/>
      <c r="K7" s="4"/>
      <c r="L7" s="2"/>
      <c r="M7" s="5"/>
      <c r="N7" s="5"/>
      <c r="O7" s="6"/>
      <c r="P7" s="3"/>
      <c r="Q7" s="7"/>
      <c r="R7" s="7"/>
      <c r="S7" s="2"/>
      <c r="T7" s="1"/>
      <c r="U7" s="6"/>
      <c r="V7" s="3"/>
      <c r="W7" s="3"/>
      <c r="X7" s="7"/>
      <c r="Y7" s="1"/>
      <c r="Z7" s="1"/>
      <c r="AA7" s="3"/>
      <c r="AB7" s="3"/>
      <c r="AC7" s="3"/>
      <c r="AD7" s="3"/>
      <c r="AE7" s="4"/>
      <c r="AF7" s="8"/>
      <c r="AG7" s="1"/>
      <c r="AH7" s="6"/>
      <c r="AI7" s="6"/>
      <c r="AJ7" s="6"/>
      <c r="AK7" s="6"/>
      <c r="AL7" s="6"/>
      <c r="AM7" s="6"/>
      <c r="AN7" s="6"/>
      <c r="AO7" s="1"/>
      <c r="AP7" s="9"/>
      <c r="AQ7" s="2"/>
      <c r="AR7" s="3"/>
      <c r="AS7" s="10"/>
      <c r="AT7" s="1"/>
      <c r="AU7" s="1"/>
      <c r="AV7" s="1"/>
      <c r="AW7" s="1"/>
      <c r="AX7" s="1"/>
      <c r="AY7" s="1"/>
      <c r="AZ7" s="1"/>
      <c r="BA7" s="1"/>
      <c r="BB7" s="1"/>
      <c r="BC7" s="1"/>
      <c r="BD7" s="1"/>
      <c r="BE7" s="1"/>
      <c r="BF7" s="1"/>
      <c r="BG7" s="1"/>
      <c r="BH7" s="1"/>
    </row>
    <row x14ac:dyDescent="0.25" r="8" customHeight="1" ht="18" hidden="1">
      <c r="A8" s="1"/>
      <c r="B8" s="1"/>
      <c r="C8" s="1"/>
      <c r="D8" s="1"/>
      <c r="E8" s="2"/>
      <c r="F8" s="2"/>
      <c r="G8" s="2"/>
      <c r="H8" s="1"/>
      <c r="I8" s="3"/>
      <c r="J8" s="2"/>
      <c r="K8" s="4"/>
      <c r="L8" s="2"/>
      <c r="M8" s="5"/>
      <c r="N8" s="5"/>
      <c r="O8" s="6"/>
      <c r="P8" s="3"/>
      <c r="Q8" s="7"/>
      <c r="R8" s="7"/>
      <c r="S8" s="2"/>
      <c r="T8" s="1"/>
      <c r="U8" s="6"/>
      <c r="V8" s="3"/>
      <c r="W8" s="3"/>
      <c r="X8" s="7"/>
      <c r="Y8" s="1"/>
      <c r="Z8" s="1"/>
      <c r="AA8" s="3"/>
      <c r="AB8" s="3"/>
      <c r="AC8" s="3"/>
      <c r="AD8" s="3"/>
      <c r="AE8" s="4"/>
      <c r="AF8" s="8"/>
      <c r="AG8" s="1"/>
      <c r="AH8" s="6"/>
      <c r="AI8" s="6"/>
      <c r="AJ8" s="6"/>
      <c r="AK8" s="6"/>
      <c r="AL8" s="6"/>
      <c r="AM8" s="6"/>
      <c r="AN8" s="6"/>
      <c r="AO8" s="1"/>
      <c r="AP8" s="9"/>
      <c r="AQ8" s="2"/>
      <c r="AR8" s="3"/>
      <c r="AS8" s="10"/>
      <c r="AT8" s="1"/>
      <c r="AU8" s="1"/>
      <c r="AV8" s="1"/>
      <c r="AW8" s="1"/>
      <c r="AX8" s="11"/>
      <c r="AY8" s="1"/>
      <c r="AZ8" s="1"/>
      <c r="BA8" s="1"/>
      <c r="BB8" s="1"/>
      <c r="BC8" s="1"/>
      <c r="BD8" s="1"/>
      <c r="BE8" s="1"/>
      <c r="BF8" s="1"/>
      <c r="BG8" s="1"/>
      <c r="BH8" s="1"/>
    </row>
    <row x14ac:dyDescent="0.25" r="9" customHeight="1" ht="18" hidden="1">
      <c r="A9" s="1"/>
      <c r="B9" s="1"/>
      <c r="C9" s="1"/>
      <c r="D9" s="1"/>
      <c r="E9" s="2"/>
      <c r="F9" s="2"/>
      <c r="G9" s="2"/>
      <c r="H9" s="1"/>
      <c r="I9" s="3"/>
      <c r="J9" s="2"/>
      <c r="K9" s="4"/>
      <c r="L9" s="2"/>
      <c r="M9" s="5"/>
      <c r="N9" s="5"/>
      <c r="O9" s="6"/>
      <c r="P9" s="3"/>
      <c r="Q9" s="7"/>
      <c r="R9" s="7"/>
      <c r="S9" s="2"/>
      <c r="T9" s="1"/>
      <c r="U9" s="6"/>
      <c r="V9" s="3"/>
      <c r="W9" s="3"/>
      <c r="X9" s="7"/>
      <c r="Y9" s="1"/>
      <c r="Z9" s="1"/>
      <c r="AA9" s="3"/>
      <c r="AB9" s="3"/>
      <c r="AC9" s="3"/>
      <c r="AD9" s="3"/>
      <c r="AE9" s="4"/>
      <c r="AF9" s="8"/>
      <c r="AG9" s="1"/>
      <c r="AH9" s="6"/>
      <c r="AI9" s="6"/>
      <c r="AJ9" s="6"/>
      <c r="AK9" s="6"/>
      <c r="AL9" s="6"/>
      <c r="AM9" s="6"/>
      <c r="AN9" s="6"/>
      <c r="AO9" s="1"/>
      <c r="AP9" s="9"/>
      <c r="AQ9" s="2"/>
      <c r="AR9" s="3"/>
      <c r="AS9" s="10"/>
      <c r="AT9" s="1"/>
      <c r="AU9" s="1"/>
      <c r="AV9" s="1"/>
      <c r="AW9" s="1"/>
      <c r="AX9" s="1"/>
      <c r="AY9" s="1"/>
      <c r="AZ9" s="1"/>
      <c r="BA9" s="1"/>
      <c r="BB9" s="1"/>
      <c r="BC9" s="1"/>
      <c r="BD9" s="1"/>
      <c r="BE9" s="1"/>
      <c r="BF9" s="1"/>
      <c r="BG9" s="1"/>
      <c r="BH9" s="1"/>
    </row>
    <row x14ac:dyDescent="0.25" r="10" customHeight="1" ht="18" hidden="1">
      <c r="A10" s="1"/>
      <c r="B10" s="1"/>
      <c r="C10" s="1"/>
      <c r="D10" s="1"/>
      <c r="E10" s="2"/>
      <c r="F10" s="2"/>
      <c r="G10" s="2"/>
      <c r="H10" s="1"/>
      <c r="I10" s="3"/>
      <c r="J10" s="2"/>
      <c r="K10" s="4"/>
      <c r="L10" s="2"/>
      <c r="M10" s="5"/>
      <c r="N10" s="5"/>
      <c r="O10" s="6"/>
      <c r="P10" s="3"/>
      <c r="Q10" s="7"/>
      <c r="R10" s="7"/>
      <c r="S10" s="2"/>
      <c r="T10" s="1"/>
      <c r="U10" s="6"/>
      <c r="V10" s="3"/>
      <c r="W10" s="3"/>
      <c r="X10" s="7"/>
      <c r="Y10" s="1"/>
      <c r="Z10" s="1"/>
      <c r="AA10" s="3"/>
      <c r="AB10" s="3"/>
      <c r="AC10" s="3"/>
      <c r="AD10" s="3"/>
      <c r="AE10" s="4"/>
      <c r="AF10" s="8"/>
      <c r="AG10" s="1"/>
      <c r="AH10" s="6"/>
      <c r="AI10" s="6"/>
      <c r="AJ10" s="6"/>
      <c r="AK10" s="6"/>
      <c r="AL10" s="6"/>
      <c r="AM10" s="6"/>
      <c r="AN10" s="6"/>
      <c r="AO10" s="1"/>
      <c r="AP10" s="9"/>
      <c r="AQ10" s="2"/>
      <c r="AR10" s="3"/>
      <c r="AS10" s="10"/>
      <c r="AT10" s="1"/>
      <c r="AU10" s="1"/>
      <c r="AV10" s="1"/>
      <c r="AW10" s="1"/>
      <c r="AX10" s="1"/>
      <c r="AY10" s="1"/>
      <c r="AZ10" s="1"/>
      <c r="BA10" s="1"/>
      <c r="BB10" s="1"/>
      <c r="BC10" s="1"/>
      <c r="BD10" s="1"/>
      <c r="BE10" s="1"/>
      <c r="BF10" s="1"/>
      <c r="BG10" s="1"/>
      <c r="BH10" s="1"/>
    </row>
    <row x14ac:dyDescent="0.25" r="11" customHeight="1" ht="18" hidden="1">
      <c r="A11" s="1"/>
      <c r="B11" s="1"/>
      <c r="C11" s="1"/>
      <c r="D11" s="1"/>
      <c r="E11" s="2"/>
      <c r="F11" s="2"/>
      <c r="G11" s="2"/>
      <c r="H11" s="1"/>
      <c r="I11" s="3"/>
      <c r="J11" s="2"/>
      <c r="K11" s="4"/>
      <c r="L11" s="2"/>
      <c r="M11" s="5"/>
      <c r="N11" s="5"/>
      <c r="O11" s="6"/>
      <c r="P11" s="3"/>
      <c r="Q11" s="7"/>
      <c r="R11" s="7"/>
      <c r="S11" s="2"/>
      <c r="T11" s="1"/>
      <c r="U11" s="6"/>
      <c r="V11" s="3"/>
      <c r="W11" s="3"/>
      <c r="X11" s="7"/>
      <c r="Y11" s="1"/>
      <c r="Z11" s="1"/>
      <c r="AA11" s="3"/>
      <c r="AB11" s="3"/>
      <c r="AC11" s="3"/>
      <c r="AD11" s="3"/>
      <c r="AE11" s="4"/>
      <c r="AF11" s="8"/>
      <c r="AG11" s="1"/>
      <c r="AH11" s="6"/>
      <c r="AI11" s="6"/>
      <c r="AJ11" s="6"/>
      <c r="AK11" s="6"/>
      <c r="AL11" s="6"/>
      <c r="AM11" s="6"/>
      <c r="AN11" s="6"/>
      <c r="AO11" s="1"/>
      <c r="AP11" s="9"/>
      <c r="AQ11" s="2"/>
      <c r="AR11" s="3"/>
      <c r="AS11" s="10"/>
      <c r="AT11" s="1"/>
      <c r="AU11" s="1"/>
      <c r="AV11" s="1"/>
      <c r="AW11" s="1"/>
      <c r="AX11" s="1"/>
      <c r="AY11" s="1"/>
      <c r="AZ11" s="1"/>
      <c r="BA11" s="1"/>
      <c r="BB11" s="1"/>
      <c r="BC11" s="1"/>
      <c r="BD11" s="1"/>
      <c r="BE11" s="1"/>
      <c r="BF11" s="1"/>
      <c r="BG11" s="1"/>
      <c r="BH11" s="1"/>
    </row>
    <row x14ac:dyDescent="0.25" r="12" customHeight="1" ht="18" hidden="1">
      <c r="A12" s="1"/>
      <c r="B12" s="1"/>
      <c r="C12" s="1"/>
      <c r="D12" s="1"/>
      <c r="E12" s="2"/>
      <c r="F12" s="2"/>
      <c r="G12" s="2"/>
      <c r="H12" s="1"/>
      <c r="I12" s="3"/>
      <c r="J12" s="2"/>
      <c r="K12" s="4"/>
      <c r="L12" s="2"/>
      <c r="M12" s="5"/>
      <c r="N12" s="5"/>
      <c r="O12" s="6"/>
      <c r="P12" s="3"/>
      <c r="Q12" s="7"/>
      <c r="R12" s="7"/>
      <c r="S12" s="2"/>
      <c r="T12" s="1"/>
      <c r="U12" s="6"/>
      <c r="V12" s="3"/>
      <c r="W12" s="3"/>
      <c r="X12" s="7"/>
      <c r="Y12" s="1"/>
      <c r="Z12" s="1"/>
      <c r="AA12" s="3"/>
      <c r="AB12" s="3"/>
      <c r="AC12" s="3"/>
      <c r="AD12" s="3"/>
      <c r="AE12" s="4"/>
      <c r="AF12" s="8"/>
      <c r="AG12" s="1"/>
      <c r="AH12" s="6"/>
      <c r="AI12" s="6"/>
      <c r="AJ12" s="6"/>
      <c r="AK12" s="6"/>
      <c r="AL12" s="6"/>
      <c r="AM12" s="6"/>
      <c r="AN12" s="6"/>
      <c r="AO12" s="1"/>
      <c r="AP12" s="9"/>
      <c r="AQ12" s="2"/>
      <c r="AR12" s="3"/>
      <c r="AS12" s="10"/>
      <c r="AT12" s="1"/>
      <c r="AU12" s="1"/>
      <c r="AV12" s="1"/>
      <c r="AW12" s="1"/>
      <c r="AX12" s="1"/>
      <c r="AY12" s="1"/>
      <c r="AZ12" s="1"/>
      <c r="BA12" s="1"/>
      <c r="BB12" s="1"/>
      <c r="BC12" s="1"/>
      <c r="BD12" s="1"/>
      <c r="BE12" s="1"/>
      <c r="BF12" s="1"/>
      <c r="BG12" s="1"/>
      <c r="BH12" s="1"/>
    </row>
    <row x14ac:dyDescent="0.25" r="13" customHeight="1" ht="18" hidden="1">
      <c r="A13" s="1"/>
      <c r="B13" s="1"/>
      <c r="C13" s="1"/>
      <c r="D13" s="1"/>
      <c r="E13" s="2"/>
      <c r="F13" s="2"/>
      <c r="G13" s="2"/>
      <c r="H13" s="1"/>
      <c r="I13" s="3"/>
      <c r="J13" s="2"/>
      <c r="K13" s="4"/>
      <c r="L13" s="2"/>
      <c r="M13" s="5"/>
      <c r="N13" s="5"/>
      <c r="O13" s="6"/>
      <c r="P13" s="3"/>
      <c r="Q13" s="7"/>
      <c r="R13" s="7"/>
      <c r="S13" s="2"/>
      <c r="T13" s="1"/>
      <c r="U13" s="6"/>
      <c r="V13" s="3"/>
      <c r="W13" s="3"/>
      <c r="X13" s="7"/>
      <c r="Y13" s="1"/>
      <c r="Z13" s="1"/>
      <c r="AA13" s="3"/>
      <c r="AB13" s="3"/>
      <c r="AC13" s="3"/>
      <c r="AD13" s="3"/>
      <c r="AE13" s="4"/>
      <c r="AF13" s="8"/>
      <c r="AG13" s="1"/>
      <c r="AH13" s="6"/>
      <c r="AI13" s="6"/>
      <c r="AJ13" s="6"/>
      <c r="AK13" s="6"/>
      <c r="AL13" s="6"/>
      <c r="AM13" s="6"/>
      <c r="AN13" s="6"/>
      <c r="AO13" s="1"/>
      <c r="AP13" s="9"/>
      <c r="AQ13" s="2"/>
      <c r="AR13" s="3"/>
      <c r="AS13" s="10"/>
      <c r="AT13" s="1"/>
      <c r="AU13" s="1"/>
      <c r="AV13" s="1"/>
      <c r="AW13" s="1"/>
      <c r="AX13" s="1"/>
      <c r="AY13" s="1"/>
      <c r="AZ13" s="1"/>
      <c r="BA13" s="1"/>
      <c r="BB13" s="1"/>
      <c r="BC13" s="1"/>
      <c r="BD13" s="1"/>
      <c r="BE13" s="1"/>
      <c r="BF13" s="1"/>
      <c r="BG13" s="1"/>
      <c r="BH13" s="1"/>
    </row>
    <row x14ac:dyDescent="0.25" r="14" customHeight="1" ht="18" hidden="1">
      <c r="A14" s="1"/>
      <c r="B14" s="1"/>
      <c r="C14" s="1"/>
      <c r="D14" s="1"/>
      <c r="E14" s="2"/>
      <c r="F14" s="2"/>
      <c r="G14" s="2"/>
      <c r="H14" s="1"/>
      <c r="I14" s="3"/>
      <c r="J14" s="2"/>
      <c r="K14" s="4"/>
      <c r="L14" s="2"/>
      <c r="M14" s="5"/>
      <c r="N14" s="5"/>
      <c r="O14" s="6"/>
      <c r="P14" s="3"/>
      <c r="Q14" s="7"/>
      <c r="R14" s="7"/>
      <c r="S14" s="2"/>
      <c r="T14" s="1"/>
      <c r="U14" s="6"/>
      <c r="V14" s="3"/>
      <c r="W14" s="3"/>
      <c r="X14" s="7"/>
      <c r="Y14" s="1"/>
      <c r="Z14" s="1"/>
      <c r="AA14" s="3"/>
      <c r="AB14" s="3"/>
      <c r="AC14" s="3"/>
      <c r="AD14" s="3"/>
      <c r="AE14" s="4"/>
      <c r="AF14" s="8"/>
      <c r="AG14" s="1"/>
      <c r="AH14" s="6"/>
      <c r="AI14" s="6"/>
      <c r="AJ14" s="6"/>
      <c r="AK14" s="6"/>
      <c r="AL14" s="6"/>
      <c r="AM14" s="6"/>
      <c r="AN14" s="6"/>
      <c r="AO14" s="1"/>
      <c r="AP14" s="9"/>
      <c r="AQ14" s="2"/>
      <c r="AR14" s="3"/>
      <c r="AS14" s="10"/>
      <c r="AT14" s="1"/>
      <c r="AU14" s="1"/>
      <c r="AV14" s="1"/>
      <c r="AW14" s="1"/>
      <c r="AX14" s="1"/>
      <c r="AY14" s="1"/>
      <c r="AZ14" s="1"/>
      <c r="BA14" s="1"/>
      <c r="BB14" s="1"/>
      <c r="BC14" s="1"/>
      <c r="BD14" s="1"/>
      <c r="BE14" s="1"/>
      <c r="BF14" s="1"/>
      <c r="BG14" s="1"/>
      <c r="BH14" s="1"/>
    </row>
    <row x14ac:dyDescent="0.25" r="15" customHeight="1" ht="18" hidden="1">
      <c r="A15" s="1"/>
      <c r="B15" s="1"/>
      <c r="C15" s="1"/>
      <c r="D15" s="1"/>
      <c r="E15" s="2"/>
      <c r="F15" s="2"/>
      <c r="G15" s="2"/>
      <c r="H15" s="1"/>
      <c r="I15" s="3"/>
      <c r="J15" s="2"/>
      <c r="K15" s="4"/>
      <c r="L15" s="2"/>
      <c r="M15" s="5"/>
      <c r="N15" s="5"/>
      <c r="O15" s="6"/>
      <c r="P15" s="3"/>
      <c r="Q15" s="7"/>
      <c r="R15" s="7"/>
      <c r="S15" s="2"/>
      <c r="T15" s="1"/>
      <c r="U15" s="6"/>
      <c r="V15" s="3"/>
      <c r="W15" s="3"/>
      <c r="X15" s="7"/>
      <c r="Y15" s="1"/>
      <c r="Z15" s="1"/>
      <c r="AA15" s="3"/>
      <c r="AB15" s="3"/>
      <c r="AC15" s="3"/>
      <c r="AD15" s="3"/>
      <c r="AE15" s="4"/>
      <c r="AF15" s="8"/>
      <c r="AG15" s="1"/>
      <c r="AH15" s="6"/>
      <c r="AI15" s="6"/>
      <c r="AJ15" s="6"/>
      <c r="AK15" s="6"/>
      <c r="AL15" s="6"/>
      <c r="AM15" s="6"/>
      <c r="AN15" s="6"/>
      <c r="AO15" s="1"/>
      <c r="AP15" s="9"/>
      <c r="AQ15" s="2"/>
      <c r="AR15" s="3"/>
      <c r="AS15" s="10"/>
      <c r="AT15" s="1"/>
      <c r="AU15" s="1"/>
      <c r="AV15" s="1"/>
      <c r="AW15" s="1"/>
      <c r="AX15" s="1"/>
      <c r="AY15" s="1"/>
      <c r="AZ15" s="1"/>
      <c r="BA15" s="1"/>
      <c r="BB15" s="1"/>
      <c r="BC15" s="1"/>
      <c r="BD15" s="1"/>
      <c r="BE15" s="1"/>
      <c r="BF15" s="1"/>
      <c r="BG15" s="1"/>
      <c r="BH15" s="1"/>
    </row>
    <row x14ac:dyDescent="0.25" r="16" customHeight="1" ht="18" hidden="1">
      <c r="A16" s="1"/>
      <c r="B16" s="1"/>
      <c r="C16" s="1"/>
      <c r="D16" s="1"/>
      <c r="E16" s="2"/>
      <c r="F16" s="2"/>
      <c r="G16" s="2"/>
      <c r="H16" s="1"/>
      <c r="I16" s="3"/>
      <c r="J16" s="2"/>
      <c r="K16" s="4"/>
      <c r="L16" s="2"/>
      <c r="M16" s="5"/>
      <c r="N16" s="5"/>
      <c r="O16" s="6"/>
      <c r="P16" s="3"/>
      <c r="Q16" s="7"/>
      <c r="R16" s="7"/>
      <c r="S16" s="2"/>
      <c r="T16" s="1"/>
      <c r="U16" s="6"/>
      <c r="V16" s="3"/>
      <c r="W16" s="3"/>
      <c r="X16" s="7"/>
      <c r="Y16" s="1"/>
      <c r="Z16" s="1"/>
      <c r="AA16" s="3"/>
      <c r="AB16" s="3"/>
      <c r="AC16" s="3"/>
      <c r="AD16" s="3"/>
      <c r="AE16" s="4"/>
      <c r="AF16" s="8"/>
      <c r="AG16" s="1"/>
      <c r="AH16" s="6"/>
      <c r="AI16" s="6"/>
      <c r="AJ16" s="6"/>
      <c r="AK16" s="6"/>
      <c r="AL16" s="6"/>
      <c r="AM16" s="6"/>
      <c r="AN16" s="6"/>
      <c r="AO16" s="1"/>
      <c r="AP16" s="9"/>
      <c r="AQ16" s="2"/>
      <c r="AR16" s="3"/>
      <c r="AS16" s="10"/>
      <c r="AT16" s="1"/>
      <c r="AU16" s="1"/>
      <c r="AV16" s="1"/>
      <c r="AW16" s="1"/>
      <c r="AX16" s="1"/>
      <c r="AY16" s="1"/>
      <c r="AZ16" s="1"/>
      <c r="BA16" s="1"/>
      <c r="BB16" s="1"/>
      <c r="BC16" s="1"/>
      <c r="BD16" s="1"/>
      <c r="BE16" s="1"/>
      <c r="BF16" s="1"/>
      <c r="BG16" s="1"/>
      <c r="BH16" s="1"/>
    </row>
    <row x14ac:dyDescent="0.25" r="17" customHeight="1" ht="17.25">
      <c r="A17" s="1"/>
      <c r="B17" s="1"/>
      <c r="C17" s="1"/>
      <c r="D17" s="1"/>
      <c r="E17" s="2"/>
      <c r="F17" s="2"/>
      <c r="G17" s="2"/>
      <c r="H17" s="1"/>
      <c r="I17" s="12">
        <v>23</v>
      </c>
      <c r="J17" s="13" t="s">
        <v>0</v>
      </c>
      <c r="K17" s="14" t="s">
        <v>1</v>
      </c>
      <c r="L17" s="15"/>
      <c r="M17" s="16"/>
      <c r="N17" s="17"/>
      <c r="O17" s="17"/>
      <c r="P17" s="17"/>
      <c r="Q17" s="17"/>
      <c r="R17" s="17"/>
      <c r="S17" s="17"/>
      <c r="T17" s="17"/>
      <c r="U17" s="17"/>
      <c r="V17" s="17"/>
      <c r="W17" s="17"/>
      <c r="X17" s="17"/>
      <c r="Y17" s="1"/>
      <c r="Z17" s="1"/>
      <c r="AA17" s="17"/>
      <c r="AB17" s="3"/>
      <c r="AC17" s="3"/>
      <c r="AD17" s="3"/>
      <c r="AE17" s="4"/>
      <c r="AF17" s="8"/>
      <c r="AG17" s="1"/>
      <c r="AH17" s="6"/>
      <c r="AI17" s="6"/>
      <c r="AJ17" s="6"/>
      <c r="AK17" s="6"/>
      <c r="AL17" s="6"/>
      <c r="AM17" s="6"/>
      <c r="AN17" s="6"/>
      <c r="AO17" s="1"/>
      <c r="AP17" s="9"/>
      <c r="AQ17" s="2"/>
      <c r="AR17" s="3"/>
      <c r="AS17" s="10"/>
      <c r="AT17" s="1"/>
      <c r="AU17" s="1"/>
      <c r="AV17" s="1"/>
      <c r="AW17" s="1"/>
      <c r="AX17" s="1"/>
      <c r="AY17" s="1"/>
      <c r="AZ17" s="1"/>
      <c r="BA17" s="1"/>
      <c r="BB17" s="1"/>
      <c r="BC17" s="1"/>
      <c r="BD17" s="1"/>
      <c r="BE17" s="1"/>
      <c r="BF17" s="1"/>
      <c r="BG17" s="1"/>
      <c r="BH17" s="1"/>
    </row>
    <row x14ac:dyDescent="0.25" r="18" customHeight="1" ht="12.75">
      <c r="A18" s="1"/>
      <c r="B18" s="1"/>
      <c r="C18" s="1"/>
      <c r="D18" s="1"/>
      <c r="E18" s="18">
        <f>G18&amp;F18</f>
      </c>
      <c r="F18" s="18">
        <f>ROUNDUP(MONTH(Planning!Z13+92)/3,0)</f>
      </c>
      <c r="G18" s="18">
        <f>Planning!G13</f>
      </c>
      <c r="H18" s="1"/>
      <c r="I18" s="12">
        <v>89</v>
      </c>
      <c r="J18" s="19" t="s">
        <v>2</v>
      </c>
      <c r="K18" s="20" t="s">
        <v>3</v>
      </c>
      <c r="L18" s="21" t="s">
        <v>4</v>
      </c>
      <c r="M18" s="22" t="s">
        <v>5</v>
      </c>
      <c r="N18" s="22" t="s">
        <v>6</v>
      </c>
      <c r="O18" s="23" t="s">
        <v>7</v>
      </c>
      <c r="P18" s="24" t="s">
        <v>8</v>
      </c>
      <c r="Q18" s="25" t="s">
        <v>9</v>
      </c>
      <c r="R18" s="26"/>
      <c r="S18" s="27"/>
      <c r="T18" s="28"/>
      <c r="U18" s="23" t="s">
        <v>10</v>
      </c>
      <c r="V18" s="24" t="s">
        <v>11</v>
      </c>
      <c r="W18" s="24" t="s">
        <v>12</v>
      </c>
      <c r="X18" s="17"/>
      <c r="Y18" s="1"/>
      <c r="Z18" s="1"/>
      <c r="AA18" s="29" t="s">
        <v>2</v>
      </c>
      <c r="AB18" s="24" t="s">
        <v>13</v>
      </c>
      <c r="AC18" s="24" t="s">
        <v>14</v>
      </c>
      <c r="AD18" s="24" t="s">
        <v>15</v>
      </c>
      <c r="AE18" s="20" t="s">
        <v>16</v>
      </c>
      <c r="AF18" s="30" t="s">
        <v>17</v>
      </c>
      <c r="AG18" s="1"/>
      <c r="AH18" s="31" t="s">
        <v>18</v>
      </c>
      <c r="AI18" s="32"/>
      <c r="AJ18" s="32"/>
      <c r="AK18" s="32"/>
      <c r="AL18" s="32"/>
      <c r="AM18" s="33"/>
      <c r="AN18" s="34" t="s">
        <v>19</v>
      </c>
      <c r="AO18" s="1"/>
      <c r="AP18" s="35" t="s">
        <v>20</v>
      </c>
      <c r="AQ18" s="36"/>
      <c r="AR18" s="37"/>
      <c r="AS18" s="10"/>
      <c r="AT18" s="17"/>
      <c r="AU18" s="1"/>
      <c r="AV18" s="38"/>
      <c r="AW18" s="39"/>
      <c r="AX18" s="11"/>
      <c r="AY18" s="1"/>
      <c r="AZ18" s="1"/>
      <c r="BA18" s="1"/>
      <c r="BB18" s="1"/>
      <c r="BC18" s="1"/>
      <c r="BD18" s="1"/>
      <c r="BE18" s="1"/>
      <c r="BF18" s="1"/>
      <c r="BG18" s="1"/>
      <c r="BH18" s="1"/>
    </row>
    <row x14ac:dyDescent="0.25" r="19" customHeight="1" ht="12.75">
      <c r="A19" s="1"/>
      <c r="B19" s="1"/>
      <c r="C19" s="1"/>
      <c r="D19" s="1"/>
      <c r="E19" s="18">
        <f>G19&amp;F19</f>
      </c>
      <c r="F19" s="18">
        <f>Progress!AS17</f>
      </c>
      <c r="G19" s="18">
        <f>Progress!AT17</f>
      </c>
      <c r="H19" s="1"/>
      <c r="I19" s="12">
        <v>155</v>
      </c>
      <c r="J19" s="40"/>
      <c r="K19" s="41"/>
      <c r="L19" s="42"/>
      <c r="M19" s="43"/>
      <c r="N19" s="43"/>
      <c r="O19" s="44"/>
      <c r="P19" s="45"/>
      <c r="Q19" s="46"/>
      <c r="R19" s="47"/>
      <c r="S19" s="48"/>
      <c r="T19" s="49"/>
      <c r="U19" s="44"/>
      <c r="V19" s="45"/>
      <c r="W19" s="45"/>
      <c r="X19" s="17"/>
      <c r="Y19" s="1"/>
      <c r="Z19" s="1"/>
      <c r="AA19" s="50"/>
      <c r="AB19" s="45"/>
      <c r="AC19" s="45"/>
      <c r="AD19" s="45"/>
      <c r="AE19" s="41"/>
      <c r="AF19" s="51"/>
      <c r="AG19" s="39"/>
      <c r="AH19" s="52"/>
      <c r="AI19" s="53"/>
      <c r="AJ19" s="53"/>
      <c r="AK19" s="53"/>
      <c r="AL19" s="53"/>
      <c r="AM19" s="54"/>
      <c r="AN19" s="55"/>
      <c r="AO19" s="1"/>
      <c r="AP19" s="56" t="s">
        <v>14</v>
      </c>
      <c r="AQ19" s="24" t="s">
        <v>21</v>
      </c>
      <c r="AR19" s="57"/>
      <c r="AS19" s="10"/>
      <c r="AT19" s="17"/>
      <c r="AU19" s="39"/>
      <c r="AV19" s="39"/>
      <c r="AW19" s="39"/>
      <c r="AX19" s="11"/>
      <c r="AY19" s="1"/>
      <c r="AZ19" s="1"/>
      <c r="BA19" s="1"/>
      <c r="BB19" s="1"/>
      <c r="BC19" s="1"/>
      <c r="BD19" s="1"/>
      <c r="BE19" s="1"/>
      <c r="BF19" s="1"/>
      <c r="BG19" s="1"/>
      <c r="BH19" s="1"/>
    </row>
    <row x14ac:dyDescent="0.25" r="20" customHeight="1" ht="12.75">
      <c r="A20" s="1"/>
      <c r="B20" s="1"/>
      <c r="C20" s="1"/>
      <c r="D20" s="1"/>
      <c r="E20" s="18">
        <f>G19</f>
      </c>
      <c r="F20" s="18">
        <f>Planning!Z14</f>
      </c>
      <c r="G20" s="58">
        <f>Planning!Z14</f>
        <v>25568.791666666668</v>
      </c>
      <c r="H20" s="1"/>
      <c r="I20" s="12">
        <v>221</v>
      </c>
      <c r="J20" s="40"/>
      <c r="K20" s="41"/>
      <c r="L20" s="42"/>
      <c r="M20" s="43"/>
      <c r="N20" s="43"/>
      <c r="O20" s="44"/>
      <c r="P20" s="45"/>
      <c r="Q20" s="46"/>
      <c r="R20" s="47"/>
      <c r="S20" s="48"/>
      <c r="T20" s="49"/>
      <c r="U20" s="44"/>
      <c r="V20" s="45"/>
      <c r="W20" s="45"/>
      <c r="X20" s="17"/>
      <c r="Y20" s="11"/>
      <c r="Z20" s="11"/>
      <c r="AA20" s="50"/>
      <c r="AB20" s="45"/>
      <c r="AC20" s="45"/>
      <c r="AD20" s="45"/>
      <c r="AE20" s="41"/>
      <c r="AF20" s="51"/>
      <c r="AG20" s="1"/>
      <c r="AH20" s="52"/>
      <c r="AI20" s="53"/>
      <c r="AJ20" s="53"/>
      <c r="AK20" s="53"/>
      <c r="AL20" s="53"/>
      <c r="AM20" s="54"/>
      <c r="AN20" s="55"/>
      <c r="AO20" s="1"/>
      <c r="AP20" s="59"/>
      <c r="AQ20" s="60"/>
      <c r="AR20" s="61"/>
      <c r="AS20" s="10"/>
      <c r="AT20" s="17"/>
      <c r="AU20" s="1"/>
      <c r="AV20" s="39"/>
      <c r="AW20" s="39"/>
      <c r="AX20" s="11"/>
      <c r="AY20" s="1"/>
      <c r="AZ20" s="1"/>
      <c r="BA20" s="1"/>
      <c r="BB20" s="1"/>
      <c r="BC20" s="1"/>
      <c r="BD20" s="1"/>
      <c r="BE20" s="1"/>
      <c r="BF20" s="1"/>
      <c r="BG20" s="1"/>
      <c r="BH20" s="1"/>
    </row>
    <row x14ac:dyDescent="0.25" r="21" customHeight="1" ht="12.75">
      <c r="A21" s="1"/>
      <c r="B21" s="1"/>
      <c r="C21" s="1"/>
      <c r="D21" s="1"/>
      <c r="E21" s="2"/>
      <c r="F21" s="18">
        <f>RptQtr</f>
      </c>
      <c r="G21" s="18">
        <f>RptYr</f>
      </c>
      <c r="H21" s="1"/>
      <c r="I21" s="12">
        <v>287</v>
      </c>
      <c r="J21" s="40"/>
      <c r="K21" s="41"/>
      <c r="L21" s="42"/>
      <c r="M21" s="43"/>
      <c r="N21" s="43"/>
      <c r="O21" s="44"/>
      <c r="P21" s="45"/>
      <c r="Q21" s="62"/>
      <c r="R21" s="63"/>
      <c r="S21" s="64"/>
      <c r="T21" s="49"/>
      <c r="U21" s="44"/>
      <c r="V21" s="45"/>
      <c r="W21" s="45"/>
      <c r="X21" s="17"/>
      <c r="Y21" s="11"/>
      <c r="Z21" s="11"/>
      <c r="AA21" s="50"/>
      <c r="AB21" s="45"/>
      <c r="AC21" s="45"/>
      <c r="AD21" s="45"/>
      <c r="AE21" s="41"/>
      <c r="AF21" s="51"/>
      <c r="AG21" s="1"/>
      <c r="AH21" s="65"/>
      <c r="AI21" s="66"/>
      <c r="AJ21" s="66"/>
      <c r="AK21" s="66"/>
      <c r="AL21" s="66"/>
      <c r="AM21" s="67"/>
      <c r="AN21" s="68"/>
      <c r="AO21" s="1"/>
      <c r="AP21" s="59"/>
      <c r="AQ21" s="60"/>
      <c r="AR21" s="61"/>
      <c r="AS21" s="10"/>
      <c r="AT21" s="17"/>
      <c r="AU21" s="69"/>
      <c r="AV21" s="39"/>
      <c r="AW21" s="39"/>
      <c r="AX21" s="11"/>
      <c r="AY21" s="1"/>
      <c r="AZ21" s="1"/>
      <c r="BA21" s="1"/>
      <c r="BB21" s="1"/>
      <c r="BC21" s="1"/>
      <c r="BD21" s="1"/>
      <c r="BE21" s="1"/>
      <c r="BF21" s="1"/>
      <c r="BG21" s="1"/>
      <c r="BH21" s="1"/>
    </row>
    <row x14ac:dyDescent="0.25" r="22" customHeight="1" ht="12.75">
      <c r="A22" s="1"/>
      <c r="B22" s="1"/>
      <c r="C22" s="1"/>
      <c r="D22" s="1"/>
      <c r="E22" s="2"/>
      <c r="F22" s="18">
        <f>X419</f>
      </c>
      <c r="G22" s="18">
        <f>SUMIFS(ProgVssDoneAllYears,$G$23:$G$418,"&lt;"&amp;$E$18)</f>
      </c>
      <c r="H22" s="1"/>
      <c r="I22" s="12">
        <v>353</v>
      </c>
      <c r="J22" s="70"/>
      <c r="K22" s="71"/>
      <c r="L22" s="72"/>
      <c r="M22" s="73"/>
      <c r="N22" s="73"/>
      <c r="O22" s="74"/>
      <c r="P22" s="75"/>
      <c r="Q22" s="76" t="s">
        <v>22</v>
      </c>
      <c r="R22" s="76" t="s">
        <v>22</v>
      </c>
      <c r="S22" s="77" t="s">
        <v>23</v>
      </c>
      <c r="T22" s="78"/>
      <c r="U22" s="74"/>
      <c r="V22" s="75"/>
      <c r="W22" s="75"/>
      <c r="X22" s="17"/>
      <c r="Y22" s="11"/>
      <c r="Z22" s="11"/>
      <c r="AA22" s="79"/>
      <c r="AB22" s="80"/>
      <c r="AC22" s="80"/>
      <c r="AD22" s="80"/>
      <c r="AE22" s="81"/>
      <c r="AF22" s="82"/>
      <c r="AG22" s="1"/>
      <c r="AH22" s="83">
        <f>Planning!U21</f>
      </c>
      <c r="AI22" s="84">
        <f>Planning!V21</f>
      </c>
      <c r="AJ22" s="84">
        <f>Planning!W21</f>
      </c>
      <c r="AK22" s="84">
        <f>Planning!X21</f>
      </c>
      <c r="AL22" s="84">
        <f>Planning!Y21</f>
      </c>
      <c r="AM22" s="85">
        <f>Planning!Z21</f>
      </c>
      <c r="AN22" s="86">
        <f>SUM(AH22:AM22)</f>
      </c>
      <c r="AO22" s="1"/>
      <c r="AP22" s="87"/>
      <c r="AQ22" s="88"/>
      <c r="AR22" s="89"/>
      <c r="AS22" s="10"/>
      <c r="AT22" s="17"/>
      <c r="AU22" s="69"/>
      <c r="AV22" s="39"/>
      <c r="AW22" s="39"/>
      <c r="AX22" s="11"/>
      <c r="AY22" s="1"/>
      <c r="AZ22" s="1"/>
      <c r="BA22" s="1"/>
      <c r="BB22" s="1"/>
      <c r="BC22" s="1"/>
      <c r="BD22" s="1"/>
      <c r="BE22" s="1"/>
      <c r="BF22" s="1"/>
      <c r="BG22" s="1"/>
      <c r="BH22" s="1"/>
    </row>
    <row x14ac:dyDescent="0.25" r="23" customHeight="1" ht="14.25">
      <c r="A23" s="1"/>
      <c r="B23" s="1"/>
      <c r="C23" s="1"/>
      <c r="D23" s="1"/>
      <c r="E23" s="2"/>
      <c r="F23" s="2"/>
      <c r="G23" s="90">
        <f>(S23&amp;RIGHT(R23,1))*1</f>
      </c>
      <c r="H23" s="1"/>
      <c r="I23" s="91">
        <f>Planning!U18</f>
      </c>
      <c r="J23" s="92">
        <f>Planning!Q23</f>
      </c>
      <c r="K23" s="93">
        <f>VLOOKUP(J23,AA$23:AE$88,5,FALSE)</f>
      </c>
      <c r="L23" s="94">
        <f>Planning!U23</f>
      </c>
      <c r="M23" s="95">
        <f>IF(Planning!AB23=0,0,IFERROR($AD23*AH$22,0))</f>
      </c>
      <c r="N23" s="95">
        <f>IF(Planning!AB23=0,0,IFERROR($AD23*AH$22*K23,0))</f>
      </c>
      <c r="O23" s="96">
        <f>IF(ISTEXT(Planning!U23),0,AH23)</f>
      </c>
      <c r="P23" s="94">
        <f>Planning!AB23</f>
      </c>
      <c r="Q23" s="95">
        <f>Progress!R23</f>
      </c>
      <c r="R23" s="95">
        <f>IF(Q23=0,0,IF(ISNUMBER(Q23),IF(S23&gt;=$G$21,$F$21,"Q4"),Q23))</f>
      </c>
      <c r="S23" s="94">
        <f>Progress!S23</f>
      </c>
      <c r="T23" s="97"/>
      <c r="U23" s="96">
        <f>V23/$N$419</f>
      </c>
      <c r="V23" s="95">
        <f>IF(L23&lt;$E$20,0,IF(ISTEXT(L23),0,IF(AND(G23+1&gt;=$E$19+1,L23&gt;0),IF(ISNUMBER(Q23),Q23*$AD23*AH$22*K23,$AD23*AH$22*K23),0)))</f>
      </c>
      <c r="W23" s="95">
        <f>IF(AND(L23&gt;0,S23&gt;0),IF(ISNUMBER(Q23),Q23*$AD23*AH$22*K23,$AD23*AH$22*K23),0)</f>
      </c>
      <c r="X23" s="17"/>
      <c r="Y23" s="11"/>
      <c r="Z23" s="11"/>
      <c r="AA23" s="98">
        <f>Planning!Q23</f>
      </c>
      <c r="AB23" s="99">
        <f>IF(ISTEXT(AA23),VLOOKUP(AA23,Data_All,2,FALSE),"")</f>
      </c>
      <c r="AC23" s="99">
        <f>IF(ISTEXT(AA23),VLOOKUP(AA23,Data_All,3,FALSE),1)</f>
      </c>
      <c r="AD23" s="100">
        <f>IF(ISTEXT(AA23),Planning!T23)</f>
      </c>
      <c r="AE23" s="101">
        <f>VLOOKUP(AC23,Multiplier,2,FALSE)</f>
      </c>
      <c r="AF23" s="102">
        <f>AD23*AE23</f>
      </c>
      <c r="AG23" s="1"/>
      <c r="AH23" s="103">
        <f>IF(N23=0,0,N23/VE)</f>
      </c>
      <c r="AI23" s="104">
        <f>IF(N89=0,0,N89/VE)</f>
      </c>
      <c r="AJ23" s="104">
        <f>IF(N155=0,0,N155/VE)</f>
      </c>
      <c r="AK23" s="104">
        <f>IF(N221=0,0,N221/VE)</f>
      </c>
      <c r="AL23" s="104">
        <f>IF(N287=0,0,N287/VE)</f>
      </c>
      <c r="AM23" s="105">
        <f>IF(N353=0,0,N353/VE)</f>
      </c>
      <c r="AN23" s="106">
        <f>SUM(AH23:AM23)</f>
      </c>
      <c r="AO23" s="107"/>
      <c r="AP23" s="108">
        <v>1</v>
      </c>
      <c r="AQ23" s="93"/>
      <c r="AR23" s="109"/>
      <c r="AS23" s="10"/>
      <c r="AT23" s="110"/>
      <c r="AU23" s="69"/>
      <c r="AV23" s="1"/>
      <c r="AW23" s="39"/>
      <c r="AX23" s="11"/>
      <c r="AY23" s="1"/>
      <c r="AZ23" s="1"/>
      <c r="BA23" s="1"/>
      <c r="BB23" s="1"/>
      <c r="BC23" s="1"/>
      <c r="BD23" s="1"/>
      <c r="BE23" s="1"/>
      <c r="BF23" s="1"/>
      <c r="BG23" s="1"/>
      <c r="BH23" s="1"/>
    </row>
    <row x14ac:dyDescent="0.25" r="24" customHeight="1" ht="14.25">
      <c r="A24" s="1"/>
      <c r="B24" s="1"/>
      <c r="C24" s="1"/>
      <c r="D24" s="1"/>
      <c r="E24" s="2"/>
      <c r="F24" s="2"/>
      <c r="G24" s="90">
        <f>(S24&amp;RIGHT(R24,1))*1</f>
      </c>
      <c r="H24" s="1"/>
      <c r="I24" s="111"/>
      <c r="J24" s="92">
        <f>Planning!Q24</f>
      </c>
      <c r="K24" s="93">
        <f>VLOOKUP(J24,AA$23:AE$88,5,FALSE)</f>
      </c>
      <c r="L24" s="94">
        <f>Planning!U24</f>
      </c>
      <c r="M24" s="95">
        <f>IF(Planning!AB24=0,0,IFERROR($AD24*AH$22,0))</f>
      </c>
      <c r="N24" s="95">
        <f>IF(Planning!AB24=0,0,IFERROR($AD24*AH$22*K24,0))</f>
      </c>
      <c r="O24" s="96">
        <f>IF(ISTEXT(Planning!U24),0,AH24)</f>
      </c>
      <c r="P24" s="94">
        <f>Planning!AB24</f>
      </c>
      <c r="Q24" s="95">
        <f>Progress!R24</f>
      </c>
      <c r="R24" s="95">
        <f>IF(Q24=0,0,IF(ISNUMBER(Q24),IF(S24&gt;=$G$21,$F$21,"Q5"),Q24))</f>
      </c>
      <c r="S24" s="112">
        <f>Progress!S24</f>
      </c>
      <c r="T24" s="97"/>
      <c r="U24" s="96">
        <f>V24/$N$419</f>
      </c>
      <c r="V24" s="95">
        <f>IF(L24&lt;$E$20,0,IF(ISTEXT(L24),0,IF(AND(G24+1&gt;=$E$19+1,L24&gt;0),IF(ISNUMBER(Q24),Q24*$AD24*AH$22*K24,$AD24*AH$22*K24),0)))</f>
      </c>
      <c r="W24" s="95">
        <f>IF(AND(L24&gt;0,S24&gt;0),IF(ISNUMBER(Q24),Q24*$AD24*AH$22*K24,$AD24*AH$22*K24),0)</f>
      </c>
      <c r="X24" s="17"/>
      <c r="Y24" s="11"/>
      <c r="Z24" s="11"/>
      <c r="AA24" s="98">
        <f>Planning!Q24</f>
      </c>
      <c r="AB24" s="99">
        <f>IF(ISTEXT(AA24),VLOOKUP(AA24,Data_All,2,FALSE),"")</f>
      </c>
      <c r="AC24" s="99">
        <f>IF(ISTEXT(AA24),VLOOKUP(AA24,Data_All,3,FALSE),1)</f>
      </c>
      <c r="AD24" s="100">
        <f>IF(ISTEXT(AA24),Planning!T24)</f>
      </c>
      <c r="AE24" s="113">
        <f>VLOOKUP(AC24,Multiplier,2,FALSE)</f>
      </c>
      <c r="AF24" s="114">
        <f>AD24*AE24</f>
      </c>
      <c r="AG24" s="1"/>
      <c r="AH24" s="103">
        <f>IF(N24=0,0,N24/VE)</f>
      </c>
      <c r="AI24" s="115">
        <f>IF(N90=0,0,N90/VE)</f>
      </c>
      <c r="AJ24" s="115">
        <f>IF(N156=0,0,N156/VE)</f>
      </c>
      <c r="AK24" s="115">
        <f>IF(N222=0,0,N222/VE)</f>
      </c>
      <c r="AL24" s="115">
        <f>IF(N288=0,0,N288/VE)</f>
      </c>
      <c r="AM24" s="116">
        <f>IF(N354=0,0,N354/VE)</f>
      </c>
      <c r="AN24" s="117">
        <f>SUM(AH24:AM24)</f>
      </c>
      <c r="AO24" s="1"/>
      <c r="AP24" s="118">
        <v>2</v>
      </c>
      <c r="AQ24" s="93">
        <f>AQ25/1.25</f>
      </c>
      <c r="AR24" s="119"/>
      <c r="AS24" s="10"/>
      <c r="AT24" s="17"/>
      <c r="AU24" s="69"/>
      <c r="AV24" s="39"/>
      <c r="AW24" s="39"/>
      <c r="AX24" s="11"/>
      <c r="AY24" s="1"/>
      <c r="AZ24" s="1"/>
      <c r="BA24" s="1"/>
      <c r="BB24" s="1"/>
      <c r="BC24" s="1"/>
      <c r="BD24" s="1"/>
      <c r="BE24" s="1"/>
      <c r="BF24" s="1"/>
      <c r="BG24" s="1"/>
      <c r="BH24" s="1"/>
    </row>
    <row x14ac:dyDescent="0.25" r="25" customHeight="1" ht="14.25">
      <c r="A25" s="1"/>
      <c r="B25" s="1"/>
      <c r="C25" s="1"/>
      <c r="D25" s="1"/>
      <c r="E25" s="2"/>
      <c r="F25" s="2"/>
      <c r="G25" s="90">
        <f>(S25&amp;RIGHT(R25,1))*1</f>
      </c>
      <c r="H25" s="1"/>
      <c r="I25" s="111"/>
      <c r="J25" s="120">
        <f>Planning!Q25</f>
      </c>
      <c r="K25" s="93">
        <f>VLOOKUP(J25,AA$23:AE$88,5,FALSE)</f>
      </c>
      <c r="L25" s="94">
        <f>Planning!U25</f>
      </c>
      <c r="M25" s="121">
        <f>IF(Planning!AB25=0,0,IFERROR($AD25*AH$22,0))</f>
      </c>
      <c r="N25" s="95">
        <f>IF(Planning!AB25=0,0,IFERROR($AD25*AH$22*K25,0))</f>
      </c>
      <c r="O25" s="96">
        <f>IF(ISTEXT(Planning!U25),0,AH25)</f>
      </c>
      <c r="P25" s="122">
        <f>Planning!AB25</f>
      </c>
      <c r="Q25" s="121">
        <f>Progress!R25</f>
      </c>
      <c r="R25" s="95">
        <f>IF(Q25=0,0,IF(ISNUMBER(Q25),IF(S25&gt;=$G$21,$F$21,"Q6"),Q25))</f>
      </c>
      <c r="S25" s="112">
        <f>Progress!S25</f>
      </c>
      <c r="T25" s="97"/>
      <c r="U25" s="96">
        <f>V25/$N$419</f>
      </c>
      <c r="V25" s="95">
        <f>IF(L25&lt;$E$20,0,IF(ISTEXT(L25),0,IF(AND(G25+1&gt;=$E$19+1,L25&gt;0),IF(ISNUMBER(Q25),Q25*$AD25*AH$22*K25,$AD25*AH$22*K25),0)))</f>
      </c>
      <c r="W25" s="95">
        <f>IF(AND(L25&gt;0,S25&gt;0),IF(ISNUMBER(Q25),Q25*$AD25*AH$22*K25,$AD25*AH$22*K25),0)</f>
      </c>
      <c r="X25" s="17"/>
      <c r="Y25" s="11"/>
      <c r="Z25" s="11"/>
      <c r="AA25" s="98">
        <f>Planning!Q25</f>
      </c>
      <c r="AB25" s="99">
        <f>IF(ISTEXT(AA25),VLOOKUP(AA25,Data_All,2,FALSE),"")</f>
      </c>
      <c r="AC25" s="99">
        <f>IF(ISTEXT(AA25),VLOOKUP(AA25,Data_All,3,FALSE),1)</f>
      </c>
      <c r="AD25" s="100">
        <f>IF(ISTEXT(AA25),Planning!T25)</f>
      </c>
      <c r="AE25" s="113">
        <f>VLOOKUP(AC25,Multiplier,2,FALSE)</f>
      </c>
      <c r="AF25" s="114">
        <f>AD25*AE25</f>
      </c>
      <c r="AG25" s="1"/>
      <c r="AH25" s="103">
        <f>IF(N25=0,0,N25/VE)</f>
      </c>
      <c r="AI25" s="115">
        <f>IF(N91=0,0,N91/VE)</f>
      </c>
      <c r="AJ25" s="115">
        <f>IF(N157=0,0,N157/VE)</f>
      </c>
      <c r="AK25" s="115">
        <f>IF(N223=0,0,N223/VE)</f>
      </c>
      <c r="AL25" s="115">
        <f>IF(N289=0,0,N289/VE)</f>
      </c>
      <c r="AM25" s="116">
        <f>IF(N355=0,0,N355/VE)</f>
      </c>
      <c r="AN25" s="117">
        <f>SUM(AH25:AM25)</f>
      </c>
      <c r="AO25" s="1"/>
      <c r="AP25" s="118">
        <v>3</v>
      </c>
      <c r="AQ25" s="99">
        <v>1</v>
      </c>
      <c r="AR25" s="119"/>
      <c r="AS25" s="10"/>
      <c r="AT25" s="17"/>
      <c r="AU25" s="69"/>
      <c r="AV25" s="39"/>
      <c r="AW25" s="39"/>
      <c r="AX25" s="11"/>
      <c r="AY25" s="1"/>
      <c r="AZ25" s="1"/>
      <c r="BA25" s="1"/>
      <c r="BB25" s="1"/>
      <c r="BC25" s="1"/>
      <c r="BD25" s="1"/>
      <c r="BE25" s="1"/>
      <c r="BF25" s="1"/>
      <c r="BG25" s="1"/>
      <c r="BH25" s="1"/>
    </row>
    <row x14ac:dyDescent="0.25" r="26" customHeight="1" ht="14.25">
      <c r="A26" s="1"/>
      <c r="B26" s="1"/>
      <c r="C26" s="1"/>
      <c r="D26" s="1"/>
      <c r="E26" s="2"/>
      <c r="F26" s="2"/>
      <c r="G26" s="90">
        <f>(S26&amp;RIGHT(R26,1))*1</f>
      </c>
      <c r="H26" s="1"/>
      <c r="I26" s="111"/>
      <c r="J26" s="120">
        <f>Planning!Q26</f>
      </c>
      <c r="K26" s="93">
        <f>VLOOKUP(J26,AA$23:AE$88,5,FALSE)</f>
      </c>
      <c r="L26" s="94">
        <f>Planning!U26</f>
      </c>
      <c r="M26" s="121">
        <f>IF(Planning!AB26=0,0,IFERROR($AD26*AH$22,0))</f>
      </c>
      <c r="N26" s="95">
        <f>IF(Planning!AB26=0,0,IFERROR($AD26*AH$22*K26,0))</f>
      </c>
      <c r="O26" s="96">
        <f>IF(ISTEXT(Planning!U26),0,AH26)</f>
      </c>
      <c r="P26" s="122">
        <f>Planning!AB26</f>
      </c>
      <c r="Q26" s="121">
        <f>Progress!R26</f>
      </c>
      <c r="R26" s="95">
        <f>IF(Q26=0,0,IF(ISNUMBER(Q26),IF(S26&gt;=$G$21,$F$21,"Q7"),Q26))</f>
      </c>
      <c r="S26" s="112">
        <f>Progress!S26</f>
      </c>
      <c r="T26" s="97"/>
      <c r="U26" s="96">
        <f>V26/$N$419</f>
      </c>
      <c r="V26" s="95">
        <f>IF(L26&lt;$E$20,0,IF(ISTEXT(L26),0,IF(AND(G26+1&gt;=$E$19+1,L26&gt;0),IF(ISNUMBER(Q26),Q26*$AD26*AH$22*K26,$AD26*AH$22*K26),0)))</f>
      </c>
      <c r="W26" s="95">
        <f>IF(AND(L26&gt;0,S26&gt;0),IF(ISNUMBER(Q26),Q26*$AD26*AH$22*K26,$AD26*AH$22*K26),0)</f>
      </c>
      <c r="X26" s="17"/>
      <c r="Y26" s="11"/>
      <c r="Z26" s="11"/>
      <c r="AA26" s="98">
        <f>Planning!Q26</f>
      </c>
      <c r="AB26" s="99">
        <f>IF(ISTEXT(AA26),VLOOKUP(AA26,Data_All,2,FALSE),"")</f>
      </c>
      <c r="AC26" s="99">
        <f>IF(ISTEXT(AA26),VLOOKUP(AA26,Data_All,3,FALSE),1)</f>
      </c>
      <c r="AD26" s="100">
        <f>IF(ISTEXT(AA26),Planning!T26)</f>
      </c>
      <c r="AE26" s="113">
        <f>VLOOKUP(AC26,Multiplier,2,FALSE)</f>
      </c>
      <c r="AF26" s="114">
        <f>AD26*AE26</f>
      </c>
      <c r="AG26" s="1"/>
      <c r="AH26" s="103">
        <f>IF(N26=0,0,N26/VE)</f>
      </c>
      <c r="AI26" s="115">
        <f>IF(N92=0,0,N92/VE)</f>
      </c>
      <c r="AJ26" s="115">
        <f>IF(N158=0,0,N158/VE)</f>
      </c>
      <c r="AK26" s="115">
        <f>IF(N224=0,0,N224/VE)</f>
      </c>
      <c r="AL26" s="115">
        <f>IF(N290=0,0,N290/VE)</f>
      </c>
      <c r="AM26" s="116">
        <f>IF(N356=0,0,N356/VE)</f>
      </c>
      <c r="AN26" s="117">
        <f>SUM(AH26:AM26)</f>
      </c>
      <c r="AO26" s="1"/>
      <c r="AP26" s="118">
        <v>4</v>
      </c>
      <c r="AQ26" s="93">
        <f>AQ25*1.25</f>
      </c>
      <c r="AR26" s="119"/>
      <c r="AS26" s="10"/>
      <c r="AT26" s="17"/>
      <c r="AU26" s="69"/>
      <c r="AV26" s="39"/>
      <c r="AW26" s="39"/>
      <c r="AX26" s="11"/>
      <c r="AY26" s="1"/>
      <c r="AZ26" s="1"/>
      <c r="BA26" s="1"/>
      <c r="BB26" s="1"/>
      <c r="BC26" s="1"/>
      <c r="BD26" s="1"/>
      <c r="BE26" s="1"/>
      <c r="BF26" s="1"/>
      <c r="BG26" s="1"/>
      <c r="BH26" s="1"/>
    </row>
    <row x14ac:dyDescent="0.25" r="27" customHeight="1" ht="14.25">
      <c r="A27" s="1"/>
      <c r="B27" s="1"/>
      <c r="C27" s="1"/>
      <c r="D27" s="1"/>
      <c r="E27" s="2"/>
      <c r="F27" s="2"/>
      <c r="G27" s="90">
        <f>(S27&amp;RIGHT(R27,1))*1</f>
      </c>
      <c r="H27" s="1"/>
      <c r="I27" s="111"/>
      <c r="J27" s="120">
        <f>Planning!Q27</f>
      </c>
      <c r="K27" s="93">
        <f>VLOOKUP(J27,AA$23:AE$88,5,FALSE)</f>
      </c>
      <c r="L27" s="94">
        <f>Planning!U27</f>
      </c>
      <c r="M27" s="121">
        <f>IF(Planning!AB27=0,0,IFERROR($AD27*AH$22,0))</f>
      </c>
      <c r="N27" s="95">
        <f>IF(Planning!AB27=0,0,IFERROR($AD27*AH$22*K27,0))</f>
      </c>
      <c r="O27" s="96">
        <f>IF(ISTEXT(Planning!U27),0,AH27)</f>
      </c>
      <c r="P27" s="122">
        <f>Planning!AB27</f>
      </c>
      <c r="Q27" s="121">
        <f>Progress!R27</f>
      </c>
      <c r="R27" s="95">
        <f>IF(Q27=0,0,IF(ISNUMBER(Q27),IF(S27&gt;=$G$21,$F$21,"Q8"),Q27))</f>
      </c>
      <c r="S27" s="112">
        <f>Progress!S27</f>
      </c>
      <c r="T27" s="97"/>
      <c r="U27" s="96">
        <f>V27/$N$419</f>
      </c>
      <c r="V27" s="95">
        <f>IF(L27&lt;$E$20,0,IF(ISTEXT(L27),0,IF(AND(G27+1&gt;=$E$19+1,L27&gt;0),IF(ISNUMBER(Q27),Q27*$AD27*AH$22*K27,$AD27*AH$22*K27),0)))</f>
      </c>
      <c r="W27" s="95">
        <f>IF(AND(L27&gt;0,S27&gt;0),IF(ISNUMBER(Q27),Q27*$AD27*AH$22*K27,$AD27*AH$22*K27),0)</f>
      </c>
      <c r="X27" s="17"/>
      <c r="Y27" s="11"/>
      <c r="Z27" s="11"/>
      <c r="AA27" s="98">
        <f>Planning!Q27</f>
      </c>
      <c r="AB27" s="99">
        <f>IF(ISTEXT(AA27),VLOOKUP(AA27,Data_All,2,FALSE),"")</f>
      </c>
      <c r="AC27" s="99">
        <f>IF(ISTEXT(AA27),VLOOKUP(AA27,Data_All,3,FALSE),1)</f>
      </c>
      <c r="AD27" s="100">
        <f>IF(ISTEXT(AA27),Planning!T27)</f>
      </c>
      <c r="AE27" s="113">
        <f>VLOOKUP(AC27,Multiplier,2,FALSE)</f>
      </c>
      <c r="AF27" s="114">
        <f>AD27*AE27</f>
      </c>
      <c r="AG27" s="1"/>
      <c r="AH27" s="103">
        <f>IF(N27=0,0,N27/VE)</f>
      </c>
      <c r="AI27" s="115">
        <f>IF(N93=0,0,N93/VE)</f>
      </c>
      <c r="AJ27" s="115">
        <f>IF(N159=0,0,N159/VE)</f>
      </c>
      <c r="AK27" s="115">
        <f>IF(N225=0,0,N225/VE)</f>
      </c>
      <c r="AL27" s="115">
        <f>IF(N291=0,0,N291/VE)</f>
      </c>
      <c r="AM27" s="116">
        <f>IF(N357=0,0,N357/VE)</f>
      </c>
      <c r="AN27" s="117">
        <f>SUM(AH27:AM27)</f>
      </c>
      <c r="AO27" s="1"/>
      <c r="AP27" s="123">
        <v>5</v>
      </c>
      <c r="AQ27" s="124">
        <f>AQ26*1.25</f>
      </c>
      <c r="AR27" s="125"/>
      <c r="AS27" s="10"/>
      <c r="AT27" s="17"/>
      <c r="AU27" s="69"/>
      <c r="AV27" s="39"/>
      <c r="AW27" s="39"/>
      <c r="AX27" s="11"/>
      <c r="AY27" s="1"/>
      <c r="AZ27" s="1"/>
      <c r="BA27" s="1"/>
      <c r="BB27" s="1"/>
      <c r="BC27" s="1"/>
      <c r="BD27" s="1"/>
      <c r="BE27" s="1"/>
      <c r="BF27" s="1"/>
      <c r="BG27" s="1"/>
      <c r="BH27" s="1"/>
    </row>
    <row x14ac:dyDescent="0.25" r="28" customHeight="1" ht="14.25">
      <c r="A28" s="1"/>
      <c r="B28" s="1"/>
      <c r="C28" s="1"/>
      <c r="D28" s="1"/>
      <c r="E28" s="2"/>
      <c r="F28" s="2"/>
      <c r="G28" s="90">
        <f>(S28&amp;RIGHT(R28,1))*1</f>
      </c>
      <c r="H28" s="1"/>
      <c r="I28" s="111"/>
      <c r="J28" s="126">
        <f>Planning!Q28</f>
      </c>
      <c r="K28" s="93">
        <f>VLOOKUP(J28,AA$23:AE$88,5,FALSE)</f>
      </c>
      <c r="L28" s="94">
        <f>Planning!U28</f>
      </c>
      <c r="M28" s="121">
        <f>IF(Planning!AB28=0,0,IFERROR($AD28*AH$22,0))</f>
      </c>
      <c r="N28" s="95">
        <f>IF(Planning!AB28=0,0,IFERROR($AD28*AH$22*K28,0))</f>
      </c>
      <c r="O28" s="96">
        <f>IF(ISTEXT(Planning!U28),0,AH28)</f>
      </c>
      <c r="P28" s="122">
        <f>Planning!AB28</f>
      </c>
      <c r="Q28" s="121">
        <f>Progress!R28</f>
      </c>
      <c r="R28" s="95">
        <f>IF(Q28=0,0,IF(ISNUMBER(Q28),IF(S28&gt;=$G$21,$F$21,"Q9"),Q28))</f>
      </c>
      <c r="S28" s="112">
        <f>Progress!S28</f>
      </c>
      <c r="T28" s="97"/>
      <c r="U28" s="96">
        <f>V28/$N$419</f>
      </c>
      <c r="V28" s="95">
        <f>IF(L28&lt;$E$20,0,IF(ISTEXT(L28),0,IF(AND(G28+1&gt;=$E$19+1,L28&gt;0),IF(ISNUMBER(Q28),Q28*$AD28*AH$22*K28,$AD28*AH$22*K28),0)))</f>
      </c>
      <c r="W28" s="95">
        <f>IF(AND(L28&gt;0,S28&gt;0),IF(ISNUMBER(Q28),Q28*$AD28*AH$22*K28,$AD28*AH$22*K28),0)</f>
      </c>
      <c r="X28" s="17"/>
      <c r="Y28" s="11"/>
      <c r="Z28" s="11"/>
      <c r="AA28" s="98">
        <f>Planning!Q28</f>
      </c>
      <c r="AB28" s="99">
        <f>IF(ISTEXT(AA28),VLOOKUP(AA28,Data_All,2,FALSE),"")</f>
      </c>
      <c r="AC28" s="99">
        <f>IF(ISTEXT(AA28),VLOOKUP(AA28,Data_All,3,FALSE),1)</f>
      </c>
      <c r="AD28" s="100">
        <f>IF(ISTEXT(AA28),Planning!T28)</f>
      </c>
      <c r="AE28" s="113">
        <f>VLOOKUP(AC28,Multiplier,2,FALSE)</f>
      </c>
      <c r="AF28" s="114">
        <f>AD28*AE28</f>
      </c>
      <c r="AG28" s="17"/>
      <c r="AH28" s="103">
        <f>IF(N28=0,0,N28/VE)</f>
      </c>
      <c r="AI28" s="115">
        <f>IF(N94=0,0,N94/VE)</f>
      </c>
      <c r="AJ28" s="115">
        <f>IF(N160=0,0,N160/VE)</f>
      </c>
      <c r="AK28" s="115">
        <f>IF(N226=0,0,N226/VE)</f>
      </c>
      <c r="AL28" s="115">
        <f>IF(N292=0,0,N292/VE)</f>
      </c>
      <c r="AM28" s="116">
        <f>IF(N358=0,0,N358/VE)</f>
      </c>
      <c r="AN28" s="117">
        <f>SUM(AH28:AM28)</f>
      </c>
      <c r="AO28" s="1"/>
      <c r="AP28" s="9"/>
      <c r="AQ28" s="2"/>
      <c r="AR28" s="3"/>
      <c r="AS28" s="10"/>
      <c r="AT28" s="1"/>
      <c r="AU28" s="69"/>
      <c r="AV28" s="39"/>
      <c r="AW28" s="39"/>
      <c r="AX28" s="11"/>
      <c r="AY28" s="1"/>
      <c r="AZ28" s="1"/>
      <c r="BA28" s="1"/>
      <c r="BB28" s="1"/>
      <c r="BC28" s="1"/>
      <c r="BD28" s="1"/>
      <c r="BE28" s="1"/>
      <c r="BF28" s="1"/>
      <c r="BG28" s="1"/>
      <c r="BH28" s="1"/>
    </row>
    <row x14ac:dyDescent="0.25" r="29" customHeight="1" ht="14.25">
      <c r="A29" s="1"/>
      <c r="B29" s="1"/>
      <c r="C29" s="1"/>
      <c r="D29" s="1"/>
      <c r="E29" s="2"/>
      <c r="F29" s="2"/>
      <c r="G29" s="90">
        <f>(S29&amp;RIGHT(R29,1))*1</f>
      </c>
      <c r="H29" s="1"/>
      <c r="I29" s="111"/>
      <c r="J29" s="126">
        <f>Planning!Q29</f>
      </c>
      <c r="K29" s="93">
        <f>VLOOKUP(J29,AA$23:AE$88,5,FALSE)</f>
      </c>
      <c r="L29" s="122">
        <f>Planning!U29</f>
      </c>
      <c r="M29" s="121">
        <f>IF(Planning!AB29=0,0,IFERROR($AD29*AH$22,0))</f>
      </c>
      <c r="N29" s="95">
        <f>IF(Planning!AB29=0,0,IFERROR($AD29*AH$22*K29,0))</f>
      </c>
      <c r="O29" s="96">
        <f>IF(ISTEXT(Planning!U29),0,AH29)</f>
      </c>
      <c r="P29" s="122">
        <f>Planning!AB29</f>
      </c>
      <c r="Q29" s="121">
        <f>Progress!R29</f>
      </c>
      <c r="R29" s="95">
        <f>IF(Q29=0,0,IF(ISNUMBER(Q29),IF(S29&gt;=$G$21,$F$21,"Q10"),Q29))</f>
      </c>
      <c r="S29" s="112">
        <f>Progress!S29</f>
      </c>
      <c r="T29" s="97"/>
      <c r="U29" s="96">
        <f>V29/$N$419</f>
      </c>
      <c r="V29" s="95">
        <f>IF(L29&lt;$E$20,0,IF(ISTEXT(L29),0,IF(AND(G29+1&gt;=$E$19+1,L29&gt;0),IF(ISNUMBER(Q29),Q29*$AD29*AH$22*K29,$AD29*AH$22*K29),0)))</f>
      </c>
      <c r="W29" s="95">
        <f>IF(AND(L29&gt;0,S29&gt;0),IF(ISNUMBER(Q29),Q29*$AD29*AH$22*K29,$AD29*AH$22*K29),0)</f>
      </c>
      <c r="X29" s="17"/>
      <c r="Y29" s="11"/>
      <c r="Z29" s="11"/>
      <c r="AA29" s="98">
        <f>Planning!Q29</f>
      </c>
      <c r="AB29" s="99">
        <f>IF(ISTEXT(AA29),VLOOKUP(AA29,Data_All,2,FALSE),"")</f>
      </c>
      <c r="AC29" s="99">
        <f>IF(ISTEXT(AA29),VLOOKUP(AA29,Data_All,3,FALSE),1)</f>
      </c>
      <c r="AD29" s="100">
        <f>IF(ISTEXT(AA29),Planning!T29)</f>
      </c>
      <c r="AE29" s="113">
        <f>VLOOKUP(AC29,Multiplier,2,FALSE)</f>
      </c>
      <c r="AF29" s="114">
        <f>AD29*AE29</f>
      </c>
      <c r="AG29" s="17"/>
      <c r="AH29" s="103">
        <f>IF(N29=0,0,N29/VE)</f>
      </c>
      <c r="AI29" s="115">
        <f>IF(N95=0,0,N95/VE)</f>
      </c>
      <c r="AJ29" s="115">
        <f>IF(N161=0,0,N161/VE)</f>
      </c>
      <c r="AK29" s="115">
        <f>IF(N227=0,0,N227/VE)</f>
      </c>
      <c r="AL29" s="115">
        <f>IF(N293=0,0,N293/VE)</f>
      </c>
      <c r="AM29" s="116">
        <f>IF(N359=0,0,N359/VE)</f>
      </c>
      <c r="AN29" s="117">
        <f>SUM(AH29:AM29)</f>
      </c>
      <c r="AO29" s="1"/>
      <c r="AP29" s="127" t="s">
        <v>24</v>
      </c>
      <c r="AQ29" s="128"/>
      <c r="AR29" s="129"/>
      <c r="AS29" s="130"/>
      <c r="AT29" s="1"/>
      <c r="AU29" s="69"/>
      <c r="AV29" s="39"/>
      <c r="AW29" s="39"/>
      <c r="AX29" s="11"/>
      <c r="AY29" s="1"/>
      <c r="AZ29" s="1"/>
      <c r="BA29" s="1"/>
      <c r="BB29" s="1"/>
      <c r="BC29" s="1"/>
      <c r="BD29" s="1"/>
      <c r="BE29" s="1"/>
      <c r="BF29" s="1"/>
      <c r="BG29" s="1"/>
      <c r="BH29" s="1"/>
    </row>
    <row x14ac:dyDescent="0.25" r="30" customHeight="1" ht="14.25">
      <c r="A30" s="1"/>
      <c r="B30" s="1"/>
      <c r="C30" s="1"/>
      <c r="D30" s="1"/>
      <c r="E30" s="2"/>
      <c r="F30" s="2"/>
      <c r="G30" s="90">
        <f>(S30&amp;RIGHT(R30,1))*1</f>
      </c>
      <c r="H30" s="1"/>
      <c r="I30" s="111"/>
      <c r="J30" s="126">
        <f>Planning!Q30</f>
      </c>
      <c r="K30" s="93">
        <f>VLOOKUP(J30,AA$23:AE$88,5,FALSE)</f>
      </c>
      <c r="L30" s="122">
        <f>Planning!U30</f>
      </c>
      <c r="M30" s="121">
        <f>IF(Planning!AB30=0,0,IFERROR($AD30*AH$22,0))</f>
      </c>
      <c r="N30" s="95">
        <f>IF(Planning!AB30=0,0,IFERROR($AD30*AH$22*K30,0))</f>
      </c>
      <c r="O30" s="96">
        <f>IF(ISTEXT(Planning!U30),0,AH30)</f>
      </c>
      <c r="P30" s="122">
        <f>Planning!AB30</f>
      </c>
      <c r="Q30" s="121">
        <f>Progress!R30</f>
      </c>
      <c r="R30" s="95">
        <f>IF(Q30=0,0,IF(ISNUMBER(Q30),IF(S30&gt;=$G$21,$F$21,"Q11"),Q30))</f>
      </c>
      <c r="S30" s="112">
        <f>Progress!S30</f>
      </c>
      <c r="T30" s="97"/>
      <c r="U30" s="96">
        <f>V30/$N$419</f>
      </c>
      <c r="V30" s="95">
        <f>IF(L30&lt;$E$20,0,IF(ISTEXT(L30),0,IF(AND(G30+1&gt;=$E$19+1,L30&gt;0),IF(ISNUMBER(Q30),Q30*$AD30*AH$22*K30,$AD30*AH$22*K30),0)))</f>
      </c>
      <c r="W30" s="95">
        <f>IF(AND(L30&gt;0,S30&gt;0),IF(ISNUMBER(Q30),Q30*$AD30*AH$22*K30,$AD30*AH$22*K30),0)</f>
      </c>
      <c r="X30" s="17"/>
      <c r="Y30" s="11"/>
      <c r="Z30" s="11"/>
      <c r="AA30" s="98">
        <f>Planning!Q30</f>
      </c>
      <c r="AB30" s="99">
        <f>IF(ISTEXT(AA30),VLOOKUP(AA30,Data_All,2,FALSE),"")</f>
      </c>
      <c r="AC30" s="99">
        <f>IF(ISTEXT(AA30),VLOOKUP(AA30,Data_All,3,FALSE),1)</f>
      </c>
      <c r="AD30" s="100">
        <f>IF(ISTEXT(AA30),Planning!T30)</f>
      </c>
      <c r="AE30" s="113">
        <f>VLOOKUP(AC30,Multiplier,2,FALSE)</f>
      </c>
      <c r="AF30" s="114">
        <f>AD30*AE30</f>
      </c>
      <c r="AG30" s="39"/>
      <c r="AH30" s="103">
        <f>IF(N30=0,0,N30/VE)</f>
      </c>
      <c r="AI30" s="115">
        <f>IF(N96=0,0,N96/VE)</f>
      </c>
      <c r="AJ30" s="115">
        <f>IF(N162=0,0,N162/VE)</f>
      </c>
      <c r="AK30" s="115">
        <f>IF(N228=0,0,N228/VE)</f>
      </c>
      <c r="AL30" s="115">
        <f>IF(N294=0,0,N294/VE)</f>
      </c>
      <c r="AM30" s="116">
        <f>IF(N360=0,0,N360/VE)</f>
      </c>
      <c r="AN30" s="117">
        <f>SUM(AH30:AM30)</f>
      </c>
      <c r="AO30" s="1"/>
      <c r="AP30" s="131" t="s">
        <v>25</v>
      </c>
      <c r="AQ30" s="132">
        <f>Progress!AT18</f>
      </c>
      <c r="AR30" s="133"/>
      <c r="AS30" s="134"/>
      <c r="AT30" s="69"/>
      <c r="AU30" s="69"/>
      <c r="AV30" s="90"/>
      <c r="AW30" s="69"/>
      <c r="AX30" s="135"/>
      <c r="AY30" s="69"/>
      <c r="AZ30" s="69"/>
      <c r="BA30" s="69"/>
      <c r="BB30" s="69"/>
      <c r="BC30" s="69"/>
      <c r="BD30" s="69"/>
      <c r="BE30" s="69"/>
      <c r="BF30" s="69"/>
      <c r="BG30" s="69"/>
      <c r="BH30" s="69"/>
    </row>
    <row x14ac:dyDescent="0.25" r="31" customHeight="1" ht="14.25">
      <c r="A31" s="1"/>
      <c r="B31" s="1"/>
      <c r="C31" s="1"/>
      <c r="D31" s="1"/>
      <c r="E31" s="2"/>
      <c r="F31" s="2"/>
      <c r="G31" s="90">
        <f>(S31&amp;RIGHT(R31,1))*1</f>
      </c>
      <c r="H31" s="1"/>
      <c r="I31" s="111"/>
      <c r="J31" s="126">
        <f>Planning!Q31</f>
      </c>
      <c r="K31" s="93">
        <f>VLOOKUP(J31,AA$23:AE$88,5,FALSE)</f>
      </c>
      <c r="L31" s="122">
        <f>Planning!U31</f>
      </c>
      <c r="M31" s="121">
        <f>IF(Planning!AB31=0,0,IFERROR($AD31*AH$22,0))</f>
      </c>
      <c r="N31" s="95">
        <f>IF(Planning!AB31=0,0,IFERROR($AD31*AH$22*K31,0))</f>
      </c>
      <c r="O31" s="96">
        <f>IF(ISTEXT(Planning!U31),0,AH31)</f>
      </c>
      <c r="P31" s="122">
        <f>Planning!AB31</f>
      </c>
      <c r="Q31" s="121">
        <f>Progress!R31</f>
      </c>
      <c r="R31" s="95">
        <f>IF(Q31=0,0,IF(ISNUMBER(Q31),IF(S31&gt;=$G$21,$F$21,"Q12"),Q31))</f>
      </c>
      <c r="S31" s="112">
        <f>Progress!S31</f>
      </c>
      <c r="T31" s="97"/>
      <c r="U31" s="96">
        <f>V31/$N$419</f>
      </c>
      <c r="V31" s="95">
        <f>IF(L31&lt;$E$20,0,IF(ISTEXT(L31),0,IF(AND(G31+1&gt;=$E$19+1,L31&gt;0),IF(ISNUMBER(Q31),Q31*$AD31*AH$22*K31,$AD31*AH$22*K31),0)))</f>
      </c>
      <c r="W31" s="95">
        <f>IF(AND(L31&gt;0,S31&gt;0),IF(ISNUMBER(Q31),Q31*$AD31*AH$22*K31,$AD31*AH$22*K31),0)</f>
      </c>
      <c r="X31" s="17"/>
      <c r="Y31" s="11"/>
      <c r="Z31" s="11"/>
      <c r="AA31" s="98">
        <f>Planning!Q31</f>
      </c>
      <c r="AB31" s="99">
        <f>IF(ISTEXT(AA31),VLOOKUP(AA31,Data_All,2,FALSE),"")</f>
      </c>
      <c r="AC31" s="99">
        <f>IF(ISTEXT(AA31),VLOOKUP(AA31,Data_All,3,FALSE),1)</f>
      </c>
      <c r="AD31" s="100">
        <f>IF(ISTEXT(AA31),Planning!T31)</f>
      </c>
      <c r="AE31" s="113">
        <f>VLOOKUP(AC31,Multiplier,2,FALSE)</f>
      </c>
      <c r="AF31" s="114">
        <f>AD31*AE31</f>
      </c>
      <c r="AG31" s="39"/>
      <c r="AH31" s="103">
        <f>IF(N31=0,0,N31/VE)</f>
      </c>
      <c r="AI31" s="115">
        <f>IF(N97=0,0,N97/VE)</f>
      </c>
      <c r="AJ31" s="115">
        <f>IF(N163=0,0,N163/VE)</f>
      </c>
      <c r="AK31" s="115">
        <f>IF(N229=0,0,N229/VE)</f>
      </c>
      <c r="AL31" s="115">
        <f>IF(N295=0,0,N295/VE)</f>
      </c>
      <c r="AM31" s="116">
        <f>IF(N361=0,0,N361/VE)</f>
      </c>
      <c r="AN31" s="117">
        <f>SUM(AH31:AM31)</f>
      </c>
      <c r="AO31" s="1"/>
      <c r="AP31" s="136" t="s">
        <v>26</v>
      </c>
      <c r="AQ31" s="132">
        <f>IF(ISNUMBER(Planning!O18),"Prev. Years","")</f>
      </c>
      <c r="AR31" s="133"/>
      <c r="AS31" s="134"/>
      <c r="AT31" s="69"/>
      <c r="AU31" s="69"/>
      <c r="AV31" s="90"/>
      <c r="AW31" s="69"/>
      <c r="AX31" s="69"/>
      <c r="AY31" s="69"/>
      <c r="AZ31" s="69"/>
      <c r="BA31" s="69"/>
      <c r="BB31" s="69"/>
      <c r="BC31" s="69"/>
      <c r="BD31" s="69"/>
      <c r="BE31" s="69"/>
      <c r="BF31" s="69"/>
      <c r="BG31" s="69"/>
      <c r="BH31" s="69"/>
    </row>
    <row x14ac:dyDescent="0.25" r="32" customHeight="1" ht="14.25">
      <c r="A32" s="1"/>
      <c r="B32" s="1"/>
      <c r="C32" s="1"/>
      <c r="D32" s="1"/>
      <c r="E32" s="2"/>
      <c r="F32" s="2"/>
      <c r="G32" s="90">
        <f>(S32&amp;RIGHT(R32,1))*1</f>
      </c>
      <c r="H32" s="1"/>
      <c r="I32" s="111"/>
      <c r="J32" s="126">
        <f>Planning!Q32</f>
      </c>
      <c r="K32" s="93">
        <f>VLOOKUP(J32,AA$23:AE$88,5,FALSE)</f>
      </c>
      <c r="L32" s="122">
        <f>Planning!U32</f>
      </c>
      <c r="M32" s="121">
        <f>IF(Planning!AB32=0,0,IFERROR($AD32*AH$22,0))</f>
      </c>
      <c r="N32" s="95">
        <f>IF(Planning!AB32=0,0,IFERROR($AD32*AH$22*K32,0))</f>
      </c>
      <c r="O32" s="96">
        <f>IF(ISTEXT(Planning!U32),0,AH32)</f>
      </c>
      <c r="P32" s="122">
        <f>Planning!AB32</f>
      </c>
      <c r="Q32" s="121">
        <f>Progress!R32</f>
      </c>
      <c r="R32" s="95">
        <f>IF(Q32=0,0,IF(ISNUMBER(Q32),IF(S32&gt;=$G$21,$F$21,"Q13"),Q32))</f>
      </c>
      <c r="S32" s="112">
        <f>Progress!S32</f>
      </c>
      <c r="T32" s="97"/>
      <c r="U32" s="96">
        <f>V32/$N$419</f>
      </c>
      <c r="V32" s="95">
        <f>IF(L32&lt;$E$20,0,IF(ISTEXT(L32),0,IF(AND(G32+1&gt;=$E$19+1,L32&gt;0),IF(ISNUMBER(Q32),Q32*$AD32*AH$22*K32,$AD32*AH$22*K32),0)))</f>
      </c>
      <c r="W32" s="95">
        <f>IF(AND(L32&gt;0,S32&gt;0),IF(ISNUMBER(Q32),Q32*$AD32*AH$22*K32,$AD32*AH$22*K32),0)</f>
      </c>
      <c r="X32" s="17"/>
      <c r="Y32" s="11"/>
      <c r="Z32" s="11"/>
      <c r="AA32" s="98">
        <f>Planning!Q32</f>
      </c>
      <c r="AB32" s="99">
        <f>IF(ISTEXT(AA32),VLOOKUP(AA32,Data_All,2,FALSE),"")</f>
      </c>
      <c r="AC32" s="99">
        <f>IF(ISTEXT(AA32),VLOOKUP(AA32,Data_All,3,FALSE),1)</f>
      </c>
      <c r="AD32" s="100">
        <f>IF(ISTEXT(AA32),Planning!T32)</f>
      </c>
      <c r="AE32" s="113">
        <f>VLOOKUP(AC32,Multiplier,2,FALSE)</f>
      </c>
      <c r="AF32" s="114">
        <f>AD32*AE32</f>
      </c>
      <c r="AG32" s="39"/>
      <c r="AH32" s="103">
        <f>IF(N32=0,0,N32/VE)</f>
      </c>
      <c r="AI32" s="115">
        <f>IF(N98=0,0,N98/VE)</f>
      </c>
      <c r="AJ32" s="115">
        <f>IF(N164=0,0,N164/VE)</f>
      </c>
      <c r="AK32" s="115">
        <f>IF(N230=0,0,N230/VE)</f>
      </c>
      <c r="AL32" s="115">
        <f>IF(N296=0,0,N296/VE)</f>
      </c>
      <c r="AM32" s="116">
        <f>IF(N362=0,0,N362/VE)</f>
      </c>
      <c r="AN32" s="117">
        <f>SUM(AH32:AM32)</f>
      </c>
      <c r="AO32" s="1"/>
      <c r="AP32" s="136" t="s">
        <v>27</v>
      </c>
      <c r="AQ32" s="137">
        <f>IF(ISBLANK(Planning!Z13),"",Year1)</f>
      </c>
      <c r="AR32" s="138">
        <v>1</v>
      </c>
      <c r="AS32" s="139">
        <f>Planning!L19</f>
      </c>
      <c r="AT32" s="69"/>
      <c r="AU32" s="69"/>
      <c r="AV32" s="90"/>
      <c r="AW32" s="69"/>
      <c r="AX32" s="69"/>
      <c r="AY32" s="69"/>
      <c r="AZ32" s="69"/>
      <c r="BA32" s="69"/>
      <c r="BB32" s="69"/>
      <c r="BC32" s="69"/>
      <c r="BD32" s="69"/>
      <c r="BE32" s="69"/>
      <c r="BF32" s="69"/>
      <c r="BG32" s="69"/>
      <c r="BH32" s="69"/>
    </row>
    <row x14ac:dyDescent="0.25" r="33" customHeight="1" ht="14.25">
      <c r="A33" s="1"/>
      <c r="B33" s="1"/>
      <c r="C33" s="1"/>
      <c r="D33" s="1"/>
      <c r="E33" s="2"/>
      <c r="F33" s="2"/>
      <c r="G33" s="90">
        <f>(S33&amp;RIGHT(R33,1))*1</f>
      </c>
      <c r="H33" s="1"/>
      <c r="I33" s="111"/>
      <c r="J33" s="126">
        <f>Planning!Q33</f>
      </c>
      <c r="K33" s="93">
        <f>VLOOKUP(J33,AA$23:AE$88,5,FALSE)</f>
      </c>
      <c r="L33" s="122">
        <f>Planning!U33</f>
      </c>
      <c r="M33" s="121">
        <f>IF(Planning!AB33=0,0,IFERROR($AD33*AH$22,0))</f>
      </c>
      <c r="N33" s="95">
        <f>IF(Planning!AB33=0,0,IFERROR($AD33*AH$22*K33,0))</f>
      </c>
      <c r="O33" s="96">
        <f>IF(ISTEXT(Planning!U33),0,AH33)</f>
      </c>
      <c r="P33" s="122">
        <f>Planning!AB33</f>
      </c>
      <c r="Q33" s="121">
        <f>Progress!R33</f>
      </c>
      <c r="R33" s="95">
        <f>IF(Q33=0,0,IF(ISNUMBER(Q33),IF(S33&gt;=$G$21,$F$21,"Q14"),Q33))</f>
      </c>
      <c r="S33" s="112">
        <f>Progress!S33</f>
      </c>
      <c r="T33" s="97"/>
      <c r="U33" s="96">
        <f>V33/$N$419</f>
      </c>
      <c r="V33" s="95">
        <f>IF(L33&lt;$E$20,0,IF(ISTEXT(L33),0,IF(AND(G33+1&gt;=$E$19+1,L33&gt;0),IF(ISNUMBER(Q33),Q33*$AD33*AH$22*K33,$AD33*AH$22*K33),0)))</f>
      </c>
      <c r="W33" s="95">
        <f>IF(AND(L33&gt;0,S33&gt;0),IF(ISNUMBER(Q33),Q33*$AD33*AH$22*K33,$AD33*AH$22*K33),0)</f>
      </c>
      <c r="X33" s="17"/>
      <c r="Y33" s="11"/>
      <c r="Z33" s="11"/>
      <c r="AA33" s="98">
        <f>Planning!Q33</f>
      </c>
      <c r="AB33" s="99">
        <f>IF(ISTEXT(AA33),VLOOKUP(AA33,Data_All,2,FALSE),"")</f>
      </c>
      <c r="AC33" s="99">
        <f>IF(ISTEXT(AA33),VLOOKUP(AA33,Data_All,3,FALSE),1)</f>
      </c>
      <c r="AD33" s="100">
        <f>IF(ISTEXT(AA33),Planning!T33)</f>
      </c>
      <c r="AE33" s="113">
        <f>VLOOKUP(AC33,Multiplier,2,FALSE)</f>
      </c>
      <c r="AF33" s="114">
        <f>AD33*AE33</f>
      </c>
      <c r="AG33" s="39"/>
      <c r="AH33" s="103">
        <f>IF(N33=0,0,N33/VE)</f>
      </c>
      <c r="AI33" s="115">
        <f>IF(N99=0,0,N99/VE)</f>
      </c>
      <c r="AJ33" s="115">
        <f>IF(N165=0,0,N165/VE)</f>
      </c>
      <c r="AK33" s="115">
        <f>IF(N231=0,0,N231/VE)</f>
      </c>
      <c r="AL33" s="115">
        <f>IF(N297=0,0,N297/VE)</f>
      </c>
      <c r="AM33" s="116">
        <f>IF(N363=0,0,N363/VE)</f>
      </c>
      <c r="AN33" s="117">
        <f>SUM(AH33:AM33)</f>
      </c>
      <c r="AO33" s="1"/>
      <c r="AP33" s="136" t="s">
        <v>28</v>
      </c>
      <c r="AQ33" s="140">
        <f>IF(AQ32="","",IF(AQ32+1&lt;=AQ$30,AQ32+1,""))</f>
      </c>
      <c r="AR33" s="138">
        <v>2</v>
      </c>
      <c r="AS33" s="139">
        <f>Planning!L20</f>
      </c>
      <c r="AT33" s="69"/>
      <c r="AU33" s="69"/>
      <c r="AV33" s="90"/>
      <c r="AW33" s="69"/>
      <c r="AX33" s="69"/>
      <c r="AY33" s="69"/>
      <c r="AZ33" s="69"/>
      <c r="BA33" s="69"/>
      <c r="BB33" s="69"/>
      <c r="BC33" s="69"/>
      <c r="BD33" s="69"/>
      <c r="BE33" s="69"/>
      <c r="BF33" s="69"/>
      <c r="BG33" s="69"/>
      <c r="BH33" s="69"/>
    </row>
    <row x14ac:dyDescent="0.25" r="34" customHeight="1" ht="14.25">
      <c r="A34" s="1"/>
      <c r="B34" s="1"/>
      <c r="C34" s="1"/>
      <c r="D34" s="1"/>
      <c r="E34" s="2"/>
      <c r="F34" s="2"/>
      <c r="G34" s="90">
        <f>(S34&amp;RIGHT(R34,1))*1</f>
      </c>
      <c r="H34" s="1"/>
      <c r="I34" s="111"/>
      <c r="J34" s="126">
        <f>Planning!Q34</f>
      </c>
      <c r="K34" s="93">
        <f>VLOOKUP(J34,AA$23:AE$88,5,FALSE)</f>
      </c>
      <c r="L34" s="122">
        <f>Planning!U34</f>
      </c>
      <c r="M34" s="121">
        <f>IF(Planning!AB34=0,0,IFERROR($AD34*AH$22,0))</f>
      </c>
      <c r="N34" s="95">
        <f>IF(Planning!AB34=0,0,IFERROR($AD34*AH$22*K34,0))</f>
      </c>
      <c r="O34" s="96">
        <f>IF(ISTEXT(Planning!U34),0,AH34)</f>
      </c>
      <c r="P34" s="122">
        <f>Planning!AB34</f>
      </c>
      <c r="Q34" s="121">
        <f>Progress!R34</f>
      </c>
      <c r="R34" s="95">
        <f>IF(Q34=0,0,IF(ISNUMBER(Q34),IF(S34&gt;=$G$21,$F$21,"Q15"),Q34))</f>
      </c>
      <c r="S34" s="112">
        <f>Progress!S34</f>
      </c>
      <c r="T34" s="97"/>
      <c r="U34" s="96">
        <f>V34/$N$419</f>
      </c>
      <c r="V34" s="95">
        <f>IF(L34&lt;$E$20,0,IF(ISTEXT(L34),0,IF(AND(G34+1&gt;=$E$19+1,L34&gt;0),IF(ISNUMBER(Q34),Q34*$AD34*AH$22*K34,$AD34*AH$22*K34),0)))</f>
      </c>
      <c r="W34" s="95">
        <f>IF(AND(L34&gt;0,S34&gt;0),IF(ISNUMBER(Q34),Q34*$AD34*AH$22*K34,$AD34*AH$22*K34),0)</f>
      </c>
      <c r="X34" s="17"/>
      <c r="Y34" s="11"/>
      <c r="Z34" s="11"/>
      <c r="AA34" s="98">
        <f>Planning!Q34</f>
      </c>
      <c r="AB34" s="99">
        <f>IF(ISTEXT(AA34),VLOOKUP(AA34,Data_All,2,FALSE),"")</f>
      </c>
      <c r="AC34" s="99">
        <f>IF(ISTEXT(AA34),VLOOKUP(AA34,Data_All,3,FALSE),1)</f>
      </c>
      <c r="AD34" s="100">
        <f>IF(ISTEXT(AA34),Planning!T34)</f>
      </c>
      <c r="AE34" s="113">
        <f>VLOOKUP(AC34,Multiplier,2,FALSE)</f>
      </c>
      <c r="AF34" s="114">
        <f>AD34*AE34</f>
      </c>
      <c r="AG34" s="39"/>
      <c r="AH34" s="103">
        <f>IF(N34=0,0,N34/VE)</f>
      </c>
      <c r="AI34" s="115">
        <f>IF(N100=0,0,N100/VE)</f>
      </c>
      <c r="AJ34" s="115">
        <f>IF(N166=0,0,N166/VE)</f>
      </c>
      <c r="AK34" s="115">
        <f>IF(N232=0,0,N232/VE)</f>
      </c>
      <c r="AL34" s="115">
        <f>IF(N298=0,0,N298/VE)</f>
      </c>
      <c r="AM34" s="116">
        <f>IF(N364=0,0,N364/VE)</f>
      </c>
      <c r="AN34" s="117">
        <f>SUM(AH34:AM34)</f>
      </c>
      <c r="AO34" s="1"/>
      <c r="AP34" s="136">
        <v>0.25</v>
      </c>
      <c r="AQ34" s="140">
        <f>IF(AQ33="","",IF(AQ33+1&lt;=AQ$30,AQ33+1,""))</f>
      </c>
      <c r="AR34" s="138">
        <v>3</v>
      </c>
      <c r="AS34" s="139">
        <f>Planning!L21</f>
      </c>
      <c r="AT34" s="69"/>
      <c r="AU34" s="69"/>
      <c r="AV34" s="90"/>
      <c r="AW34" s="69"/>
      <c r="AX34" s="69"/>
      <c r="AY34" s="69"/>
      <c r="AZ34" s="69"/>
      <c r="BA34" s="69"/>
      <c r="BB34" s="69"/>
      <c r="BC34" s="69"/>
      <c r="BD34" s="69"/>
      <c r="BE34" s="69"/>
      <c r="BF34" s="69"/>
      <c r="BG34" s="69"/>
      <c r="BH34" s="69"/>
    </row>
    <row x14ac:dyDescent="0.25" r="35" customHeight="1" ht="14.25">
      <c r="A35" s="1"/>
      <c r="B35" s="1"/>
      <c r="C35" s="1"/>
      <c r="D35" s="1"/>
      <c r="E35" s="2"/>
      <c r="F35" s="2"/>
      <c r="G35" s="90">
        <f>(S35&amp;RIGHT(R35,1))*1</f>
      </c>
      <c r="H35" s="1"/>
      <c r="I35" s="111"/>
      <c r="J35" s="126">
        <f>Planning!Q35</f>
      </c>
      <c r="K35" s="93">
        <f>VLOOKUP(J35,AA$23:AE$88,5,FALSE)</f>
      </c>
      <c r="L35" s="122">
        <f>Planning!U35</f>
      </c>
      <c r="M35" s="121">
        <f>IF(Planning!AB35=0,0,IFERROR($AD35*AH$22,0))</f>
      </c>
      <c r="N35" s="95">
        <f>IF(Planning!AB35=0,0,IFERROR($AD35*AH$22*K35,0))</f>
      </c>
      <c r="O35" s="96">
        <f>IF(ISTEXT(Planning!U35),0,AH35)</f>
      </c>
      <c r="P35" s="122">
        <f>Planning!AB35</f>
      </c>
      <c r="Q35" s="121">
        <f>Progress!R35</f>
      </c>
      <c r="R35" s="95">
        <f>IF(Q35=0,0,IF(ISNUMBER(Q35),IF(S35&gt;=$G$21,$F$21,"Q16"),Q35))</f>
      </c>
      <c r="S35" s="112">
        <f>Progress!S35</f>
      </c>
      <c r="T35" s="97"/>
      <c r="U35" s="96">
        <f>V35/$N$419</f>
      </c>
      <c r="V35" s="95">
        <f>IF(L35&lt;$E$20,0,IF(ISTEXT(L35),0,IF(AND(G35+1&gt;=$E$19+1,L35&gt;0),IF(ISNUMBER(Q35),Q35*$AD35*AH$22*K35,$AD35*AH$22*K35),0)))</f>
      </c>
      <c r="W35" s="95">
        <f>IF(AND(L35&gt;0,S35&gt;0),IF(ISNUMBER(Q35),Q35*$AD35*AH$22*K35,$AD35*AH$22*K35),0)</f>
      </c>
      <c r="X35" s="17"/>
      <c r="Y35" s="11"/>
      <c r="Z35" s="11"/>
      <c r="AA35" s="98">
        <f>Planning!Q35</f>
      </c>
      <c r="AB35" s="99">
        <f>IF(ISTEXT(AA35),VLOOKUP(AA35,Data_All,2,FALSE),"")</f>
      </c>
      <c r="AC35" s="99">
        <f>IF(ISTEXT(AA35),VLOOKUP(AA35,Data_All,3,FALSE),1)</f>
      </c>
      <c r="AD35" s="100">
        <f>IF(ISTEXT(AA35),Planning!T35)</f>
      </c>
      <c r="AE35" s="113">
        <f>VLOOKUP(AC35,Multiplier,2,FALSE)</f>
      </c>
      <c r="AF35" s="114">
        <f>AD35*AE35</f>
      </c>
      <c r="AG35" s="39"/>
      <c r="AH35" s="103">
        <f>IF(N35=0,0,N35/VE)</f>
      </c>
      <c r="AI35" s="115">
        <f>IF(N101=0,0,N101/VE)</f>
      </c>
      <c r="AJ35" s="115">
        <f>IF(N167=0,0,N167/VE)</f>
      </c>
      <c r="AK35" s="115">
        <f>IF(N233=0,0,N233/VE)</f>
      </c>
      <c r="AL35" s="115">
        <f>IF(N299=0,0,N299/VE)</f>
      </c>
      <c r="AM35" s="116">
        <f>IF(N365=0,0,N365/VE)</f>
      </c>
      <c r="AN35" s="117">
        <f>SUM(AH35:AM35)</f>
      </c>
      <c r="AO35" s="1"/>
      <c r="AP35" s="136">
        <v>0.5</v>
      </c>
      <c r="AQ35" s="140">
        <f>IF(AQ34="","",IF(AQ34+1&lt;=AQ$30,AQ34+1,""))</f>
      </c>
      <c r="AR35" s="138">
        <v>4</v>
      </c>
      <c r="AS35" s="139">
        <f>Planning!L22</f>
      </c>
      <c r="AT35" s="69"/>
      <c r="AU35" s="69"/>
      <c r="AV35" s="90"/>
      <c r="AW35" s="69"/>
      <c r="AX35" s="69"/>
      <c r="AY35" s="69"/>
      <c r="AZ35" s="69"/>
      <c r="BA35" s="69"/>
      <c r="BB35" s="69"/>
      <c r="BC35" s="69"/>
      <c r="BD35" s="69"/>
      <c r="BE35" s="69"/>
      <c r="BF35" s="69"/>
      <c r="BG35" s="69"/>
      <c r="BH35" s="69"/>
    </row>
    <row x14ac:dyDescent="0.25" r="36" customHeight="1" ht="14.25">
      <c r="A36" s="1"/>
      <c r="B36" s="1"/>
      <c r="C36" s="1"/>
      <c r="D36" s="1"/>
      <c r="E36" s="2"/>
      <c r="F36" s="2"/>
      <c r="G36" s="90">
        <f>(S36&amp;RIGHT(R36,1))*1</f>
      </c>
      <c r="H36" s="1"/>
      <c r="I36" s="111"/>
      <c r="J36" s="126">
        <f>Planning!Q36</f>
      </c>
      <c r="K36" s="93">
        <f>VLOOKUP(J36,AA$23:AE$88,5,FALSE)</f>
      </c>
      <c r="L36" s="122">
        <f>Planning!U36</f>
      </c>
      <c r="M36" s="121">
        <f>IF(Planning!AB36=0,0,IFERROR($AD36*AH$22,0))</f>
      </c>
      <c r="N36" s="95">
        <f>IF(Planning!AB36=0,0,IFERROR($AD36*AH$22*K36,0))</f>
      </c>
      <c r="O36" s="96">
        <f>IF(ISTEXT(Planning!U36),0,AH36)</f>
      </c>
      <c r="P36" s="122">
        <f>Planning!AB36</f>
      </c>
      <c r="Q36" s="121">
        <f>Progress!R36</f>
      </c>
      <c r="R36" s="95">
        <f>IF(Q36=0,0,IF(ISNUMBER(Q36),IF(S36&gt;=$G$21,$F$21,"Q17"),Q36))</f>
      </c>
      <c r="S36" s="112">
        <f>Progress!S36</f>
      </c>
      <c r="T36" s="97"/>
      <c r="U36" s="96">
        <f>V36/$N$419</f>
      </c>
      <c r="V36" s="95">
        <f>IF(L36&lt;$E$20,0,IF(ISTEXT(L36),0,IF(AND(G36+1&gt;=$E$19+1,L36&gt;0),IF(ISNUMBER(Q36),Q36*$AD36*AH$22*K36,$AD36*AH$22*K36),0)))</f>
      </c>
      <c r="W36" s="95">
        <f>IF(AND(L36&gt;0,S36&gt;0),IF(ISNUMBER(Q36),Q36*$AD36*AH$22*K36,$AD36*AH$22*K36),0)</f>
      </c>
      <c r="X36" s="17"/>
      <c r="Y36" s="11"/>
      <c r="Z36" s="11"/>
      <c r="AA36" s="98">
        <f>Planning!Q36</f>
      </c>
      <c r="AB36" s="99">
        <f>IF(ISTEXT(AA36),VLOOKUP(AA36,Data_All,2,FALSE),"")</f>
      </c>
      <c r="AC36" s="99">
        <f>IF(ISTEXT(AA36),VLOOKUP(AA36,Data_All,3,FALSE),1)</f>
      </c>
      <c r="AD36" s="100">
        <f>IF(ISTEXT(AA36),Planning!T36)</f>
      </c>
      <c r="AE36" s="113">
        <f>VLOOKUP(AC36,Multiplier,2,FALSE)</f>
      </c>
      <c r="AF36" s="114">
        <f>AD36*AE36</f>
      </c>
      <c r="AG36" s="39"/>
      <c r="AH36" s="103">
        <f>IF(N36=0,0,N36/VE)</f>
      </c>
      <c r="AI36" s="115">
        <f>IF(N102=0,0,N102/VE)</f>
      </c>
      <c r="AJ36" s="115">
        <f>IF(N168=0,0,N168/VE)</f>
      </c>
      <c r="AK36" s="115">
        <f>IF(N234=0,0,N234/VE)</f>
      </c>
      <c r="AL36" s="115">
        <f>IF(N300=0,0,N300/VE)</f>
      </c>
      <c r="AM36" s="116">
        <f>IF(N366=0,0,N366/VE)</f>
      </c>
      <c r="AN36" s="117">
        <f>SUM(AH36:AM36)</f>
      </c>
      <c r="AO36" s="1"/>
      <c r="AP36" s="141">
        <v>0.75</v>
      </c>
      <c r="AQ36" s="140">
        <f>IF(AQ35="","",IF(AQ35+1&lt;=AQ$30,AQ35+1,""))</f>
      </c>
      <c r="AR36" s="138">
        <v>5</v>
      </c>
      <c r="AS36" s="139">
        <f>Planning!L23</f>
      </c>
      <c r="AT36" s="69"/>
      <c r="AU36" s="69"/>
      <c r="AV36" s="90"/>
      <c r="AW36" s="69"/>
      <c r="AX36" s="69"/>
      <c r="AY36" s="69"/>
      <c r="AZ36" s="69"/>
      <c r="BA36" s="69"/>
      <c r="BB36" s="69"/>
      <c r="BC36" s="69"/>
      <c r="BD36" s="69"/>
      <c r="BE36" s="69"/>
      <c r="BF36" s="69"/>
      <c r="BG36" s="69"/>
      <c r="BH36" s="69"/>
    </row>
    <row x14ac:dyDescent="0.25" r="37" customHeight="1" ht="14.25">
      <c r="A37" s="1"/>
      <c r="B37" s="1"/>
      <c r="C37" s="1"/>
      <c r="D37" s="1"/>
      <c r="E37" s="2"/>
      <c r="F37" s="2"/>
      <c r="G37" s="90">
        <f>(S37&amp;RIGHT(R37,1))*1</f>
      </c>
      <c r="H37" s="1"/>
      <c r="I37" s="111"/>
      <c r="J37" s="126">
        <f>Planning!Q37</f>
      </c>
      <c r="K37" s="93">
        <f>VLOOKUP(J37,AA$23:AE$88,5,FALSE)</f>
      </c>
      <c r="L37" s="122">
        <f>Planning!U37</f>
      </c>
      <c r="M37" s="121">
        <f>IF(Planning!AB37=0,0,IFERROR($AD37*AH$22,0))</f>
      </c>
      <c r="N37" s="95">
        <f>IF(Planning!AB37=0,0,IFERROR($AD37*AH$22*K37,0))</f>
      </c>
      <c r="O37" s="96">
        <f>IF(ISTEXT(Planning!U37),0,AH37)</f>
      </c>
      <c r="P37" s="122">
        <f>Planning!AB37</f>
      </c>
      <c r="Q37" s="121">
        <f>Progress!R37</f>
      </c>
      <c r="R37" s="95">
        <f>IF(Q37=0,0,IF(ISNUMBER(Q37),IF(S37&gt;=$G$21,$F$21,"Q18"),Q37))</f>
      </c>
      <c r="S37" s="112">
        <f>Progress!S37</f>
      </c>
      <c r="T37" s="97"/>
      <c r="U37" s="96">
        <f>V37/$N$419</f>
      </c>
      <c r="V37" s="95">
        <f>IF(L37&lt;$E$20,0,IF(ISTEXT(L37),0,IF(AND(G37+1&gt;=$E$19+1,L37&gt;0),IF(ISNUMBER(Q37),Q37*$AD37*AH$22*K37,$AD37*AH$22*K37),0)))</f>
      </c>
      <c r="W37" s="95">
        <f>IF(AND(L37&gt;0,S37&gt;0),IF(ISNUMBER(Q37),Q37*$AD37*AH$22*K37,$AD37*AH$22*K37),0)</f>
      </c>
      <c r="X37" s="17"/>
      <c r="Y37" s="11"/>
      <c r="Z37" s="11"/>
      <c r="AA37" s="98">
        <f>Planning!Q37</f>
      </c>
      <c r="AB37" s="99">
        <f>IF(ISTEXT(AA37),VLOOKUP(AA37,Data_All,2,FALSE),"")</f>
      </c>
      <c r="AC37" s="99">
        <f>IF(ISTEXT(AA37),VLOOKUP(AA37,Data_All,3,FALSE),1)</f>
      </c>
      <c r="AD37" s="100">
        <f>IF(ISTEXT(AA37),Planning!T37)</f>
      </c>
      <c r="AE37" s="113">
        <f>VLOOKUP(AC37,Multiplier,2,FALSE)</f>
      </c>
      <c r="AF37" s="114">
        <f>AD37*AE37</f>
      </c>
      <c r="AG37" s="39"/>
      <c r="AH37" s="103">
        <f>IF(N37=0,0,N37/VE)</f>
      </c>
      <c r="AI37" s="115">
        <f>IF(N103=0,0,N103/VE)</f>
      </c>
      <c r="AJ37" s="115">
        <f>IF(N169=0,0,N169/VE)</f>
      </c>
      <c r="AK37" s="115">
        <f>IF(N235=0,0,N235/VE)</f>
      </c>
      <c r="AL37" s="115">
        <f>IF(N301=0,0,N301/VE)</f>
      </c>
      <c r="AM37" s="116">
        <f>IF(N367=0,0,N367/VE)</f>
      </c>
      <c r="AN37" s="117">
        <f>SUM(AH37:AM37)</f>
      </c>
      <c r="AO37" s="1"/>
      <c r="AP37" s="9"/>
      <c r="AQ37" s="140">
        <f>IF(AQ36="","",IF(AQ36+1&lt;=AQ$30,AQ36+1,""))</f>
      </c>
      <c r="AR37" s="138">
        <v>6</v>
      </c>
      <c r="AS37" s="139">
        <f>Planning!L24</f>
      </c>
      <c r="AT37" s="69"/>
      <c r="AU37" s="69"/>
      <c r="AV37" s="90"/>
      <c r="AW37" s="69"/>
      <c r="AX37" s="69"/>
      <c r="AY37" s="69"/>
      <c r="AZ37" s="69"/>
      <c r="BA37" s="69"/>
      <c r="BB37" s="69"/>
      <c r="BC37" s="69"/>
      <c r="BD37" s="69"/>
      <c r="BE37" s="69"/>
      <c r="BF37" s="69"/>
      <c r="BG37" s="69"/>
      <c r="BH37" s="69"/>
    </row>
    <row x14ac:dyDescent="0.25" r="38" customHeight="1" ht="14.25">
      <c r="A38" s="1"/>
      <c r="B38" s="1"/>
      <c r="C38" s="1"/>
      <c r="D38" s="1"/>
      <c r="E38" s="2"/>
      <c r="F38" s="2"/>
      <c r="G38" s="90">
        <f>(S38&amp;RIGHT(R38,1))*1</f>
      </c>
      <c r="H38" s="1"/>
      <c r="I38" s="111"/>
      <c r="J38" s="126">
        <f>Planning!Q38</f>
      </c>
      <c r="K38" s="93">
        <f>VLOOKUP(J38,AA$23:AE$88,5,FALSE)</f>
      </c>
      <c r="L38" s="122">
        <f>Planning!U38</f>
      </c>
      <c r="M38" s="121">
        <f>IF(Planning!AB38=0,0,IFERROR($AD38*AH$22,0))</f>
      </c>
      <c r="N38" s="95">
        <f>IF(Planning!AB38=0,0,IFERROR($AD38*AH$22*K38,0))</f>
      </c>
      <c r="O38" s="96">
        <f>IF(ISTEXT(Planning!U38),0,AH38)</f>
      </c>
      <c r="P38" s="122">
        <f>Planning!AB38</f>
      </c>
      <c r="Q38" s="121">
        <f>Progress!R38</f>
      </c>
      <c r="R38" s="95">
        <f>IF(Q38=0,0,IF(ISNUMBER(Q38),IF(S38&gt;=$G$21,$F$21,"Q19"),Q38))</f>
      </c>
      <c r="S38" s="112">
        <f>Progress!S38</f>
      </c>
      <c r="T38" s="97"/>
      <c r="U38" s="96">
        <f>V38/$N$419</f>
      </c>
      <c r="V38" s="95">
        <f>IF(L38&lt;$E$20,0,IF(ISTEXT(L38),0,IF(AND(G38+1&gt;=$E$19+1,L38&gt;0),IF(ISNUMBER(Q38),Q38*$AD38*AH$22*K38,$AD38*AH$22*K38),0)))</f>
      </c>
      <c r="W38" s="95">
        <f>IF(AND(L38&gt;0,S38&gt;0),IF(ISNUMBER(Q38),Q38*$AD38*AH$22*K38,$AD38*AH$22*K38),0)</f>
      </c>
      <c r="X38" s="17"/>
      <c r="Y38" s="11"/>
      <c r="Z38" s="11"/>
      <c r="AA38" s="98">
        <f>Planning!Q38</f>
      </c>
      <c r="AB38" s="99">
        <f>IF(ISTEXT(AA38),VLOOKUP(AA38,Data_All,2,FALSE),"")</f>
      </c>
      <c r="AC38" s="99">
        <f>IF(ISTEXT(AA38),VLOOKUP(AA38,Data_All,3,FALSE),1)</f>
      </c>
      <c r="AD38" s="100">
        <f>IF(ISTEXT(AA38),Planning!T38)</f>
      </c>
      <c r="AE38" s="113">
        <f>VLOOKUP(AC38,Multiplier,2,FALSE)</f>
      </c>
      <c r="AF38" s="114">
        <f>AD38*AE38</f>
      </c>
      <c r="AG38" s="39"/>
      <c r="AH38" s="103">
        <f>IF(N38=0,0,N38/VE)</f>
      </c>
      <c r="AI38" s="115">
        <f>IF(N104=0,0,N104/VE)</f>
      </c>
      <c r="AJ38" s="115">
        <f>IF(N170=0,0,N170/VE)</f>
      </c>
      <c r="AK38" s="115">
        <f>IF(N236=0,0,N236/VE)</f>
      </c>
      <c r="AL38" s="115">
        <f>IF(N302=0,0,N302/VE)</f>
      </c>
      <c r="AM38" s="116">
        <f>IF(N368=0,0,N368/VE)</f>
      </c>
      <c r="AN38" s="117">
        <f>SUM(AH38:AM38)</f>
      </c>
      <c r="AO38" s="1"/>
      <c r="AP38" s="9"/>
      <c r="AQ38" s="140">
        <f>IF(AQ37="","",IF(AQ37+1&lt;=AQ$30,AQ37+1,""))</f>
      </c>
      <c r="AR38" s="138">
        <v>7</v>
      </c>
      <c r="AS38" s="139">
        <f>Planning!L25</f>
      </c>
      <c r="AT38" s="69"/>
      <c r="AU38" s="69"/>
      <c r="AV38" s="90"/>
      <c r="AW38" s="69"/>
      <c r="AX38" s="69"/>
      <c r="AY38" s="69"/>
      <c r="AZ38" s="69"/>
      <c r="BA38" s="69"/>
      <c r="BB38" s="69"/>
      <c r="BC38" s="69"/>
      <c r="BD38" s="69"/>
      <c r="BE38" s="69"/>
      <c r="BF38" s="69"/>
      <c r="BG38" s="69"/>
      <c r="BH38" s="69"/>
    </row>
    <row x14ac:dyDescent="0.25" r="39" customHeight="1" ht="14.25">
      <c r="A39" s="1"/>
      <c r="B39" s="1"/>
      <c r="C39" s="1"/>
      <c r="D39" s="1"/>
      <c r="E39" s="2"/>
      <c r="F39" s="2"/>
      <c r="G39" s="90">
        <f>(S39&amp;RIGHT(R39,1))*1</f>
      </c>
      <c r="H39" s="1"/>
      <c r="I39" s="111"/>
      <c r="J39" s="126">
        <f>Planning!Q39</f>
      </c>
      <c r="K39" s="93">
        <f>VLOOKUP(J39,AA$23:AE$88,5,FALSE)</f>
      </c>
      <c r="L39" s="122">
        <f>Planning!U39</f>
      </c>
      <c r="M39" s="121">
        <f>IF(Planning!AB39=0,0,IFERROR($AD39*AH$22,0))</f>
      </c>
      <c r="N39" s="95">
        <f>IF(Planning!AB39=0,0,IFERROR($AD39*AH$22*K39,0))</f>
      </c>
      <c r="O39" s="96">
        <f>IF(ISTEXT(Planning!U39),0,AH39)</f>
      </c>
      <c r="P39" s="122">
        <f>Planning!AB39</f>
      </c>
      <c r="Q39" s="121">
        <f>Progress!R39</f>
      </c>
      <c r="R39" s="95">
        <f>IF(Q39=0,0,IF(ISNUMBER(Q39),IF(S39&gt;=$G$21,$F$21,"Q20"),Q39))</f>
      </c>
      <c r="S39" s="112">
        <f>Progress!S39</f>
      </c>
      <c r="T39" s="97"/>
      <c r="U39" s="96">
        <f>V39/$N$419</f>
      </c>
      <c r="V39" s="95">
        <f>IF(L39&lt;$E$20,0,IF(ISTEXT(L39),0,IF(AND(G39+1&gt;=$E$19+1,L39&gt;0),IF(ISNUMBER(Q39),Q39*$AD39*AH$22*K39,$AD39*AH$22*K39),0)))</f>
      </c>
      <c r="W39" s="95">
        <f>IF(AND(L39&gt;0,S39&gt;0),IF(ISNUMBER(Q39),Q39*$AD39*AH$22*K39,$AD39*AH$22*K39),0)</f>
      </c>
      <c r="X39" s="17"/>
      <c r="Y39" s="11"/>
      <c r="Z39" s="11"/>
      <c r="AA39" s="98">
        <f>Planning!Q39</f>
      </c>
      <c r="AB39" s="99">
        <f>IF(ISTEXT(AA39),VLOOKUP(AA39,Data_All,2,FALSE),"")</f>
      </c>
      <c r="AC39" s="99">
        <f>IF(ISTEXT(AA39),VLOOKUP(AA39,Data_All,3,FALSE),1)</f>
      </c>
      <c r="AD39" s="100">
        <f>IF(ISTEXT(AA39),Planning!T39)</f>
      </c>
      <c r="AE39" s="113">
        <f>VLOOKUP(AC39,Multiplier,2,FALSE)</f>
      </c>
      <c r="AF39" s="114">
        <f>AD39*AE39</f>
      </c>
      <c r="AG39" s="39"/>
      <c r="AH39" s="103">
        <f>IF(N39=0,0,N39/VE)</f>
      </c>
      <c r="AI39" s="115">
        <f>IF(N105=0,0,N105/VE)</f>
      </c>
      <c r="AJ39" s="115">
        <f>IF(N171=0,0,N171/VE)</f>
      </c>
      <c r="AK39" s="115">
        <f>IF(N237=0,0,N237/VE)</f>
      </c>
      <c r="AL39" s="115">
        <f>IF(N303=0,0,N303/VE)</f>
      </c>
      <c r="AM39" s="116">
        <f>IF(N369=0,0,N369/VE)</f>
      </c>
      <c r="AN39" s="117">
        <f>SUM(AH39:AM39)</f>
      </c>
      <c r="AO39" s="1"/>
      <c r="AP39" s="9"/>
      <c r="AQ39" s="140">
        <f>IF(AQ38="","",IF(AQ38+1&lt;=AQ$30,AQ38+1,""))</f>
      </c>
      <c r="AR39" s="138">
        <v>8</v>
      </c>
      <c r="AS39" s="139">
        <f>Planning!L26</f>
      </c>
      <c r="AT39" s="69"/>
      <c r="AU39" s="69"/>
      <c r="AV39" s="90"/>
      <c r="AW39" s="69"/>
      <c r="AX39" s="69"/>
      <c r="AY39" s="69"/>
      <c r="AZ39" s="69"/>
      <c r="BA39" s="69"/>
      <c r="BB39" s="69"/>
      <c r="BC39" s="69"/>
      <c r="BD39" s="69"/>
      <c r="BE39" s="69"/>
      <c r="BF39" s="69"/>
      <c r="BG39" s="69"/>
      <c r="BH39" s="69"/>
    </row>
    <row x14ac:dyDescent="0.25" r="40" customHeight="1" ht="14.25">
      <c r="A40" s="1"/>
      <c r="B40" s="1"/>
      <c r="C40" s="1"/>
      <c r="D40" s="1"/>
      <c r="E40" s="2"/>
      <c r="F40" s="2"/>
      <c r="G40" s="90">
        <f>(S40&amp;RIGHT(R40,1))*1</f>
      </c>
      <c r="H40" s="1"/>
      <c r="I40" s="111"/>
      <c r="J40" s="126">
        <f>Planning!Q40</f>
      </c>
      <c r="K40" s="93">
        <f>VLOOKUP(J40,AA$23:AE$88,5,FALSE)</f>
      </c>
      <c r="L40" s="122">
        <f>Planning!U40</f>
      </c>
      <c r="M40" s="121">
        <f>IF(Planning!AB40=0,0,IFERROR($AD40*AH$22,0))</f>
      </c>
      <c r="N40" s="95">
        <f>IF(Planning!AB40=0,0,IFERROR($AD40*AH$22*K40,0))</f>
      </c>
      <c r="O40" s="96">
        <f>IF(ISTEXT(Planning!U40),0,AH40)</f>
      </c>
      <c r="P40" s="122">
        <f>Planning!AB40</f>
      </c>
      <c r="Q40" s="121">
        <f>Progress!R40</f>
      </c>
      <c r="R40" s="95">
        <f>IF(Q40=0,0,IF(ISNUMBER(Q40),IF(S40&gt;=$G$21,$F$21,"Q21"),Q40))</f>
      </c>
      <c r="S40" s="112">
        <f>Progress!S40</f>
      </c>
      <c r="T40" s="97"/>
      <c r="U40" s="96">
        <f>V40/$N$419</f>
      </c>
      <c r="V40" s="95">
        <f>IF(L40&lt;$E$20,0,IF(ISTEXT(L40),0,IF(AND(G40+1&gt;=$E$19+1,L40&gt;0),IF(ISNUMBER(Q40),Q40*$AD40*AH$22*K40,$AD40*AH$22*K40),0)))</f>
      </c>
      <c r="W40" s="95">
        <f>IF(AND(L40&gt;0,S40&gt;0),IF(ISNUMBER(Q40),Q40*$AD40*AH$22*K40,$AD40*AH$22*K40),0)</f>
      </c>
      <c r="X40" s="17"/>
      <c r="Y40" s="11"/>
      <c r="Z40" s="11"/>
      <c r="AA40" s="98">
        <f>Planning!Q40</f>
      </c>
      <c r="AB40" s="99">
        <f>IF(ISTEXT(AA40),VLOOKUP(AA40,Data_All,2,FALSE),"")</f>
      </c>
      <c r="AC40" s="99">
        <f>IF(ISTEXT(AA40),VLOOKUP(AA40,Data_All,3,FALSE),1)</f>
      </c>
      <c r="AD40" s="100">
        <f>IF(ISTEXT(AA40),Planning!T40)</f>
      </c>
      <c r="AE40" s="113">
        <f>VLOOKUP(AC40,Multiplier,2,FALSE)</f>
      </c>
      <c r="AF40" s="114">
        <f>AD40*AE40</f>
      </c>
      <c r="AG40" s="39"/>
      <c r="AH40" s="103">
        <f>IF(N40=0,0,N40/VE)</f>
      </c>
      <c r="AI40" s="115">
        <f>IF(N106=0,0,N106/VE)</f>
      </c>
      <c r="AJ40" s="115">
        <f>IF(N172=0,0,N172/VE)</f>
      </c>
      <c r="AK40" s="115">
        <f>IF(N238=0,0,N238/VE)</f>
      </c>
      <c r="AL40" s="115">
        <f>IF(N304=0,0,N304/VE)</f>
      </c>
      <c r="AM40" s="116">
        <f>IF(N370=0,0,N370/VE)</f>
      </c>
      <c r="AN40" s="117">
        <f>SUM(AH40:AM40)</f>
      </c>
      <c r="AO40" s="1"/>
      <c r="AP40" s="9"/>
      <c r="AQ40" s="140">
        <f>IF(AQ39="","",IF(AQ39+1&lt;=AQ$30,AQ39+1,""))</f>
      </c>
      <c r="AR40" s="138">
        <v>9</v>
      </c>
      <c r="AS40" s="139">
        <f>Planning!L27</f>
      </c>
      <c r="AT40" s="69"/>
      <c r="AU40" s="69"/>
      <c r="AV40" s="90"/>
      <c r="AW40" s="69"/>
      <c r="AX40" s="69"/>
      <c r="AY40" s="69"/>
      <c r="AZ40" s="69"/>
      <c r="BA40" s="69"/>
      <c r="BB40" s="69"/>
      <c r="BC40" s="69"/>
      <c r="BD40" s="69"/>
      <c r="BE40" s="69"/>
      <c r="BF40" s="69"/>
      <c r="BG40" s="69"/>
      <c r="BH40" s="69"/>
    </row>
    <row x14ac:dyDescent="0.25" r="41" customHeight="1" ht="14.25">
      <c r="A41" s="1"/>
      <c r="B41" s="1"/>
      <c r="C41" s="1"/>
      <c r="D41" s="1"/>
      <c r="E41" s="2"/>
      <c r="F41" s="2"/>
      <c r="G41" s="90">
        <f>(S41&amp;RIGHT(R41,1))*1</f>
      </c>
      <c r="H41" s="1"/>
      <c r="I41" s="111"/>
      <c r="J41" s="126">
        <f>Planning!Q41</f>
      </c>
      <c r="K41" s="93">
        <f>VLOOKUP(J41,AA$23:AE$88,5,FALSE)</f>
      </c>
      <c r="L41" s="122">
        <f>Planning!U41</f>
      </c>
      <c r="M41" s="121">
        <f>IF(Planning!AB41=0,0,IFERROR($AD41*AH$22,0))</f>
      </c>
      <c r="N41" s="95">
        <f>IF(Planning!AB41=0,0,IFERROR($AD41*AH$22*K41,0))</f>
      </c>
      <c r="O41" s="96">
        <f>IF(ISTEXT(Planning!U41),0,AH41)</f>
      </c>
      <c r="P41" s="122">
        <f>Planning!AB41</f>
      </c>
      <c r="Q41" s="121">
        <f>Progress!R41</f>
      </c>
      <c r="R41" s="95">
        <f>IF(Q41=0,0,IF(ISNUMBER(Q41),IF(S41&gt;=$G$21,$F$21,"Q22"),Q41))</f>
      </c>
      <c r="S41" s="112">
        <f>Progress!S41</f>
      </c>
      <c r="T41" s="97"/>
      <c r="U41" s="96">
        <f>V41/$N$419</f>
      </c>
      <c r="V41" s="95">
        <f>IF(L41&lt;$E$20,0,IF(ISTEXT(L41),0,IF(AND(G41+1&gt;=$E$19+1,L41&gt;0),IF(ISNUMBER(Q41),Q41*$AD41*AH$22*K41,$AD41*AH$22*K41),0)))</f>
      </c>
      <c r="W41" s="95">
        <f>IF(AND(L41&gt;0,S41&gt;0),IF(ISNUMBER(Q41),Q41*$AD41*AH$22*K41,$AD41*AH$22*K41),0)</f>
      </c>
      <c r="X41" s="17"/>
      <c r="Y41" s="11"/>
      <c r="Z41" s="11"/>
      <c r="AA41" s="98">
        <f>Planning!Q41</f>
      </c>
      <c r="AB41" s="99">
        <f>IF(ISTEXT(AA41),VLOOKUP(AA41,Data_All,2,FALSE),"")</f>
      </c>
      <c r="AC41" s="99">
        <f>IF(ISTEXT(AA41),VLOOKUP(AA41,Data_All,3,FALSE),1)</f>
      </c>
      <c r="AD41" s="100">
        <f>IF(ISTEXT(AA41),Planning!T41)</f>
      </c>
      <c r="AE41" s="113">
        <f>VLOOKUP(AC41,Multiplier,2,FALSE)</f>
      </c>
      <c r="AF41" s="114">
        <f>AD41*AE41</f>
      </c>
      <c r="AG41" s="39"/>
      <c r="AH41" s="103">
        <f>IF(N41=0,0,N41/VE)</f>
      </c>
      <c r="AI41" s="115">
        <f>IF(N107=0,0,N107/VE)</f>
      </c>
      <c r="AJ41" s="115">
        <f>IF(N173=0,0,N173/VE)</f>
      </c>
      <c r="AK41" s="115">
        <f>IF(N239=0,0,N239/VE)</f>
      </c>
      <c r="AL41" s="115">
        <f>IF(N305=0,0,N305/VE)</f>
      </c>
      <c r="AM41" s="116">
        <f>IF(N371=0,0,N371/VE)</f>
      </c>
      <c r="AN41" s="117">
        <f>SUM(AH41:AM41)</f>
      </c>
      <c r="AO41" s="1"/>
      <c r="AP41" s="9"/>
      <c r="AQ41" s="140">
        <f>IF(AQ40="","",IF(AQ40+1&lt;=AQ$30,AQ40+1,""))</f>
      </c>
      <c r="AR41" s="138">
        <v>10</v>
      </c>
      <c r="AS41" s="139">
        <f>Planning!L28</f>
      </c>
      <c r="AT41" s="69"/>
      <c r="AU41" s="69"/>
      <c r="AV41" s="90"/>
      <c r="AW41" s="69"/>
      <c r="AX41" s="69"/>
      <c r="AY41" s="69"/>
      <c r="AZ41" s="69"/>
      <c r="BA41" s="69"/>
      <c r="BB41" s="69"/>
      <c r="BC41" s="69"/>
      <c r="BD41" s="69"/>
      <c r="BE41" s="69"/>
      <c r="BF41" s="69"/>
      <c r="BG41" s="69"/>
      <c r="BH41" s="69"/>
    </row>
    <row x14ac:dyDescent="0.25" r="42" customHeight="1" ht="14.25">
      <c r="A42" s="1"/>
      <c r="B42" s="1"/>
      <c r="C42" s="1"/>
      <c r="D42" s="1"/>
      <c r="E42" s="2"/>
      <c r="F42" s="2"/>
      <c r="G42" s="90">
        <f>(S42&amp;RIGHT(R42,1))*1</f>
      </c>
      <c r="H42" s="1"/>
      <c r="I42" s="111"/>
      <c r="J42" s="126">
        <f>Planning!Q42</f>
      </c>
      <c r="K42" s="93">
        <f>VLOOKUP(J42,AA$23:AE$88,5,FALSE)</f>
      </c>
      <c r="L42" s="122">
        <f>Planning!U42</f>
      </c>
      <c r="M42" s="121">
        <f>IF(Planning!AB42=0,0,IFERROR($AD42*AH$22,0))</f>
      </c>
      <c r="N42" s="95">
        <f>IF(Planning!AB42=0,0,IFERROR($AD42*AH$22*K42,0))</f>
      </c>
      <c r="O42" s="96">
        <f>IF(ISTEXT(Planning!U42),0,AH42)</f>
      </c>
      <c r="P42" s="122">
        <f>Planning!AB42</f>
      </c>
      <c r="Q42" s="121">
        <f>Progress!R42</f>
      </c>
      <c r="R42" s="95">
        <f>IF(Q42=0,0,IF(ISNUMBER(Q42),IF(S42&gt;=$G$21,$F$21,"Q23"),Q42))</f>
      </c>
      <c r="S42" s="112">
        <f>Progress!S42</f>
      </c>
      <c r="T42" s="97"/>
      <c r="U42" s="96">
        <f>V42/$N$419</f>
      </c>
      <c r="V42" s="95">
        <f>IF(L42&lt;$E$20,0,IF(ISTEXT(L42),0,IF(AND(G42+1&gt;=$E$19+1,L42&gt;0),IF(ISNUMBER(Q42),Q42*$AD42*AH$22*K42,$AD42*AH$22*K42),0)))</f>
      </c>
      <c r="W42" s="95">
        <f>IF(AND(L42&gt;0,S42&gt;0),IF(ISNUMBER(Q42),Q42*$AD42*AH$22*K42,$AD42*AH$22*K42),0)</f>
      </c>
      <c r="X42" s="17"/>
      <c r="Y42" s="11"/>
      <c r="Z42" s="11"/>
      <c r="AA42" s="98">
        <f>Planning!Q42</f>
      </c>
      <c r="AB42" s="99">
        <f>IF(ISTEXT(AA42),VLOOKUP(AA42,Data_All,2,FALSE),"")</f>
      </c>
      <c r="AC42" s="99">
        <f>IF(ISTEXT(AA42),VLOOKUP(AA42,Data_All,3,FALSE),1)</f>
      </c>
      <c r="AD42" s="100">
        <f>IF(ISTEXT(AA42),Planning!T42)</f>
      </c>
      <c r="AE42" s="113">
        <f>VLOOKUP(AC42,Multiplier,2,FALSE)</f>
      </c>
      <c r="AF42" s="114">
        <f>AD42*AE42</f>
      </c>
      <c r="AG42" s="39"/>
      <c r="AH42" s="103">
        <f>IF(N42=0,0,N42/VE)</f>
      </c>
      <c r="AI42" s="115">
        <f>IF(N108=0,0,N108/VE)</f>
      </c>
      <c r="AJ42" s="115">
        <f>IF(N174=0,0,N174/VE)</f>
      </c>
      <c r="AK42" s="115">
        <f>IF(N240=0,0,N240/VE)</f>
      </c>
      <c r="AL42" s="115">
        <f>IF(N306=0,0,N306/VE)</f>
      </c>
      <c r="AM42" s="116">
        <f>IF(N372=0,0,N372/VE)</f>
      </c>
      <c r="AN42" s="117">
        <f>SUM(AH42:AM42)</f>
      </c>
      <c r="AO42" s="1"/>
      <c r="AP42" s="9"/>
      <c r="AQ42" s="140">
        <f>IF(AQ41="","",IF(AQ41+1&lt;=AQ$30,AQ41+1,""))</f>
      </c>
      <c r="AR42" s="138">
        <v>11</v>
      </c>
      <c r="AS42" s="139">
        <f>Planning!L29</f>
      </c>
      <c r="AT42" s="69"/>
      <c r="AU42" s="69"/>
      <c r="AV42" s="69"/>
      <c r="AW42" s="69"/>
      <c r="AX42" s="69"/>
      <c r="AY42" s="69"/>
      <c r="AZ42" s="69"/>
      <c r="BA42" s="69"/>
      <c r="BB42" s="69"/>
      <c r="BC42" s="69"/>
      <c r="BD42" s="69"/>
      <c r="BE42" s="69"/>
      <c r="BF42" s="69"/>
      <c r="BG42" s="69"/>
      <c r="BH42" s="69"/>
    </row>
    <row x14ac:dyDescent="0.25" r="43" customHeight="1" ht="14.25">
      <c r="A43" s="1"/>
      <c r="B43" s="1"/>
      <c r="C43" s="1"/>
      <c r="D43" s="1"/>
      <c r="E43" s="2"/>
      <c r="F43" s="2"/>
      <c r="G43" s="90">
        <f>(S43&amp;RIGHT(R43,1))*1</f>
      </c>
      <c r="H43" s="1"/>
      <c r="I43" s="111"/>
      <c r="J43" s="126">
        <f>Planning!Q43</f>
      </c>
      <c r="K43" s="93">
        <f>VLOOKUP(J43,AA$23:AE$88,5,FALSE)</f>
      </c>
      <c r="L43" s="122">
        <f>Planning!U43</f>
      </c>
      <c r="M43" s="121">
        <f>IF(Planning!AB43=0,0,IFERROR($AD43*AH$22,0))</f>
      </c>
      <c r="N43" s="95">
        <f>IF(Planning!AB43=0,0,IFERROR($AD43*AH$22*K43,0))</f>
      </c>
      <c r="O43" s="96">
        <f>IF(ISTEXT(Planning!U43),0,AH43)</f>
      </c>
      <c r="P43" s="122">
        <f>Planning!AB43</f>
      </c>
      <c r="Q43" s="121">
        <f>Progress!R43</f>
      </c>
      <c r="R43" s="95">
        <f>IF(Q43=0,0,IF(ISNUMBER(Q43),IF(S43&gt;=$G$21,$F$21,"Q24"),Q43))</f>
      </c>
      <c r="S43" s="112">
        <f>Progress!S43</f>
      </c>
      <c r="T43" s="97"/>
      <c r="U43" s="96">
        <f>V43/$N$419</f>
      </c>
      <c r="V43" s="95">
        <f>IF(L43&lt;$E$20,0,IF(ISTEXT(L43),0,IF(AND(G43+1&gt;=$E$19+1,L43&gt;0),IF(ISNUMBER(Q43),Q43*$AD43*AH$22*K43,$AD43*AH$22*K43),0)))</f>
      </c>
      <c r="W43" s="95">
        <f>IF(AND(L43&gt;0,S43&gt;0),IF(ISNUMBER(Q43),Q43*$AD43*AH$22*K43,$AD43*AH$22*K43),0)</f>
      </c>
      <c r="X43" s="17"/>
      <c r="Y43" s="11"/>
      <c r="Z43" s="11"/>
      <c r="AA43" s="98">
        <f>Planning!Q43</f>
      </c>
      <c r="AB43" s="99">
        <f>IF(ISTEXT(AA43),VLOOKUP(AA43,Data_All,2,FALSE),"")</f>
      </c>
      <c r="AC43" s="99">
        <f>IF(ISTEXT(AA43),VLOOKUP(AA43,Data_All,3,FALSE),1)</f>
      </c>
      <c r="AD43" s="100">
        <f>IF(ISTEXT(AA43),Planning!T43)</f>
      </c>
      <c r="AE43" s="113">
        <f>VLOOKUP(AC43,Multiplier,2,FALSE)</f>
      </c>
      <c r="AF43" s="114">
        <f>AD43*AE43</f>
      </c>
      <c r="AG43" s="39"/>
      <c r="AH43" s="103">
        <f>IF(N43=0,0,N43/VE)</f>
      </c>
      <c r="AI43" s="115">
        <f>IF(N109=0,0,N109/VE)</f>
      </c>
      <c r="AJ43" s="115">
        <f>IF(N175=0,0,N175/VE)</f>
      </c>
      <c r="AK43" s="115">
        <f>IF(N241=0,0,N241/VE)</f>
      </c>
      <c r="AL43" s="115">
        <f>IF(N307=0,0,N307/VE)</f>
      </c>
      <c r="AM43" s="116">
        <f>IF(N373=0,0,N373/VE)</f>
      </c>
      <c r="AN43" s="117">
        <f>SUM(AH43:AM43)</f>
      </c>
      <c r="AO43" s="1"/>
      <c r="AP43" s="9"/>
      <c r="AQ43" s="140">
        <f>IF(AQ42="","",IF(AQ42+1&lt;=AQ$30,AQ42+1,""))</f>
      </c>
      <c r="AR43" s="138">
        <v>12</v>
      </c>
      <c r="AS43" s="139">
        <f>Planning!L30</f>
      </c>
      <c r="AT43" s="69"/>
      <c r="AU43" s="69"/>
      <c r="AV43" s="69"/>
      <c r="AW43" s="69"/>
      <c r="AX43" s="69"/>
      <c r="AY43" s="69"/>
      <c r="AZ43" s="69"/>
      <c r="BA43" s="69"/>
      <c r="BB43" s="69"/>
      <c r="BC43" s="69"/>
      <c r="BD43" s="69"/>
      <c r="BE43" s="69"/>
      <c r="BF43" s="69"/>
      <c r="BG43" s="69"/>
      <c r="BH43" s="69"/>
    </row>
    <row x14ac:dyDescent="0.25" r="44" customHeight="1" ht="14.25">
      <c r="A44" s="1"/>
      <c r="B44" s="1"/>
      <c r="C44" s="1"/>
      <c r="D44" s="1"/>
      <c r="E44" s="2"/>
      <c r="F44" s="2"/>
      <c r="G44" s="90">
        <f>(S44&amp;RIGHT(R44,1))*1</f>
      </c>
      <c r="H44" s="1"/>
      <c r="I44" s="111"/>
      <c r="J44" s="126">
        <f>Planning!Q44</f>
      </c>
      <c r="K44" s="93">
        <f>VLOOKUP(J44,AA$23:AE$88,5,FALSE)</f>
      </c>
      <c r="L44" s="122">
        <f>Planning!U44</f>
      </c>
      <c r="M44" s="121">
        <f>IF(Planning!AB44=0,0,IFERROR($AD44*AH$22,0))</f>
      </c>
      <c r="N44" s="95">
        <f>IF(Planning!AB44=0,0,IFERROR($AD44*AH$22*K44,0))</f>
      </c>
      <c r="O44" s="96">
        <f>IF(ISTEXT(Planning!U44),0,AH44)</f>
      </c>
      <c r="P44" s="122">
        <f>Planning!AB44</f>
      </c>
      <c r="Q44" s="121">
        <f>Progress!R44</f>
      </c>
      <c r="R44" s="95">
        <f>IF(Q44=0,0,IF(ISNUMBER(Q44),IF(S44&gt;=$G$21,$F$21,"Q25"),Q44))</f>
      </c>
      <c r="S44" s="112">
        <f>Progress!S44</f>
      </c>
      <c r="T44" s="97"/>
      <c r="U44" s="96">
        <f>V44/$N$419</f>
      </c>
      <c r="V44" s="95">
        <f>IF(L44&lt;$E$20,0,IF(ISTEXT(L44),0,IF(AND(G44+1&gt;=$E$19+1,L44&gt;0),IF(ISNUMBER(Q44),Q44*$AD44*AH$22*K44,$AD44*AH$22*K44),0)))</f>
      </c>
      <c r="W44" s="95">
        <f>IF(AND(L44&gt;0,S44&gt;0),IF(ISNUMBER(Q44),Q44*$AD44*AH$22*K44,$AD44*AH$22*K44),0)</f>
      </c>
      <c r="X44" s="17"/>
      <c r="Y44" s="11"/>
      <c r="Z44" s="11"/>
      <c r="AA44" s="98">
        <f>Planning!Q44</f>
      </c>
      <c r="AB44" s="99">
        <f>IF(ISTEXT(AA44),VLOOKUP(AA44,Data_All,2,FALSE),"")</f>
      </c>
      <c r="AC44" s="99">
        <f>IF(ISTEXT(AA44),VLOOKUP(AA44,Data_All,3,FALSE),1)</f>
      </c>
      <c r="AD44" s="100">
        <f>IF(ISTEXT(AA44),Planning!T44)</f>
      </c>
      <c r="AE44" s="113">
        <f>VLOOKUP(AC44,Multiplier,2,FALSE)</f>
      </c>
      <c r="AF44" s="114">
        <f>AD44*AE44</f>
      </c>
      <c r="AG44" s="39"/>
      <c r="AH44" s="103">
        <f>IF(N44=0,0,N44/VE)</f>
      </c>
      <c r="AI44" s="115">
        <f>IF(N110=0,0,N110/VE)</f>
      </c>
      <c r="AJ44" s="115">
        <f>IF(N176=0,0,N176/VE)</f>
      </c>
      <c r="AK44" s="115">
        <f>IF(N242=0,0,N242/VE)</f>
      </c>
      <c r="AL44" s="115">
        <f>IF(N308=0,0,N308/VE)</f>
      </c>
      <c r="AM44" s="116">
        <f>IF(N374=0,0,N374/VE)</f>
      </c>
      <c r="AN44" s="117">
        <f>SUM(AH44:AM44)</f>
      </c>
      <c r="AO44" s="1"/>
      <c r="AP44" s="9"/>
      <c r="AQ44" s="140">
        <f>IF(AQ43="","",IF(AQ43+1&lt;=AQ$30,AQ43+1,""))</f>
      </c>
      <c r="AR44" s="138">
        <v>13</v>
      </c>
      <c r="AS44" s="139">
        <f>Planning!L31</f>
      </c>
      <c r="AT44" s="69"/>
      <c r="AU44" s="69"/>
      <c r="AV44" s="90"/>
      <c r="AW44" s="69"/>
      <c r="AX44" s="69"/>
      <c r="AY44" s="69"/>
      <c r="AZ44" s="69"/>
      <c r="BA44" s="69"/>
      <c r="BB44" s="69"/>
      <c r="BC44" s="69"/>
      <c r="BD44" s="69"/>
      <c r="BE44" s="69"/>
      <c r="BF44" s="69"/>
      <c r="BG44" s="69"/>
      <c r="BH44" s="69"/>
    </row>
    <row x14ac:dyDescent="0.25" r="45" customHeight="1" ht="14.25">
      <c r="A45" s="1"/>
      <c r="B45" s="1"/>
      <c r="C45" s="1"/>
      <c r="D45" s="1"/>
      <c r="E45" s="2"/>
      <c r="F45" s="2"/>
      <c r="G45" s="90">
        <f>(S45&amp;RIGHT(R45,1))*1</f>
      </c>
      <c r="H45" s="1"/>
      <c r="I45" s="111"/>
      <c r="J45" s="126">
        <f>Planning!Q45</f>
      </c>
      <c r="K45" s="93">
        <f>VLOOKUP(J45,AA$23:AE$88,5,FALSE)</f>
      </c>
      <c r="L45" s="122">
        <f>Planning!U45</f>
      </c>
      <c r="M45" s="121">
        <f>IF(Planning!AB45=0,0,IFERROR($AD45*AH$22,0))</f>
      </c>
      <c r="N45" s="95">
        <f>IF(Planning!AB45=0,0,IFERROR($AD45*AH$22*K45,0))</f>
      </c>
      <c r="O45" s="96">
        <f>IF(ISTEXT(Planning!U45),0,AH45)</f>
      </c>
      <c r="P45" s="122">
        <f>Planning!AB45</f>
      </c>
      <c r="Q45" s="121">
        <f>Progress!R45</f>
      </c>
      <c r="R45" s="95">
        <f>IF(Q45=0,0,IF(ISNUMBER(Q45),IF(S45&gt;=$G$21,$F$21,"Q26"),Q45))</f>
      </c>
      <c r="S45" s="112">
        <f>Progress!S45</f>
      </c>
      <c r="T45" s="97"/>
      <c r="U45" s="96">
        <f>V45/$N$419</f>
      </c>
      <c r="V45" s="95">
        <f>IF(L45&lt;$E$20,0,IF(ISTEXT(L45),0,IF(AND(G45+1&gt;=$E$19+1,L45&gt;0),IF(ISNUMBER(Q45),Q45*$AD45*AH$22*K45,$AD45*AH$22*K45),0)))</f>
      </c>
      <c r="W45" s="95">
        <f>IF(AND(L45&gt;0,S45&gt;0),IF(ISNUMBER(Q45),Q45*$AD45*AH$22*K45,$AD45*AH$22*K45),0)</f>
      </c>
      <c r="X45" s="17"/>
      <c r="Y45" s="11"/>
      <c r="Z45" s="11"/>
      <c r="AA45" s="98">
        <f>Planning!Q45</f>
      </c>
      <c r="AB45" s="99">
        <f>IF(ISTEXT(AA45),VLOOKUP(AA45,Data_All,2,FALSE),"")</f>
      </c>
      <c r="AC45" s="99">
        <f>IF(ISTEXT(AA45),VLOOKUP(AA45,Data_All,3,FALSE),1)</f>
      </c>
      <c r="AD45" s="100">
        <f>IF(ISTEXT(AA45),Planning!T45)</f>
      </c>
      <c r="AE45" s="113">
        <f>VLOOKUP(AC45,Multiplier,2,FALSE)</f>
      </c>
      <c r="AF45" s="114">
        <f>AD45*AE45</f>
      </c>
      <c r="AG45" s="39"/>
      <c r="AH45" s="103">
        <f>IF(N45=0,0,N45/VE)</f>
      </c>
      <c r="AI45" s="115">
        <f>IF(N111=0,0,N111/VE)</f>
      </c>
      <c r="AJ45" s="115">
        <f>IF(N177=0,0,N177/VE)</f>
      </c>
      <c r="AK45" s="115">
        <f>IF(N243=0,0,N243/VE)</f>
      </c>
      <c r="AL45" s="115">
        <f>IF(N309=0,0,N309/VE)</f>
      </c>
      <c r="AM45" s="116">
        <f>IF(N375=0,0,N375/VE)</f>
      </c>
      <c r="AN45" s="117">
        <f>SUM(AH45:AM45)</f>
      </c>
      <c r="AO45" s="1"/>
      <c r="AP45" s="9"/>
      <c r="AQ45" s="140">
        <f>IF(AQ44="","",IF(AQ44+1&lt;=AQ$30,AQ44+1,""))</f>
      </c>
      <c r="AR45" s="138">
        <v>14</v>
      </c>
      <c r="AS45" s="139">
        <f>Planning!L32</f>
      </c>
      <c r="AT45" s="69"/>
      <c r="AU45" s="69"/>
      <c r="AV45" s="90"/>
      <c r="AW45" s="69"/>
      <c r="AX45" s="69"/>
      <c r="AY45" s="69"/>
      <c r="AZ45" s="69"/>
      <c r="BA45" s="69"/>
      <c r="BB45" s="69"/>
      <c r="BC45" s="69"/>
      <c r="BD45" s="69"/>
      <c r="BE45" s="69"/>
      <c r="BF45" s="69"/>
      <c r="BG45" s="69"/>
      <c r="BH45" s="69"/>
    </row>
    <row x14ac:dyDescent="0.25" r="46" customHeight="1" ht="14.25">
      <c r="A46" s="1"/>
      <c r="B46" s="1"/>
      <c r="C46" s="1"/>
      <c r="D46" s="1"/>
      <c r="E46" s="2"/>
      <c r="F46" s="2"/>
      <c r="G46" s="90">
        <f>(S46&amp;RIGHT(R46,1))*1</f>
      </c>
      <c r="H46" s="1"/>
      <c r="I46" s="111"/>
      <c r="J46" s="126">
        <f>Planning!Q46</f>
      </c>
      <c r="K46" s="93">
        <f>VLOOKUP(J46,AA$23:AE$88,5,FALSE)</f>
      </c>
      <c r="L46" s="122">
        <f>Planning!U46</f>
      </c>
      <c r="M46" s="121">
        <f>IF(Planning!AB46=0,0,IFERROR($AD46*AH$22,0))</f>
      </c>
      <c r="N46" s="95">
        <f>IF(Planning!AB46=0,0,IFERROR($AD46*AH$22*K46,0))</f>
      </c>
      <c r="O46" s="96">
        <f>IF(ISTEXT(Planning!U46),0,AH46)</f>
      </c>
      <c r="P46" s="122">
        <f>Planning!AB46</f>
      </c>
      <c r="Q46" s="121">
        <f>Progress!R46</f>
      </c>
      <c r="R46" s="95">
        <f>IF(Q46=0,0,IF(ISNUMBER(Q46),IF(S46&gt;=$G$21,$F$21,"Q27"),Q46))</f>
      </c>
      <c r="S46" s="112">
        <f>Progress!S46</f>
      </c>
      <c r="T46" s="97"/>
      <c r="U46" s="96">
        <f>V46/$N$419</f>
      </c>
      <c r="V46" s="95">
        <f>IF(L46&lt;$E$20,0,IF(ISTEXT(L46),0,IF(AND(G46+1&gt;=$E$19+1,L46&gt;0),IF(ISNUMBER(Q46),Q46*$AD46*AH$22*K46,$AD46*AH$22*K46),0)))</f>
      </c>
      <c r="W46" s="95">
        <f>IF(AND(L46&gt;0,S46&gt;0),IF(ISNUMBER(Q46),Q46*$AD46*AH$22*K46,$AD46*AH$22*K46),0)</f>
      </c>
      <c r="X46" s="17"/>
      <c r="Y46" s="11"/>
      <c r="Z46" s="11"/>
      <c r="AA46" s="98">
        <f>Planning!Q46</f>
      </c>
      <c r="AB46" s="99">
        <f>IF(ISTEXT(AA46),VLOOKUP(AA46,Data_All,2,FALSE),"")</f>
      </c>
      <c r="AC46" s="99">
        <f>IF(ISTEXT(AA46),VLOOKUP(AA46,Data_All,3,FALSE),1)</f>
      </c>
      <c r="AD46" s="100">
        <f>IF(ISTEXT(AA46),Planning!T46)</f>
      </c>
      <c r="AE46" s="113">
        <f>VLOOKUP(AC46,Multiplier,2,FALSE)</f>
      </c>
      <c r="AF46" s="114">
        <f>AD46*AE46</f>
      </c>
      <c r="AG46" s="39"/>
      <c r="AH46" s="103">
        <f>IF(N46=0,0,N46/VE)</f>
      </c>
      <c r="AI46" s="115">
        <f>IF(N112=0,0,N112/VE)</f>
      </c>
      <c r="AJ46" s="115">
        <f>IF(N178=0,0,N178/VE)</f>
      </c>
      <c r="AK46" s="115">
        <f>IF(N244=0,0,N244/VE)</f>
      </c>
      <c r="AL46" s="115">
        <f>IF(N310=0,0,N310/VE)</f>
      </c>
      <c r="AM46" s="116">
        <f>IF(N376=0,0,N376/VE)</f>
      </c>
      <c r="AN46" s="117">
        <f>SUM(AH46:AM46)</f>
      </c>
      <c r="AO46" s="1"/>
      <c r="AP46" s="9"/>
      <c r="AQ46" s="140">
        <f>IF(AQ45="","",IF(AQ45+1&lt;=AQ$30,AQ45+1,""))</f>
      </c>
      <c r="AR46" s="138">
        <v>15</v>
      </c>
      <c r="AS46" s="139">
        <f>Planning!L33</f>
      </c>
      <c r="AT46" s="69"/>
      <c r="AU46" s="69"/>
      <c r="AV46" s="90"/>
      <c r="AW46" s="69"/>
      <c r="AX46" s="69"/>
      <c r="AY46" s="69"/>
      <c r="AZ46" s="69"/>
      <c r="BA46" s="69"/>
      <c r="BB46" s="69"/>
      <c r="BC46" s="69"/>
      <c r="BD46" s="69"/>
      <c r="BE46" s="69"/>
      <c r="BF46" s="69"/>
      <c r="BG46" s="69"/>
      <c r="BH46" s="69"/>
    </row>
    <row x14ac:dyDescent="0.25" r="47" customHeight="1" ht="14.25">
      <c r="A47" s="1"/>
      <c r="B47" s="1"/>
      <c r="C47" s="1"/>
      <c r="D47" s="1"/>
      <c r="E47" s="2"/>
      <c r="F47" s="2"/>
      <c r="G47" s="90">
        <f>(S47&amp;RIGHT(R47,1))*1</f>
      </c>
      <c r="H47" s="1"/>
      <c r="I47" s="111"/>
      <c r="J47" s="126">
        <f>Planning!Q47</f>
      </c>
      <c r="K47" s="93">
        <f>VLOOKUP(J47,AA$23:AE$88,5,FALSE)</f>
      </c>
      <c r="L47" s="122">
        <f>Planning!U47</f>
      </c>
      <c r="M47" s="121">
        <f>IF(Planning!AB47=0,0,IFERROR($AD47*AH$22,0))</f>
      </c>
      <c r="N47" s="95">
        <f>IF(Planning!AB47=0,0,IFERROR($AD47*AH$22*K47,0))</f>
      </c>
      <c r="O47" s="96">
        <f>IF(ISTEXT(Planning!U47),0,AH47)</f>
      </c>
      <c r="P47" s="122">
        <f>Planning!AB47</f>
      </c>
      <c r="Q47" s="121">
        <f>Progress!R47</f>
      </c>
      <c r="R47" s="95">
        <f>IF(Q47=0,0,IF(ISNUMBER(Q47),IF(S47&gt;=$G$21,$F$21,"Q28"),Q47))</f>
      </c>
      <c r="S47" s="112">
        <f>Progress!S47</f>
      </c>
      <c r="T47" s="97"/>
      <c r="U47" s="96">
        <f>V47/$N$419</f>
      </c>
      <c r="V47" s="95">
        <f>IF(L47&lt;$E$20,0,IF(ISTEXT(L47),0,IF(AND(G47+1&gt;=$E$19+1,L47&gt;0),IF(ISNUMBER(Q47),Q47*$AD47*AH$22*K47,$AD47*AH$22*K47),0)))</f>
      </c>
      <c r="W47" s="95">
        <f>IF(AND(L47&gt;0,S47&gt;0),IF(ISNUMBER(Q47),Q47*$AD47*AH$22*K47,$AD47*AH$22*K47),0)</f>
      </c>
      <c r="X47" s="17"/>
      <c r="Y47" s="11"/>
      <c r="Z47" s="11"/>
      <c r="AA47" s="98">
        <f>Planning!Q47</f>
      </c>
      <c r="AB47" s="99">
        <f>IF(ISTEXT(AA47),VLOOKUP(AA47,Data_All,2,FALSE),"")</f>
      </c>
      <c r="AC47" s="99">
        <f>IF(ISTEXT(AA47),VLOOKUP(AA47,Data_All,3,FALSE),1)</f>
      </c>
      <c r="AD47" s="100">
        <f>IF(ISTEXT(AA47),Planning!T47)</f>
      </c>
      <c r="AE47" s="113">
        <f>VLOOKUP(AC47,Multiplier,2,FALSE)</f>
      </c>
      <c r="AF47" s="114">
        <f>AD47*AE47</f>
      </c>
      <c r="AG47" s="39"/>
      <c r="AH47" s="103">
        <f>IF(N47=0,0,N47/VE)</f>
      </c>
      <c r="AI47" s="115">
        <f>IF(N113=0,0,N113/VE)</f>
      </c>
      <c r="AJ47" s="115">
        <f>IF(N179=0,0,N179/VE)</f>
      </c>
      <c r="AK47" s="115">
        <f>IF(N245=0,0,N245/VE)</f>
      </c>
      <c r="AL47" s="115">
        <f>IF(N311=0,0,N311/VE)</f>
      </c>
      <c r="AM47" s="116">
        <f>IF(N377=0,0,N377/VE)</f>
      </c>
      <c r="AN47" s="117">
        <f>SUM(AH47:AM47)</f>
      </c>
      <c r="AO47" s="1"/>
      <c r="AP47" s="9"/>
      <c r="AQ47" s="140">
        <f>IF(AQ46="","",IF(AQ46+1&lt;=AQ$30,AQ46+1,""))</f>
      </c>
      <c r="AR47" s="138">
        <v>16</v>
      </c>
      <c r="AS47" s="139">
        <f>Planning!L34</f>
      </c>
      <c r="AT47" s="69"/>
      <c r="AU47" s="69"/>
      <c r="AV47" s="90"/>
      <c r="AW47" s="69"/>
      <c r="AX47" s="69"/>
      <c r="AY47" s="69"/>
      <c r="AZ47" s="69"/>
      <c r="BA47" s="69"/>
      <c r="BB47" s="69"/>
      <c r="BC47" s="69"/>
      <c r="BD47" s="69"/>
      <c r="BE47" s="69"/>
      <c r="BF47" s="69"/>
      <c r="BG47" s="69"/>
      <c r="BH47" s="69"/>
    </row>
    <row x14ac:dyDescent="0.25" r="48" customHeight="1" ht="14.25">
      <c r="A48" s="1"/>
      <c r="B48" s="1"/>
      <c r="C48" s="1"/>
      <c r="D48" s="1"/>
      <c r="E48" s="2"/>
      <c r="F48" s="2"/>
      <c r="G48" s="90">
        <f>(S48&amp;RIGHT(R48,1))*1</f>
      </c>
      <c r="H48" s="1"/>
      <c r="I48" s="111"/>
      <c r="J48" s="126">
        <f>Planning!Q48</f>
      </c>
      <c r="K48" s="93">
        <f>VLOOKUP(J48,AA$23:AE$88,5,FALSE)</f>
      </c>
      <c r="L48" s="122">
        <f>Planning!U48</f>
      </c>
      <c r="M48" s="121">
        <f>IF(Planning!AB48=0,0,IFERROR($AD48*AH$22,0))</f>
      </c>
      <c r="N48" s="95">
        <f>IF(Planning!AB48=0,0,IFERROR($AD48*AH$22*K48,0))</f>
      </c>
      <c r="O48" s="96">
        <f>IF(ISTEXT(Planning!U48),0,AH48)</f>
      </c>
      <c r="P48" s="122">
        <f>Planning!AB48</f>
      </c>
      <c r="Q48" s="121">
        <f>Progress!R48</f>
      </c>
      <c r="R48" s="95">
        <f>IF(Q48=0,0,IF(ISNUMBER(Q48),IF(S48&gt;=$G$21,$F$21,"Q29"),Q48))</f>
      </c>
      <c r="S48" s="112">
        <f>Progress!S48</f>
      </c>
      <c r="T48" s="97"/>
      <c r="U48" s="96">
        <f>V48/$N$419</f>
      </c>
      <c r="V48" s="95">
        <f>IF(L48&lt;$E$20,0,IF(ISTEXT(L48),0,IF(AND(G48+1&gt;=$E$19+1,L48&gt;0),IF(ISNUMBER(Q48),Q48*$AD48*AH$22*K48,$AD48*AH$22*K48),0)))</f>
      </c>
      <c r="W48" s="95">
        <f>IF(AND(L48&gt;0,S48&gt;0),IF(ISNUMBER(Q48),Q48*$AD48*AH$22*K48,$AD48*AH$22*K48),0)</f>
      </c>
      <c r="X48" s="17"/>
      <c r="Y48" s="11"/>
      <c r="Z48" s="11"/>
      <c r="AA48" s="98">
        <f>Planning!Q48</f>
      </c>
      <c r="AB48" s="99">
        <f>IF(ISTEXT(AA48),VLOOKUP(AA48,Data_All,2,FALSE),"")</f>
      </c>
      <c r="AC48" s="99">
        <f>IF(ISTEXT(AA48),VLOOKUP(AA48,Data_All,3,FALSE),1)</f>
      </c>
      <c r="AD48" s="100">
        <f>IF(ISTEXT(AA48),Planning!T48)</f>
      </c>
      <c r="AE48" s="113">
        <f>VLOOKUP(AC48,Multiplier,2,FALSE)</f>
      </c>
      <c r="AF48" s="114">
        <f>AD48*AE48</f>
      </c>
      <c r="AG48" s="39"/>
      <c r="AH48" s="103">
        <f>IF(N48=0,0,N48/VE)</f>
      </c>
      <c r="AI48" s="115">
        <f>IF(N114=0,0,N114/VE)</f>
      </c>
      <c r="AJ48" s="115">
        <f>IF(N180=0,0,N180/VE)</f>
      </c>
      <c r="AK48" s="115">
        <f>IF(N246=0,0,N246/VE)</f>
      </c>
      <c r="AL48" s="115">
        <f>IF(N312=0,0,N312/VE)</f>
      </c>
      <c r="AM48" s="116">
        <f>IF(N378=0,0,N378/VE)</f>
      </c>
      <c r="AN48" s="117">
        <f>SUM(AH48:AM48)</f>
      </c>
      <c r="AO48" s="1"/>
      <c r="AP48" s="9"/>
      <c r="AQ48" s="140">
        <f>IF(AQ47="","",IF(AQ47+1&lt;=AQ$30,AQ47+1,""))</f>
      </c>
      <c r="AR48" s="138">
        <v>17</v>
      </c>
      <c r="AS48" s="139">
        <f>Planning!L35</f>
      </c>
      <c r="AT48" s="69"/>
      <c r="AU48" s="69"/>
      <c r="AV48" s="90"/>
      <c r="AW48" s="69"/>
      <c r="AX48" s="69"/>
      <c r="AY48" s="69"/>
      <c r="AZ48" s="69"/>
      <c r="BA48" s="69"/>
      <c r="BB48" s="69"/>
      <c r="BC48" s="69"/>
      <c r="BD48" s="69"/>
      <c r="BE48" s="69"/>
      <c r="BF48" s="69"/>
      <c r="BG48" s="69"/>
      <c r="BH48" s="69"/>
    </row>
    <row x14ac:dyDescent="0.25" r="49" customHeight="1" ht="14.25">
      <c r="A49" s="1"/>
      <c r="B49" s="1"/>
      <c r="C49" s="1"/>
      <c r="D49" s="1"/>
      <c r="E49" s="2"/>
      <c r="F49" s="2"/>
      <c r="G49" s="90">
        <f>(S49&amp;RIGHT(R49,1))*1</f>
      </c>
      <c r="H49" s="1"/>
      <c r="I49" s="111"/>
      <c r="J49" s="126">
        <f>Planning!Q49</f>
      </c>
      <c r="K49" s="93">
        <f>VLOOKUP(J49,AA$23:AE$88,5,FALSE)</f>
      </c>
      <c r="L49" s="122">
        <f>Planning!U49</f>
      </c>
      <c r="M49" s="121">
        <f>IF(Planning!AB49=0,0,IFERROR($AD49*AH$22,0))</f>
      </c>
      <c r="N49" s="95">
        <f>IF(Planning!AB49=0,0,IFERROR($AD49*AH$22*K49,0))</f>
      </c>
      <c r="O49" s="96">
        <f>IF(ISTEXT(Planning!U49),0,AH49)</f>
      </c>
      <c r="P49" s="122">
        <f>Planning!AB49</f>
      </c>
      <c r="Q49" s="121">
        <f>Progress!R49</f>
      </c>
      <c r="R49" s="95">
        <f>IF(Q49=0,0,IF(ISNUMBER(Q49),IF(S49&gt;=$G$21,$F$21,"Q30"),Q49))</f>
      </c>
      <c r="S49" s="112">
        <f>Progress!S49</f>
      </c>
      <c r="T49" s="97"/>
      <c r="U49" s="96">
        <f>V49/$N$419</f>
      </c>
      <c r="V49" s="95">
        <f>IF(L49&lt;$E$20,0,IF(ISTEXT(L49),0,IF(AND(G49+1&gt;=$E$19+1,L49&gt;0),IF(ISNUMBER(Q49),Q49*$AD49*AH$22*K49,$AD49*AH$22*K49),0)))</f>
      </c>
      <c r="W49" s="95">
        <f>IF(AND(L49&gt;0,S49&gt;0),IF(ISNUMBER(Q49),Q49*$AD49*AH$22*K49,$AD49*AH$22*K49),0)</f>
      </c>
      <c r="X49" s="17"/>
      <c r="Y49" s="11"/>
      <c r="Z49" s="11"/>
      <c r="AA49" s="98">
        <f>Planning!Q49</f>
      </c>
      <c r="AB49" s="99">
        <f>IF(ISTEXT(AA49),VLOOKUP(AA49,Data_All,2,FALSE),"")</f>
      </c>
      <c r="AC49" s="99">
        <f>IF(ISTEXT(AA49),VLOOKUP(AA49,Data_All,3,FALSE),1)</f>
      </c>
      <c r="AD49" s="100">
        <f>IF(ISTEXT(AA49),Planning!T49)</f>
      </c>
      <c r="AE49" s="113">
        <f>VLOOKUP(AC49,Multiplier,2,FALSE)</f>
      </c>
      <c r="AF49" s="114">
        <f>AD49*AE49</f>
      </c>
      <c r="AG49" s="39"/>
      <c r="AH49" s="103">
        <f>IF(N49=0,0,N49/VE)</f>
      </c>
      <c r="AI49" s="115">
        <f>IF(N115=0,0,N115/VE)</f>
      </c>
      <c r="AJ49" s="115">
        <f>IF(N181=0,0,N181/VE)</f>
      </c>
      <c r="AK49" s="115">
        <f>IF(N247=0,0,N247/VE)</f>
      </c>
      <c r="AL49" s="115">
        <f>IF(N313=0,0,N313/VE)</f>
      </c>
      <c r="AM49" s="116">
        <f>IF(N379=0,0,N379/VE)</f>
      </c>
      <c r="AN49" s="117">
        <f>SUM(AH49:AM49)</f>
      </c>
      <c r="AO49" s="1"/>
      <c r="AP49" s="9"/>
      <c r="AQ49" s="140">
        <f>IF(AQ48="","",IF(AQ48+1&lt;=AQ$30,AQ48+1,""))</f>
      </c>
      <c r="AR49" s="138">
        <v>18</v>
      </c>
      <c r="AS49" s="139">
        <f>Planning!L36</f>
      </c>
      <c r="AT49" s="69"/>
      <c r="AU49" s="69"/>
      <c r="AV49" s="90"/>
      <c r="AW49" s="69"/>
      <c r="AX49" s="69"/>
      <c r="AY49" s="69"/>
      <c r="AZ49" s="69"/>
      <c r="BA49" s="69"/>
      <c r="BB49" s="69"/>
      <c r="BC49" s="69"/>
      <c r="BD49" s="69"/>
      <c r="BE49" s="69"/>
      <c r="BF49" s="69"/>
      <c r="BG49" s="69"/>
      <c r="BH49" s="69"/>
    </row>
    <row x14ac:dyDescent="0.25" r="50" customHeight="1" ht="14.25">
      <c r="A50" s="1"/>
      <c r="B50" s="1"/>
      <c r="C50" s="1"/>
      <c r="D50" s="1"/>
      <c r="E50" s="2"/>
      <c r="F50" s="2"/>
      <c r="G50" s="90">
        <f>(S50&amp;RIGHT(R50,1))*1</f>
      </c>
      <c r="H50" s="1"/>
      <c r="I50" s="111"/>
      <c r="J50" s="126">
        <f>Planning!Q50</f>
      </c>
      <c r="K50" s="93">
        <f>VLOOKUP(J50,AA$23:AE$88,5,FALSE)</f>
      </c>
      <c r="L50" s="122">
        <f>Planning!U50</f>
      </c>
      <c r="M50" s="121">
        <f>IF(Planning!AB50=0,0,IFERROR($AD50*AH$22,0))</f>
      </c>
      <c r="N50" s="95">
        <f>IF(Planning!AB50=0,0,IFERROR($AD50*AH$22*K50,0))</f>
      </c>
      <c r="O50" s="96">
        <f>IF(ISTEXT(Planning!U50),0,AH50)</f>
      </c>
      <c r="P50" s="122">
        <f>Planning!AB50</f>
      </c>
      <c r="Q50" s="121">
        <f>Progress!R50</f>
      </c>
      <c r="R50" s="95">
        <f>IF(Q50=0,0,IF(ISNUMBER(Q50),IF(S50&gt;=$G$21,$F$21,"Q31"),Q50))</f>
      </c>
      <c r="S50" s="112">
        <f>Progress!S50</f>
      </c>
      <c r="T50" s="97"/>
      <c r="U50" s="96">
        <f>V50/$N$419</f>
      </c>
      <c r="V50" s="95">
        <f>IF(L50&lt;$E$20,0,IF(ISTEXT(L50),0,IF(AND(G50+1&gt;=$E$19+1,L50&gt;0),IF(ISNUMBER(Q50),Q50*$AD50*AH$22*K50,$AD50*AH$22*K50),0)))</f>
      </c>
      <c r="W50" s="95">
        <f>IF(AND(L50&gt;0,S50&gt;0),IF(ISNUMBER(Q50),Q50*$AD50*AH$22*K50,$AD50*AH$22*K50),0)</f>
      </c>
      <c r="X50" s="17"/>
      <c r="Y50" s="11"/>
      <c r="Z50" s="11"/>
      <c r="AA50" s="98">
        <f>Planning!Q50</f>
      </c>
      <c r="AB50" s="99">
        <f>IF(ISTEXT(AA50),VLOOKUP(AA50,Data_All,2,FALSE),"")</f>
      </c>
      <c r="AC50" s="99">
        <f>IF(ISTEXT(AA50),VLOOKUP(AA50,Data_All,3,FALSE),1)</f>
      </c>
      <c r="AD50" s="100">
        <f>IF(ISTEXT(AA50),Planning!T50)</f>
      </c>
      <c r="AE50" s="113">
        <f>VLOOKUP(AC50,Multiplier,2,FALSE)</f>
      </c>
      <c r="AF50" s="114">
        <f>AD50*AE50</f>
      </c>
      <c r="AG50" s="39"/>
      <c r="AH50" s="103">
        <f>IF(N50=0,0,N50/VE)</f>
      </c>
      <c r="AI50" s="115">
        <f>IF(N116=0,0,N116/VE)</f>
      </c>
      <c r="AJ50" s="115">
        <f>IF(N182=0,0,N182/VE)</f>
      </c>
      <c r="AK50" s="115">
        <f>IF(N248=0,0,N248/VE)</f>
      </c>
      <c r="AL50" s="115">
        <f>IF(N314=0,0,N314/VE)</f>
      </c>
      <c r="AM50" s="116">
        <f>IF(N380=0,0,N380/VE)</f>
      </c>
      <c r="AN50" s="117">
        <f>SUM(AH50:AM50)</f>
      </c>
      <c r="AO50" s="1"/>
      <c r="AP50" s="9"/>
      <c r="AQ50" s="140">
        <f>IF(AQ49="","",IF(AQ49+1&lt;=AQ$30,AQ49+1,""))</f>
      </c>
      <c r="AR50" s="138">
        <v>19</v>
      </c>
      <c r="AS50" s="139">
        <f>Planning!L37</f>
      </c>
      <c r="AT50" s="69"/>
      <c r="AU50" s="69"/>
      <c r="AV50" s="90"/>
      <c r="AW50" s="69"/>
      <c r="AX50" s="69"/>
      <c r="AY50" s="69"/>
      <c r="AZ50" s="69"/>
      <c r="BA50" s="69"/>
      <c r="BB50" s="69"/>
      <c r="BC50" s="69"/>
      <c r="BD50" s="69"/>
      <c r="BE50" s="69"/>
      <c r="BF50" s="69"/>
      <c r="BG50" s="69"/>
      <c r="BH50" s="69"/>
    </row>
    <row x14ac:dyDescent="0.25" r="51" customHeight="1" ht="14.25">
      <c r="A51" s="1"/>
      <c r="B51" s="1"/>
      <c r="C51" s="1"/>
      <c r="D51" s="1"/>
      <c r="E51" s="2"/>
      <c r="F51" s="2"/>
      <c r="G51" s="90">
        <f>(S51&amp;RIGHT(R51,1))*1</f>
      </c>
      <c r="H51" s="1"/>
      <c r="I51" s="111"/>
      <c r="J51" s="126">
        <f>Planning!Q51</f>
      </c>
      <c r="K51" s="93">
        <f>VLOOKUP(J51,AA$23:AE$88,5,FALSE)</f>
      </c>
      <c r="L51" s="122">
        <f>Planning!U51</f>
      </c>
      <c r="M51" s="121">
        <f>IF(Planning!AB51=0,0,IFERROR($AD51*AH$22,0))</f>
      </c>
      <c r="N51" s="95">
        <f>IF(Planning!AB51=0,0,IFERROR($AD51*AH$22*K51,0))</f>
      </c>
      <c r="O51" s="96">
        <f>IF(ISTEXT(Planning!U51),0,AH51)</f>
      </c>
      <c r="P51" s="122">
        <f>Planning!AB51</f>
      </c>
      <c r="Q51" s="121">
        <f>Progress!R51</f>
      </c>
      <c r="R51" s="95">
        <f>IF(Q51=0,0,IF(ISNUMBER(Q51),IF(S51&gt;=$G$21,$F$21,"Q32"),Q51))</f>
      </c>
      <c r="S51" s="112">
        <f>Progress!S51</f>
      </c>
      <c r="T51" s="97"/>
      <c r="U51" s="96">
        <f>V51/$N$419</f>
      </c>
      <c r="V51" s="95">
        <f>IF(L51&lt;$E$20,0,IF(ISTEXT(L51),0,IF(AND(G51+1&gt;=$E$19+1,L51&gt;0),IF(ISNUMBER(Q51),Q51*$AD51*AH$22*K51,$AD51*AH$22*K51),0)))</f>
      </c>
      <c r="W51" s="95">
        <f>IF(AND(L51&gt;0,S51&gt;0),IF(ISNUMBER(Q51),Q51*$AD51*AH$22*K51,$AD51*AH$22*K51),0)</f>
      </c>
      <c r="X51" s="17"/>
      <c r="Y51" s="11"/>
      <c r="Z51" s="11"/>
      <c r="AA51" s="98">
        <f>Planning!Q51</f>
      </c>
      <c r="AB51" s="99">
        <f>IF(ISTEXT(AA51),VLOOKUP(AA51,Data_All,2,FALSE),"")</f>
      </c>
      <c r="AC51" s="99">
        <f>IF(ISTEXT(AA51),VLOOKUP(AA51,Data_All,3,FALSE),1)</f>
      </c>
      <c r="AD51" s="100">
        <f>IF(ISTEXT(AA51),Planning!T51)</f>
      </c>
      <c r="AE51" s="113">
        <f>VLOOKUP(AC51,Multiplier,2,FALSE)</f>
      </c>
      <c r="AF51" s="114">
        <f>AD51*AE51</f>
      </c>
      <c r="AG51" s="39"/>
      <c r="AH51" s="103">
        <f>IF(N51=0,0,N51/VE)</f>
      </c>
      <c r="AI51" s="115">
        <f>IF(N117=0,0,N117/VE)</f>
      </c>
      <c r="AJ51" s="115">
        <f>IF(N183=0,0,N183/VE)</f>
      </c>
      <c r="AK51" s="115">
        <f>IF(N249=0,0,N249/VE)</f>
      </c>
      <c r="AL51" s="115">
        <f>IF(N315=0,0,N315/VE)</f>
      </c>
      <c r="AM51" s="116">
        <f>IF(N381=0,0,N381/VE)</f>
      </c>
      <c r="AN51" s="117">
        <f>SUM(AH51:AM51)</f>
      </c>
      <c r="AO51" s="1"/>
      <c r="AP51" s="9"/>
      <c r="AQ51" s="140">
        <f>IF(AQ50="","",IF(AQ50+1&lt;=AQ$30,AQ50+1,""))</f>
      </c>
      <c r="AR51" s="138">
        <v>20</v>
      </c>
      <c r="AS51" s="139">
        <f>Planning!L38</f>
      </c>
      <c r="AT51" s="69"/>
      <c r="AU51" s="69"/>
      <c r="AV51" s="90"/>
      <c r="AW51" s="69"/>
      <c r="AX51" s="69"/>
      <c r="AY51" s="69"/>
      <c r="AZ51" s="69"/>
      <c r="BA51" s="69"/>
      <c r="BB51" s="69"/>
      <c r="BC51" s="69"/>
      <c r="BD51" s="69"/>
      <c r="BE51" s="69"/>
      <c r="BF51" s="69"/>
      <c r="BG51" s="69"/>
      <c r="BH51" s="69"/>
    </row>
    <row x14ac:dyDescent="0.25" r="52" customHeight="1" ht="14.25">
      <c r="A52" s="1"/>
      <c r="B52" s="1"/>
      <c r="C52" s="1"/>
      <c r="D52" s="1"/>
      <c r="E52" s="2"/>
      <c r="F52" s="2"/>
      <c r="G52" s="90">
        <f>(S52&amp;RIGHT(R52,1))*1</f>
      </c>
      <c r="H52" s="1"/>
      <c r="I52" s="111"/>
      <c r="J52" s="126">
        <f>Planning!Q52</f>
      </c>
      <c r="K52" s="93">
        <f>VLOOKUP(J52,AA$23:AE$88,5,FALSE)</f>
      </c>
      <c r="L52" s="122">
        <f>Planning!U52</f>
      </c>
      <c r="M52" s="121">
        <f>IF(Planning!AB52=0,0,IFERROR($AD52*AH$22,0))</f>
      </c>
      <c r="N52" s="95">
        <f>IF(Planning!AB52=0,0,IFERROR($AD52*AH$22*K52,0))</f>
      </c>
      <c r="O52" s="96">
        <f>IF(ISTEXT(Planning!U52),0,AH52)</f>
      </c>
      <c r="P52" s="122">
        <f>Planning!AB52</f>
      </c>
      <c r="Q52" s="121">
        <f>Progress!R52</f>
      </c>
      <c r="R52" s="95">
        <f>IF(Q52=0,0,IF(ISNUMBER(Q52),IF(S52&gt;=$G$21,$F$21,"Q33"),Q52))</f>
      </c>
      <c r="S52" s="112">
        <f>Progress!S52</f>
      </c>
      <c r="T52" s="97"/>
      <c r="U52" s="96">
        <f>V52/$N$419</f>
      </c>
      <c r="V52" s="95">
        <f>IF(L52&lt;$E$20,0,IF(ISTEXT(L52),0,IF(AND(G52+1&gt;=$E$19+1,L52&gt;0),IF(ISNUMBER(Q52),Q52*$AD52*AH$22*K52,$AD52*AH$22*K52),0)))</f>
      </c>
      <c r="W52" s="95">
        <f>IF(AND(L52&gt;0,S52&gt;0),IF(ISNUMBER(Q52),Q52*$AD52*AH$22*K52,$AD52*AH$22*K52),0)</f>
      </c>
      <c r="X52" s="17"/>
      <c r="Y52" s="11"/>
      <c r="Z52" s="11"/>
      <c r="AA52" s="98">
        <f>Planning!Q52</f>
      </c>
      <c r="AB52" s="99">
        <f>IF(ISTEXT(AA52),VLOOKUP(AA52,Data_All,2,FALSE),"")</f>
      </c>
      <c r="AC52" s="99">
        <f>IF(ISTEXT(AA52),VLOOKUP(AA52,Data_All,3,FALSE),1)</f>
      </c>
      <c r="AD52" s="100">
        <f>IF(ISTEXT(AA52),Planning!T52)</f>
      </c>
      <c r="AE52" s="113">
        <f>VLOOKUP(AC52,Multiplier,2,FALSE)</f>
      </c>
      <c r="AF52" s="114">
        <f>AD52*AE52</f>
      </c>
      <c r="AG52" s="39"/>
      <c r="AH52" s="103">
        <f>IF(N52=0,0,N52/VE)</f>
      </c>
      <c r="AI52" s="115">
        <f>IF(N118=0,0,N118/VE)</f>
      </c>
      <c r="AJ52" s="115">
        <f>IF(N184=0,0,N184/VE)</f>
      </c>
      <c r="AK52" s="115">
        <f>IF(N250=0,0,N250/VE)</f>
      </c>
      <c r="AL52" s="115">
        <f>IF(N316=0,0,N316/VE)</f>
      </c>
      <c r="AM52" s="116">
        <f>IF(N382=0,0,N382/VE)</f>
      </c>
      <c r="AN52" s="117">
        <f>SUM(AH52:AM52)</f>
      </c>
      <c r="AO52" s="1"/>
      <c r="AP52" s="9"/>
      <c r="AQ52" s="142">
        <f>IF(AQ51="","",IF(AQ51+1&lt;=AQ$30,AQ51+1,""))</f>
      </c>
      <c r="AR52" s="143"/>
      <c r="AS52" s="144"/>
      <c r="AT52" s="69"/>
      <c r="AU52" s="69"/>
      <c r="AV52" s="90"/>
      <c r="AW52" s="69"/>
      <c r="AX52" s="69"/>
      <c r="AY52" s="69"/>
      <c r="AZ52" s="69"/>
      <c r="BA52" s="69"/>
      <c r="BB52" s="69"/>
      <c r="BC52" s="69"/>
      <c r="BD52" s="69"/>
      <c r="BE52" s="69"/>
      <c r="BF52" s="69"/>
      <c r="BG52" s="69"/>
      <c r="BH52" s="69"/>
    </row>
    <row x14ac:dyDescent="0.25" r="53" customHeight="1" ht="14.25">
      <c r="A53" s="1"/>
      <c r="B53" s="1"/>
      <c r="C53" s="1"/>
      <c r="D53" s="1"/>
      <c r="E53" s="2"/>
      <c r="F53" s="2"/>
      <c r="G53" s="90">
        <f>(S53&amp;RIGHT(R53,1))*1</f>
      </c>
      <c r="H53" s="1"/>
      <c r="I53" s="111"/>
      <c r="J53" s="126">
        <f>Planning!Q53</f>
      </c>
      <c r="K53" s="93">
        <f>VLOOKUP(J53,AA$23:AE$88,5,FALSE)</f>
      </c>
      <c r="L53" s="122">
        <f>Planning!U53</f>
      </c>
      <c r="M53" s="121">
        <f>IF(Planning!AB53=0,0,IFERROR($AD53*AH$22,0))</f>
      </c>
      <c r="N53" s="95">
        <f>IF(Planning!AB53=0,0,IFERROR($AD53*AH$22*K53,0))</f>
      </c>
      <c r="O53" s="96">
        <f>IF(ISTEXT(Planning!U53),0,AH53)</f>
      </c>
      <c r="P53" s="122">
        <f>Planning!AB53</f>
      </c>
      <c r="Q53" s="121">
        <f>Progress!R53</f>
      </c>
      <c r="R53" s="95">
        <f>IF(Q53=0,0,IF(ISNUMBER(Q53),IF(S53&gt;=$G$21,$F$21,"Q34"),Q53))</f>
      </c>
      <c r="S53" s="112">
        <f>Progress!S53</f>
      </c>
      <c r="T53" s="97"/>
      <c r="U53" s="96">
        <f>V53/$N$419</f>
      </c>
      <c r="V53" s="95">
        <f>IF(L53&lt;$E$20,0,IF(ISTEXT(L53),0,IF(AND(G53+1&gt;=$E$19+1,L53&gt;0),IF(ISNUMBER(Q53),Q53*$AD53*AH$22*K53,$AD53*AH$22*K53),0)))</f>
      </c>
      <c r="W53" s="95">
        <f>IF(AND(L53&gt;0,S53&gt;0),IF(ISNUMBER(Q53),Q53*$AD53*AH$22*K53,$AD53*AH$22*K53),0)</f>
      </c>
      <c r="X53" s="17"/>
      <c r="Y53" s="11"/>
      <c r="Z53" s="11"/>
      <c r="AA53" s="98">
        <f>Planning!Q53</f>
      </c>
      <c r="AB53" s="99">
        <f>IF(ISTEXT(AA53),VLOOKUP(AA53,Data_All,2,FALSE),"")</f>
      </c>
      <c r="AC53" s="99">
        <f>IF(ISTEXT(AA53),VLOOKUP(AA53,Data_All,3,FALSE),1)</f>
      </c>
      <c r="AD53" s="100">
        <f>IF(ISTEXT(AA53),Planning!T53)</f>
      </c>
      <c r="AE53" s="113">
        <f>VLOOKUP(AC53,Multiplier,2,FALSE)</f>
      </c>
      <c r="AF53" s="114">
        <f>AD53*AE53</f>
      </c>
      <c r="AG53" s="1"/>
      <c r="AH53" s="103">
        <f>IF(N53=0,0,N53/VE)</f>
      </c>
      <c r="AI53" s="115">
        <f>IF(N119=0,0,N119/VE)</f>
      </c>
      <c r="AJ53" s="115">
        <f>IF(N185=0,0,N185/VE)</f>
      </c>
      <c r="AK53" s="115">
        <f>IF(N251=0,0,N251/VE)</f>
      </c>
      <c r="AL53" s="115">
        <f>IF(N317=0,0,N317/VE)</f>
      </c>
      <c r="AM53" s="116">
        <f>IF(N383=0,0,N383/VE)</f>
      </c>
      <c r="AN53" s="117">
        <f>SUM(AH53:AM53)</f>
      </c>
      <c r="AO53" s="1"/>
      <c r="AP53" s="9"/>
      <c r="AQ53" s="145" t="s">
        <v>29</v>
      </c>
      <c r="AR53" s="3"/>
      <c r="AS53" s="10"/>
      <c r="AT53" s="1"/>
      <c r="AU53" s="1"/>
      <c r="AV53" s="1"/>
      <c r="AW53" s="1"/>
      <c r="AX53" s="11"/>
      <c r="AY53" s="39"/>
      <c r="AZ53" s="1"/>
      <c r="BA53" s="11"/>
      <c r="BB53" s="1"/>
      <c r="BC53" s="1"/>
      <c r="BD53" s="1"/>
      <c r="BE53" s="1"/>
      <c r="BF53" s="1"/>
      <c r="BG53" s="1"/>
      <c r="BH53" s="1"/>
    </row>
    <row x14ac:dyDescent="0.25" r="54" customHeight="1" ht="14.25">
      <c r="A54" s="1"/>
      <c r="B54" s="1"/>
      <c r="C54" s="1"/>
      <c r="D54" s="1"/>
      <c r="E54" s="2"/>
      <c r="F54" s="2"/>
      <c r="G54" s="90">
        <f>(S54&amp;RIGHT(R54,1))*1</f>
      </c>
      <c r="H54" s="1"/>
      <c r="I54" s="111"/>
      <c r="J54" s="126">
        <f>Planning!Q54</f>
      </c>
      <c r="K54" s="93">
        <f>VLOOKUP(J54,AA$23:AE$88,5,FALSE)</f>
      </c>
      <c r="L54" s="122">
        <f>Planning!U54</f>
      </c>
      <c r="M54" s="121">
        <f>IF(Planning!AB54=0,0,IFERROR($AD54*AH$22,0))</f>
      </c>
      <c r="N54" s="95">
        <f>IF(Planning!AB54=0,0,IFERROR($AD54*AH$22*K54,0))</f>
      </c>
      <c r="O54" s="96">
        <f>IF(ISTEXT(Planning!U54),0,AH54)</f>
      </c>
      <c r="P54" s="122">
        <f>Planning!AB54</f>
      </c>
      <c r="Q54" s="121">
        <f>Progress!R54</f>
      </c>
      <c r="R54" s="95">
        <f>IF(Q54=0,0,IF(ISNUMBER(Q54),IF(S54&gt;=$G$21,$F$21,"Q35"),Q54))</f>
      </c>
      <c r="S54" s="112">
        <f>Progress!S54</f>
      </c>
      <c r="T54" s="97"/>
      <c r="U54" s="96">
        <f>V54/$N$419</f>
      </c>
      <c r="V54" s="95">
        <f>IF(L54&lt;$E$20,0,IF(ISTEXT(L54),0,IF(AND(G54+1&gt;=$E$19+1,L54&gt;0),IF(ISNUMBER(Q54),Q54*$AD54*AH$22*K54,$AD54*AH$22*K54),0)))</f>
      </c>
      <c r="W54" s="95">
        <f>IF(AND(L54&gt;0,S54&gt;0),IF(ISNUMBER(Q54),Q54*$AD54*AH$22*K54,$AD54*AH$22*K54),0)</f>
      </c>
      <c r="X54" s="17"/>
      <c r="Y54" s="11"/>
      <c r="Z54" s="11"/>
      <c r="AA54" s="98">
        <f>Planning!Q54</f>
      </c>
      <c r="AB54" s="99">
        <f>IF(ISTEXT(AA54),VLOOKUP(AA54,Data_All,2,FALSE),"")</f>
      </c>
      <c r="AC54" s="99">
        <f>IF(ISTEXT(AA54),VLOOKUP(AA54,Data_All,3,FALSE),1)</f>
      </c>
      <c r="AD54" s="100">
        <f>IF(ISTEXT(AA54),Planning!T54)</f>
      </c>
      <c r="AE54" s="113">
        <f>VLOOKUP(AC54,Multiplier,2,FALSE)</f>
      </c>
      <c r="AF54" s="114">
        <f>AD54*AE54</f>
      </c>
      <c r="AG54" s="1"/>
      <c r="AH54" s="103">
        <f>IF(N54=0,0,N54/VE)</f>
      </c>
      <c r="AI54" s="115">
        <f>IF(N120=0,0,N120/VE)</f>
      </c>
      <c r="AJ54" s="115">
        <f>IF(N186=0,0,N186/VE)</f>
      </c>
      <c r="AK54" s="115">
        <f>IF(N252=0,0,N252/VE)</f>
      </c>
      <c r="AL54" s="115">
        <f>IF(N318=0,0,N318/VE)</f>
      </c>
      <c r="AM54" s="116">
        <f>IF(N384=0,0,N384/VE)</f>
      </c>
      <c r="AN54" s="117">
        <f>SUM(AH54:AM54)</f>
      </c>
      <c r="AO54" s="1"/>
      <c r="AP54" s="9"/>
      <c r="AQ54" s="145" t="s">
        <v>30</v>
      </c>
      <c r="AR54" s="3"/>
      <c r="AS54" s="10"/>
      <c r="AT54" s="1"/>
      <c r="AU54" s="1"/>
      <c r="AV54" s="1"/>
      <c r="AW54" s="1"/>
      <c r="AX54" s="11"/>
      <c r="AY54" s="39"/>
      <c r="AZ54" s="1"/>
      <c r="BA54" s="11"/>
      <c r="BB54" s="1"/>
      <c r="BC54" s="1"/>
      <c r="BD54" s="1"/>
      <c r="BE54" s="1"/>
      <c r="BF54" s="1"/>
      <c r="BG54" s="1"/>
      <c r="BH54" s="1"/>
    </row>
    <row x14ac:dyDescent="0.25" r="55" customHeight="1" ht="14.25">
      <c r="A55" s="1"/>
      <c r="B55" s="1"/>
      <c r="C55" s="1"/>
      <c r="D55" s="1"/>
      <c r="E55" s="2"/>
      <c r="F55" s="2"/>
      <c r="G55" s="90">
        <f>(S55&amp;RIGHT(R55,1))*1</f>
      </c>
      <c r="H55" s="1"/>
      <c r="I55" s="111"/>
      <c r="J55" s="126">
        <f>Planning!Q55</f>
      </c>
      <c r="K55" s="93">
        <f>VLOOKUP(J55,AA$23:AE$88,5,FALSE)</f>
      </c>
      <c r="L55" s="122">
        <f>Planning!U55</f>
      </c>
      <c r="M55" s="121">
        <f>IF(Planning!AB55=0,0,IFERROR($AD55*AH$22,0))</f>
      </c>
      <c r="N55" s="95">
        <f>IF(Planning!AB55=0,0,IFERROR($AD55*AH$22*K55,0))</f>
      </c>
      <c r="O55" s="96">
        <f>IF(ISTEXT(Planning!U55),0,AH55)</f>
      </c>
      <c r="P55" s="122">
        <f>Planning!AB55</f>
      </c>
      <c r="Q55" s="121">
        <f>Progress!R55</f>
      </c>
      <c r="R55" s="95">
        <f>IF(Q55=0,0,IF(ISNUMBER(Q55),IF(S55&gt;=$G$21,$F$21,"Q36"),Q55))</f>
      </c>
      <c r="S55" s="112">
        <f>Progress!S55</f>
      </c>
      <c r="T55" s="97"/>
      <c r="U55" s="96">
        <f>V55/$N$419</f>
      </c>
      <c r="V55" s="95">
        <f>IF(L55&lt;$E$20,0,IF(ISTEXT(L55),0,IF(AND(G55+1&gt;=$E$19+1,L55&gt;0),IF(ISNUMBER(Q55),Q55*$AD55*AH$22*K55,$AD55*AH$22*K55),0)))</f>
      </c>
      <c r="W55" s="95">
        <f>IF(AND(L55&gt;0,S55&gt;0),IF(ISNUMBER(Q55),Q55*$AD55*AH$22*K55,$AD55*AH$22*K55),0)</f>
      </c>
      <c r="X55" s="17"/>
      <c r="Y55" s="11"/>
      <c r="Z55" s="11"/>
      <c r="AA55" s="98">
        <f>Planning!Q55</f>
      </c>
      <c r="AB55" s="99">
        <f>IF(ISTEXT(AA55),VLOOKUP(AA55,Data_All,2,FALSE),"")</f>
      </c>
      <c r="AC55" s="99">
        <f>IF(ISTEXT(AA55),VLOOKUP(AA55,Data_All,3,FALSE),1)</f>
      </c>
      <c r="AD55" s="100">
        <f>IF(ISTEXT(AA55),Planning!T55)</f>
      </c>
      <c r="AE55" s="113">
        <f>VLOOKUP(AC55,Multiplier,2,FALSE)</f>
      </c>
      <c r="AF55" s="114">
        <f>AD55*AE55</f>
      </c>
      <c r="AG55" s="1"/>
      <c r="AH55" s="103">
        <f>IF(N55=0,0,N55/VE)</f>
      </c>
      <c r="AI55" s="115">
        <f>IF(N121=0,0,N121/VE)</f>
      </c>
      <c r="AJ55" s="115">
        <f>IF(N187=0,0,N187/VE)</f>
      </c>
      <c r="AK55" s="115">
        <f>IF(N253=0,0,N253/VE)</f>
      </c>
      <c r="AL55" s="115">
        <f>IF(N319=0,0,N319/VE)</f>
      </c>
      <c r="AM55" s="116">
        <f>IF(N385=0,0,N385/VE)</f>
      </c>
      <c r="AN55" s="117">
        <f>SUM(AH55:AM55)</f>
      </c>
      <c r="AO55" s="1"/>
      <c r="AP55" s="9"/>
      <c r="AQ55" s="145" t="s">
        <v>31</v>
      </c>
      <c r="AR55" s="3"/>
      <c r="AS55" s="10"/>
      <c r="AT55" s="1"/>
      <c r="AU55" s="1"/>
      <c r="AV55" s="1"/>
      <c r="AW55" s="1"/>
      <c r="AX55" s="11"/>
      <c r="AY55" s="1"/>
      <c r="AZ55" s="39"/>
      <c r="BA55" s="1"/>
      <c r="BB55" s="11"/>
      <c r="BC55" s="1"/>
      <c r="BD55" s="1"/>
      <c r="BE55" s="1"/>
      <c r="BF55" s="1"/>
      <c r="BG55" s="1"/>
      <c r="BH55" s="1"/>
    </row>
    <row x14ac:dyDescent="0.25" r="56" customHeight="1" ht="14.25">
      <c r="A56" s="1"/>
      <c r="B56" s="1"/>
      <c r="C56" s="1"/>
      <c r="D56" s="1"/>
      <c r="E56" s="2"/>
      <c r="F56" s="2"/>
      <c r="G56" s="90">
        <f>(S56&amp;RIGHT(R56,1))*1</f>
      </c>
      <c r="H56" s="1"/>
      <c r="I56" s="111"/>
      <c r="J56" s="126">
        <f>Planning!Q56</f>
      </c>
      <c r="K56" s="93">
        <f>VLOOKUP(J56,AA$23:AE$88,5,FALSE)</f>
      </c>
      <c r="L56" s="122">
        <f>Planning!U56</f>
      </c>
      <c r="M56" s="121">
        <f>IF(Planning!AB56=0,0,IFERROR($AD56*AH$22,0))</f>
      </c>
      <c r="N56" s="95">
        <f>IF(Planning!AB56=0,0,IFERROR($AD56*AH$22*K56,0))</f>
      </c>
      <c r="O56" s="96">
        <f>IF(ISTEXT(Planning!U56),0,AH56)</f>
      </c>
      <c r="P56" s="122">
        <f>Planning!AB56</f>
      </c>
      <c r="Q56" s="121">
        <f>Progress!R56</f>
      </c>
      <c r="R56" s="95">
        <f>IF(Q56=0,0,IF(ISNUMBER(Q56),IF(S56&gt;=$G$21,$F$21,"Q37"),Q56))</f>
      </c>
      <c r="S56" s="112">
        <f>Progress!S56</f>
      </c>
      <c r="T56" s="97"/>
      <c r="U56" s="96">
        <f>V56/$N$419</f>
      </c>
      <c r="V56" s="95">
        <f>IF(L56&lt;$E$20,0,IF(ISTEXT(L56),0,IF(AND(G56+1&gt;=$E$19+1,L56&gt;0),IF(ISNUMBER(Q56),Q56*$AD56*AH$22*K56,$AD56*AH$22*K56),0)))</f>
      </c>
      <c r="W56" s="95">
        <f>IF(AND(L56&gt;0,S56&gt;0),IF(ISNUMBER(Q56),Q56*$AD56*AH$22*K56,$AD56*AH$22*K56),0)</f>
      </c>
      <c r="X56" s="17"/>
      <c r="Y56" s="11"/>
      <c r="Z56" s="11"/>
      <c r="AA56" s="98">
        <f>Planning!Q56</f>
      </c>
      <c r="AB56" s="99">
        <f>IF(ISTEXT(AA56),VLOOKUP(AA56,Data_All,2,FALSE),"")</f>
      </c>
      <c r="AC56" s="99">
        <f>IF(ISTEXT(AA56),VLOOKUP(AA56,Data_All,3,FALSE),1)</f>
      </c>
      <c r="AD56" s="100">
        <f>IF(ISTEXT(AA56),Planning!T56)</f>
      </c>
      <c r="AE56" s="113">
        <f>VLOOKUP(AC56,Multiplier,2,FALSE)</f>
      </c>
      <c r="AF56" s="114">
        <f>AD56*AE56</f>
      </c>
      <c r="AG56" s="1"/>
      <c r="AH56" s="103">
        <f>IF(N56=0,0,N56/VE)</f>
      </c>
      <c r="AI56" s="115">
        <f>IF(N122=0,0,N122/VE)</f>
      </c>
      <c r="AJ56" s="115">
        <f>IF(N188=0,0,N188/VE)</f>
      </c>
      <c r="AK56" s="115">
        <f>IF(N254=0,0,N254/VE)</f>
      </c>
      <c r="AL56" s="115">
        <f>IF(N320=0,0,N320/VE)</f>
      </c>
      <c r="AM56" s="116">
        <f>IF(N386=0,0,N386/VE)</f>
      </c>
      <c r="AN56" s="117">
        <f>SUM(AH56:AM56)</f>
      </c>
      <c r="AO56" s="1"/>
      <c r="AP56" s="9"/>
      <c r="AQ56" s="145" t="s">
        <v>32</v>
      </c>
      <c r="AR56" s="3"/>
      <c r="AS56" s="10"/>
      <c r="AT56" s="1"/>
      <c r="AU56" s="1"/>
      <c r="AV56" s="1"/>
      <c r="AW56" s="1"/>
      <c r="AX56" s="11"/>
      <c r="AY56" s="1"/>
      <c r="AZ56" s="39"/>
      <c r="BA56" s="1"/>
      <c r="BB56" s="11"/>
      <c r="BC56" s="1"/>
      <c r="BD56" s="1"/>
      <c r="BE56" s="1"/>
      <c r="BF56" s="1"/>
      <c r="BG56" s="1"/>
      <c r="BH56" s="1"/>
    </row>
    <row x14ac:dyDescent="0.25" r="57" customHeight="1" ht="14.25">
      <c r="A57" s="1"/>
      <c r="B57" s="1"/>
      <c r="C57" s="1"/>
      <c r="D57" s="1"/>
      <c r="E57" s="2"/>
      <c r="F57" s="2"/>
      <c r="G57" s="90">
        <f>(S57&amp;RIGHT(R57,1))*1</f>
      </c>
      <c r="H57" s="1"/>
      <c r="I57" s="111"/>
      <c r="J57" s="126">
        <f>Planning!Q57</f>
      </c>
      <c r="K57" s="93">
        <f>VLOOKUP(J57,AA$23:AE$88,5,FALSE)</f>
      </c>
      <c r="L57" s="122">
        <f>Planning!U57</f>
      </c>
      <c r="M57" s="121">
        <f>IF(Planning!AB57=0,0,IFERROR($AD57*AH$22,0))</f>
      </c>
      <c r="N57" s="95">
        <f>IF(Planning!AB57=0,0,IFERROR($AD57*AH$22*K57,0))</f>
      </c>
      <c r="O57" s="96">
        <f>IF(ISTEXT(Planning!U57),0,AH57)</f>
      </c>
      <c r="P57" s="122">
        <f>Planning!AB57</f>
      </c>
      <c r="Q57" s="121">
        <f>Progress!R57</f>
      </c>
      <c r="R57" s="95">
        <f>IF(Q57=0,0,IF(ISNUMBER(Q57),IF(S57&gt;=$G$21,$F$21,"Q38"),Q57))</f>
      </c>
      <c r="S57" s="112">
        <f>Progress!S57</f>
      </c>
      <c r="T57" s="97"/>
      <c r="U57" s="96">
        <f>V57/$N$419</f>
      </c>
      <c r="V57" s="95">
        <f>IF(L57&lt;$E$20,0,IF(ISTEXT(L57),0,IF(AND(G57+1&gt;=$E$19+1,L57&gt;0),IF(ISNUMBER(Q57),Q57*$AD57*AH$22*K57,$AD57*AH$22*K57),0)))</f>
      </c>
      <c r="W57" s="95">
        <f>IF(AND(L57&gt;0,S57&gt;0),IF(ISNUMBER(Q57),Q57*$AD57*AH$22*K57,$AD57*AH$22*K57),0)</f>
      </c>
      <c r="X57" s="17"/>
      <c r="Y57" s="11"/>
      <c r="Z57" s="11"/>
      <c r="AA57" s="98">
        <f>Planning!Q57</f>
      </c>
      <c r="AB57" s="99">
        <f>IF(ISTEXT(AA57),VLOOKUP(AA57,Data_All,2,FALSE),"")</f>
      </c>
      <c r="AC57" s="99">
        <f>IF(ISTEXT(AA57),VLOOKUP(AA57,Data_All,3,FALSE),1)</f>
      </c>
      <c r="AD57" s="100">
        <f>IF(ISTEXT(AA57),Planning!T57)</f>
      </c>
      <c r="AE57" s="113">
        <f>VLOOKUP(AC57,Multiplier,2,FALSE)</f>
      </c>
      <c r="AF57" s="114">
        <f>AD57*AE57</f>
      </c>
      <c r="AG57" s="1"/>
      <c r="AH57" s="103">
        <f>IF(N57=0,0,N57/VE)</f>
      </c>
      <c r="AI57" s="115">
        <f>IF(N123=0,0,N123/VE)</f>
      </c>
      <c r="AJ57" s="115">
        <f>IF(N189=0,0,N189/VE)</f>
      </c>
      <c r="AK57" s="115">
        <f>IF(N255=0,0,N255/VE)</f>
      </c>
      <c r="AL57" s="115">
        <f>IF(N321=0,0,N321/VE)</f>
      </c>
      <c r="AM57" s="116">
        <f>IF(N387=0,0,N387/VE)</f>
      </c>
      <c r="AN57" s="117">
        <f>SUM(AH57:AM57)</f>
      </c>
      <c r="AO57" s="1"/>
      <c r="AP57" s="9"/>
      <c r="AQ57" s="2"/>
      <c r="AR57" s="3"/>
      <c r="AS57" s="10"/>
      <c r="AT57" s="1"/>
      <c r="AU57" s="1"/>
      <c r="AV57" s="1"/>
      <c r="AW57" s="1"/>
      <c r="AX57" s="11"/>
      <c r="AY57" s="1"/>
      <c r="AZ57" s="39"/>
      <c r="BA57" s="1"/>
      <c r="BB57" s="11"/>
      <c r="BC57" s="1"/>
      <c r="BD57" s="1"/>
      <c r="BE57" s="1"/>
      <c r="BF57" s="1"/>
      <c r="BG57" s="1"/>
      <c r="BH57" s="1"/>
    </row>
    <row x14ac:dyDescent="0.25" r="58" customHeight="1" ht="14.25">
      <c r="A58" s="1"/>
      <c r="B58" s="1"/>
      <c r="C58" s="1"/>
      <c r="D58" s="1"/>
      <c r="E58" s="2"/>
      <c r="F58" s="2"/>
      <c r="G58" s="90">
        <f>(S58&amp;RIGHT(R58,1))*1</f>
      </c>
      <c r="H58" s="1"/>
      <c r="I58" s="111"/>
      <c r="J58" s="126">
        <f>Planning!Q58</f>
      </c>
      <c r="K58" s="93">
        <f>VLOOKUP(J58,AA$23:AE$88,5,FALSE)</f>
      </c>
      <c r="L58" s="122">
        <f>Planning!U58</f>
      </c>
      <c r="M58" s="121">
        <f>IF(Planning!AB58=0,0,IFERROR($AD58*AH$22,0))</f>
      </c>
      <c r="N58" s="95">
        <f>IF(Planning!AB58=0,0,IFERROR($AD58*AH$22*K58,0))</f>
      </c>
      <c r="O58" s="96">
        <f>IF(ISTEXT(Planning!U58),0,AH58)</f>
      </c>
      <c r="P58" s="122">
        <f>Planning!AB58</f>
      </c>
      <c r="Q58" s="121">
        <f>Progress!R58</f>
      </c>
      <c r="R58" s="95">
        <f>IF(Q58=0,0,IF(ISNUMBER(Q58),IF(S58&gt;=$G$21,$F$21,"Q39"),Q58))</f>
      </c>
      <c r="S58" s="112">
        <f>Progress!S58</f>
      </c>
      <c r="T58" s="97"/>
      <c r="U58" s="96">
        <f>V58/$N$419</f>
      </c>
      <c r="V58" s="95">
        <f>IF(L58&lt;$E$20,0,IF(ISTEXT(L58),0,IF(AND(G58+1&gt;=$E$19+1,L58&gt;0),IF(ISNUMBER(Q58),Q58*$AD58*AH$22*K58,$AD58*AH$22*K58),0)))</f>
      </c>
      <c r="W58" s="95">
        <f>IF(AND(L58&gt;0,S58&gt;0),IF(ISNUMBER(Q58),Q58*$AD58*AH$22*K58,$AD58*AH$22*K58),0)</f>
      </c>
      <c r="X58" s="17"/>
      <c r="Y58" s="11"/>
      <c r="Z58" s="11"/>
      <c r="AA58" s="98">
        <f>Planning!Q58</f>
      </c>
      <c r="AB58" s="99">
        <f>IF(ISTEXT(AA58),VLOOKUP(AA58,Data_All,2,FALSE),"")</f>
      </c>
      <c r="AC58" s="99">
        <f>IF(ISTEXT(AA58),VLOOKUP(AA58,Data_All,3,FALSE),1)</f>
      </c>
      <c r="AD58" s="100">
        <f>IF(ISTEXT(AA58),Planning!T58)</f>
      </c>
      <c r="AE58" s="113">
        <f>VLOOKUP(AC58,Multiplier,2,FALSE)</f>
      </c>
      <c r="AF58" s="114">
        <f>AD58*AE58</f>
      </c>
      <c r="AG58" s="1"/>
      <c r="AH58" s="103">
        <f>IF(N58=0,0,N58/VE)</f>
      </c>
      <c r="AI58" s="115">
        <f>IF(N124=0,0,N124/VE)</f>
      </c>
      <c r="AJ58" s="115">
        <f>IF(N190=0,0,N190/VE)</f>
      </c>
      <c r="AK58" s="115">
        <f>IF(N256=0,0,N256/VE)</f>
      </c>
      <c r="AL58" s="115">
        <f>IF(N322=0,0,N322/VE)</f>
      </c>
      <c r="AM58" s="116">
        <f>IF(N388=0,0,N388/VE)</f>
      </c>
      <c r="AN58" s="117">
        <f>SUM(AH58:AM58)</f>
      </c>
      <c r="AO58" s="1"/>
      <c r="AP58" s="9"/>
      <c r="AQ58" s="2"/>
      <c r="AR58" s="3"/>
      <c r="AS58" s="10"/>
      <c r="AT58" s="1"/>
      <c r="AU58" s="1"/>
      <c r="AV58" s="1"/>
      <c r="AW58" s="1"/>
      <c r="AX58" s="11"/>
      <c r="AY58" s="1"/>
      <c r="AZ58" s="39"/>
      <c r="BA58" s="1"/>
      <c r="BB58" s="11"/>
      <c r="BC58" s="1"/>
      <c r="BD58" s="1"/>
      <c r="BE58" s="1"/>
      <c r="BF58" s="1"/>
      <c r="BG58" s="1"/>
      <c r="BH58" s="1"/>
    </row>
    <row x14ac:dyDescent="0.25" r="59" customHeight="1" ht="14.25">
      <c r="A59" s="1"/>
      <c r="B59" s="1"/>
      <c r="C59" s="1"/>
      <c r="D59" s="1"/>
      <c r="E59" s="2"/>
      <c r="F59" s="2"/>
      <c r="G59" s="90">
        <f>(S59&amp;RIGHT(R59,1))*1</f>
      </c>
      <c r="H59" s="1"/>
      <c r="I59" s="111"/>
      <c r="J59" s="126">
        <f>Planning!Q59</f>
      </c>
      <c r="K59" s="93">
        <f>VLOOKUP(J59,AA$23:AE$88,5,FALSE)</f>
      </c>
      <c r="L59" s="122">
        <f>Planning!U59</f>
      </c>
      <c r="M59" s="121">
        <f>IF(Planning!AB59=0,0,IFERROR($AD59*AH$22,0))</f>
      </c>
      <c r="N59" s="95">
        <f>IF(Planning!AB59=0,0,IFERROR($AD59*AH$22*K59,0))</f>
      </c>
      <c r="O59" s="96">
        <f>IF(ISTEXT(Planning!U59),0,AH59)</f>
      </c>
      <c r="P59" s="122">
        <f>Planning!AB59</f>
      </c>
      <c r="Q59" s="121">
        <f>Progress!R59</f>
      </c>
      <c r="R59" s="95">
        <f>IF(Q59=0,0,IF(ISNUMBER(Q59),IF(S59&gt;=$G$21,$F$21,"Q40"),Q59))</f>
      </c>
      <c r="S59" s="112">
        <f>Progress!S59</f>
      </c>
      <c r="T59" s="97"/>
      <c r="U59" s="96">
        <f>V59/$N$419</f>
      </c>
      <c r="V59" s="95">
        <f>IF(L59&lt;$E$20,0,IF(ISTEXT(L59),0,IF(AND(G59+1&gt;=$E$19+1,L59&gt;0),IF(ISNUMBER(Q59),Q59*$AD59*AH$22*K59,$AD59*AH$22*K59),0)))</f>
      </c>
      <c r="W59" s="95">
        <f>IF(AND(L59&gt;0,S59&gt;0),IF(ISNUMBER(Q59),Q59*$AD59*AH$22*K59,$AD59*AH$22*K59),0)</f>
      </c>
      <c r="X59" s="17"/>
      <c r="Y59" s="11"/>
      <c r="Z59" s="11"/>
      <c r="AA59" s="98">
        <f>Planning!Q59</f>
      </c>
      <c r="AB59" s="99">
        <f>IF(ISTEXT(AA59),VLOOKUP(AA59,Data_All,2,FALSE),"")</f>
      </c>
      <c r="AC59" s="99">
        <f>IF(ISTEXT(AA59),VLOOKUP(AA59,Data_All,3,FALSE),1)</f>
      </c>
      <c r="AD59" s="100">
        <f>IF(ISTEXT(AA59),Planning!T59)</f>
      </c>
      <c r="AE59" s="113">
        <f>VLOOKUP(AC59,Multiplier,2,FALSE)</f>
      </c>
      <c r="AF59" s="114">
        <f>AD59*AE59</f>
      </c>
      <c r="AG59" s="1"/>
      <c r="AH59" s="103">
        <f>IF(N59=0,0,N59/VE)</f>
      </c>
      <c r="AI59" s="115">
        <f>IF(N125=0,0,N125/VE)</f>
      </c>
      <c r="AJ59" s="115">
        <f>IF(N191=0,0,N191/VE)</f>
      </c>
      <c r="AK59" s="115">
        <f>IF(N257=0,0,N257/VE)</f>
      </c>
      <c r="AL59" s="115">
        <f>IF(N323=0,0,N323/VE)</f>
      </c>
      <c r="AM59" s="116">
        <f>IF(N389=0,0,N389/VE)</f>
      </c>
      <c r="AN59" s="117">
        <f>SUM(AH59:AM59)</f>
      </c>
      <c r="AO59" s="1"/>
      <c r="AP59" s="9"/>
      <c r="AQ59" s="2"/>
      <c r="AR59" s="145" t="s">
        <v>33</v>
      </c>
      <c r="AS59" s="10"/>
      <c r="AT59" s="1"/>
      <c r="AU59" s="1"/>
      <c r="AV59" s="1"/>
      <c r="AW59" s="1"/>
      <c r="AX59" s="11"/>
      <c r="AY59" s="1"/>
      <c r="AZ59" s="39"/>
      <c r="BA59" s="1"/>
      <c r="BB59" s="11"/>
      <c r="BC59" s="1"/>
      <c r="BD59" s="1"/>
      <c r="BE59" s="1"/>
      <c r="BF59" s="1"/>
      <c r="BG59" s="1"/>
      <c r="BH59" s="1"/>
    </row>
    <row x14ac:dyDescent="0.25" r="60" customHeight="1" ht="14.25">
      <c r="A60" s="1"/>
      <c r="B60" s="1"/>
      <c r="C60" s="1"/>
      <c r="D60" s="1"/>
      <c r="E60" s="2"/>
      <c r="F60" s="2"/>
      <c r="G60" s="90">
        <f>(S60&amp;RIGHT(R60,1))*1</f>
      </c>
      <c r="H60" s="1"/>
      <c r="I60" s="111"/>
      <c r="J60" s="126">
        <f>Planning!Q60</f>
      </c>
      <c r="K60" s="93">
        <f>VLOOKUP(J60,AA$23:AE$88,5,FALSE)</f>
      </c>
      <c r="L60" s="122">
        <f>Planning!U60</f>
      </c>
      <c r="M60" s="121">
        <f>IF(Planning!AB60=0,0,IFERROR($AD60*AH$22,0))</f>
      </c>
      <c r="N60" s="95">
        <f>IF(Planning!AB60=0,0,IFERROR($AD60*AH$22*K60,0))</f>
      </c>
      <c r="O60" s="96">
        <f>IF(ISTEXT(Planning!U60),0,AH60)</f>
      </c>
      <c r="P60" s="122">
        <f>Planning!AB60</f>
      </c>
      <c r="Q60" s="121">
        <f>Progress!R60</f>
      </c>
      <c r="R60" s="95">
        <f>IF(Q60=0,0,IF(ISNUMBER(Q60),IF(S60&gt;=$G$21,$F$21,"Q41"),Q60))</f>
      </c>
      <c r="S60" s="112">
        <f>Progress!S60</f>
      </c>
      <c r="T60" s="97"/>
      <c r="U60" s="96">
        <f>V60/$N$419</f>
      </c>
      <c r="V60" s="95">
        <f>IF(L60&lt;$E$20,0,IF(ISTEXT(L60),0,IF(AND(G60+1&gt;=$E$19+1,L60&gt;0),IF(ISNUMBER(Q60),Q60*$AD60*AH$22*K60,$AD60*AH$22*K60),0)))</f>
      </c>
      <c r="W60" s="95">
        <f>IF(AND(L60&gt;0,S60&gt;0),IF(ISNUMBER(Q60),Q60*$AD60*AH$22*K60,$AD60*AH$22*K60),0)</f>
      </c>
      <c r="X60" s="17"/>
      <c r="Y60" s="11"/>
      <c r="Z60" s="11"/>
      <c r="AA60" s="98">
        <f>Planning!Q60</f>
      </c>
      <c r="AB60" s="99">
        <f>IF(ISTEXT(AA60),VLOOKUP(AA60,Data_All,2,FALSE),"")</f>
      </c>
      <c r="AC60" s="99">
        <f>IF(ISTEXT(AA60),VLOOKUP(AA60,Data_All,3,FALSE),1)</f>
      </c>
      <c r="AD60" s="100">
        <f>IF(ISTEXT(AA60),Planning!T60)</f>
      </c>
      <c r="AE60" s="113">
        <f>VLOOKUP(AC60,Multiplier,2,FALSE)</f>
      </c>
      <c r="AF60" s="114">
        <f>AD60*AE60</f>
      </c>
      <c r="AG60" s="1"/>
      <c r="AH60" s="103">
        <f>IF(N60=0,0,N60/VE)</f>
      </c>
      <c r="AI60" s="115">
        <f>IF(N126=0,0,N126/VE)</f>
      </c>
      <c r="AJ60" s="115">
        <f>IF(N192=0,0,N192/VE)</f>
      </c>
      <c r="AK60" s="115">
        <f>IF(N258=0,0,N258/VE)</f>
      </c>
      <c r="AL60" s="115">
        <f>IF(N324=0,0,N324/VE)</f>
      </c>
      <c r="AM60" s="116">
        <f>IF(N390=0,0,N390/VE)</f>
      </c>
      <c r="AN60" s="117">
        <f>SUM(AH60:AM60)</f>
      </c>
      <c r="AO60" s="1"/>
      <c r="AP60" s="9"/>
      <c r="AQ60" s="2"/>
      <c r="AR60" s="145" t="s">
        <v>34</v>
      </c>
      <c r="AS60" s="10"/>
      <c r="AT60" s="1"/>
      <c r="AU60" s="1"/>
      <c r="AV60" s="1"/>
      <c r="AW60" s="1"/>
      <c r="AX60" s="11"/>
      <c r="AY60" s="1"/>
      <c r="AZ60" s="1"/>
      <c r="BA60" s="1"/>
      <c r="BB60" s="1"/>
      <c r="BC60" s="1"/>
      <c r="BD60" s="1"/>
      <c r="BE60" s="1"/>
      <c r="BF60" s="1"/>
      <c r="BG60" s="1"/>
      <c r="BH60" s="1"/>
    </row>
    <row x14ac:dyDescent="0.25" r="61" customHeight="1" ht="14.25">
      <c r="A61" s="1"/>
      <c r="B61" s="1"/>
      <c r="C61" s="1"/>
      <c r="D61" s="1"/>
      <c r="E61" s="2"/>
      <c r="F61" s="2"/>
      <c r="G61" s="90">
        <f>(S61&amp;RIGHT(R61,1))*1</f>
      </c>
      <c r="H61" s="1"/>
      <c r="I61" s="111"/>
      <c r="J61" s="126">
        <f>Planning!Q61</f>
      </c>
      <c r="K61" s="93">
        <f>VLOOKUP(J61,AA$23:AE$88,5,FALSE)</f>
      </c>
      <c r="L61" s="122">
        <f>Planning!U61</f>
      </c>
      <c r="M61" s="121">
        <f>IF(Planning!AB61=0,0,IFERROR($AD61*AH$22,0))</f>
      </c>
      <c r="N61" s="95">
        <f>IF(Planning!AB61=0,0,IFERROR($AD61*AH$22*K61,0))</f>
      </c>
      <c r="O61" s="96">
        <f>IF(ISTEXT(Planning!U61),0,AH61)</f>
      </c>
      <c r="P61" s="122">
        <f>Planning!AB61</f>
      </c>
      <c r="Q61" s="121">
        <f>Progress!R61</f>
      </c>
      <c r="R61" s="95">
        <f>IF(Q61=0,0,IF(ISNUMBER(Q61),IF(S61&gt;=$G$21,$F$21,"Q42"),Q61))</f>
      </c>
      <c r="S61" s="112">
        <f>Progress!S61</f>
      </c>
      <c r="T61" s="97"/>
      <c r="U61" s="96">
        <f>V61/$N$419</f>
      </c>
      <c r="V61" s="95">
        <f>IF(L61&lt;$E$20,0,IF(ISTEXT(L61),0,IF(AND(G61+1&gt;=$E$19+1,L61&gt;0),IF(ISNUMBER(Q61),Q61*$AD61*AH$22*K61,$AD61*AH$22*K61),0)))</f>
      </c>
      <c r="W61" s="95">
        <f>IF(AND(L61&gt;0,S61&gt;0),IF(ISNUMBER(Q61),Q61*$AD61*AH$22*K61,$AD61*AH$22*K61),0)</f>
      </c>
      <c r="X61" s="17"/>
      <c r="Y61" s="11"/>
      <c r="Z61" s="11"/>
      <c r="AA61" s="98">
        <f>Planning!Q61</f>
      </c>
      <c r="AB61" s="99">
        <f>IF(ISTEXT(AA61),VLOOKUP(AA61,Data_All,2,FALSE),"")</f>
      </c>
      <c r="AC61" s="99">
        <f>IF(ISTEXT(AA61),VLOOKUP(AA61,Data_All,3,FALSE),1)</f>
      </c>
      <c r="AD61" s="100">
        <f>IF(ISTEXT(AA61),Planning!T61)</f>
      </c>
      <c r="AE61" s="113">
        <f>VLOOKUP(AC61,Multiplier,2,FALSE)</f>
      </c>
      <c r="AF61" s="114">
        <f>AD61*AE61</f>
      </c>
      <c r="AG61" s="1"/>
      <c r="AH61" s="146">
        <f>IF(N61=0,0,N61/VE)</f>
      </c>
      <c r="AI61" s="147">
        <f>IF(N127=0,0,N127/VE)</f>
      </c>
      <c r="AJ61" s="147">
        <f>IF(N193=0,0,N193/VE)</f>
      </c>
      <c r="AK61" s="147">
        <f>IF(N259=0,0,N259/VE)</f>
      </c>
      <c r="AL61" s="147">
        <f>IF(N325=0,0,N325/VE)</f>
      </c>
      <c r="AM61" s="148">
        <f>IF(N391=0,0,N391/VE)</f>
      </c>
      <c r="AN61" s="117">
        <f>SUM(AH61:AM61)</f>
      </c>
      <c r="AO61" s="1"/>
      <c r="AP61" s="9"/>
      <c r="AQ61" s="2"/>
      <c r="AR61" s="145" t="s">
        <v>35</v>
      </c>
      <c r="AS61" s="10"/>
      <c r="AT61" s="1"/>
      <c r="AU61" s="1"/>
      <c r="AV61" s="1"/>
      <c r="AW61" s="1"/>
      <c r="AX61" s="11"/>
      <c r="AY61" s="1"/>
      <c r="AZ61" s="1"/>
      <c r="BA61" s="1"/>
      <c r="BB61" s="1"/>
      <c r="BC61" s="1"/>
      <c r="BD61" s="1"/>
      <c r="BE61" s="1"/>
      <c r="BF61" s="1"/>
      <c r="BG61" s="1"/>
      <c r="BH61" s="1"/>
    </row>
    <row x14ac:dyDescent="0.25" r="62" customHeight="1" ht="14.25">
      <c r="A62" s="1"/>
      <c r="B62" s="1"/>
      <c r="C62" s="1"/>
      <c r="D62" s="1"/>
      <c r="E62" s="2"/>
      <c r="F62" s="2"/>
      <c r="G62" s="90">
        <f>(S62&amp;RIGHT(R62,1))*1</f>
      </c>
      <c r="H62" s="1"/>
      <c r="I62" s="111"/>
      <c r="J62" s="126">
        <f>Planning!Q62</f>
      </c>
      <c r="K62" s="93">
        <f>VLOOKUP(J62,AA$23:AE$88,5,FALSE)</f>
      </c>
      <c r="L62" s="122">
        <f>Planning!U62</f>
      </c>
      <c r="M62" s="121">
        <f>IF(Planning!AB62=0,0,IFERROR($AD62*AH$22,0))</f>
      </c>
      <c r="N62" s="95">
        <f>IF(Planning!AB62=0,0,IFERROR($AD62*AH$22*K62,0))</f>
      </c>
      <c r="O62" s="96">
        <f>IF(ISTEXT(Planning!U62),0,AH62)</f>
      </c>
      <c r="P62" s="122">
        <f>Planning!AB62</f>
      </c>
      <c r="Q62" s="121">
        <f>Progress!R62</f>
      </c>
      <c r="R62" s="95">
        <f>IF(Q62=0,0,IF(ISNUMBER(Q62),IF(S62&gt;=$G$21,$F$21,"Q43"),Q62))</f>
      </c>
      <c r="S62" s="112">
        <f>Progress!S62</f>
      </c>
      <c r="T62" s="97"/>
      <c r="U62" s="96">
        <f>V62/$N$419</f>
      </c>
      <c r="V62" s="95">
        <f>IF(L62&lt;$E$20,0,IF(ISTEXT(L62),0,IF(AND(G62+1&gt;=$E$19+1,L62&gt;0),IF(ISNUMBER(Q62),Q62*$AD62*AH$22*K62,$AD62*AH$22*K62),0)))</f>
      </c>
      <c r="W62" s="95">
        <f>IF(AND(L62&gt;0,S62&gt;0),IF(ISNUMBER(Q62),Q62*$AD62*AH$22*K62,$AD62*AH$22*K62),0)</f>
      </c>
      <c r="X62" s="17"/>
      <c r="Y62" s="11"/>
      <c r="Z62" s="11"/>
      <c r="AA62" s="98">
        <f>Planning!Q62</f>
      </c>
      <c r="AB62" s="99">
        <f>IF(ISTEXT(AA62),VLOOKUP(AA62,Data_All,2,FALSE),"")</f>
      </c>
      <c r="AC62" s="99">
        <f>IF(ISTEXT(AA62),VLOOKUP(AA62,Data_All,3,FALSE),1)</f>
      </c>
      <c r="AD62" s="100">
        <f>IF(ISTEXT(AA62),Planning!T62)</f>
      </c>
      <c r="AE62" s="113">
        <f>VLOOKUP(AC62,Multiplier,2,FALSE)</f>
      </c>
      <c r="AF62" s="114">
        <f>AD62*AE62</f>
      </c>
      <c r="AG62" s="1"/>
      <c r="AH62" s="146">
        <f>IF(N62=0,0,N62/VE)</f>
      </c>
      <c r="AI62" s="147">
        <f>IF(N128=0,0,N128/VE)</f>
      </c>
      <c r="AJ62" s="147">
        <f>IF(N194=0,0,N194/VE)</f>
      </c>
      <c r="AK62" s="147">
        <f>IF(N260=0,0,N260/VE)</f>
      </c>
      <c r="AL62" s="147">
        <f>IF(N326=0,0,N326/VE)</f>
      </c>
      <c r="AM62" s="148">
        <f>IF(N392=0,0,N392/VE)</f>
      </c>
      <c r="AN62" s="117">
        <f>SUM(AH62:AM62)</f>
      </c>
      <c r="AO62" s="1"/>
      <c r="AP62" s="9"/>
      <c r="AQ62" s="2"/>
      <c r="AR62" s="145" t="s">
        <v>36</v>
      </c>
      <c r="AS62" s="10"/>
      <c r="AT62" s="1"/>
      <c r="AU62" s="1"/>
      <c r="AV62" s="1"/>
      <c r="AW62" s="1"/>
      <c r="AX62" s="11"/>
      <c r="AY62" s="1"/>
      <c r="AZ62" s="1"/>
      <c r="BA62" s="1"/>
      <c r="BB62" s="1"/>
      <c r="BC62" s="1"/>
      <c r="BD62" s="1"/>
      <c r="BE62" s="1"/>
      <c r="BF62" s="1"/>
      <c r="BG62" s="1"/>
      <c r="BH62" s="1"/>
    </row>
    <row x14ac:dyDescent="0.25" r="63" customHeight="1" ht="14.25">
      <c r="A63" s="1"/>
      <c r="B63" s="1"/>
      <c r="C63" s="1"/>
      <c r="D63" s="1"/>
      <c r="E63" s="2"/>
      <c r="F63" s="2"/>
      <c r="G63" s="90">
        <f>(S63&amp;RIGHT(R63,1))*1</f>
      </c>
      <c r="H63" s="1"/>
      <c r="I63" s="111"/>
      <c r="J63" s="126">
        <f>Planning!Q63</f>
      </c>
      <c r="K63" s="93">
        <f>VLOOKUP(J63,AA$23:AE$88,5,FALSE)</f>
      </c>
      <c r="L63" s="122">
        <f>Planning!U63</f>
      </c>
      <c r="M63" s="121">
        <f>IF(Planning!AB63=0,0,IFERROR($AD63*AH$22,0))</f>
      </c>
      <c r="N63" s="95">
        <f>IF(Planning!AB63=0,0,IFERROR($AD63*AH$22*K63,0))</f>
      </c>
      <c r="O63" s="96">
        <f>IF(ISTEXT(Planning!U63),0,AH63)</f>
      </c>
      <c r="P63" s="122">
        <f>Planning!AB63</f>
      </c>
      <c r="Q63" s="121">
        <f>Progress!R63</f>
      </c>
      <c r="R63" s="95">
        <f>IF(Q63=0,0,IF(ISNUMBER(Q63),IF(S63&gt;=$G$21,$F$21,"Q44"),Q63))</f>
      </c>
      <c r="S63" s="112">
        <f>Progress!S63</f>
      </c>
      <c r="T63" s="97"/>
      <c r="U63" s="96">
        <f>V63/$N$419</f>
      </c>
      <c r="V63" s="95">
        <f>IF(L63&lt;$E$20,0,IF(ISTEXT(L63),0,IF(AND(G63+1&gt;=$E$19+1,L63&gt;0),IF(ISNUMBER(Q63),Q63*$AD63*AH$22*K63,$AD63*AH$22*K63),0)))</f>
      </c>
      <c r="W63" s="95">
        <f>IF(AND(L63&gt;0,S63&gt;0),IF(ISNUMBER(Q63),Q63*$AD63*AH$22*K63,$AD63*AH$22*K63),0)</f>
      </c>
      <c r="X63" s="17"/>
      <c r="Y63" s="11"/>
      <c r="Z63" s="11"/>
      <c r="AA63" s="98">
        <f>Planning!Q63</f>
      </c>
      <c r="AB63" s="99">
        <f>IF(ISTEXT(AA63),VLOOKUP(AA63,Data_All,2,FALSE),"")</f>
      </c>
      <c r="AC63" s="99">
        <f>IF(ISTEXT(AA63),VLOOKUP(AA63,Data_All,3,FALSE),1)</f>
      </c>
      <c r="AD63" s="100">
        <f>IF(ISTEXT(AA63),Planning!T63)</f>
      </c>
      <c r="AE63" s="113">
        <f>VLOOKUP(AC63,Multiplier,2,FALSE)</f>
      </c>
      <c r="AF63" s="114">
        <f>AD63*AE63</f>
      </c>
      <c r="AG63" s="1"/>
      <c r="AH63" s="146">
        <f>IF(N63=0,0,N63/VE)</f>
      </c>
      <c r="AI63" s="147">
        <f>IF(N129=0,0,N129/VE)</f>
      </c>
      <c r="AJ63" s="147">
        <f>IF(N195=0,0,N195/VE)</f>
      </c>
      <c r="AK63" s="147">
        <f>IF(N261=0,0,N261/VE)</f>
      </c>
      <c r="AL63" s="147">
        <f>IF(N327=0,0,N327/VE)</f>
      </c>
      <c r="AM63" s="148">
        <f>IF(N393=0,0,N393/VE)</f>
      </c>
      <c r="AN63" s="117">
        <f>SUM(AH63:AM63)</f>
      </c>
      <c r="AO63" s="1"/>
      <c r="AP63" s="9"/>
      <c r="AQ63" s="2"/>
      <c r="AR63" s="145" t="s">
        <v>37</v>
      </c>
      <c r="AS63" s="10"/>
      <c r="AT63" s="1"/>
      <c r="AU63" s="1"/>
      <c r="AV63" s="1"/>
      <c r="AW63" s="1"/>
      <c r="AX63" s="11"/>
      <c r="AY63" s="1"/>
      <c r="AZ63" s="1"/>
      <c r="BA63" s="1"/>
      <c r="BB63" s="1"/>
      <c r="BC63" s="1"/>
      <c r="BD63" s="1"/>
      <c r="BE63" s="1"/>
      <c r="BF63" s="1"/>
      <c r="BG63" s="1"/>
      <c r="BH63" s="1"/>
    </row>
    <row x14ac:dyDescent="0.25" r="64" customHeight="1" ht="14.25">
      <c r="A64" s="1"/>
      <c r="B64" s="1"/>
      <c r="C64" s="1"/>
      <c r="D64" s="1"/>
      <c r="E64" s="2"/>
      <c r="F64" s="2"/>
      <c r="G64" s="90">
        <f>(S64&amp;RIGHT(R64,1))*1</f>
      </c>
      <c r="H64" s="1"/>
      <c r="I64" s="111"/>
      <c r="J64" s="126">
        <f>Planning!Q64</f>
      </c>
      <c r="K64" s="93">
        <f>VLOOKUP(J64,AA$23:AE$88,5,FALSE)</f>
      </c>
      <c r="L64" s="122">
        <f>Planning!U64</f>
      </c>
      <c r="M64" s="121">
        <f>IF(Planning!AB64=0,0,IFERROR($AD64*AH$22,0))</f>
      </c>
      <c r="N64" s="95">
        <f>IF(Planning!AB64=0,0,IFERROR($AD64*AH$22*K64,0))</f>
      </c>
      <c r="O64" s="96">
        <f>IF(ISTEXT(Planning!U64),0,AH64)</f>
      </c>
      <c r="P64" s="122">
        <f>Planning!AB64</f>
      </c>
      <c r="Q64" s="121">
        <f>Progress!R64</f>
      </c>
      <c r="R64" s="95">
        <f>IF(Q64=0,0,IF(ISNUMBER(Q64),IF(S64&gt;=$G$21,$F$21,"Q45"),Q64))</f>
      </c>
      <c r="S64" s="112">
        <f>Progress!S64</f>
      </c>
      <c r="T64" s="97"/>
      <c r="U64" s="96">
        <f>V64/$N$419</f>
      </c>
      <c r="V64" s="149">
        <f>IF(L64&lt;$E$20,0,IF(ISTEXT(L64),0,IF(AND(G64+1&gt;=$E$19+1,L64&gt;0),IF(ISNUMBER(Q64),Q64*$AD64*AH$22*K64,$AD64*AH$22*K64),0)))</f>
      </c>
      <c r="W64" s="95">
        <f>IF(AND(L64&gt;0,S64&gt;0),IF(ISNUMBER(Q64),Q64*$AD64*AH$22*K64,$AD64*AH$22*K64),0)</f>
      </c>
      <c r="X64" s="17"/>
      <c r="Y64" s="11"/>
      <c r="Z64" s="11"/>
      <c r="AA64" s="98">
        <f>Planning!Q64</f>
      </c>
      <c r="AB64" s="99">
        <f>IF(ISTEXT(AA64),VLOOKUP(AA64,Data_All,2,FALSE),"")</f>
      </c>
      <c r="AC64" s="99">
        <f>IF(ISTEXT(AA64),VLOOKUP(AA64,Data_All,3,FALSE),1)</f>
      </c>
      <c r="AD64" s="100">
        <f>IF(ISTEXT(AA64),Planning!T64)</f>
      </c>
      <c r="AE64" s="113">
        <f>VLOOKUP(AC64,Multiplier,2,FALSE)</f>
      </c>
      <c r="AF64" s="114">
        <f>AD64*AE64</f>
      </c>
      <c r="AG64" s="1"/>
      <c r="AH64" s="146">
        <f>IF(N64=0,0,N64/VE)</f>
      </c>
      <c r="AI64" s="147">
        <f>IF(N130=0,0,N130/VE)</f>
      </c>
      <c r="AJ64" s="147">
        <f>IF(N196=0,0,N196/VE)</f>
      </c>
      <c r="AK64" s="147">
        <f>IF(N262=0,0,N262/VE)</f>
      </c>
      <c r="AL64" s="147">
        <f>IF(N328=0,0,N328/VE)</f>
      </c>
      <c r="AM64" s="148">
        <f>IF(N394=0,0,N394/VE)</f>
      </c>
      <c r="AN64" s="117">
        <f>SUM(AH64:AM64)</f>
      </c>
      <c r="AO64" s="1"/>
      <c r="AP64" s="9"/>
      <c r="AQ64" s="2"/>
      <c r="AR64" s="3"/>
      <c r="AS64" s="10"/>
      <c r="AT64" s="1"/>
      <c r="AU64" s="1"/>
      <c r="AV64" s="1"/>
      <c r="AW64" s="1"/>
      <c r="AX64" s="11"/>
      <c r="AY64" s="1"/>
      <c r="AZ64" s="1"/>
      <c r="BA64" s="1"/>
      <c r="BB64" s="1"/>
      <c r="BC64" s="1"/>
      <c r="BD64" s="1"/>
      <c r="BE64" s="1"/>
      <c r="BF64" s="1"/>
      <c r="BG64" s="1"/>
      <c r="BH64" s="1"/>
    </row>
    <row x14ac:dyDescent="0.25" r="65" customHeight="1" ht="14.25">
      <c r="A65" s="1"/>
      <c r="B65" s="1"/>
      <c r="C65" s="1"/>
      <c r="D65" s="1"/>
      <c r="E65" s="2"/>
      <c r="F65" s="2"/>
      <c r="G65" s="90">
        <f>(S65&amp;RIGHT(R65,1))*1</f>
      </c>
      <c r="H65" s="1"/>
      <c r="I65" s="111"/>
      <c r="J65" s="126">
        <f>Planning!Q65</f>
      </c>
      <c r="K65" s="150">
        <f>VLOOKUP(J65,AA$23:AE$88,5,FALSE)</f>
      </c>
      <c r="L65" s="122">
        <f>Planning!U65</f>
      </c>
      <c r="M65" s="121">
        <f>IF(Planning!AB65=0,0,IFERROR($AD65*AH$22,0))</f>
      </c>
      <c r="N65" s="151">
        <f>IF(Planning!AB65=0,0,IFERROR($AD65*AH$22*K65,0))</f>
      </c>
      <c r="O65" s="96">
        <f>IF(ISTEXT(Planning!U65),0,AH65)</f>
      </c>
      <c r="P65" s="122">
        <f>Planning!AB65</f>
      </c>
      <c r="Q65" s="121">
        <f>Progress!R65</f>
      </c>
      <c r="R65" s="95">
        <f>IF(Q65=0,0,IF(ISNUMBER(Q65),IF(S65&gt;=$G$21,$F$21,"Q46"),Q65))</f>
      </c>
      <c r="S65" s="112">
        <f>Progress!S65</f>
      </c>
      <c r="T65" s="97"/>
      <c r="U65" s="96">
        <f>V65/$N$419</f>
      </c>
      <c r="V65" s="152">
        <f>IF(L65&lt;$E$20,0,IF(ISTEXT(L65),0,IF(AND(G65+1&gt;=$E$19+1,L65&gt;0),IF(ISNUMBER(Q65),Q65*$AD65*AH$22*K65,$AD65*AH$22*K65),0)))</f>
      </c>
      <c r="W65" s="121">
        <f>IF(AND(L65&gt;0,S65&gt;0),IF(ISNUMBER(Q65),Q65*$AD65*AH$22*K65,$AD65*AH$22*K65),0)</f>
      </c>
      <c r="X65" s="17"/>
      <c r="Y65" s="11"/>
      <c r="Z65" s="11"/>
      <c r="AA65" s="98">
        <f>Planning!Q65</f>
      </c>
      <c r="AB65" s="99">
        <f>IF(ISTEXT(AA65),VLOOKUP(AA65,Data_All,2,FALSE),"")</f>
      </c>
      <c r="AC65" s="99">
        <f>IF(ISTEXT(AA65),VLOOKUP(AA65,Data_All,3,FALSE),1)</f>
      </c>
      <c r="AD65" s="100">
        <f>IF(ISTEXT(AA65),Planning!T65)</f>
      </c>
      <c r="AE65" s="113">
        <f>VLOOKUP(AC65,Multiplier,2,FALSE)</f>
      </c>
      <c r="AF65" s="114">
        <f>AD65*AE65</f>
      </c>
      <c r="AG65" s="1"/>
      <c r="AH65" s="146">
        <f>IF(N65=0,0,N65/VE)</f>
      </c>
      <c r="AI65" s="147">
        <f>IF(N131=0,0,N131/VE)</f>
      </c>
      <c r="AJ65" s="147">
        <f>IF(N197=0,0,N197/VE)</f>
      </c>
      <c r="AK65" s="147">
        <f>IF(N263=0,0,N263/VE)</f>
      </c>
      <c r="AL65" s="147">
        <f>IF(N329=0,0,N329/VE)</f>
      </c>
      <c r="AM65" s="148">
        <f>IF(N395=0,0,N395/VE)</f>
      </c>
      <c r="AN65" s="117">
        <f>SUM(AH65:AM65)</f>
      </c>
      <c r="AO65" s="1"/>
      <c r="AP65" s="9"/>
      <c r="AQ65" s="2"/>
      <c r="AR65" s="145" t="s">
        <v>38</v>
      </c>
      <c r="AS65" s="10"/>
      <c r="AT65" s="1"/>
      <c r="AU65" s="1"/>
      <c r="AV65" s="1"/>
      <c r="AW65" s="1"/>
      <c r="AX65" s="11"/>
      <c r="AY65" s="1"/>
      <c r="AZ65" s="1"/>
      <c r="BA65" s="1"/>
      <c r="BB65" s="1"/>
      <c r="BC65" s="1"/>
      <c r="BD65" s="1"/>
      <c r="BE65" s="1"/>
      <c r="BF65" s="1"/>
      <c r="BG65" s="1"/>
      <c r="BH65" s="1"/>
    </row>
    <row x14ac:dyDescent="0.25" r="66" customHeight="1" ht="14.25">
      <c r="A66" s="1"/>
      <c r="B66" s="1"/>
      <c r="C66" s="1"/>
      <c r="D66" s="1"/>
      <c r="E66" s="2"/>
      <c r="F66" s="2"/>
      <c r="G66" s="90">
        <f>(S66&amp;RIGHT(R66,1))*1</f>
      </c>
      <c r="H66" s="1"/>
      <c r="I66" s="111"/>
      <c r="J66" s="126">
        <f>Planning!Q66</f>
      </c>
      <c r="K66" s="150">
        <f>VLOOKUP(J66,AA$23:AE$88,5,FALSE)</f>
      </c>
      <c r="L66" s="122">
        <f>Planning!U66</f>
      </c>
      <c r="M66" s="121">
        <f>IF(Planning!AB66=0,0,IFERROR($AD66*AH$22,0))</f>
      </c>
      <c r="N66" s="151">
        <f>IF(Planning!AB66=0,0,IFERROR($AD66*AH$22*K66,0))</f>
      </c>
      <c r="O66" s="96">
        <f>IF(ISTEXT(Planning!U66),0,AH66)</f>
      </c>
      <c r="P66" s="122">
        <f>Planning!AB66</f>
      </c>
      <c r="Q66" s="121">
        <f>Progress!R66</f>
      </c>
      <c r="R66" s="95">
        <f>IF(Q66=0,0,IF(ISNUMBER(Q66),IF(S66&gt;=$G$21,$F$21,"Q47"),Q66))</f>
      </c>
      <c r="S66" s="112">
        <f>Progress!S66</f>
      </c>
      <c r="T66" s="97"/>
      <c r="U66" s="96">
        <f>V66/$N$419</f>
      </c>
      <c r="V66" s="152">
        <f>IF(L66&lt;$E$20,0,IF(ISTEXT(L66),0,IF(AND(G66+1&gt;=$E$19+1,L66&gt;0),IF(ISNUMBER(Q66),Q66*$AD66*AH$22*K66,$AD66*AH$22*K66),0)))</f>
      </c>
      <c r="W66" s="121">
        <f>IF(AND(L66&gt;0,S66&gt;0),IF(ISNUMBER(Q66),Q66*$AD66*AH$22*K66,$AD66*AH$22*K66),0)</f>
      </c>
      <c r="X66" s="17"/>
      <c r="Y66" s="11"/>
      <c r="Z66" s="11"/>
      <c r="AA66" s="98">
        <f>Planning!Q66</f>
      </c>
      <c r="AB66" s="99">
        <f>IF(ISTEXT(AA66),VLOOKUP(AA66,Data_All,2,FALSE),"")</f>
      </c>
      <c r="AC66" s="99">
        <f>IF(ISTEXT(AA66),VLOOKUP(AA66,Data_All,3,FALSE),1)</f>
      </c>
      <c r="AD66" s="100">
        <f>IF(ISTEXT(AA66),Planning!T66)</f>
      </c>
      <c r="AE66" s="113">
        <f>VLOOKUP(AC66,Multiplier,2,FALSE)</f>
      </c>
      <c r="AF66" s="114">
        <f>AD66*AE66</f>
      </c>
      <c r="AG66" s="1"/>
      <c r="AH66" s="146">
        <f>IF(N66=0,0,N66/VE)</f>
      </c>
      <c r="AI66" s="147">
        <f>IF(N132=0,0,N132/VE)</f>
      </c>
      <c r="AJ66" s="147">
        <f>IF(N198=0,0,N198/VE)</f>
      </c>
      <c r="AK66" s="147">
        <f>IF(N264=0,0,N264/VE)</f>
      </c>
      <c r="AL66" s="147">
        <f>IF(N330=0,0,N330/VE)</f>
      </c>
      <c r="AM66" s="148">
        <f>IF(N396=0,0,N396/VE)</f>
      </c>
      <c r="AN66" s="117">
        <f>SUM(AH66:AM66)</f>
      </c>
      <c r="AO66" s="1"/>
      <c r="AP66" s="9"/>
      <c r="AQ66" s="2"/>
      <c r="AR66" s="3"/>
      <c r="AS66" s="10"/>
      <c r="AT66" s="1"/>
      <c r="AU66" s="1"/>
      <c r="AV66" s="1"/>
      <c r="AW66" s="1"/>
      <c r="AX66" s="11"/>
      <c r="AY66" s="1"/>
      <c r="AZ66" s="1"/>
      <c r="BA66" s="1"/>
      <c r="BB66" s="1"/>
      <c r="BC66" s="1"/>
      <c r="BD66" s="1"/>
      <c r="BE66" s="1"/>
      <c r="BF66" s="1"/>
      <c r="BG66" s="1"/>
      <c r="BH66" s="1"/>
    </row>
    <row x14ac:dyDescent="0.25" r="67" customHeight="1" ht="14.25">
      <c r="A67" s="1"/>
      <c r="B67" s="1"/>
      <c r="C67" s="1"/>
      <c r="D67" s="1"/>
      <c r="E67" s="2"/>
      <c r="F67" s="2"/>
      <c r="G67" s="90">
        <f>(S67&amp;RIGHT(R67,1))*1</f>
      </c>
      <c r="H67" s="1"/>
      <c r="I67" s="111"/>
      <c r="J67" s="126">
        <f>Planning!Q67</f>
      </c>
      <c r="K67" s="150">
        <f>VLOOKUP(J67,AA$23:AE$88,5,FALSE)</f>
      </c>
      <c r="L67" s="122">
        <f>Planning!U67</f>
      </c>
      <c r="M67" s="121">
        <f>IF(Planning!AB67=0,0,IFERROR($AD67*AH$22,0))</f>
      </c>
      <c r="N67" s="151">
        <f>IF(Planning!AB67=0,0,IFERROR($AD67*AH$22*K67,0))</f>
      </c>
      <c r="O67" s="96">
        <f>IF(ISTEXT(Planning!U67),0,AH67)</f>
      </c>
      <c r="P67" s="122">
        <f>Planning!AB67</f>
      </c>
      <c r="Q67" s="121">
        <f>Progress!R67</f>
      </c>
      <c r="R67" s="95">
        <f>IF(Q67=0,0,IF(ISNUMBER(Q67),IF(S67&gt;=$G$21,$F$21,"Q48"),Q67))</f>
      </c>
      <c r="S67" s="112">
        <f>Progress!S67</f>
      </c>
      <c r="T67" s="97"/>
      <c r="U67" s="96">
        <f>V67/$N$419</f>
      </c>
      <c r="V67" s="152">
        <f>IF(L67&lt;$E$20,0,IF(ISTEXT(L67),0,IF(AND(G67+1&gt;=$E$19+1,L67&gt;0),IF(ISNUMBER(Q67),Q67*$AD67*AH$22*K67,$AD67*AH$22*K67),0)))</f>
      </c>
      <c r="W67" s="121">
        <f>IF(AND(L67&gt;0,S67&gt;0),IF(ISNUMBER(Q67),Q67*$AD67*AH$22*K67,$AD67*AH$22*K67),0)</f>
      </c>
      <c r="X67" s="17"/>
      <c r="Y67" s="11"/>
      <c r="Z67" s="11"/>
      <c r="AA67" s="98">
        <f>Planning!Q67</f>
      </c>
      <c r="AB67" s="99">
        <f>IF(ISTEXT(AA67),VLOOKUP(AA67,Data_All,2,FALSE),"")</f>
      </c>
      <c r="AC67" s="99">
        <f>IF(ISTEXT(AA67),VLOOKUP(AA67,Data_All,3,FALSE),1)</f>
      </c>
      <c r="AD67" s="100">
        <f>IF(ISTEXT(AA67),Planning!T67)</f>
      </c>
      <c r="AE67" s="113">
        <f>VLOOKUP(AC67,Multiplier,2,FALSE)</f>
      </c>
      <c r="AF67" s="114">
        <f>AD67*AE67</f>
      </c>
      <c r="AG67" s="1"/>
      <c r="AH67" s="146">
        <f>IF(N67=0,0,N67/VE)</f>
      </c>
      <c r="AI67" s="147">
        <f>IF(N133=0,0,N133/VE)</f>
      </c>
      <c r="AJ67" s="147">
        <f>IF(N199=0,0,N199/VE)</f>
      </c>
      <c r="AK67" s="147">
        <f>IF(N265=0,0,N265/VE)</f>
      </c>
      <c r="AL67" s="147">
        <f>IF(N331=0,0,N331/VE)</f>
      </c>
      <c r="AM67" s="148">
        <f>IF(N397=0,0,N397/VE)</f>
      </c>
      <c r="AN67" s="117">
        <f>SUM(AH67:AM67)</f>
      </c>
      <c r="AO67" s="1"/>
      <c r="AP67" s="9"/>
      <c r="AQ67" s="2"/>
      <c r="AR67" s="3"/>
      <c r="AS67" s="10"/>
      <c r="AT67" s="1"/>
      <c r="AU67" s="1"/>
      <c r="AV67" s="1"/>
      <c r="AW67" s="1"/>
      <c r="AX67" s="11"/>
      <c r="AY67" s="1"/>
      <c r="AZ67" s="1"/>
      <c r="BA67" s="1"/>
      <c r="BB67" s="1"/>
      <c r="BC67" s="1"/>
      <c r="BD67" s="1"/>
      <c r="BE67" s="1"/>
      <c r="BF67" s="1"/>
      <c r="BG67" s="1"/>
      <c r="BH67" s="1"/>
    </row>
    <row x14ac:dyDescent="0.25" r="68" customHeight="1" ht="14.25">
      <c r="A68" s="1"/>
      <c r="B68" s="1"/>
      <c r="C68" s="1"/>
      <c r="D68" s="1"/>
      <c r="E68" s="2"/>
      <c r="F68" s="2"/>
      <c r="G68" s="90">
        <f>(S68&amp;RIGHT(R68,1))*1</f>
      </c>
      <c r="H68" s="1"/>
      <c r="I68" s="111"/>
      <c r="J68" s="126">
        <f>Planning!Q68</f>
      </c>
      <c r="K68" s="150">
        <f>VLOOKUP(J68,AA$23:AE$88,5,FALSE)</f>
      </c>
      <c r="L68" s="122">
        <f>Planning!U68</f>
      </c>
      <c r="M68" s="121">
        <f>IF(Planning!AB68=0,0,IFERROR($AD68*AH$22,0))</f>
      </c>
      <c r="N68" s="151">
        <f>IF(Planning!AB68=0,0,IFERROR($AD68*AH$22*K68,0))</f>
      </c>
      <c r="O68" s="96">
        <f>IF(ISTEXT(Planning!U68),0,AH68)</f>
      </c>
      <c r="P68" s="122">
        <f>Planning!AB68</f>
      </c>
      <c r="Q68" s="121">
        <f>Progress!R68</f>
      </c>
      <c r="R68" s="95">
        <f>IF(Q68=0,0,IF(ISNUMBER(Q68),IF(S68&gt;=$G$21,$F$21,"Q49"),Q68))</f>
      </c>
      <c r="S68" s="112">
        <f>Progress!S68</f>
      </c>
      <c r="T68" s="97"/>
      <c r="U68" s="96">
        <f>V68/$N$419</f>
      </c>
      <c r="V68" s="152">
        <f>IF(L68&lt;$E$20,0,IF(ISTEXT(L68),0,IF(AND(G68+1&gt;=$E$19+1,L68&gt;0),IF(ISNUMBER(Q68),Q68*$AD68*AH$22*K68,$AD68*AH$22*K68),0)))</f>
      </c>
      <c r="W68" s="121">
        <f>IF(AND(L68&gt;0,S68&gt;0),IF(ISNUMBER(Q68),Q68*$AD68*AH$22*K68,$AD68*AH$22*K68),0)</f>
      </c>
      <c r="X68" s="17"/>
      <c r="Y68" s="11"/>
      <c r="Z68" s="11"/>
      <c r="AA68" s="98">
        <f>Planning!Q68</f>
      </c>
      <c r="AB68" s="99">
        <f>IF(ISTEXT(AA68),VLOOKUP(AA68,Data_All,2,FALSE),"")</f>
      </c>
      <c r="AC68" s="99">
        <f>IF(ISTEXT(AA68),VLOOKUP(AA68,Data_All,3,FALSE),1)</f>
      </c>
      <c r="AD68" s="100">
        <f>IF(ISTEXT(AA68),Planning!T68)</f>
      </c>
      <c r="AE68" s="113">
        <f>VLOOKUP(AC68,Multiplier,2,FALSE)</f>
      </c>
      <c r="AF68" s="114">
        <f>AD68*AE68</f>
      </c>
      <c r="AG68" s="1"/>
      <c r="AH68" s="146">
        <f>IF(N68=0,0,N68/VE)</f>
      </c>
      <c r="AI68" s="147">
        <f>IF(N134=0,0,N134/VE)</f>
      </c>
      <c r="AJ68" s="147">
        <f>IF(N200=0,0,N200/VE)</f>
      </c>
      <c r="AK68" s="147">
        <f>IF(N266=0,0,N266/VE)</f>
      </c>
      <c r="AL68" s="147">
        <f>IF(N332=0,0,N332/VE)</f>
      </c>
      <c r="AM68" s="148">
        <f>IF(N398=0,0,N398/VE)</f>
      </c>
      <c r="AN68" s="117">
        <f>SUM(AH68:AM68)</f>
      </c>
      <c r="AO68" s="1"/>
      <c r="AP68" s="9"/>
      <c r="AQ68" s="2"/>
      <c r="AR68" s="3"/>
      <c r="AS68" s="10"/>
      <c r="AT68" s="1"/>
      <c r="AU68" s="1"/>
      <c r="AV68" s="1"/>
      <c r="AW68" s="1"/>
      <c r="AX68" s="11"/>
      <c r="AY68" s="1"/>
      <c r="AZ68" s="1"/>
      <c r="BA68" s="1"/>
      <c r="BB68" s="1"/>
      <c r="BC68" s="1"/>
      <c r="BD68" s="1"/>
      <c r="BE68" s="1"/>
      <c r="BF68" s="1"/>
      <c r="BG68" s="1"/>
      <c r="BH68" s="1"/>
    </row>
    <row x14ac:dyDescent="0.25" r="69" customHeight="1" ht="14.25">
      <c r="A69" s="1"/>
      <c r="B69" s="1"/>
      <c r="C69" s="1"/>
      <c r="D69" s="1"/>
      <c r="E69" s="2"/>
      <c r="F69" s="2"/>
      <c r="G69" s="90">
        <f>(S69&amp;RIGHT(R69,1))*1</f>
      </c>
      <c r="H69" s="1"/>
      <c r="I69" s="111"/>
      <c r="J69" s="126">
        <f>Planning!Q69</f>
      </c>
      <c r="K69" s="150">
        <f>VLOOKUP(J69,AA$23:AE$88,5,FALSE)</f>
      </c>
      <c r="L69" s="122">
        <f>Planning!U69</f>
      </c>
      <c r="M69" s="121">
        <f>IF(Planning!AB69=0,0,IFERROR($AD69*AH$22,0))</f>
      </c>
      <c r="N69" s="151">
        <f>IF(Planning!AB69=0,0,IFERROR($AD69*AH$22*K69,0))</f>
      </c>
      <c r="O69" s="96">
        <f>IF(ISTEXT(Planning!U69),0,AH69)</f>
      </c>
      <c r="P69" s="122">
        <f>Planning!AB69</f>
      </c>
      <c r="Q69" s="121">
        <f>Progress!R69</f>
      </c>
      <c r="R69" s="95">
        <f>IF(Q69=0,0,IF(ISNUMBER(Q69),IF(S69&gt;=$G$21,$F$21,"Q50"),Q69))</f>
      </c>
      <c r="S69" s="112">
        <f>Progress!S69</f>
      </c>
      <c r="T69" s="97"/>
      <c r="U69" s="96">
        <f>V69/$N$419</f>
      </c>
      <c r="V69" s="152">
        <f>IF(L69&lt;$E$20,0,IF(ISTEXT(L69),0,IF(AND(G69+1&gt;=$E$19+1,L69&gt;0),IF(ISNUMBER(Q69),Q69*$AD69*AH$22*K69,$AD69*AH$22*K69),0)))</f>
      </c>
      <c r="W69" s="121">
        <f>IF(AND(L69&gt;0,S69&gt;0),IF(ISNUMBER(Q69),Q69*$AD69*AH$22*K69,$AD69*AH$22*K69),0)</f>
      </c>
      <c r="X69" s="17"/>
      <c r="Y69" s="11"/>
      <c r="Z69" s="11"/>
      <c r="AA69" s="98">
        <f>Planning!Q69</f>
      </c>
      <c r="AB69" s="99">
        <f>IF(ISTEXT(AA69),VLOOKUP(AA69,Data_All,2,FALSE),"")</f>
      </c>
      <c r="AC69" s="99">
        <f>IF(ISTEXT(AA69),VLOOKUP(AA69,Data_All,3,FALSE),1)</f>
      </c>
      <c r="AD69" s="100">
        <f>IF(ISTEXT(AA69),Planning!T69)</f>
      </c>
      <c r="AE69" s="113">
        <f>VLOOKUP(AC69,Multiplier,2,FALSE)</f>
      </c>
      <c r="AF69" s="114">
        <f>AD69*AE69</f>
      </c>
      <c r="AG69" s="1"/>
      <c r="AH69" s="146">
        <f>IF(N69=0,0,N69/VE)</f>
      </c>
      <c r="AI69" s="147">
        <f>IF(N135=0,0,N135/VE)</f>
      </c>
      <c r="AJ69" s="147">
        <f>IF(N201=0,0,N201/VE)</f>
      </c>
      <c r="AK69" s="147">
        <f>IF(N267=0,0,N267/VE)</f>
      </c>
      <c r="AL69" s="147">
        <f>IF(N333=0,0,N333/VE)</f>
      </c>
      <c r="AM69" s="148">
        <f>IF(N399=0,0,N399/VE)</f>
      </c>
      <c r="AN69" s="117">
        <f>SUM(AH69:AM69)</f>
      </c>
      <c r="AO69" s="1"/>
      <c r="AP69" s="9"/>
      <c r="AQ69" s="2"/>
      <c r="AR69" s="3"/>
      <c r="AS69" s="10"/>
      <c r="AT69" s="1"/>
      <c r="AU69" s="1"/>
      <c r="AV69" s="1"/>
      <c r="AW69" s="1"/>
      <c r="AX69" s="11"/>
      <c r="AY69" s="1"/>
      <c r="AZ69" s="1"/>
      <c r="BA69" s="1"/>
      <c r="BB69" s="1"/>
      <c r="BC69" s="1"/>
      <c r="BD69" s="1"/>
      <c r="BE69" s="1"/>
      <c r="BF69" s="1"/>
      <c r="BG69" s="1"/>
      <c r="BH69" s="1"/>
    </row>
    <row x14ac:dyDescent="0.25" r="70" customHeight="1" ht="14.25">
      <c r="A70" s="1"/>
      <c r="B70" s="1"/>
      <c r="C70" s="1"/>
      <c r="D70" s="1"/>
      <c r="E70" s="2"/>
      <c r="F70" s="2"/>
      <c r="G70" s="90">
        <f>(S70&amp;RIGHT(R70,1))*1</f>
      </c>
      <c r="H70" s="1"/>
      <c r="I70" s="111"/>
      <c r="J70" s="126">
        <f>Planning!Q70</f>
      </c>
      <c r="K70" s="150">
        <f>VLOOKUP(J70,AA$23:AE$88,5,FALSE)</f>
      </c>
      <c r="L70" s="122">
        <f>Planning!U70</f>
      </c>
      <c r="M70" s="121">
        <f>IF(Planning!AB70=0,0,IFERROR($AD70*AH$22,0))</f>
      </c>
      <c r="N70" s="151">
        <f>IF(Planning!AB70=0,0,IFERROR($AD70*AH$22*K70,0))</f>
      </c>
      <c r="O70" s="96">
        <f>IF(ISTEXT(Planning!U70),0,AH70)</f>
      </c>
      <c r="P70" s="122">
        <f>Planning!AB70</f>
      </c>
      <c r="Q70" s="121">
        <f>Progress!R70</f>
      </c>
      <c r="R70" s="95">
        <f>IF(Q70=0,0,IF(ISNUMBER(Q70),IF(S70&gt;=$G$21,$F$21,"Q51"),Q70))</f>
      </c>
      <c r="S70" s="112">
        <f>Progress!S70</f>
      </c>
      <c r="T70" s="97"/>
      <c r="U70" s="96">
        <f>V70/$N$419</f>
      </c>
      <c r="V70" s="152">
        <f>IF(L70&lt;$E$20,0,IF(ISTEXT(L70),0,IF(AND(G70+1&gt;=$E$19+1,L70&gt;0),IF(ISNUMBER(Q70),Q70*$AD70*AH$22*K70,$AD70*AH$22*K70),0)))</f>
      </c>
      <c r="W70" s="121">
        <f>IF(AND(L70&gt;0,S70&gt;0),IF(ISNUMBER(Q70),Q70*$AD70*AH$22*K70,$AD70*AH$22*K70),0)</f>
      </c>
      <c r="X70" s="17"/>
      <c r="Y70" s="11"/>
      <c r="Z70" s="11"/>
      <c r="AA70" s="98">
        <f>Planning!Q70</f>
      </c>
      <c r="AB70" s="99">
        <f>IF(ISTEXT(AA70),VLOOKUP(AA70,Data_All,2,FALSE),"")</f>
      </c>
      <c r="AC70" s="99">
        <f>IF(ISTEXT(AA70),VLOOKUP(AA70,Data_All,3,FALSE),1)</f>
      </c>
      <c r="AD70" s="100">
        <f>IF(ISTEXT(AA70),Planning!T70)</f>
      </c>
      <c r="AE70" s="113">
        <f>VLOOKUP(AC70,Multiplier,2,FALSE)</f>
      </c>
      <c r="AF70" s="114">
        <f>AD70*AE70</f>
      </c>
      <c r="AG70" s="1"/>
      <c r="AH70" s="146">
        <f>IF(N70=0,0,N70/VE)</f>
      </c>
      <c r="AI70" s="147">
        <f>IF(N136=0,0,N136/VE)</f>
      </c>
      <c r="AJ70" s="147">
        <f>IF(N202=0,0,N202/VE)</f>
      </c>
      <c r="AK70" s="147">
        <f>IF(N268=0,0,N268/VE)</f>
      </c>
      <c r="AL70" s="147">
        <f>IF(N334=0,0,N334/VE)</f>
      </c>
      <c r="AM70" s="148">
        <f>IF(N400=0,0,N400/VE)</f>
      </c>
      <c r="AN70" s="117">
        <f>SUM(AH70:AM70)</f>
      </c>
      <c r="AO70" s="1"/>
      <c r="AP70" s="9"/>
      <c r="AQ70" s="2"/>
      <c r="AR70" s="3"/>
      <c r="AS70" s="10"/>
      <c r="AT70" s="1"/>
      <c r="AU70" s="1"/>
      <c r="AV70" s="1"/>
      <c r="AW70" s="1"/>
      <c r="AX70" s="11"/>
      <c r="AY70" s="1"/>
      <c r="AZ70" s="1"/>
      <c r="BA70" s="1"/>
      <c r="BB70" s="1"/>
      <c r="BC70" s="1"/>
      <c r="BD70" s="1"/>
      <c r="BE70" s="1"/>
      <c r="BF70" s="1"/>
      <c r="BG70" s="1"/>
      <c r="BH70" s="1"/>
    </row>
    <row x14ac:dyDescent="0.25" r="71" customHeight="1" ht="14.25">
      <c r="A71" s="1"/>
      <c r="B71" s="1"/>
      <c r="C71" s="1"/>
      <c r="D71" s="1"/>
      <c r="E71" s="2"/>
      <c r="F71" s="2"/>
      <c r="G71" s="90">
        <f>(S71&amp;RIGHT(R71,1))*1</f>
      </c>
      <c r="H71" s="1"/>
      <c r="I71" s="111"/>
      <c r="J71" s="126">
        <f>Planning!Q71</f>
      </c>
      <c r="K71" s="150">
        <f>VLOOKUP(J71,AA$23:AE$88,5,FALSE)</f>
      </c>
      <c r="L71" s="122">
        <f>Planning!U71</f>
      </c>
      <c r="M71" s="121">
        <f>IF(Planning!AB71=0,0,IFERROR($AD71*AH$22,0))</f>
      </c>
      <c r="N71" s="151">
        <f>IF(Planning!AB71=0,0,IFERROR($AD71*AH$22*K71,0))</f>
      </c>
      <c r="O71" s="96">
        <f>IF(ISTEXT(Planning!U71),0,AH71)</f>
      </c>
      <c r="P71" s="122">
        <f>Planning!AB71</f>
      </c>
      <c r="Q71" s="121">
        <f>Progress!R71</f>
      </c>
      <c r="R71" s="95">
        <f>IF(Q71=0,0,IF(ISNUMBER(Q71),IF(S71&gt;=$G$21,$F$21,"Q52"),Q71))</f>
      </c>
      <c r="S71" s="112">
        <f>Progress!S71</f>
      </c>
      <c r="T71" s="97"/>
      <c r="U71" s="96">
        <f>V71/$N$419</f>
      </c>
      <c r="V71" s="152">
        <f>IF(L71&lt;$E$20,0,IF(ISTEXT(L71),0,IF(AND(G71+1&gt;=$E$19+1,L71&gt;0),IF(ISNUMBER(Q71),Q71*$AD71*AH$22*K71,$AD71*AH$22*K71),0)))</f>
      </c>
      <c r="W71" s="121">
        <f>IF(AND(L71&gt;0,S71&gt;0),IF(ISNUMBER(Q71),Q71*$AD71*AH$22*K71,$AD71*AH$22*K71),0)</f>
      </c>
      <c r="X71" s="17"/>
      <c r="Y71" s="11"/>
      <c r="Z71" s="11"/>
      <c r="AA71" s="98">
        <f>Planning!Q71</f>
      </c>
      <c r="AB71" s="99">
        <f>IF(ISTEXT(AA71),VLOOKUP(AA71,Data_All,2,FALSE),"")</f>
      </c>
      <c r="AC71" s="99">
        <f>IF(ISTEXT(AA71),VLOOKUP(AA71,Data_All,3,FALSE),1)</f>
      </c>
      <c r="AD71" s="100">
        <f>IF(ISTEXT(AA71),Planning!T71)</f>
      </c>
      <c r="AE71" s="113">
        <f>VLOOKUP(AC71,Multiplier,2,FALSE)</f>
      </c>
      <c r="AF71" s="114">
        <f>AD71*AE71</f>
      </c>
      <c r="AG71" s="1"/>
      <c r="AH71" s="146">
        <f>IF(N71=0,0,N71/VE)</f>
      </c>
      <c r="AI71" s="147">
        <f>IF(N137=0,0,N137/VE)</f>
      </c>
      <c r="AJ71" s="147">
        <f>IF(N203=0,0,N203/VE)</f>
      </c>
      <c r="AK71" s="147">
        <f>IF(N269=0,0,N269/VE)</f>
      </c>
      <c r="AL71" s="147">
        <f>IF(N335=0,0,N335/VE)</f>
      </c>
      <c r="AM71" s="148">
        <f>IF(N401=0,0,N401/VE)</f>
      </c>
      <c r="AN71" s="117">
        <f>SUM(AH71:AM71)</f>
      </c>
      <c r="AO71" s="1"/>
      <c r="AP71" s="9"/>
      <c r="AQ71" s="2"/>
      <c r="AR71" s="3"/>
      <c r="AS71" s="10"/>
      <c r="AT71" s="1"/>
      <c r="AU71" s="1"/>
      <c r="AV71" s="1"/>
      <c r="AW71" s="1"/>
      <c r="AX71" s="11"/>
      <c r="AY71" s="1"/>
      <c r="AZ71" s="1"/>
      <c r="BA71" s="1"/>
      <c r="BB71" s="1"/>
      <c r="BC71" s="1"/>
      <c r="BD71" s="1"/>
      <c r="BE71" s="1"/>
      <c r="BF71" s="1"/>
      <c r="BG71" s="1"/>
      <c r="BH71" s="1"/>
    </row>
    <row x14ac:dyDescent="0.25" r="72" customHeight="1" ht="14.25">
      <c r="A72" s="1"/>
      <c r="B72" s="1"/>
      <c r="C72" s="1"/>
      <c r="D72" s="1"/>
      <c r="E72" s="2"/>
      <c r="F72" s="2"/>
      <c r="G72" s="90">
        <f>(S72&amp;RIGHT(R72,1))*1</f>
      </c>
      <c r="H72" s="1"/>
      <c r="I72" s="111"/>
      <c r="J72" s="126">
        <f>Planning!Q72</f>
      </c>
      <c r="K72" s="150">
        <f>VLOOKUP(J72,AA$23:AE$88,5,FALSE)</f>
      </c>
      <c r="L72" s="122">
        <f>Planning!U72</f>
      </c>
      <c r="M72" s="121">
        <f>IF(Planning!AB72=0,0,IFERROR($AD72*AH$22,0))</f>
      </c>
      <c r="N72" s="151">
        <f>IF(Planning!AB72=0,0,IFERROR($AD72*AH$22*K72,0))</f>
      </c>
      <c r="O72" s="96">
        <f>IF(ISTEXT(Planning!U72),0,AH72)</f>
      </c>
      <c r="P72" s="122">
        <f>Planning!AB72</f>
      </c>
      <c r="Q72" s="121">
        <f>Progress!R72</f>
      </c>
      <c r="R72" s="95">
        <f>IF(Q72=0,0,IF(ISNUMBER(Q72),IF(S72&gt;=$G$21,$F$21,"Q53"),Q72))</f>
      </c>
      <c r="S72" s="112">
        <f>Progress!S72</f>
      </c>
      <c r="T72" s="97"/>
      <c r="U72" s="96">
        <f>V72/$N$419</f>
      </c>
      <c r="V72" s="152">
        <f>IF(L72&lt;$E$20,0,IF(ISTEXT(L72),0,IF(AND(G72+1&gt;=$E$19+1,L72&gt;0),IF(ISNUMBER(Q72),Q72*$AD72*AH$22*K72,$AD72*AH$22*K72),0)))</f>
      </c>
      <c r="W72" s="121">
        <f>IF(AND(L72&gt;0,S72&gt;0),IF(ISNUMBER(Q72),Q72*$AD72*AH$22*K72,$AD72*AH$22*K72),0)</f>
      </c>
      <c r="X72" s="17"/>
      <c r="Y72" s="11"/>
      <c r="Z72" s="11"/>
      <c r="AA72" s="98">
        <f>Planning!Q72</f>
      </c>
      <c r="AB72" s="99">
        <f>IF(ISTEXT(AA72),VLOOKUP(AA72,Data_All,2,FALSE),"")</f>
      </c>
      <c r="AC72" s="99">
        <f>IF(ISTEXT(AA72),VLOOKUP(AA72,Data_All,3,FALSE),1)</f>
      </c>
      <c r="AD72" s="100">
        <f>IF(ISTEXT(AA72),Planning!T72)</f>
      </c>
      <c r="AE72" s="113">
        <f>VLOOKUP(AC72,Multiplier,2,FALSE)</f>
      </c>
      <c r="AF72" s="114">
        <f>AD72*AE72</f>
      </c>
      <c r="AG72" s="1"/>
      <c r="AH72" s="146">
        <f>IF(N72=0,0,N72/VE)</f>
      </c>
      <c r="AI72" s="147">
        <f>IF(N138=0,0,N138/VE)</f>
      </c>
      <c r="AJ72" s="147">
        <f>IF(N204=0,0,N204/VE)</f>
      </c>
      <c r="AK72" s="147">
        <f>IF(N270=0,0,N270/VE)</f>
      </c>
      <c r="AL72" s="147">
        <f>IF(N336=0,0,N336/VE)</f>
      </c>
      <c r="AM72" s="148">
        <f>IF(N402=0,0,N402/VE)</f>
      </c>
      <c r="AN72" s="117">
        <f>SUM(AH72:AM72)</f>
      </c>
      <c r="AO72" s="1"/>
      <c r="AP72" s="9"/>
      <c r="AQ72" s="2"/>
      <c r="AR72" s="3"/>
      <c r="AS72" s="10"/>
      <c r="AT72" s="1"/>
      <c r="AU72" s="1"/>
      <c r="AV72" s="1"/>
      <c r="AW72" s="1"/>
      <c r="AX72" s="11"/>
      <c r="AY72" s="1"/>
      <c r="AZ72" s="1"/>
      <c r="BA72" s="1"/>
      <c r="BB72" s="1"/>
      <c r="BC72" s="1"/>
      <c r="BD72" s="1"/>
      <c r="BE72" s="1"/>
      <c r="BF72" s="1"/>
      <c r="BG72" s="1"/>
      <c r="BH72" s="1"/>
    </row>
    <row x14ac:dyDescent="0.25" r="73" customHeight="1" ht="14.25">
      <c r="A73" s="1"/>
      <c r="B73" s="1"/>
      <c r="C73" s="1"/>
      <c r="D73" s="1"/>
      <c r="E73" s="2"/>
      <c r="F73" s="2"/>
      <c r="G73" s="90">
        <f>(S73&amp;RIGHT(R73,1))*1</f>
      </c>
      <c r="H73" s="1"/>
      <c r="I73" s="111"/>
      <c r="J73" s="126">
        <f>Planning!Q73</f>
      </c>
      <c r="K73" s="150">
        <f>VLOOKUP(J73,AA$23:AE$88,5,FALSE)</f>
      </c>
      <c r="L73" s="122">
        <f>Planning!U73</f>
      </c>
      <c r="M73" s="121">
        <f>IF(Planning!AB73=0,0,IFERROR($AD73*AH$22,0))</f>
      </c>
      <c r="N73" s="151">
        <f>IF(Planning!AB73=0,0,IFERROR($AD73*AH$22*K73,0))</f>
      </c>
      <c r="O73" s="96">
        <f>IF(ISTEXT(Planning!U73),0,AH73)</f>
      </c>
      <c r="P73" s="122">
        <f>Planning!AB73</f>
      </c>
      <c r="Q73" s="121">
        <f>Progress!R73</f>
      </c>
      <c r="R73" s="95">
        <f>IF(Q73=0,0,IF(ISNUMBER(Q73),IF(S73&gt;=$G$21,$F$21,"Q54"),Q73))</f>
      </c>
      <c r="S73" s="112">
        <f>Progress!S73</f>
      </c>
      <c r="T73" s="97"/>
      <c r="U73" s="96">
        <f>V73/$N$419</f>
      </c>
      <c r="V73" s="152">
        <f>IF(L73&lt;$E$20,0,IF(ISTEXT(L73),0,IF(AND(G73+1&gt;=$E$19+1,L73&gt;0),IF(ISNUMBER(Q73),Q73*$AD73*AH$22*K73,$AD73*AH$22*K73),0)))</f>
      </c>
      <c r="W73" s="121">
        <f>IF(AND(L73&gt;0,S73&gt;0),IF(ISNUMBER(Q73),Q73*$AD73*AH$22*K73,$AD73*AH$22*K73),0)</f>
      </c>
      <c r="X73" s="17"/>
      <c r="Y73" s="11"/>
      <c r="Z73" s="11"/>
      <c r="AA73" s="98">
        <f>Planning!Q73</f>
      </c>
      <c r="AB73" s="99">
        <f>IF(ISTEXT(AA73),VLOOKUP(AA73,Data_All,2,FALSE),"")</f>
      </c>
      <c r="AC73" s="99">
        <f>IF(ISTEXT(AA73),VLOOKUP(AA73,Data_All,3,FALSE),1)</f>
      </c>
      <c r="AD73" s="100">
        <f>IF(ISTEXT(AA73),Planning!T73)</f>
      </c>
      <c r="AE73" s="113">
        <f>VLOOKUP(AC73,Multiplier,2,FALSE)</f>
      </c>
      <c r="AF73" s="114">
        <f>AD73*AE73</f>
      </c>
      <c r="AG73" s="1"/>
      <c r="AH73" s="146">
        <f>IF(N73=0,0,N73/VE)</f>
      </c>
      <c r="AI73" s="147">
        <f>IF(N139=0,0,N139/VE)</f>
      </c>
      <c r="AJ73" s="147">
        <f>IF(N205=0,0,N205/VE)</f>
      </c>
      <c r="AK73" s="147">
        <f>IF(N271=0,0,N271/VE)</f>
      </c>
      <c r="AL73" s="147">
        <f>IF(N337=0,0,N337/VE)</f>
      </c>
      <c r="AM73" s="148">
        <f>IF(N403=0,0,N403/VE)</f>
      </c>
      <c r="AN73" s="117">
        <f>SUM(AH73:AM73)</f>
      </c>
      <c r="AO73" s="1"/>
      <c r="AP73" s="9"/>
      <c r="AQ73" s="2"/>
      <c r="AR73" s="3"/>
      <c r="AS73" s="10"/>
      <c r="AT73" s="1"/>
      <c r="AU73" s="1"/>
      <c r="AV73" s="1"/>
      <c r="AW73" s="1"/>
      <c r="AX73" s="11"/>
      <c r="AY73" s="1"/>
      <c r="AZ73" s="1"/>
      <c r="BA73" s="1"/>
      <c r="BB73" s="1"/>
      <c r="BC73" s="1"/>
      <c r="BD73" s="1"/>
      <c r="BE73" s="1"/>
      <c r="BF73" s="1"/>
      <c r="BG73" s="1"/>
      <c r="BH73" s="1"/>
    </row>
    <row x14ac:dyDescent="0.25" r="74" customHeight="1" ht="14.25">
      <c r="A74" s="1"/>
      <c r="B74" s="1"/>
      <c r="C74" s="1"/>
      <c r="D74" s="1"/>
      <c r="E74" s="2"/>
      <c r="F74" s="2"/>
      <c r="G74" s="90">
        <f>(S74&amp;RIGHT(R74,1))*1</f>
      </c>
      <c r="H74" s="1"/>
      <c r="I74" s="111"/>
      <c r="J74" s="126">
        <f>Planning!Q74</f>
      </c>
      <c r="K74" s="150">
        <f>VLOOKUP(J74,AA$23:AE$88,5,FALSE)</f>
      </c>
      <c r="L74" s="122">
        <f>Planning!U74</f>
      </c>
      <c r="M74" s="121">
        <f>IF(Planning!AB74=0,0,IFERROR($AD74*AH$22,0))</f>
      </c>
      <c r="N74" s="151">
        <f>IF(Planning!AB74=0,0,IFERROR($AD74*AH$22*K74,0))</f>
      </c>
      <c r="O74" s="96">
        <f>IF(ISTEXT(Planning!U74),0,AH74)</f>
      </c>
      <c r="P74" s="122">
        <f>Planning!AB74</f>
      </c>
      <c r="Q74" s="121">
        <f>Progress!R74</f>
      </c>
      <c r="R74" s="95">
        <f>IF(Q74=0,0,IF(ISNUMBER(Q74),IF(S74&gt;=$G$21,$F$21,"Q55"),Q74))</f>
      </c>
      <c r="S74" s="112">
        <f>Progress!S74</f>
      </c>
      <c r="T74" s="97"/>
      <c r="U74" s="96">
        <f>V74/$N$419</f>
      </c>
      <c r="V74" s="152">
        <f>IF(L74&lt;$E$20,0,IF(ISTEXT(L74),0,IF(AND(G74+1&gt;=$E$19+1,L74&gt;0),IF(ISNUMBER(Q74),Q74*$AD74*AH$22*K74,$AD74*AH$22*K74),0)))</f>
      </c>
      <c r="W74" s="121">
        <f>IF(AND(L74&gt;0,S74&gt;0),IF(ISNUMBER(Q74),Q74*$AD74*AH$22*K74,$AD74*AH$22*K74),0)</f>
      </c>
      <c r="X74" s="17"/>
      <c r="Y74" s="11"/>
      <c r="Z74" s="11"/>
      <c r="AA74" s="98">
        <f>Planning!Q74</f>
      </c>
      <c r="AB74" s="99">
        <f>IF(ISTEXT(AA74),VLOOKUP(AA74,Data_All,2,FALSE),"")</f>
      </c>
      <c r="AC74" s="99">
        <f>IF(ISTEXT(AA74),VLOOKUP(AA74,Data_All,3,FALSE),1)</f>
      </c>
      <c r="AD74" s="100">
        <f>IF(ISTEXT(AA74),Planning!T74)</f>
      </c>
      <c r="AE74" s="113">
        <f>VLOOKUP(AC74,Multiplier,2,FALSE)</f>
      </c>
      <c r="AF74" s="114">
        <f>AD74*AE74</f>
      </c>
      <c r="AG74" s="1"/>
      <c r="AH74" s="146">
        <f>IF(N74=0,0,N74/VE)</f>
      </c>
      <c r="AI74" s="147">
        <f>IF(N140=0,0,N140/VE)</f>
      </c>
      <c r="AJ74" s="147">
        <f>IF(N206=0,0,N206/VE)</f>
      </c>
      <c r="AK74" s="147">
        <f>IF(N272=0,0,N272/VE)</f>
      </c>
      <c r="AL74" s="147">
        <f>IF(N338=0,0,N338/VE)</f>
      </c>
      <c r="AM74" s="148">
        <f>IF(N404=0,0,N404/VE)</f>
      </c>
      <c r="AN74" s="117">
        <f>SUM(AH74:AM74)</f>
      </c>
      <c r="AO74" s="1"/>
      <c r="AP74" s="9"/>
      <c r="AQ74" s="2"/>
      <c r="AR74" s="3"/>
      <c r="AS74" s="10"/>
      <c r="AT74" s="1"/>
      <c r="AU74" s="1"/>
      <c r="AV74" s="1"/>
      <c r="AW74" s="1"/>
      <c r="AX74" s="11"/>
      <c r="AY74" s="1"/>
      <c r="AZ74" s="1"/>
      <c r="BA74" s="1"/>
      <c r="BB74" s="1"/>
      <c r="BC74" s="1"/>
      <c r="BD74" s="1"/>
      <c r="BE74" s="1"/>
      <c r="BF74" s="1"/>
      <c r="BG74" s="1"/>
      <c r="BH74" s="1"/>
    </row>
    <row x14ac:dyDescent="0.25" r="75" customHeight="1" ht="14.25">
      <c r="A75" s="1"/>
      <c r="B75" s="1"/>
      <c r="C75" s="1"/>
      <c r="D75" s="1"/>
      <c r="E75" s="2"/>
      <c r="F75" s="2"/>
      <c r="G75" s="90">
        <f>(S75&amp;RIGHT(R75,1))*1</f>
      </c>
      <c r="H75" s="1"/>
      <c r="I75" s="111"/>
      <c r="J75" s="126">
        <f>Planning!Q75</f>
      </c>
      <c r="K75" s="150">
        <f>VLOOKUP(J75,AA$23:AE$88,5,FALSE)</f>
      </c>
      <c r="L75" s="122">
        <f>Planning!U75</f>
      </c>
      <c r="M75" s="121">
        <f>IF(Planning!AB75=0,0,IFERROR($AD75*AH$22,0))</f>
      </c>
      <c r="N75" s="151">
        <f>IF(Planning!AB75=0,0,IFERROR($AD75*AH$22*K75,0))</f>
      </c>
      <c r="O75" s="96">
        <f>IF(ISTEXT(Planning!U75),0,AH75)</f>
      </c>
      <c r="P75" s="122">
        <f>Planning!AB75</f>
      </c>
      <c r="Q75" s="121">
        <f>Progress!R75</f>
      </c>
      <c r="R75" s="95">
        <f>IF(Q75=0,0,IF(ISNUMBER(Q75),IF(S75&gt;=$G$21,$F$21,"Q56"),Q75))</f>
      </c>
      <c r="S75" s="112">
        <f>Progress!S75</f>
      </c>
      <c r="T75" s="97"/>
      <c r="U75" s="96">
        <f>V75/$N$419</f>
      </c>
      <c r="V75" s="152">
        <f>IF(L75&lt;$E$20,0,IF(ISTEXT(L75),0,IF(AND(G75+1&gt;=$E$19+1,L75&gt;0),IF(ISNUMBER(Q75),Q75*$AD75*AH$22*K75,$AD75*AH$22*K75),0)))</f>
      </c>
      <c r="W75" s="121">
        <f>IF(AND(L75&gt;0,S75&gt;0),IF(ISNUMBER(Q75),Q75*$AD75*AH$22*K75,$AD75*AH$22*K75),0)</f>
      </c>
      <c r="X75" s="17"/>
      <c r="Y75" s="11"/>
      <c r="Z75" s="11"/>
      <c r="AA75" s="98">
        <f>Planning!Q75</f>
      </c>
      <c r="AB75" s="99">
        <f>IF(ISTEXT(AA75),VLOOKUP(AA75,Data_All,2,FALSE),"")</f>
      </c>
      <c r="AC75" s="99">
        <f>IF(ISTEXT(AA75),VLOOKUP(AA75,Data_All,3,FALSE),1)</f>
      </c>
      <c r="AD75" s="100">
        <f>IF(ISTEXT(AA75),Planning!T75)</f>
      </c>
      <c r="AE75" s="113">
        <f>VLOOKUP(AC75,Multiplier,2,FALSE)</f>
      </c>
      <c r="AF75" s="114">
        <f>AD75*AE75</f>
      </c>
      <c r="AG75" s="1"/>
      <c r="AH75" s="146">
        <f>IF(N75=0,0,N75/VE)</f>
      </c>
      <c r="AI75" s="147">
        <f>IF(N141=0,0,N141/VE)</f>
      </c>
      <c r="AJ75" s="147">
        <f>IF(N207=0,0,N207/VE)</f>
      </c>
      <c r="AK75" s="147">
        <f>IF(N273=0,0,N273/VE)</f>
      </c>
      <c r="AL75" s="147">
        <f>IF(N339=0,0,N339/VE)</f>
      </c>
      <c r="AM75" s="148">
        <f>IF(N405=0,0,N405/VE)</f>
      </c>
      <c r="AN75" s="117">
        <f>SUM(AH75:AM75)</f>
      </c>
      <c r="AO75" s="1"/>
      <c r="AP75" s="9"/>
      <c r="AQ75" s="2"/>
      <c r="AR75" s="3"/>
      <c r="AS75" s="10"/>
      <c r="AT75" s="1"/>
      <c r="AU75" s="1"/>
      <c r="AV75" s="1"/>
      <c r="AW75" s="1"/>
      <c r="AX75" s="11"/>
      <c r="AY75" s="1"/>
      <c r="AZ75" s="1"/>
      <c r="BA75" s="1"/>
      <c r="BB75" s="1"/>
      <c r="BC75" s="1"/>
      <c r="BD75" s="1"/>
      <c r="BE75" s="1"/>
      <c r="BF75" s="1"/>
      <c r="BG75" s="1"/>
      <c r="BH75" s="1"/>
    </row>
    <row x14ac:dyDescent="0.25" r="76" customHeight="1" ht="14.25">
      <c r="A76" s="1"/>
      <c r="B76" s="1"/>
      <c r="C76" s="1"/>
      <c r="D76" s="1"/>
      <c r="E76" s="2"/>
      <c r="F76" s="2"/>
      <c r="G76" s="90">
        <f>(S76&amp;RIGHT(R76,1))*1</f>
      </c>
      <c r="H76" s="1"/>
      <c r="I76" s="111"/>
      <c r="J76" s="126">
        <f>Planning!Q76</f>
      </c>
      <c r="K76" s="150">
        <f>VLOOKUP(J76,AA$23:AE$88,5,FALSE)</f>
      </c>
      <c r="L76" s="122">
        <f>Planning!U76</f>
      </c>
      <c r="M76" s="121">
        <f>IF(Planning!AB76=0,0,IFERROR($AD76*AH$22,0))</f>
      </c>
      <c r="N76" s="151">
        <f>IF(Planning!AB76=0,0,IFERROR($AD76*AH$22*K76,0))</f>
      </c>
      <c r="O76" s="96">
        <f>IF(ISTEXT(Planning!U76),0,AH76)</f>
      </c>
      <c r="P76" s="122">
        <f>Planning!AB76</f>
      </c>
      <c r="Q76" s="121">
        <f>Progress!R76</f>
      </c>
      <c r="R76" s="95">
        <f>IF(Q76=0,0,IF(ISNUMBER(Q76),IF(S76&gt;=$G$21,$F$21,"Q57"),Q76))</f>
      </c>
      <c r="S76" s="112">
        <f>Progress!S76</f>
      </c>
      <c r="T76" s="97"/>
      <c r="U76" s="96">
        <f>V76/$N$419</f>
      </c>
      <c r="V76" s="152">
        <f>IF(L76&lt;$E$20,0,IF(ISTEXT(L76),0,IF(AND(G76+1&gt;=$E$19+1,L76&gt;0),IF(ISNUMBER(Q76),Q76*$AD76*AH$22*K76,$AD76*AH$22*K76),0)))</f>
      </c>
      <c r="W76" s="121">
        <f>IF(AND(L76&gt;0,S76&gt;0),IF(ISNUMBER(Q76),Q76*$AD76*AH$22*K76,$AD76*AH$22*K76),0)</f>
      </c>
      <c r="X76" s="17"/>
      <c r="Y76" s="11"/>
      <c r="Z76" s="11"/>
      <c r="AA76" s="98">
        <f>Planning!Q76</f>
      </c>
      <c r="AB76" s="99">
        <f>IF(ISTEXT(AA76),VLOOKUP(AA76,Data_All,2,FALSE),"")</f>
      </c>
      <c r="AC76" s="99">
        <f>IF(ISTEXT(AA76),VLOOKUP(AA76,Data_All,3,FALSE),1)</f>
      </c>
      <c r="AD76" s="100">
        <f>IF(ISTEXT(AA76),Planning!T76)</f>
      </c>
      <c r="AE76" s="113">
        <f>VLOOKUP(AC76,Multiplier,2,FALSE)</f>
      </c>
      <c r="AF76" s="114">
        <f>AD76*AE76</f>
      </c>
      <c r="AG76" s="1"/>
      <c r="AH76" s="146">
        <f>IF(N76=0,0,N76/VE)</f>
      </c>
      <c r="AI76" s="147">
        <f>IF(N142=0,0,N142/VE)</f>
      </c>
      <c r="AJ76" s="147">
        <f>IF(N208=0,0,N208/VE)</f>
      </c>
      <c r="AK76" s="147">
        <f>IF(N274=0,0,N274/VE)</f>
      </c>
      <c r="AL76" s="147">
        <f>IF(N340=0,0,N340/VE)</f>
      </c>
      <c r="AM76" s="148">
        <f>IF(N406=0,0,N406/VE)</f>
      </c>
      <c r="AN76" s="117">
        <f>SUM(AH76:AM76)</f>
      </c>
      <c r="AO76" s="1"/>
      <c r="AP76" s="9"/>
      <c r="AQ76" s="2"/>
      <c r="AR76" s="3"/>
      <c r="AS76" s="10"/>
      <c r="AT76" s="1"/>
      <c r="AU76" s="1"/>
      <c r="AV76" s="1"/>
      <c r="AW76" s="1"/>
      <c r="AX76" s="11"/>
      <c r="AY76" s="1"/>
      <c r="AZ76" s="1"/>
      <c r="BA76" s="1"/>
      <c r="BB76" s="1"/>
      <c r="BC76" s="1"/>
      <c r="BD76" s="1"/>
      <c r="BE76" s="1"/>
      <c r="BF76" s="1"/>
      <c r="BG76" s="1"/>
      <c r="BH76" s="1"/>
    </row>
    <row x14ac:dyDescent="0.25" r="77" customHeight="1" ht="14.25">
      <c r="A77" s="1"/>
      <c r="B77" s="1"/>
      <c r="C77" s="1"/>
      <c r="D77" s="1"/>
      <c r="E77" s="2"/>
      <c r="F77" s="2"/>
      <c r="G77" s="90">
        <f>(S77&amp;RIGHT(R77,1))*1</f>
      </c>
      <c r="H77" s="1"/>
      <c r="I77" s="111"/>
      <c r="J77" s="126">
        <f>Planning!Q77</f>
      </c>
      <c r="K77" s="150">
        <f>VLOOKUP(J77,AA$23:AE$88,5,FALSE)</f>
      </c>
      <c r="L77" s="122">
        <f>Planning!U77</f>
      </c>
      <c r="M77" s="121">
        <f>IF(Planning!AB77=0,0,IFERROR($AD77*AH$22,0))</f>
      </c>
      <c r="N77" s="151">
        <f>IF(Planning!AB77=0,0,IFERROR($AD77*AH$22*K77,0))</f>
      </c>
      <c r="O77" s="96">
        <f>IF(ISTEXT(Planning!U77),0,AH77)</f>
      </c>
      <c r="P77" s="122">
        <f>Planning!AB77</f>
      </c>
      <c r="Q77" s="121">
        <f>Progress!R77</f>
      </c>
      <c r="R77" s="95">
        <f>IF(Q77=0,0,IF(ISNUMBER(Q77),IF(S77&gt;=$G$21,$F$21,"Q58"),Q77))</f>
      </c>
      <c r="S77" s="112">
        <f>Progress!S77</f>
      </c>
      <c r="T77" s="97"/>
      <c r="U77" s="96">
        <f>V77/$N$419</f>
      </c>
      <c r="V77" s="152">
        <f>IF(L77&lt;$E$20,0,IF(ISTEXT(L77),0,IF(AND(G77+1&gt;=$E$19+1,L77&gt;0),IF(ISNUMBER(Q77),Q77*$AD77*AH$22*K77,$AD77*AH$22*K77),0)))</f>
      </c>
      <c r="W77" s="121">
        <f>IF(AND(L77&gt;0,S77&gt;0),IF(ISNUMBER(Q77),Q77*$AD77*AH$22*K77,$AD77*AH$22*K77),0)</f>
      </c>
      <c r="X77" s="17"/>
      <c r="Y77" s="11"/>
      <c r="Z77" s="11"/>
      <c r="AA77" s="98">
        <f>Planning!Q77</f>
      </c>
      <c r="AB77" s="99">
        <f>IF(ISTEXT(AA77),VLOOKUP(AA77,Data_All,2,FALSE),"")</f>
      </c>
      <c r="AC77" s="99">
        <f>IF(ISTEXT(AA77),VLOOKUP(AA77,Data_All,3,FALSE),1)</f>
      </c>
      <c r="AD77" s="100">
        <f>IF(ISTEXT(AA77),Planning!T77)</f>
      </c>
      <c r="AE77" s="113">
        <f>VLOOKUP(AC77,Multiplier,2,FALSE)</f>
      </c>
      <c r="AF77" s="114">
        <f>AD77*AE77</f>
      </c>
      <c r="AG77" s="1"/>
      <c r="AH77" s="146">
        <f>IF(N77=0,0,N77/VE)</f>
      </c>
      <c r="AI77" s="147">
        <f>IF(N143=0,0,N143/VE)</f>
      </c>
      <c r="AJ77" s="147">
        <f>IF(N209=0,0,N209/VE)</f>
      </c>
      <c r="AK77" s="147">
        <f>IF(N275=0,0,N275/VE)</f>
      </c>
      <c r="AL77" s="147">
        <f>IF(N341=0,0,N341/VE)</f>
      </c>
      <c r="AM77" s="148">
        <f>IF(N407=0,0,N407/VE)</f>
      </c>
      <c r="AN77" s="117">
        <f>SUM(AH77:AM77)</f>
      </c>
      <c r="AO77" s="1"/>
      <c r="AP77" s="9"/>
      <c r="AQ77" s="2"/>
      <c r="AR77" s="3"/>
      <c r="AS77" s="10"/>
      <c r="AT77" s="1"/>
      <c r="AU77" s="1"/>
      <c r="AV77" s="1"/>
      <c r="AW77" s="1"/>
      <c r="AX77" s="11"/>
      <c r="AY77" s="1"/>
      <c r="AZ77" s="1"/>
      <c r="BA77" s="1"/>
      <c r="BB77" s="1"/>
      <c r="BC77" s="1"/>
      <c r="BD77" s="1"/>
      <c r="BE77" s="1"/>
      <c r="BF77" s="1"/>
      <c r="BG77" s="1"/>
      <c r="BH77" s="1"/>
    </row>
    <row x14ac:dyDescent="0.25" r="78" customHeight="1" ht="14.25">
      <c r="A78" s="1"/>
      <c r="B78" s="1"/>
      <c r="C78" s="1"/>
      <c r="D78" s="1"/>
      <c r="E78" s="2"/>
      <c r="F78" s="2"/>
      <c r="G78" s="90">
        <f>(S78&amp;RIGHT(R78,1))*1</f>
      </c>
      <c r="H78" s="1"/>
      <c r="I78" s="111"/>
      <c r="J78" s="126">
        <f>Planning!Q78</f>
      </c>
      <c r="K78" s="150">
        <f>VLOOKUP(J78,AA$23:AE$88,5,FALSE)</f>
      </c>
      <c r="L78" s="122">
        <f>Planning!U78</f>
      </c>
      <c r="M78" s="121">
        <f>IF(Planning!AB78=0,0,IFERROR($AD78*AH$22,0))</f>
      </c>
      <c r="N78" s="151">
        <f>IF(Planning!AB78=0,0,IFERROR($AD78*AH$22*K78,0))</f>
      </c>
      <c r="O78" s="96">
        <f>IF(ISTEXT(Planning!U78),0,AH78)</f>
      </c>
      <c r="P78" s="122">
        <f>Planning!AB78</f>
      </c>
      <c r="Q78" s="121">
        <f>Progress!R78</f>
      </c>
      <c r="R78" s="95">
        <f>IF(Q78=0,0,IF(ISNUMBER(Q78),IF(S78&gt;=$G$21,$F$21,"Q59"),Q78))</f>
      </c>
      <c r="S78" s="112">
        <f>Progress!S78</f>
      </c>
      <c r="T78" s="97"/>
      <c r="U78" s="96">
        <f>V78/$N$419</f>
      </c>
      <c r="V78" s="152">
        <f>IF(L78&lt;$E$20,0,IF(ISTEXT(L78),0,IF(AND(G78+1&gt;=$E$19+1,L78&gt;0),IF(ISNUMBER(Q78),Q78*$AD78*AH$22*K78,$AD78*AH$22*K78),0)))</f>
      </c>
      <c r="W78" s="121">
        <f>IF(AND(L78&gt;0,S78&gt;0),IF(ISNUMBER(Q78),Q78*$AD78*AH$22*K78,$AD78*AH$22*K78),0)</f>
      </c>
      <c r="X78" s="17"/>
      <c r="Y78" s="11"/>
      <c r="Z78" s="11"/>
      <c r="AA78" s="98">
        <f>Planning!Q78</f>
      </c>
      <c r="AB78" s="99">
        <f>IF(ISTEXT(AA78),VLOOKUP(AA78,Data_All,2,FALSE),"")</f>
      </c>
      <c r="AC78" s="99">
        <f>IF(ISTEXT(AA78),VLOOKUP(AA78,Data_All,3,FALSE),1)</f>
      </c>
      <c r="AD78" s="100">
        <f>IF(ISTEXT(AA78),Planning!T78)</f>
      </c>
      <c r="AE78" s="113">
        <f>VLOOKUP(AC78,Multiplier,2,FALSE)</f>
      </c>
      <c r="AF78" s="114">
        <f>AD78*AE78</f>
      </c>
      <c r="AG78" s="1"/>
      <c r="AH78" s="146">
        <f>IF(N78=0,0,N78/VE)</f>
      </c>
      <c r="AI78" s="147">
        <f>IF(N144=0,0,N144/VE)</f>
      </c>
      <c r="AJ78" s="147">
        <f>IF(N210=0,0,N210/VE)</f>
      </c>
      <c r="AK78" s="147">
        <f>IF(N276=0,0,N276/VE)</f>
      </c>
      <c r="AL78" s="147">
        <f>IF(N342=0,0,N342/VE)</f>
      </c>
      <c r="AM78" s="148">
        <f>IF(N408=0,0,N408/VE)</f>
      </c>
      <c r="AN78" s="117">
        <f>SUM(AH78:AM78)</f>
      </c>
      <c r="AO78" s="1"/>
      <c r="AP78" s="9"/>
      <c r="AQ78" s="2"/>
      <c r="AR78" s="3"/>
      <c r="AS78" s="10"/>
      <c r="AT78" s="1"/>
      <c r="AU78" s="1"/>
      <c r="AV78" s="1"/>
      <c r="AW78" s="1"/>
      <c r="AX78" s="11"/>
      <c r="AY78" s="1"/>
      <c r="AZ78" s="1"/>
      <c r="BA78" s="1"/>
      <c r="BB78" s="1"/>
      <c r="BC78" s="1"/>
      <c r="BD78" s="1"/>
      <c r="BE78" s="1"/>
      <c r="BF78" s="1"/>
      <c r="BG78" s="1"/>
      <c r="BH78" s="1"/>
    </row>
    <row x14ac:dyDescent="0.25" r="79" customHeight="1" ht="14.25">
      <c r="A79" s="1"/>
      <c r="B79" s="1"/>
      <c r="C79" s="1"/>
      <c r="D79" s="1"/>
      <c r="E79" s="2"/>
      <c r="F79" s="2"/>
      <c r="G79" s="90">
        <f>(S79&amp;RIGHT(R79,1))*1</f>
      </c>
      <c r="H79" s="1"/>
      <c r="I79" s="111"/>
      <c r="J79" s="126">
        <f>Planning!Q79</f>
      </c>
      <c r="K79" s="150">
        <f>VLOOKUP(J79,AA$23:AE$88,5,FALSE)</f>
      </c>
      <c r="L79" s="122">
        <f>Planning!U79</f>
      </c>
      <c r="M79" s="121">
        <f>IF(Planning!AB79=0,0,IFERROR($AD79*AH$22,0))</f>
      </c>
      <c r="N79" s="151">
        <f>IF(Planning!AB79=0,0,IFERROR($AD79*AH$22*K79,0))</f>
      </c>
      <c r="O79" s="96">
        <f>IF(ISTEXT(Planning!U79),0,AH79)</f>
      </c>
      <c r="P79" s="122">
        <f>Planning!AB79</f>
      </c>
      <c r="Q79" s="121">
        <f>Progress!R79</f>
      </c>
      <c r="R79" s="95">
        <f>IF(Q79=0,0,IF(ISNUMBER(Q79),IF(S79&gt;=$G$21,$F$21,"Q60"),Q79))</f>
      </c>
      <c r="S79" s="112">
        <f>Progress!S79</f>
      </c>
      <c r="T79" s="97"/>
      <c r="U79" s="96">
        <f>V79/$N$419</f>
      </c>
      <c r="V79" s="152">
        <f>IF(L79&lt;$E$20,0,IF(ISTEXT(L79),0,IF(AND(G79+1&gt;=$E$19+1,L79&gt;0),IF(ISNUMBER(Q79),Q79*$AD79*AH$22*K79,$AD79*AH$22*K79),0)))</f>
      </c>
      <c r="W79" s="121">
        <f>IF(AND(L79&gt;0,S79&gt;0),IF(ISNUMBER(Q79),Q79*$AD79*AH$22*K79,$AD79*AH$22*K79),0)</f>
      </c>
      <c r="X79" s="17"/>
      <c r="Y79" s="11"/>
      <c r="Z79" s="11"/>
      <c r="AA79" s="98">
        <f>Planning!Q79</f>
      </c>
      <c r="AB79" s="99">
        <f>IF(ISTEXT(AA79),VLOOKUP(AA79,Data_All,2,FALSE),"")</f>
      </c>
      <c r="AC79" s="99">
        <f>IF(ISTEXT(AA79),VLOOKUP(AA79,Data_All,3,FALSE),1)</f>
      </c>
      <c r="AD79" s="100">
        <f>IF(ISTEXT(AA79),Planning!T79)</f>
      </c>
      <c r="AE79" s="113">
        <f>VLOOKUP(AC79,Multiplier,2,FALSE)</f>
      </c>
      <c r="AF79" s="114">
        <f>AD79*AE79</f>
      </c>
      <c r="AG79" s="1"/>
      <c r="AH79" s="146">
        <f>IF(N79=0,0,N79/VE)</f>
      </c>
      <c r="AI79" s="147">
        <f>IF(N145=0,0,N145/VE)</f>
      </c>
      <c r="AJ79" s="147">
        <f>IF(N211=0,0,N211/VE)</f>
      </c>
      <c r="AK79" s="147">
        <f>IF(N277=0,0,N277/VE)</f>
      </c>
      <c r="AL79" s="147">
        <f>IF(N343=0,0,N343/VE)</f>
      </c>
      <c r="AM79" s="148">
        <f>IF(N409=0,0,N409/VE)</f>
      </c>
      <c r="AN79" s="117">
        <f>SUM(AH79:AM79)</f>
      </c>
      <c r="AO79" s="1"/>
      <c r="AP79" s="9"/>
      <c r="AQ79" s="2"/>
      <c r="AR79" s="3"/>
      <c r="AS79" s="10"/>
      <c r="AT79" s="1"/>
      <c r="AU79" s="1"/>
      <c r="AV79" s="1"/>
      <c r="AW79" s="1"/>
      <c r="AX79" s="11"/>
      <c r="AY79" s="1"/>
      <c r="AZ79" s="1"/>
      <c r="BA79" s="1"/>
      <c r="BB79" s="1"/>
      <c r="BC79" s="1"/>
      <c r="BD79" s="1"/>
      <c r="BE79" s="1"/>
      <c r="BF79" s="1"/>
      <c r="BG79" s="1"/>
      <c r="BH79" s="1"/>
    </row>
    <row x14ac:dyDescent="0.25" r="80" customHeight="1" ht="14.25">
      <c r="A80" s="1"/>
      <c r="B80" s="1"/>
      <c r="C80" s="1"/>
      <c r="D80" s="1"/>
      <c r="E80" s="2"/>
      <c r="F80" s="2"/>
      <c r="G80" s="90">
        <f>(S80&amp;RIGHT(R80,1))*1</f>
      </c>
      <c r="H80" s="1"/>
      <c r="I80" s="111"/>
      <c r="J80" s="126">
        <f>Planning!Q80</f>
      </c>
      <c r="K80" s="150">
        <f>VLOOKUP(J80,AA$23:AE$88,5,FALSE)</f>
      </c>
      <c r="L80" s="122">
        <f>Planning!U80</f>
      </c>
      <c r="M80" s="121">
        <f>IF(Planning!AB80=0,0,IFERROR($AD80*AH$22,0))</f>
      </c>
      <c r="N80" s="151">
        <f>IF(Planning!AB80=0,0,IFERROR($AD80*AH$22*K80,0))</f>
      </c>
      <c r="O80" s="96">
        <f>IF(ISTEXT(Planning!U80),0,AH80)</f>
      </c>
      <c r="P80" s="122">
        <f>Planning!AB80</f>
      </c>
      <c r="Q80" s="121">
        <f>Progress!R80</f>
      </c>
      <c r="R80" s="95">
        <f>IF(Q80=0,0,IF(ISNUMBER(Q80),IF(S80&gt;=$G$21,$F$21,"Q61"),Q80))</f>
      </c>
      <c r="S80" s="112">
        <f>Progress!S80</f>
      </c>
      <c r="T80" s="97"/>
      <c r="U80" s="96">
        <f>V80/$N$419</f>
      </c>
      <c r="V80" s="152">
        <f>IF(L80&lt;$E$20,0,IF(ISTEXT(L80),0,IF(AND(G80+1&gt;=$E$19+1,L80&gt;0),IF(ISNUMBER(Q80),Q80*$AD80*AH$22*K80,$AD80*AH$22*K80),0)))</f>
      </c>
      <c r="W80" s="121">
        <f>IF(AND(L80&gt;0,S80&gt;0),IF(ISNUMBER(Q80),Q80*$AD80*AH$22*K80,$AD80*AH$22*K80),0)</f>
      </c>
      <c r="X80" s="17"/>
      <c r="Y80" s="11"/>
      <c r="Z80" s="11"/>
      <c r="AA80" s="98">
        <f>Planning!Q80</f>
      </c>
      <c r="AB80" s="99">
        <f>IF(ISTEXT(AA80),VLOOKUP(AA80,Data_All,2,FALSE),"")</f>
      </c>
      <c r="AC80" s="99">
        <f>IF(ISTEXT(AA80),VLOOKUP(AA80,Data_All,3,FALSE),1)</f>
      </c>
      <c r="AD80" s="100">
        <f>IF(ISTEXT(AA80),Planning!T80)</f>
      </c>
      <c r="AE80" s="113">
        <f>VLOOKUP(AC80,Multiplier,2,FALSE)</f>
      </c>
      <c r="AF80" s="114">
        <f>AD80*AE80</f>
      </c>
      <c r="AG80" s="1"/>
      <c r="AH80" s="146">
        <f>IF(N80=0,0,N80/VE)</f>
      </c>
      <c r="AI80" s="147">
        <f>IF(N146=0,0,N146/VE)</f>
      </c>
      <c r="AJ80" s="147">
        <f>IF(N212=0,0,N212/VE)</f>
      </c>
      <c r="AK80" s="147">
        <f>IF(N278=0,0,N278/VE)</f>
      </c>
      <c r="AL80" s="147">
        <f>IF(N344=0,0,N344/VE)</f>
      </c>
      <c r="AM80" s="148">
        <f>IF(N410=0,0,N410/VE)</f>
      </c>
      <c r="AN80" s="117">
        <f>SUM(AH80:AM80)</f>
      </c>
      <c r="AO80" s="1"/>
      <c r="AP80" s="9"/>
      <c r="AQ80" s="2"/>
      <c r="AR80" s="3"/>
      <c r="AS80" s="10"/>
      <c r="AT80" s="1"/>
      <c r="AU80" s="1"/>
      <c r="AV80" s="1"/>
      <c r="AW80" s="1"/>
      <c r="AX80" s="11"/>
      <c r="AY80" s="1"/>
      <c r="AZ80" s="1"/>
      <c r="BA80" s="1"/>
      <c r="BB80" s="1"/>
      <c r="BC80" s="1"/>
      <c r="BD80" s="1"/>
      <c r="BE80" s="1"/>
      <c r="BF80" s="1"/>
      <c r="BG80" s="1"/>
      <c r="BH80" s="1"/>
    </row>
    <row x14ac:dyDescent="0.25" r="81" customHeight="1" ht="14.25">
      <c r="A81" s="1"/>
      <c r="B81" s="1"/>
      <c r="C81" s="1"/>
      <c r="D81" s="1"/>
      <c r="E81" s="2"/>
      <c r="F81" s="2"/>
      <c r="G81" s="90">
        <f>(S81&amp;RIGHT(R81,1))*1</f>
      </c>
      <c r="H81" s="1"/>
      <c r="I81" s="111"/>
      <c r="J81" s="126">
        <f>Planning!Q81</f>
      </c>
      <c r="K81" s="150">
        <f>VLOOKUP(J81,AA$23:AE$88,5,FALSE)</f>
      </c>
      <c r="L81" s="122">
        <f>Planning!U81</f>
      </c>
      <c r="M81" s="121">
        <f>IF(Planning!AB81=0,0,IFERROR($AD81*AH$22,0))</f>
      </c>
      <c r="N81" s="151">
        <f>IF(Planning!AB81=0,0,IFERROR($AD81*AH$22*K81,0))</f>
      </c>
      <c r="O81" s="96">
        <f>IF(ISTEXT(Planning!U81),0,AH81)</f>
      </c>
      <c r="P81" s="122">
        <f>Planning!AB81</f>
      </c>
      <c r="Q81" s="121">
        <f>Progress!R81</f>
      </c>
      <c r="R81" s="95">
        <f>IF(Q81=0,0,IF(ISNUMBER(Q81),IF(S81&gt;=$G$21,$F$21,"Q62"),Q81))</f>
      </c>
      <c r="S81" s="112">
        <f>Progress!S81</f>
      </c>
      <c r="T81" s="97"/>
      <c r="U81" s="96">
        <f>V81/$N$419</f>
      </c>
      <c r="V81" s="152">
        <f>IF(L81&lt;$E$20,0,IF(ISTEXT(L81),0,IF(AND(G81+1&gt;=$E$19+1,L81&gt;0),IF(ISNUMBER(Q81),Q81*$AD81*AH$22*K81,$AD81*AH$22*K81),0)))</f>
      </c>
      <c r="W81" s="121">
        <f>IF(AND(L81&gt;0,S81&gt;0),IF(ISNUMBER(Q81),Q81*$AD81*AH$22*K81,$AD81*AH$22*K81),0)</f>
      </c>
      <c r="X81" s="17"/>
      <c r="Y81" s="11"/>
      <c r="Z81" s="11"/>
      <c r="AA81" s="98">
        <f>Planning!Q81</f>
      </c>
      <c r="AB81" s="99">
        <f>IF(ISTEXT(AA81),VLOOKUP(AA81,Data_All,2,FALSE),"")</f>
      </c>
      <c r="AC81" s="99">
        <f>IF(ISTEXT(AA81),VLOOKUP(AA81,Data_All,3,FALSE),1)</f>
      </c>
      <c r="AD81" s="100">
        <f>IF(ISTEXT(AA81),Planning!T81)</f>
      </c>
      <c r="AE81" s="113">
        <f>VLOOKUP(AC81,Multiplier,2,FALSE)</f>
      </c>
      <c r="AF81" s="114">
        <f>AD81*AE81</f>
      </c>
      <c r="AG81" s="1"/>
      <c r="AH81" s="146">
        <f>IF(N81=0,0,N81/VE)</f>
      </c>
      <c r="AI81" s="147">
        <f>IF(N147=0,0,N147/VE)</f>
      </c>
      <c r="AJ81" s="147">
        <f>IF(N213=0,0,N213/VE)</f>
      </c>
      <c r="AK81" s="147">
        <f>IF(N279=0,0,N279/VE)</f>
      </c>
      <c r="AL81" s="147">
        <f>IF(N345=0,0,N345/VE)</f>
      </c>
      <c r="AM81" s="148">
        <f>IF(N411=0,0,N411/VE)</f>
      </c>
      <c r="AN81" s="117">
        <f>SUM(AH81:AM81)</f>
      </c>
      <c r="AO81" s="1"/>
      <c r="AP81" s="9"/>
      <c r="AQ81" s="2"/>
      <c r="AR81" s="3"/>
      <c r="AS81" s="10"/>
      <c r="AT81" s="1"/>
      <c r="AU81" s="1"/>
      <c r="AV81" s="1"/>
      <c r="AW81" s="1"/>
      <c r="AX81" s="11"/>
      <c r="AY81" s="1"/>
      <c r="AZ81" s="1"/>
      <c r="BA81" s="1"/>
      <c r="BB81" s="1"/>
      <c r="BC81" s="1"/>
      <c r="BD81" s="1"/>
      <c r="BE81" s="1"/>
      <c r="BF81" s="1"/>
      <c r="BG81" s="1"/>
      <c r="BH81" s="1"/>
    </row>
    <row x14ac:dyDescent="0.25" r="82" customHeight="1" ht="14.25">
      <c r="A82" s="1"/>
      <c r="B82" s="1"/>
      <c r="C82" s="1"/>
      <c r="D82" s="1"/>
      <c r="E82" s="2"/>
      <c r="F82" s="2"/>
      <c r="G82" s="90">
        <f>(S82&amp;RIGHT(R82,1))*1</f>
      </c>
      <c r="H82" s="1"/>
      <c r="I82" s="111"/>
      <c r="J82" s="126">
        <f>Planning!Q82</f>
      </c>
      <c r="K82" s="150">
        <f>VLOOKUP(J82,AA$23:AE$88,5,FALSE)</f>
      </c>
      <c r="L82" s="122">
        <f>Planning!U82</f>
      </c>
      <c r="M82" s="121">
        <f>IF(Planning!AB82=0,0,IFERROR($AD82*AH$22,0))</f>
      </c>
      <c r="N82" s="151">
        <f>IF(Planning!AB82=0,0,IFERROR($AD82*AH$22*K82,0))</f>
      </c>
      <c r="O82" s="96">
        <f>IF(ISTEXT(Planning!U82),0,AH82)</f>
      </c>
      <c r="P82" s="122">
        <f>Planning!AB82</f>
      </c>
      <c r="Q82" s="121">
        <f>Progress!R82</f>
      </c>
      <c r="R82" s="95">
        <f>IF(Q82=0,0,IF(ISNUMBER(Q82),IF(S82&gt;=$G$21,$F$21,"Q63"),Q82))</f>
      </c>
      <c r="S82" s="112">
        <f>Progress!S82</f>
      </c>
      <c r="T82" s="97"/>
      <c r="U82" s="96">
        <f>V82/$N$419</f>
      </c>
      <c r="V82" s="152">
        <f>IF(L82&lt;$E$20,0,IF(ISTEXT(L82),0,IF(AND(G82+1&gt;=$E$19+1,L82&gt;0),IF(ISNUMBER(Q82),Q82*$AD82*AH$22*K82,$AD82*AH$22*K82),0)))</f>
      </c>
      <c r="W82" s="121">
        <f>IF(AND(L82&gt;0,S82&gt;0),IF(ISNUMBER(Q82),Q82*$AD82*AH$22*K82,$AD82*AH$22*K82),0)</f>
      </c>
      <c r="X82" s="17"/>
      <c r="Y82" s="11"/>
      <c r="Z82" s="11"/>
      <c r="AA82" s="98">
        <f>Planning!Q82</f>
      </c>
      <c r="AB82" s="99">
        <f>IF(ISTEXT(AA82),VLOOKUP(AA82,Data_All,2,FALSE),"")</f>
      </c>
      <c r="AC82" s="99">
        <f>IF(ISTEXT(AA82),VLOOKUP(AA82,Data_All,3,FALSE),1)</f>
      </c>
      <c r="AD82" s="100">
        <f>IF(ISTEXT(AA82),Planning!T82)</f>
      </c>
      <c r="AE82" s="113">
        <f>VLOOKUP(AC82,Multiplier,2,FALSE)</f>
      </c>
      <c r="AF82" s="114">
        <f>AD82*AE82</f>
      </c>
      <c r="AG82" s="1"/>
      <c r="AH82" s="146">
        <f>IF(N82=0,0,N82/VE)</f>
      </c>
      <c r="AI82" s="147">
        <f>IF(N148=0,0,N148/VE)</f>
      </c>
      <c r="AJ82" s="147">
        <f>IF(N214=0,0,N214/VE)</f>
      </c>
      <c r="AK82" s="147">
        <f>IF(N280=0,0,N280/VE)</f>
      </c>
      <c r="AL82" s="147">
        <f>IF(N346=0,0,N346/VE)</f>
      </c>
      <c r="AM82" s="148">
        <f>IF(N412=0,0,N412/VE)</f>
      </c>
      <c r="AN82" s="117">
        <f>SUM(AH82:AM82)</f>
      </c>
      <c r="AO82" s="1"/>
      <c r="AP82" s="9"/>
      <c r="AQ82" s="2"/>
      <c r="AR82" s="3"/>
      <c r="AS82" s="10"/>
      <c r="AT82" s="1"/>
      <c r="AU82" s="1"/>
      <c r="AV82" s="1"/>
      <c r="AW82" s="1"/>
      <c r="AX82" s="11"/>
      <c r="AY82" s="1"/>
      <c r="AZ82" s="1"/>
      <c r="BA82" s="1"/>
      <c r="BB82" s="1"/>
      <c r="BC82" s="1"/>
      <c r="BD82" s="1"/>
      <c r="BE82" s="1"/>
      <c r="BF82" s="1"/>
      <c r="BG82" s="1"/>
      <c r="BH82" s="1"/>
    </row>
    <row x14ac:dyDescent="0.25" r="83" customHeight="1" ht="14.25">
      <c r="A83" s="1"/>
      <c r="B83" s="1"/>
      <c r="C83" s="1"/>
      <c r="D83" s="1"/>
      <c r="E83" s="2"/>
      <c r="F83" s="2"/>
      <c r="G83" s="90">
        <f>(S83&amp;RIGHT(R83,1))*1</f>
      </c>
      <c r="H83" s="1"/>
      <c r="I83" s="111"/>
      <c r="J83" s="126">
        <f>Planning!Q83</f>
      </c>
      <c r="K83" s="150">
        <f>VLOOKUP(J83,AA$23:AE$88,5,FALSE)</f>
      </c>
      <c r="L83" s="122">
        <f>Planning!U83</f>
      </c>
      <c r="M83" s="121">
        <f>IF(Planning!AB83=0,0,IFERROR($AD83*AH$22,0))</f>
      </c>
      <c r="N83" s="151">
        <f>IF(Planning!AB83=0,0,IFERROR($AD83*AH$22*K83,0))</f>
      </c>
      <c r="O83" s="96">
        <f>IF(ISTEXT(Planning!U83),0,AH83)</f>
      </c>
      <c r="P83" s="122">
        <f>Planning!AB83</f>
      </c>
      <c r="Q83" s="121">
        <f>Progress!R83</f>
      </c>
      <c r="R83" s="95">
        <f>IF(Q83=0,0,IF(ISNUMBER(Q83),IF(S83&gt;=$G$21,$F$21,"Q64"),Q83))</f>
      </c>
      <c r="S83" s="112">
        <f>Progress!S83</f>
      </c>
      <c r="T83" s="97"/>
      <c r="U83" s="96">
        <f>V83/$N$419</f>
      </c>
      <c r="V83" s="152">
        <f>IF(L83&lt;$E$20,0,IF(ISTEXT(L83),0,IF(AND(G83+1&gt;=$E$19+1,L83&gt;0),IF(ISNUMBER(Q83),Q83*$AD83*AH$22*K83,$AD83*AH$22*K83),0)))</f>
      </c>
      <c r="W83" s="121">
        <f>IF(AND(L83&gt;0,S83&gt;0),IF(ISNUMBER(Q83),Q83*$AD83*AH$22*K83,$AD83*AH$22*K83),0)</f>
      </c>
      <c r="X83" s="17"/>
      <c r="Y83" s="11"/>
      <c r="Z83" s="11"/>
      <c r="AA83" s="98">
        <f>Planning!Q83</f>
      </c>
      <c r="AB83" s="99">
        <f>IF(ISTEXT(AA83),VLOOKUP(AA83,Data_All,2,FALSE),"")</f>
      </c>
      <c r="AC83" s="99">
        <f>IF(ISTEXT(AA83),VLOOKUP(AA83,Data_All,3,FALSE),1)</f>
      </c>
      <c r="AD83" s="100">
        <f>IF(ISTEXT(AA83),Planning!T83)</f>
      </c>
      <c r="AE83" s="113">
        <f>VLOOKUP(AC83,Multiplier,2,FALSE)</f>
      </c>
      <c r="AF83" s="114">
        <f>AD83*AE83</f>
      </c>
      <c r="AG83" s="1"/>
      <c r="AH83" s="146">
        <f>IF(N83=0,0,N83/VE)</f>
      </c>
      <c r="AI83" s="147">
        <f>IF(N149=0,0,N149/VE)</f>
      </c>
      <c r="AJ83" s="147">
        <f>IF(N215=0,0,N215/VE)</f>
      </c>
      <c r="AK83" s="147">
        <f>IF(N281=0,0,N281/VE)</f>
      </c>
      <c r="AL83" s="147">
        <f>IF(N347=0,0,N347/VE)</f>
      </c>
      <c r="AM83" s="148">
        <f>IF(N413=0,0,N413/VE)</f>
      </c>
      <c r="AN83" s="117">
        <f>SUM(AH83:AM83)</f>
      </c>
      <c r="AO83" s="1"/>
      <c r="AP83" s="9"/>
      <c r="AQ83" s="2"/>
      <c r="AR83" s="3"/>
      <c r="AS83" s="10"/>
      <c r="AT83" s="1"/>
      <c r="AU83" s="1"/>
      <c r="AV83" s="1"/>
      <c r="AW83" s="1"/>
      <c r="AX83" s="11"/>
      <c r="AY83" s="1"/>
      <c r="AZ83" s="1"/>
      <c r="BA83" s="1"/>
      <c r="BB83" s="1"/>
      <c r="BC83" s="1"/>
      <c r="BD83" s="1"/>
      <c r="BE83" s="1"/>
      <c r="BF83" s="1"/>
      <c r="BG83" s="1"/>
      <c r="BH83" s="1"/>
    </row>
    <row x14ac:dyDescent="0.25" r="84" customHeight="1" ht="14.25">
      <c r="A84" s="1"/>
      <c r="B84" s="1"/>
      <c r="C84" s="1"/>
      <c r="D84" s="1"/>
      <c r="E84" s="2"/>
      <c r="F84" s="2"/>
      <c r="G84" s="90">
        <f>(S84&amp;RIGHT(R84,1))*1</f>
      </c>
      <c r="H84" s="1"/>
      <c r="I84" s="111"/>
      <c r="J84" s="126">
        <f>Planning!Q84</f>
      </c>
      <c r="K84" s="150">
        <f>VLOOKUP(J84,AA$23:AE$88,5,FALSE)</f>
      </c>
      <c r="L84" s="122">
        <f>Planning!U84</f>
      </c>
      <c r="M84" s="121">
        <f>IF(Planning!AB84=0,0,IFERROR($AD84*AH$22,0))</f>
      </c>
      <c r="N84" s="151">
        <f>IF(Planning!AB84=0,0,IFERROR($AD84*AH$22*K84,0))</f>
      </c>
      <c r="O84" s="96">
        <f>IF(ISTEXT(Planning!U84),0,AH84)</f>
      </c>
      <c r="P84" s="122">
        <f>Planning!AB84</f>
      </c>
      <c r="Q84" s="121">
        <f>Progress!R84</f>
      </c>
      <c r="R84" s="95">
        <f>IF(Q84=0,0,IF(ISNUMBER(Q84),IF(S84&gt;=$G$21,$F$21,"Q65"),Q84))</f>
      </c>
      <c r="S84" s="112">
        <f>Progress!S84</f>
      </c>
      <c r="T84" s="97"/>
      <c r="U84" s="96">
        <f>V84/$N$419</f>
      </c>
      <c r="V84" s="152">
        <f>IF(L84&lt;$E$20,0,IF(ISTEXT(L84),0,IF(AND(G84+1&gt;=$E$19+1,L84&gt;0),IF(ISNUMBER(Q84),Q84*$AD84*AH$22*K84,$AD84*AH$22*K84),0)))</f>
      </c>
      <c r="W84" s="121">
        <f>IF(AND(L84&gt;0,S84&gt;0),IF(ISNUMBER(Q84),Q84*$AD84*AH$22*K84,$AD84*AH$22*K84),0)</f>
      </c>
      <c r="X84" s="17"/>
      <c r="Y84" s="11"/>
      <c r="Z84" s="11"/>
      <c r="AA84" s="98">
        <f>Planning!Q84</f>
      </c>
      <c r="AB84" s="99">
        <f>IF(ISTEXT(AA84),VLOOKUP(AA84,Data_All,2,FALSE),"")</f>
      </c>
      <c r="AC84" s="99">
        <f>IF(ISTEXT(AA84),VLOOKUP(AA84,Data_All,3,FALSE),1)</f>
      </c>
      <c r="AD84" s="100">
        <f>IF(ISTEXT(AA84),Planning!T84)</f>
      </c>
      <c r="AE84" s="113">
        <f>VLOOKUP(AC84,Multiplier,2,FALSE)</f>
      </c>
      <c r="AF84" s="114">
        <f>AD84*AE84</f>
      </c>
      <c r="AG84" s="1"/>
      <c r="AH84" s="146">
        <f>IF(N84=0,0,N84/VE)</f>
      </c>
      <c r="AI84" s="147">
        <f>IF(N150=0,0,N150/VE)</f>
      </c>
      <c r="AJ84" s="147">
        <f>IF(N216=0,0,N216/VE)</f>
      </c>
      <c r="AK84" s="147">
        <f>IF(N282=0,0,N282/VE)</f>
      </c>
      <c r="AL84" s="147">
        <f>IF(N348=0,0,N348/VE)</f>
      </c>
      <c r="AM84" s="148">
        <f>IF(N414=0,0,N414/VE)</f>
      </c>
      <c r="AN84" s="117">
        <f>SUM(AH84:AM84)</f>
      </c>
      <c r="AO84" s="1"/>
      <c r="AP84" s="9"/>
      <c r="AQ84" s="2"/>
      <c r="AR84" s="3"/>
      <c r="AS84" s="10"/>
      <c r="AT84" s="1"/>
      <c r="AU84" s="1"/>
      <c r="AV84" s="1"/>
      <c r="AW84" s="1"/>
      <c r="AX84" s="11"/>
      <c r="AY84" s="1"/>
      <c r="AZ84" s="1"/>
      <c r="BA84" s="1"/>
      <c r="BB84" s="1"/>
      <c r="BC84" s="1"/>
      <c r="BD84" s="1"/>
      <c r="BE84" s="1"/>
      <c r="BF84" s="1"/>
      <c r="BG84" s="1"/>
      <c r="BH84" s="1"/>
    </row>
    <row x14ac:dyDescent="0.25" r="85" customHeight="1" ht="14.25">
      <c r="A85" s="1"/>
      <c r="B85" s="1"/>
      <c r="C85" s="1"/>
      <c r="D85" s="1"/>
      <c r="E85" s="2"/>
      <c r="F85" s="2"/>
      <c r="G85" s="90">
        <f>(S85&amp;RIGHT(R85,1))*1</f>
      </c>
      <c r="H85" s="1"/>
      <c r="I85" s="111"/>
      <c r="J85" s="126">
        <f>Planning!Q85</f>
      </c>
      <c r="K85" s="150">
        <f>VLOOKUP(J85,AA$23:AE$88,5,FALSE)</f>
      </c>
      <c r="L85" s="122">
        <f>Planning!U85</f>
      </c>
      <c r="M85" s="121">
        <f>IF(Planning!AB85=0,0,IFERROR($AD85*AH$22,0))</f>
      </c>
      <c r="N85" s="151">
        <f>IF(Planning!AB85=0,0,IFERROR($AD85*AH$22*K85,0))</f>
      </c>
      <c r="O85" s="96">
        <f>IF(ISTEXT(Planning!U85),0,AH85)</f>
      </c>
      <c r="P85" s="122">
        <f>Planning!AB85</f>
      </c>
      <c r="Q85" s="121">
        <f>Progress!R85</f>
      </c>
      <c r="R85" s="95">
        <f>IF(Q85=0,0,IF(ISNUMBER(Q85),IF(S85&gt;=$G$21,$F$21,"Q66"),Q85))</f>
      </c>
      <c r="S85" s="112">
        <f>Progress!S85</f>
      </c>
      <c r="T85" s="97"/>
      <c r="U85" s="96">
        <f>V85/$N$419</f>
      </c>
      <c r="V85" s="152">
        <f>IF(L85&lt;$E$20,0,IF(ISTEXT(L85),0,IF(AND(G85+1&gt;=$E$19+1,L85&gt;0),IF(ISNUMBER(Q85),Q85*$AD85*AH$22*K85,$AD85*AH$22*K85),0)))</f>
      </c>
      <c r="W85" s="121">
        <f>IF(AND(L85&gt;0,S85&gt;0),IF(ISNUMBER(Q85),Q85*$AD85*AH$22*K85,$AD85*AH$22*K85),0)</f>
      </c>
      <c r="X85" s="17"/>
      <c r="Y85" s="11"/>
      <c r="Z85" s="11"/>
      <c r="AA85" s="98">
        <f>Planning!Q85</f>
      </c>
      <c r="AB85" s="99">
        <f>IF(ISTEXT(AA85),VLOOKUP(AA85,Data_All,2,FALSE),"")</f>
      </c>
      <c r="AC85" s="99">
        <f>IF(ISTEXT(AA85),VLOOKUP(AA85,Data_All,3,FALSE),1)</f>
      </c>
      <c r="AD85" s="100">
        <f>IF(ISTEXT(AA85),Planning!T85)</f>
      </c>
      <c r="AE85" s="113">
        <f>VLOOKUP(AC85,Multiplier,2,FALSE)</f>
      </c>
      <c r="AF85" s="114">
        <f>AD85*AE85</f>
      </c>
      <c r="AG85" s="1"/>
      <c r="AH85" s="146">
        <f>IF(N85=0,0,N85/VE)</f>
      </c>
      <c r="AI85" s="147">
        <f>IF(N151=0,0,N151/VE)</f>
      </c>
      <c r="AJ85" s="147">
        <f>IF(N217=0,0,N217/VE)</f>
      </c>
      <c r="AK85" s="147">
        <f>IF(N283=0,0,N283/VE)</f>
      </c>
      <c r="AL85" s="147">
        <f>IF(N349=0,0,N349/VE)</f>
      </c>
      <c r="AM85" s="148">
        <f>IF(N415=0,0,N415/VE)</f>
      </c>
      <c r="AN85" s="117">
        <f>SUM(AH85:AM85)</f>
      </c>
      <c r="AO85" s="1"/>
      <c r="AP85" s="9"/>
      <c r="AQ85" s="2"/>
      <c r="AR85" s="3"/>
      <c r="AS85" s="10"/>
      <c r="AT85" s="1"/>
      <c r="AU85" s="1"/>
      <c r="AV85" s="1"/>
      <c r="AW85" s="1"/>
      <c r="AX85" s="11"/>
      <c r="AY85" s="1"/>
      <c r="AZ85" s="1"/>
      <c r="BA85" s="1"/>
      <c r="BB85" s="1"/>
      <c r="BC85" s="1"/>
      <c r="BD85" s="1"/>
      <c r="BE85" s="1"/>
      <c r="BF85" s="1"/>
      <c r="BG85" s="1"/>
      <c r="BH85" s="1"/>
    </row>
    <row x14ac:dyDescent="0.25" r="86" customHeight="1" ht="14.25">
      <c r="A86" s="1"/>
      <c r="B86" s="1"/>
      <c r="C86" s="1"/>
      <c r="D86" s="1"/>
      <c r="E86" s="2"/>
      <c r="F86" s="2"/>
      <c r="G86" s="90">
        <f>(S86&amp;RIGHT(R86,1))*1</f>
      </c>
      <c r="H86" s="1"/>
      <c r="I86" s="111"/>
      <c r="J86" s="126">
        <f>Planning!Q86</f>
      </c>
      <c r="K86" s="150">
        <f>VLOOKUP(J86,AA$23:AE$88,5,FALSE)</f>
      </c>
      <c r="L86" s="122">
        <f>Planning!U86</f>
      </c>
      <c r="M86" s="121">
        <f>IF(Planning!AB86=0,0,IFERROR($AD86*AH$22,0))</f>
      </c>
      <c r="N86" s="151">
        <f>IF(Planning!AB86=0,0,IFERROR($AD86*AH$22*K86,0))</f>
      </c>
      <c r="O86" s="96">
        <f>IF(ISTEXT(Planning!U86),0,AH86)</f>
      </c>
      <c r="P86" s="122">
        <f>Planning!AB86</f>
      </c>
      <c r="Q86" s="121">
        <f>Progress!R86</f>
      </c>
      <c r="R86" s="95">
        <f>IF(Q86=0,0,IF(ISNUMBER(Q86),IF(S86&gt;=$G$21,$F$21,"Q67"),Q86))</f>
      </c>
      <c r="S86" s="112">
        <f>Progress!S86</f>
      </c>
      <c r="T86" s="97"/>
      <c r="U86" s="96">
        <f>V86/$N$419</f>
      </c>
      <c r="V86" s="152">
        <f>IF(L86&lt;$E$20,0,IF(ISTEXT(L86),0,IF(AND(G86+1&gt;=$E$19+1,L86&gt;0),IF(ISNUMBER(Q86),Q86*$AD86*AH$22*K86,$AD86*AH$22*K86),0)))</f>
      </c>
      <c r="W86" s="121">
        <f>IF(AND(L86&gt;0,S86&gt;0),IF(ISNUMBER(Q86),Q86*$AD86*AH$22*K86,$AD86*AH$22*K86),0)</f>
      </c>
      <c r="X86" s="17"/>
      <c r="Y86" s="11"/>
      <c r="Z86" s="11"/>
      <c r="AA86" s="98">
        <f>Planning!Q86</f>
      </c>
      <c r="AB86" s="99">
        <f>IF(ISTEXT(AA86),VLOOKUP(AA86,Data_All,2,FALSE),"")</f>
      </c>
      <c r="AC86" s="99">
        <f>IF(ISTEXT(AA86),VLOOKUP(AA86,Data_All,3,FALSE),1)</f>
      </c>
      <c r="AD86" s="100">
        <f>IF(ISTEXT(AA86),Planning!T86)</f>
      </c>
      <c r="AE86" s="113">
        <f>VLOOKUP(AC86,Multiplier,2,FALSE)</f>
      </c>
      <c r="AF86" s="114">
        <f>AD86*AE86</f>
      </c>
      <c r="AG86" s="1"/>
      <c r="AH86" s="146">
        <f>IF(N86=0,0,N86/VE)</f>
      </c>
      <c r="AI86" s="147">
        <f>IF(N152=0,0,N152/VE)</f>
      </c>
      <c r="AJ86" s="147">
        <f>IF(N218=0,0,N218/VE)</f>
      </c>
      <c r="AK86" s="147">
        <f>IF(N284=0,0,N284/VE)</f>
      </c>
      <c r="AL86" s="147">
        <f>IF(N350=0,0,N350/VE)</f>
      </c>
      <c r="AM86" s="148">
        <f>IF(N416=0,0,N416/VE)</f>
      </c>
      <c r="AN86" s="117">
        <f>SUM(AH86:AM86)</f>
      </c>
      <c r="AO86" s="1"/>
      <c r="AP86" s="9"/>
      <c r="AQ86" s="2"/>
      <c r="AR86" s="3"/>
      <c r="AS86" s="10"/>
      <c r="AT86" s="1"/>
      <c r="AU86" s="1"/>
      <c r="AV86" s="1"/>
      <c r="AW86" s="1"/>
      <c r="AX86" s="11"/>
      <c r="AY86" s="1"/>
      <c r="AZ86" s="1"/>
      <c r="BA86" s="1"/>
      <c r="BB86" s="1"/>
      <c r="BC86" s="1"/>
      <c r="BD86" s="1"/>
      <c r="BE86" s="1"/>
      <c r="BF86" s="1"/>
      <c r="BG86" s="1"/>
      <c r="BH86" s="1"/>
    </row>
    <row x14ac:dyDescent="0.25" r="87" customHeight="1" ht="14.25">
      <c r="A87" s="1"/>
      <c r="B87" s="1"/>
      <c r="C87" s="1"/>
      <c r="D87" s="1"/>
      <c r="E87" s="2"/>
      <c r="F87" s="2"/>
      <c r="G87" s="90">
        <f>(S87&amp;RIGHT(R87,1))*1</f>
      </c>
      <c r="H87" s="1"/>
      <c r="I87" s="111"/>
      <c r="J87" s="126">
        <f>Planning!Q87</f>
      </c>
      <c r="K87" s="150">
        <f>VLOOKUP(J87,AA$23:AE$88,5,FALSE)</f>
      </c>
      <c r="L87" s="122">
        <f>Planning!U87</f>
      </c>
      <c r="M87" s="121">
        <f>IF(Planning!AB87=0,0,IFERROR($AD87*AH$22,0))</f>
      </c>
      <c r="N87" s="151">
        <f>IF(Planning!AB87=0,0,IFERROR($AD87*AH$22*K87,0))</f>
      </c>
      <c r="O87" s="96">
        <f>IF(ISTEXT(Planning!U87),0,AH87)</f>
      </c>
      <c r="P87" s="122">
        <f>Planning!AB87</f>
      </c>
      <c r="Q87" s="121">
        <f>Progress!R87</f>
      </c>
      <c r="R87" s="95">
        <f>IF(Q87=0,0,IF(ISNUMBER(Q87),IF(S87&gt;=$G$21,$F$21,"Q4"),Q87))</f>
      </c>
      <c r="S87" s="112">
        <f>Progress!S87</f>
      </c>
      <c r="T87" s="97"/>
      <c r="U87" s="96">
        <f>V87/$N$419</f>
      </c>
      <c r="V87" s="152">
        <f>IF(L87&lt;$E$20,0,IF(ISTEXT(L87),0,IF(AND(G87+1&gt;=$E$19+1,L87&gt;0),IF(ISNUMBER(Q87),Q87*$AD87*AH$22*K87,$AD87*AH$22*K87),0)))</f>
      </c>
      <c r="W87" s="121">
        <f>IF(AND(L87&gt;0,S87&gt;0),IF(ISNUMBER(Q87),Q87*$AD87*AH$22*K87,$AD87*AH$22*K87),0)</f>
      </c>
      <c r="X87" s="17"/>
      <c r="Y87" s="11"/>
      <c r="Z87" s="11"/>
      <c r="AA87" s="98">
        <f>Planning!Q87</f>
      </c>
      <c r="AB87" s="99">
        <f>IF(ISTEXT(AA87),VLOOKUP(AA87,Data_All,2,FALSE),"")</f>
      </c>
      <c r="AC87" s="99">
        <f>IF(ISTEXT(AA87),VLOOKUP(AA87,Data_All,3,FALSE),1)</f>
      </c>
      <c r="AD87" s="100">
        <f>IF(ISTEXT(AA87),Planning!T87)</f>
      </c>
      <c r="AE87" s="113">
        <f>VLOOKUP(AC87,Multiplier,2,FALSE)</f>
      </c>
      <c r="AF87" s="114">
        <f>AD87*AE87</f>
      </c>
      <c r="AG87" s="1"/>
      <c r="AH87" s="146">
        <f>IF(N87=0,0,N87/VE)</f>
      </c>
      <c r="AI87" s="147">
        <f>IF(N153=0,0,N153/VE)</f>
      </c>
      <c r="AJ87" s="147">
        <f>IF(N219=0,0,N219/VE)</f>
      </c>
      <c r="AK87" s="147">
        <f>IF(N285=0,0,N285/VE)</f>
      </c>
      <c r="AL87" s="147">
        <f>IF(N351=0,0,N351/VE)</f>
      </c>
      <c r="AM87" s="148">
        <f>IF(N417=0,0,N417/VE)</f>
      </c>
      <c r="AN87" s="117">
        <f>SUM(AH87:AM87)</f>
      </c>
      <c r="AO87" s="1"/>
      <c r="AP87" s="9"/>
      <c r="AQ87" s="2"/>
      <c r="AR87" s="3"/>
      <c r="AS87" s="10"/>
      <c r="AT87" s="1"/>
      <c r="AU87" s="1"/>
      <c r="AV87" s="1"/>
      <c r="AW87" s="1"/>
      <c r="AX87" s="11"/>
      <c r="AY87" s="1"/>
      <c r="AZ87" s="1"/>
      <c r="BA87" s="1"/>
      <c r="BB87" s="1"/>
      <c r="BC87" s="1"/>
      <c r="BD87" s="1"/>
      <c r="BE87" s="1"/>
      <c r="BF87" s="1"/>
      <c r="BG87" s="1"/>
      <c r="BH87" s="1"/>
    </row>
    <row x14ac:dyDescent="0.25" r="88" customHeight="1" ht="14.25">
      <c r="A88" s="1"/>
      <c r="B88" s="1"/>
      <c r="C88" s="1"/>
      <c r="D88" s="1"/>
      <c r="E88" s="2"/>
      <c r="F88" s="2"/>
      <c r="G88" s="90">
        <f>(S88&amp;RIGHT(R88,1))*1</f>
      </c>
      <c r="H88" s="1"/>
      <c r="I88" s="153"/>
      <c r="J88" s="154">
        <f>Planning!Q88</f>
      </c>
      <c r="K88" s="124">
        <f>VLOOKUP(J88,AA$23:AE$88,5,FALSE)</f>
      </c>
      <c r="L88" s="155">
        <f>Planning!U88</f>
      </c>
      <c r="M88" s="156">
        <f>IF(Planning!AB88=0,0,IFERROR($AD88*AH$22,0))</f>
      </c>
      <c r="N88" s="157">
        <f>IF(Planning!AB88=0,0,IFERROR($AD88*AH$22*K88,0))</f>
      </c>
      <c r="O88" s="158">
        <f>IF(ISTEXT(Planning!U88),0,AH88)</f>
      </c>
      <c r="P88" s="155">
        <f>Planning!AB88</f>
      </c>
      <c r="Q88" s="156">
        <f>Progress!R88</f>
      </c>
      <c r="R88" s="156">
        <f>IF(Q88=0,0,IF(ISNUMBER(Q88),IF(S88&gt;=$G$21,$F$21,"Q5"),Q88))</f>
      </c>
      <c r="S88" s="159">
        <f>Progress!S88</f>
      </c>
      <c r="T88" s="160"/>
      <c r="U88" s="158">
        <f>V88/$N$419</f>
      </c>
      <c r="V88" s="161">
        <f>IF(L88&lt;$E$20,0,IF(ISTEXT(L88),0,IF(AND(G88+1&gt;=$E$19+1,L88&gt;0),IF(ISNUMBER(Q88),Q88*$AD88*AH$22*K88,$AD88*AH$22*K88),0)))</f>
      </c>
      <c r="W88" s="156">
        <f>IF(AND(L88&gt;0,S88&gt;0),IF(ISNUMBER(Q88),Q88*$AD88*AH$22*K88,$AD88*AH$22*K88),0)</f>
      </c>
      <c r="X88" s="17"/>
      <c r="Y88" s="11"/>
      <c r="Z88" s="11"/>
      <c r="AA88" s="98">
        <f>Planning!Q88</f>
      </c>
      <c r="AB88" s="99">
        <f>IF(ISTEXT(AA88),VLOOKUP(AA88,Data_All,2,FALSE),"")</f>
      </c>
      <c r="AC88" s="99">
        <f>IF(ISTEXT(AA88),VLOOKUP(AA88,Data_All,3,FALSE),1)</f>
      </c>
      <c r="AD88" s="100">
        <f>IF(ISTEXT(AA88),Planning!T88)</f>
      </c>
      <c r="AE88" s="162">
        <f>VLOOKUP(AC88,Multiplier,2,FALSE)</f>
      </c>
      <c r="AF88" s="114">
        <f>AD88*AE88</f>
      </c>
      <c r="AG88" s="1"/>
      <c r="AH88" s="146">
        <f>IF(N88=0,0,N88/VE)</f>
      </c>
      <c r="AI88" s="147">
        <f>IF(N154=0,0,N154/VE)</f>
      </c>
      <c r="AJ88" s="147">
        <f>IF(N220=0,0,N220/VE)</f>
      </c>
      <c r="AK88" s="147">
        <f>IF(N286=0,0,N286/VE)</f>
      </c>
      <c r="AL88" s="147">
        <f>IF(N352=0,0,N352/VE)</f>
      </c>
      <c r="AM88" s="148">
        <f>IF(N418=0,0,N418/VE)</f>
      </c>
      <c r="AN88" s="117">
        <f>SUM(AH88:AM88)</f>
      </c>
      <c r="AO88" s="1"/>
      <c r="AP88" s="9"/>
      <c r="AQ88" s="2"/>
      <c r="AR88" s="3"/>
      <c r="AS88" s="10"/>
      <c r="AT88" s="1"/>
      <c r="AU88" s="1"/>
      <c r="AV88" s="1"/>
      <c r="AW88" s="1"/>
      <c r="AX88" s="11"/>
      <c r="AY88" s="1"/>
      <c r="AZ88" s="1"/>
      <c r="BA88" s="1"/>
      <c r="BB88" s="1"/>
      <c r="BC88" s="1"/>
      <c r="BD88" s="1"/>
      <c r="BE88" s="1"/>
      <c r="BF88" s="1"/>
      <c r="BG88" s="1"/>
      <c r="BH88" s="1"/>
    </row>
    <row x14ac:dyDescent="0.25" r="89" customHeight="1" ht="14.25">
      <c r="A89" s="1"/>
      <c r="B89" s="1"/>
      <c r="C89" s="1"/>
      <c r="D89" s="1"/>
      <c r="E89" s="2"/>
      <c r="F89" s="2"/>
      <c r="G89" s="90">
        <f>(S89&amp;RIGHT(R89,1))*1</f>
      </c>
      <c r="H89" s="1"/>
      <c r="I89" s="91">
        <f>Planning!V18</f>
      </c>
      <c r="J89" s="120">
        <f>Planning!Q23</f>
      </c>
      <c r="K89" s="150">
        <f>VLOOKUP(J89,AA$23:AE$88,5,FALSE)</f>
      </c>
      <c r="L89" s="122">
        <f>Planning!V23</f>
      </c>
      <c r="M89" s="121">
        <f>IF(Planning!AC23=0,0,IFERROR($AD23*AI$22,0))</f>
      </c>
      <c r="N89" s="151">
        <f>IF(Planning!AC23=0,0,IFERROR($AD23*AI$22*K89,0))</f>
      </c>
      <c r="O89" s="163">
        <f>IF(ISTEXT(Planning!V23),0,AI23)</f>
      </c>
      <c r="P89" s="122">
        <f>Planning!AC23</f>
      </c>
      <c r="Q89" s="121">
        <f>Progress!T23</f>
      </c>
      <c r="R89" s="121">
        <f>IF(Q89=0,0,IF(ISNUMBER(Q89),IF(S89&gt;=$G$21,$F$21,"Q6"),Q89))</f>
      </c>
      <c r="S89" s="122">
        <f>Progress!U23</f>
      </c>
      <c r="T89" s="164"/>
      <c r="U89" s="163">
        <f>V89/$N$419</f>
      </c>
      <c r="V89" s="165">
        <f>IF(L89&lt;$E$20,0,IF(ISTEXT(L89),0,IF(AND(G89+1&gt;=$E$19+1,L89&gt;0),IF(ISNUMBER(Q89),Q89*$AD23*AI$22*K89,$AD23*AI$22*K89),0)))</f>
      </c>
      <c r="W89" s="121">
        <f>IF(AND(L89&gt;0,S89&gt;0),IF(ISNUMBER(Q89),Q89*$AD23*AI$22*K89,$AD23*AI$22*K89),0)</f>
      </c>
      <c r="X89" s="17"/>
      <c r="Y89" s="11"/>
      <c r="Z89" s="11"/>
      <c r="AA89" s="118" t="s">
        <v>39</v>
      </c>
      <c r="AB89" s="99"/>
      <c r="AC89" s="99">
        <v>3</v>
      </c>
      <c r="AD89" s="100"/>
      <c r="AE89" s="166"/>
      <c r="AF89" s="8"/>
      <c r="AG89" s="1"/>
      <c r="AH89" s="167" t="s">
        <v>40</v>
      </c>
      <c r="AI89" s="168"/>
      <c r="AJ89" s="168"/>
      <c r="AK89" s="168"/>
      <c r="AL89" s="168"/>
      <c r="AM89" s="169"/>
      <c r="AN89" s="170">
        <f>SUM(AN23:AN88)</f>
      </c>
      <c r="AO89" s="1"/>
      <c r="AP89" s="9"/>
      <c r="AQ89" s="2"/>
      <c r="AR89" s="3"/>
      <c r="AS89" s="10"/>
      <c r="AT89" s="1"/>
      <c r="AU89" s="1"/>
      <c r="AV89" s="1"/>
      <c r="AW89" s="1"/>
      <c r="AX89" s="11"/>
      <c r="AY89" s="1"/>
      <c r="AZ89" s="1"/>
      <c r="BA89" s="1"/>
      <c r="BB89" s="1"/>
      <c r="BC89" s="1"/>
      <c r="BD89" s="1"/>
      <c r="BE89" s="1"/>
      <c r="BF89" s="1"/>
      <c r="BG89" s="1"/>
      <c r="BH89" s="1"/>
    </row>
    <row x14ac:dyDescent="0.25" r="90" customHeight="1" ht="13.5">
      <c r="A90" s="1"/>
      <c r="B90" s="1"/>
      <c r="C90" s="1"/>
      <c r="D90" s="1"/>
      <c r="E90" s="2"/>
      <c r="F90" s="2"/>
      <c r="G90" s="90">
        <f>(S90&amp;RIGHT(R90,1))*1</f>
      </c>
      <c r="H90" s="1"/>
      <c r="I90" s="111"/>
      <c r="J90" s="120">
        <f>Planning!Q24</f>
      </c>
      <c r="K90" s="93">
        <f>VLOOKUP(J90,AA$23:AE$88,5,FALSE)</f>
      </c>
      <c r="L90" s="122">
        <f>Planning!V24</f>
      </c>
      <c r="M90" s="95">
        <f>IF(Planning!AC24=0,0,IFERROR($AD24*AI$22,0))</f>
      </c>
      <c r="N90" s="171">
        <f>IF(Planning!AC24=0,0,IFERROR($AD24*AI$22*K90,0))</f>
      </c>
      <c r="O90" s="96">
        <f>IF(ISTEXT(Planning!V24),0,AI24)</f>
      </c>
      <c r="P90" s="94">
        <f>Planning!AC24</f>
      </c>
      <c r="Q90" s="121">
        <f>Progress!T24</f>
      </c>
      <c r="R90" s="95">
        <f>IF(Q90=0,0,IF(ISNUMBER(Q90),IF(S90&gt;=$G$21,$F$21,"Q7"),Q90))</f>
      </c>
      <c r="S90" s="122">
        <f>Progress!U24</f>
      </c>
      <c r="T90" s="97"/>
      <c r="U90" s="96">
        <f>V90/$N$419</f>
      </c>
      <c r="V90" s="152">
        <f>IF(L90&lt;$E$20,0,IF(ISTEXT(L90),0,IF(AND(G90+1&gt;=$E$19+1,L90&gt;0),IF(ISNUMBER(Q90),Q90*$AD24*AI$22*K90,$AD24*AI$22*K90),0)))</f>
      </c>
      <c r="W90" s="95">
        <f>IF(AND(L90&gt;0,S90&gt;0),IF(ISNUMBER(Q90),Q90*$AD24*AI$22*K90,$AD24*AI$22*K90),0)</f>
      </c>
      <c r="X90" s="17"/>
      <c r="Y90" s="11"/>
      <c r="Z90" s="11"/>
      <c r="AA90" s="98" t="s">
        <v>41</v>
      </c>
      <c r="AB90" s="99">
        <v>1533</v>
      </c>
      <c r="AC90" s="99">
        <v>3</v>
      </c>
      <c r="AD90" s="100"/>
      <c r="AE90" s="172" t="s">
        <v>42</v>
      </c>
      <c r="AF90" s="8"/>
      <c r="AG90" s="1"/>
      <c r="AH90" s="173" t="s">
        <v>43</v>
      </c>
      <c r="AI90" s="174"/>
      <c r="AJ90" s="174"/>
      <c r="AK90" s="174"/>
      <c r="AL90" s="174"/>
      <c r="AM90" s="174"/>
      <c r="AN90" s="175"/>
      <c r="AO90" s="1"/>
      <c r="AP90" s="9"/>
      <c r="AQ90" s="2"/>
      <c r="AR90" s="3"/>
      <c r="AS90" s="10"/>
      <c r="AT90" s="1"/>
      <c r="AU90" s="1"/>
      <c r="AV90" s="1"/>
      <c r="AW90" s="1"/>
      <c r="AX90" s="11"/>
      <c r="AY90" s="1"/>
      <c r="AZ90" s="1"/>
      <c r="BA90" s="1"/>
      <c r="BB90" s="1"/>
      <c r="BC90" s="1"/>
      <c r="BD90" s="1"/>
      <c r="BE90" s="1"/>
      <c r="BF90" s="1"/>
      <c r="BG90" s="1"/>
      <c r="BH90" s="1"/>
    </row>
    <row x14ac:dyDescent="0.25" r="91" customHeight="1" ht="14.5">
      <c r="A91" s="1"/>
      <c r="B91" s="1"/>
      <c r="C91" s="1"/>
      <c r="D91" s="1"/>
      <c r="E91" s="2"/>
      <c r="F91" s="2"/>
      <c r="G91" s="90">
        <f>(S91&amp;RIGHT(R91,1))*1</f>
      </c>
      <c r="H91" s="1"/>
      <c r="I91" s="111"/>
      <c r="J91" s="120">
        <f>Planning!Q25</f>
      </c>
      <c r="K91" s="93">
        <f>VLOOKUP(J91,AA$23:AE$88,5,FALSE)</f>
      </c>
      <c r="L91" s="122">
        <f>Planning!V25</f>
      </c>
      <c r="M91" s="95">
        <f>IF(Planning!AC25=0,0,IFERROR($AD25*AI$22,0))</f>
      </c>
      <c r="N91" s="171">
        <f>IF(Planning!AC25=0,0,IFERROR($AD25*AI$22*K91,0))</f>
      </c>
      <c r="O91" s="96">
        <f>IF(ISTEXT(Planning!V25),0,AI25)</f>
      </c>
      <c r="P91" s="94">
        <f>Planning!AC25</f>
      </c>
      <c r="Q91" s="121">
        <f>Progress!T25</f>
      </c>
      <c r="R91" s="95">
        <f>IF(Q91=0,0,IF(ISNUMBER(Q91),IF(S91&gt;=$G$21,$F$21,"Q8"),Q91))</f>
      </c>
      <c r="S91" s="122">
        <f>Progress!U25</f>
      </c>
      <c r="T91" s="97"/>
      <c r="U91" s="96">
        <f>V91/$N$419</f>
      </c>
      <c r="V91" s="176">
        <f>IF(L91&lt;$E$20,0,IF(ISTEXT(L91),0,IF(AND(G91+1&gt;=$E$19+1,L91&gt;0),IF(ISNUMBER(Q91),Q91*$AD25*AI$22*K91,$AD25*AI$22*K91),0)))</f>
      </c>
      <c r="W91" s="95">
        <f>IF(AND(L91&gt;0,S91&gt;0),IF(ISNUMBER(Q91),Q91*$AD25*AI$22*K91,$AD25*AI$22*K91),0)</f>
      </c>
      <c r="X91" s="17"/>
      <c r="Y91" s="11"/>
      <c r="Z91" s="11"/>
      <c r="AA91" s="98" t="s">
        <v>44</v>
      </c>
      <c r="AB91" s="99">
        <v>1213</v>
      </c>
      <c r="AC91" s="99">
        <v>3</v>
      </c>
      <c r="AD91" s="100"/>
      <c r="AE91" s="177"/>
      <c r="AF91" s="8"/>
      <c r="AG91" s="1"/>
      <c r="AH91" s="178" t="s">
        <v>41</v>
      </c>
      <c r="AI91" s="179" t="s">
        <v>45</v>
      </c>
      <c r="AJ91" s="179" t="s">
        <v>46</v>
      </c>
      <c r="AK91" s="179" t="s">
        <v>47</v>
      </c>
      <c r="AL91" s="179" t="s">
        <v>48</v>
      </c>
      <c r="AM91" s="179" t="s">
        <v>49</v>
      </c>
      <c r="AN91" s="180"/>
      <c r="AO91" s="11"/>
      <c r="AP91" s="181"/>
      <c r="AQ91" s="2"/>
      <c r="AR91" s="3"/>
      <c r="AS91" s="10"/>
      <c r="AT91" s="1"/>
      <c r="AU91" s="1"/>
      <c r="AV91" s="1"/>
      <c r="AW91" s="1"/>
      <c r="AX91" s="11"/>
      <c r="AY91" s="11"/>
      <c r="AZ91" s="1"/>
      <c r="BA91" s="1"/>
      <c r="BB91" s="1"/>
      <c r="BC91" s="1"/>
      <c r="BD91" s="1"/>
      <c r="BE91" s="1"/>
      <c r="BF91" s="1"/>
      <c r="BG91" s="1"/>
      <c r="BH91" s="1"/>
    </row>
    <row x14ac:dyDescent="0.25" r="92" customHeight="1" ht="12.75">
      <c r="A92" s="1"/>
      <c r="B92" s="1"/>
      <c r="C92" s="1"/>
      <c r="D92" s="1"/>
      <c r="E92" s="2"/>
      <c r="F92" s="2"/>
      <c r="G92" s="90">
        <f>(S92&amp;RIGHT(R92,1))*1</f>
      </c>
      <c r="H92" s="1"/>
      <c r="I92" s="111"/>
      <c r="J92" s="120">
        <f>Planning!Q26</f>
      </c>
      <c r="K92" s="93">
        <f>VLOOKUP(J92,AA$23:AE$88,5,FALSE)</f>
      </c>
      <c r="L92" s="122">
        <f>Planning!V26</f>
      </c>
      <c r="M92" s="95">
        <f>IF(Planning!AC26=0,0,IFERROR($AD26*AI$22,0))</f>
      </c>
      <c r="N92" s="171">
        <f>IF(Planning!AC26=0,0,IFERROR($AD26*AI$22*K92,0))</f>
      </c>
      <c r="O92" s="96">
        <f>IF(ISTEXT(Planning!V26),0,AI26)</f>
      </c>
      <c r="P92" s="94">
        <f>Planning!AC26</f>
      </c>
      <c r="Q92" s="121">
        <f>Progress!T26</f>
      </c>
      <c r="R92" s="95">
        <f>IF(Q92=0,0,IF(ISNUMBER(Q92),IF(S92&gt;=$G$21,$F$21,"Q9"),Q92))</f>
      </c>
      <c r="S92" s="122">
        <f>Progress!U26</f>
      </c>
      <c r="T92" s="97"/>
      <c r="U92" s="96">
        <f>V92/$N$419</f>
      </c>
      <c r="V92" s="176">
        <f>IF(L92&lt;$E$20,0,IF(ISTEXT(L92),0,IF(AND(G92+1&gt;=$E$19+1,L92&gt;0),IF(ISNUMBER(Q92),Q92*$AD26*AI$22*K92,$AD26*AI$22*K92),0)))</f>
      </c>
      <c r="W92" s="95">
        <f>IF(AND(L92&gt;0,S92&gt;0),IF(ISNUMBER(Q92),Q92*$AD26*AI$22*K92,$AD26*AI$22*K92),0)</f>
      </c>
      <c r="X92" s="17"/>
      <c r="Y92" s="11"/>
      <c r="Z92" s="11"/>
      <c r="AA92" s="98" t="s">
        <v>50</v>
      </c>
      <c r="AB92" s="99">
        <v>859</v>
      </c>
      <c r="AC92" s="99">
        <v>4</v>
      </c>
      <c r="AD92" s="100"/>
      <c r="AE92" s="177"/>
      <c r="AF92" s="8"/>
      <c r="AG92" s="1"/>
      <c r="AH92" s="178" t="s">
        <v>51</v>
      </c>
      <c r="AI92" s="179" t="s">
        <v>52</v>
      </c>
      <c r="AJ92" s="179" t="s">
        <v>53</v>
      </c>
      <c r="AK92" s="179" t="s">
        <v>41</v>
      </c>
      <c r="AL92" s="179" t="s">
        <v>54</v>
      </c>
      <c r="AM92" s="179" t="s">
        <v>55</v>
      </c>
      <c r="AN92" s="180"/>
      <c r="AO92" s="11"/>
      <c r="AP92" s="181"/>
      <c r="AQ92" s="2"/>
      <c r="AR92" s="3"/>
      <c r="AS92" s="10"/>
      <c r="AT92" s="1"/>
      <c r="AU92" s="1"/>
      <c r="AV92" s="1"/>
      <c r="AW92" s="1"/>
      <c r="AX92" s="11"/>
      <c r="AY92" s="11"/>
      <c r="AZ92" s="1"/>
      <c r="BA92" s="1"/>
      <c r="BB92" s="1"/>
      <c r="BC92" s="1"/>
      <c r="BD92" s="1"/>
      <c r="BE92" s="1"/>
      <c r="BF92" s="1"/>
      <c r="BG92" s="1"/>
      <c r="BH92" s="1"/>
    </row>
    <row x14ac:dyDescent="0.25" r="93" customHeight="1" ht="14.5">
      <c r="A93" s="1"/>
      <c r="B93" s="1"/>
      <c r="C93" s="1"/>
      <c r="D93" s="1"/>
      <c r="E93" s="2"/>
      <c r="F93" s="2"/>
      <c r="G93" s="90">
        <f>(S93&amp;RIGHT(R93,1))*1</f>
      </c>
      <c r="H93" s="1"/>
      <c r="I93" s="111"/>
      <c r="J93" s="120">
        <f>Planning!Q27</f>
      </c>
      <c r="K93" s="93">
        <f>VLOOKUP(J93,AA$23:AE$88,5,FALSE)</f>
      </c>
      <c r="L93" s="122">
        <f>Planning!V27</f>
      </c>
      <c r="M93" s="95">
        <f>IF(Planning!AC27=0,0,IFERROR($AD27*AI$22,0))</f>
      </c>
      <c r="N93" s="171">
        <f>IF(Planning!AC27=0,0,IFERROR($AD27*AI$22*K93,0))</f>
      </c>
      <c r="O93" s="96">
        <f>IF(ISTEXT(Planning!V27),0,AI27)</f>
      </c>
      <c r="P93" s="94">
        <f>Planning!AC27</f>
      </c>
      <c r="Q93" s="121">
        <f>Progress!T27</f>
      </c>
      <c r="R93" s="95">
        <f>IF(Q93=0,0,IF(ISNUMBER(Q93),IF(S93&gt;=$G$21,$F$21,"Q10"),Q93))</f>
      </c>
      <c r="S93" s="122">
        <f>Progress!U27</f>
      </c>
      <c r="T93" s="97"/>
      <c r="U93" s="96">
        <f>V93/$N$419</f>
      </c>
      <c r="V93" s="176">
        <f>IF(L93&lt;$E$20,0,IF(ISTEXT(L93),0,IF(AND(G93+1&gt;=$E$19+1,L93&gt;0),IF(ISNUMBER(Q93),Q93*$AD27*AI$22*K93,$AD27*AI$22*K93),0)))</f>
      </c>
      <c r="W93" s="95">
        <f>IF(AND(L93&gt;0,S93&gt;0),IF(ISNUMBER(Q93),Q93*$AD27*AI$22*K93,$AD27*AI$22*K93),0)</f>
      </c>
      <c r="X93" s="17"/>
      <c r="Y93" s="11"/>
      <c r="Z93" s="11"/>
      <c r="AA93" s="98" t="s">
        <v>56</v>
      </c>
      <c r="AB93" s="99">
        <v>1288</v>
      </c>
      <c r="AC93" s="99">
        <v>3</v>
      </c>
      <c r="AD93" s="100"/>
      <c r="AE93" s="177"/>
      <c r="AF93" s="8"/>
      <c r="AG93" s="1"/>
      <c r="AH93" s="178" t="s">
        <v>57</v>
      </c>
      <c r="AI93" s="179" t="s">
        <v>58</v>
      </c>
      <c r="AJ93" s="179" t="s">
        <v>59</v>
      </c>
      <c r="AK93" s="179" t="s">
        <v>44</v>
      </c>
      <c r="AL93" s="179" t="s">
        <v>60</v>
      </c>
      <c r="AM93" s="179" t="s">
        <v>61</v>
      </c>
      <c r="AN93" s="180"/>
      <c r="AO93" s="11"/>
      <c r="AP93" s="181"/>
      <c r="AQ93" s="2"/>
      <c r="AR93" s="3"/>
      <c r="AS93" s="10"/>
      <c r="AT93" s="1"/>
      <c r="AU93" s="1"/>
      <c r="AV93" s="1"/>
      <c r="AW93" s="1"/>
      <c r="AX93" s="11"/>
      <c r="AY93" s="11"/>
      <c r="AZ93" s="1"/>
      <c r="BA93" s="1"/>
      <c r="BB93" s="1"/>
      <c r="BC93" s="1"/>
      <c r="BD93" s="1"/>
      <c r="BE93" s="1"/>
      <c r="BF93" s="1"/>
      <c r="BG93" s="1"/>
      <c r="BH93" s="1"/>
    </row>
    <row x14ac:dyDescent="0.25" r="94" customHeight="1" ht="14.5">
      <c r="A94" s="1"/>
      <c r="B94" s="1"/>
      <c r="C94" s="1"/>
      <c r="D94" s="1"/>
      <c r="E94" s="2"/>
      <c r="F94" s="2"/>
      <c r="G94" s="90">
        <f>(S94&amp;RIGHT(R94,1))*1</f>
      </c>
      <c r="H94" s="1"/>
      <c r="I94" s="111"/>
      <c r="J94" s="126">
        <f>Planning!Q28</f>
      </c>
      <c r="K94" s="93">
        <f>VLOOKUP(J94,AA$23:AE$88,5,FALSE)</f>
      </c>
      <c r="L94" s="122">
        <f>Planning!V28</f>
      </c>
      <c r="M94" s="95">
        <f>IF(Planning!AC28=0,0,IFERROR($AD28*AI$22,0))</f>
      </c>
      <c r="N94" s="171">
        <f>IF(Planning!AC28=0,0,IFERROR($AD28*AI$22*K94,0))</f>
      </c>
      <c r="O94" s="96">
        <f>IF(ISTEXT(Planning!V28),0,AI28)</f>
      </c>
      <c r="P94" s="94">
        <f>Planning!AC28</f>
      </c>
      <c r="Q94" s="121">
        <f>Progress!T28</f>
      </c>
      <c r="R94" s="95">
        <f>IF(Q94=0,0,IF(ISNUMBER(Q94),IF(S94&gt;=$G$21,$F$21,"Q11"),Q94))</f>
      </c>
      <c r="S94" s="122">
        <f>Progress!U28</f>
      </c>
      <c r="T94" s="97"/>
      <c r="U94" s="96">
        <f>V94/$N$419</f>
      </c>
      <c r="V94" s="176">
        <f>IF(L94&lt;$E$20,0,IF(ISTEXT(L94),0,IF(AND(G94+1&gt;=$E$19+1,L94&gt;0),IF(ISNUMBER(Q94),Q94*$AD28*AI$22*K94,$AD28*AI$22*K94),0)))</f>
      </c>
      <c r="W94" s="95">
        <f>IF(AND(L94&gt;0,S94&gt;0),IF(ISNUMBER(Q94),Q94*$AD28*AI$22*K94,$AD28*AI$22*K94),0)</f>
      </c>
      <c r="X94" s="17"/>
      <c r="Y94" s="11"/>
      <c r="Z94" s="11"/>
      <c r="AA94" s="98" t="s">
        <v>62</v>
      </c>
      <c r="AB94" s="99">
        <v>959</v>
      </c>
      <c r="AC94" s="99">
        <v>3</v>
      </c>
      <c r="AD94" s="100"/>
      <c r="AE94" s="177"/>
      <c r="AF94" s="8"/>
      <c r="AG94" s="1"/>
      <c r="AH94" s="178" t="s">
        <v>63</v>
      </c>
      <c r="AI94" s="179" t="s">
        <v>64</v>
      </c>
      <c r="AJ94" s="179" t="s">
        <v>45</v>
      </c>
      <c r="AK94" s="179" t="s">
        <v>50</v>
      </c>
      <c r="AL94" s="179" t="s">
        <v>65</v>
      </c>
      <c r="AM94" s="179" t="s">
        <v>66</v>
      </c>
      <c r="AN94" s="180"/>
      <c r="AO94" s="11"/>
      <c r="AP94" s="181"/>
      <c r="AQ94" s="2"/>
      <c r="AR94" s="3"/>
      <c r="AS94" s="10"/>
      <c r="AT94" s="1"/>
      <c r="AU94" s="1"/>
      <c r="AV94" s="1"/>
      <c r="AW94" s="1"/>
      <c r="AX94" s="11"/>
      <c r="AY94" s="11"/>
      <c r="AZ94" s="1"/>
      <c r="BA94" s="1"/>
      <c r="BB94" s="1"/>
      <c r="BC94" s="1"/>
      <c r="BD94" s="1"/>
      <c r="BE94" s="1"/>
      <c r="BF94" s="1"/>
      <c r="BG94" s="1"/>
      <c r="BH94" s="1"/>
    </row>
    <row x14ac:dyDescent="0.25" r="95" customHeight="1" ht="14.5">
      <c r="A95" s="1"/>
      <c r="B95" s="1"/>
      <c r="C95" s="1"/>
      <c r="D95" s="1"/>
      <c r="E95" s="2"/>
      <c r="F95" s="2"/>
      <c r="G95" s="90">
        <f>(S95&amp;RIGHT(R95,1))*1</f>
      </c>
      <c r="H95" s="1"/>
      <c r="I95" s="111"/>
      <c r="J95" s="126">
        <f>Planning!Q29</f>
      </c>
      <c r="K95" s="93">
        <f>VLOOKUP(J95,AA$23:AE$88,5,FALSE)</f>
      </c>
      <c r="L95" s="122">
        <f>Planning!V29</f>
      </c>
      <c r="M95" s="95">
        <f>IF(Planning!AC29=0,0,IFERROR($AD29*AI$22,0))</f>
      </c>
      <c r="N95" s="171">
        <f>IF(Planning!AC29=0,0,IFERROR($AD29*AI$22*K95,0))</f>
      </c>
      <c r="O95" s="96">
        <f>IF(ISTEXT(Planning!V29),0,AI29)</f>
      </c>
      <c r="P95" s="94">
        <f>Planning!AC29</f>
      </c>
      <c r="Q95" s="121">
        <f>Progress!T29</f>
      </c>
      <c r="R95" s="95">
        <f>IF(Q95=0,0,IF(ISNUMBER(Q95),IF(S95&gt;=$G$21,$F$21,"Q12"),Q95))</f>
      </c>
      <c r="S95" s="122">
        <f>Progress!U29</f>
      </c>
      <c r="T95" s="97"/>
      <c r="U95" s="96">
        <f>V95/$N$419</f>
      </c>
      <c r="V95" s="176">
        <f>IF(L95&lt;$E$20,0,IF(ISTEXT(L95),0,IF(AND(G95+1&gt;=$E$19+1,L95&gt;0),IF(ISNUMBER(Q95),Q95*$AD29*AI$22*K95,$AD29*AI$22*K95),0)))</f>
      </c>
      <c r="W95" s="95">
        <f>IF(AND(L95&gt;0,S95&gt;0),IF(ISNUMBER(Q95),Q95*$AD29*AI$22*K95,$AD29*AI$22*K95),0)</f>
      </c>
      <c r="X95" s="17"/>
      <c r="Y95" s="11"/>
      <c r="Z95" s="11"/>
      <c r="AA95" s="98" t="s">
        <v>67</v>
      </c>
      <c r="AB95" s="99">
        <v>658</v>
      </c>
      <c r="AC95" s="99">
        <v>2</v>
      </c>
      <c r="AD95" s="100"/>
      <c r="AE95" s="177"/>
      <c r="AF95" s="8"/>
      <c r="AG95" s="1"/>
      <c r="AH95" s="178" t="s">
        <v>68</v>
      </c>
      <c r="AI95" s="179" t="s">
        <v>69</v>
      </c>
      <c r="AJ95" s="179" t="s">
        <v>70</v>
      </c>
      <c r="AK95" s="179" t="s">
        <v>56</v>
      </c>
      <c r="AL95" s="179" t="s">
        <v>71</v>
      </c>
      <c r="AM95" s="179" t="s">
        <v>72</v>
      </c>
      <c r="AN95" s="180"/>
      <c r="AO95" s="11"/>
      <c r="AP95" s="181"/>
      <c r="AQ95" s="2"/>
      <c r="AR95" s="3"/>
      <c r="AS95" s="10"/>
      <c r="AT95" s="1"/>
      <c r="AU95" s="1"/>
      <c r="AV95" s="1"/>
      <c r="AW95" s="1"/>
      <c r="AX95" s="11"/>
      <c r="AY95" s="11"/>
      <c r="AZ95" s="1"/>
      <c r="BA95" s="1"/>
      <c r="BB95" s="1"/>
      <c r="BC95" s="1"/>
      <c r="BD95" s="1"/>
      <c r="BE95" s="1"/>
      <c r="BF95" s="1"/>
      <c r="BG95" s="1"/>
      <c r="BH95" s="1"/>
    </row>
    <row x14ac:dyDescent="0.25" r="96" customHeight="1" ht="14.5">
      <c r="A96" s="1"/>
      <c r="B96" s="1"/>
      <c r="C96" s="1"/>
      <c r="D96" s="1"/>
      <c r="E96" s="2"/>
      <c r="F96" s="2"/>
      <c r="G96" s="90">
        <f>(S96&amp;RIGHT(R96,1))*1</f>
      </c>
      <c r="H96" s="1"/>
      <c r="I96" s="111"/>
      <c r="J96" s="126">
        <f>Planning!Q30</f>
      </c>
      <c r="K96" s="93">
        <f>VLOOKUP(J96,AA$23:AE$88,5,FALSE)</f>
      </c>
      <c r="L96" s="122">
        <f>Planning!V30</f>
      </c>
      <c r="M96" s="95">
        <f>IF(Planning!AC30=0,0,IFERROR($AD30*AI$22,0))</f>
      </c>
      <c r="N96" s="171">
        <f>IF(Planning!AC30=0,0,IFERROR($AD30*AI$22*K96,0))</f>
      </c>
      <c r="O96" s="96">
        <f>IF(ISTEXT(Planning!V30),0,AI30)</f>
      </c>
      <c r="P96" s="94">
        <f>Planning!AC30</f>
      </c>
      <c r="Q96" s="121">
        <f>Progress!T30</f>
      </c>
      <c r="R96" s="95">
        <f>IF(Q96=0,0,IF(ISNUMBER(Q96),IF(S96&gt;=$G$21,$F$21,"Q13"),Q96))</f>
      </c>
      <c r="S96" s="122">
        <f>Progress!U30</f>
      </c>
      <c r="T96" s="97"/>
      <c r="U96" s="96">
        <f>V96/$N$419</f>
      </c>
      <c r="V96" s="176">
        <f>IF(L96&lt;$E$20,0,IF(ISTEXT(L96),0,IF(AND(G96+1&gt;=$E$19+1,L96&gt;0),IF(ISNUMBER(Q96),Q96*$AD30*AI$22*K96,$AD30*AI$22*K96),0)))</f>
      </c>
      <c r="W96" s="95">
        <f>IF(AND(L96&gt;0,S96&gt;0),IF(ISNUMBER(Q96),Q96*$AD30*AI$22*K96,$AD30*AI$22*K96),0)</f>
      </c>
      <c r="X96" s="17"/>
      <c r="Y96" s="11"/>
      <c r="Z96" s="11"/>
      <c r="AA96" s="98" t="s">
        <v>73</v>
      </c>
      <c r="AB96" s="99">
        <v>618</v>
      </c>
      <c r="AC96" s="99">
        <v>2</v>
      </c>
      <c r="AD96" s="100"/>
      <c r="AE96" s="177"/>
      <c r="AF96" s="8"/>
      <c r="AG96" s="1"/>
      <c r="AH96" s="178" t="s">
        <v>74</v>
      </c>
      <c r="AI96" s="179" t="s">
        <v>75</v>
      </c>
      <c r="AJ96" s="179" t="s">
        <v>76</v>
      </c>
      <c r="AK96" s="179" t="s">
        <v>62</v>
      </c>
      <c r="AL96" s="179" t="s">
        <v>77</v>
      </c>
      <c r="AM96" s="179" t="s">
        <v>78</v>
      </c>
      <c r="AN96" s="180"/>
      <c r="AO96" s="11"/>
      <c r="AP96" s="181"/>
      <c r="AQ96" s="2"/>
      <c r="AR96" s="3"/>
      <c r="AS96" s="10"/>
      <c r="AT96" s="1"/>
      <c r="AU96" s="1"/>
      <c r="AV96" s="1"/>
      <c r="AW96" s="1"/>
      <c r="AX96" s="11"/>
      <c r="AY96" s="11"/>
      <c r="AZ96" s="1"/>
      <c r="BA96" s="1"/>
      <c r="BB96" s="1"/>
      <c r="BC96" s="1"/>
      <c r="BD96" s="1"/>
      <c r="BE96" s="1"/>
      <c r="BF96" s="1"/>
      <c r="BG96" s="1"/>
      <c r="BH96" s="1"/>
    </row>
    <row x14ac:dyDescent="0.25" r="97" customHeight="1" ht="14.5">
      <c r="A97" s="1"/>
      <c r="B97" s="1"/>
      <c r="C97" s="1"/>
      <c r="D97" s="1"/>
      <c r="E97" s="2"/>
      <c r="F97" s="2"/>
      <c r="G97" s="90">
        <f>(S97&amp;RIGHT(R97,1))*1</f>
      </c>
      <c r="H97" s="1"/>
      <c r="I97" s="111"/>
      <c r="J97" s="126">
        <f>Planning!Q31</f>
      </c>
      <c r="K97" s="93">
        <f>VLOOKUP(J97,AA$23:AE$88,5,FALSE)</f>
      </c>
      <c r="L97" s="122">
        <f>Planning!V31</f>
      </c>
      <c r="M97" s="95">
        <f>IF(Planning!AC31=0,0,IFERROR($AD31*AI$22,0))</f>
      </c>
      <c r="N97" s="171">
        <f>IF(Planning!AC31=0,0,IFERROR($AD31*AI$22*K97,0))</f>
      </c>
      <c r="O97" s="96">
        <f>IF(ISTEXT(Planning!V31),0,AI31)</f>
      </c>
      <c r="P97" s="94">
        <f>Planning!AC31</f>
      </c>
      <c r="Q97" s="121">
        <f>Progress!T31</f>
      </c>
      <c r="R97" s="95">
        <f>IF(Q97=0,0,IF(ISNUMBER(Q97),IF(S97&gt;=$G$21,$F$21,"Q14"),Q97))</f>
      </c>
      <c r="S97" s="122">
        <f>Progress!U31</f>
      </c>
      <c r="T97" s="97"/>
      <c r="U97" s="96">
        <f>V97/$N$419</f>
      </c>
      <c r="V97" s="176">
        <f>IF(L97&lt;$E$20,0,IF(ISTEXT(L97),0,IF(AND(G97+1&gt;=$E$19+1,L97&gt;0),IF(ISNUMBER(Q97),Q97*$AD31*AI$22*K97,$AD31*AI$22*K97),0)))</f>
      </c>
      <c r="W97" s="95">
        <f>IF(AND(L97&gt;0,S97&gt;0),IF(ISNUMBER(Q97),Q97*$AD31*AI$22*K97,$AD31*AI$22*K97),0)</f>
      </c>
      <c r="X97" s="17"/>
      <c r="Y97" s="11"/>
      <c r="Z97" s="11"/>
      <c r="AA97" s="98" t="s">
        <v>79</v>
      </c>
      <c r="AB97" s="99">
        <v>85</v>
      </c>
      <c r="AC97" s="99">
        <v>2</v>
      </c>
      <c r="AD97" s="100"/>
      <c r="AE97" s="177"/>
      <c r="AF97" s="8"/>
      <c r="AG97" s="1"/>
      <c r="AH97" s="178"/>
      <c r="AI97" s="179" t="s">
        <v>80</v>
      </c>
      <c r="AJ97" s="179" t="s">
        <v>81</v>
      </c>
      <c r="AK97" s="179" t="s">
        <v>67</v>
      </c>
      <c r="AL97" s="179" t="s">
        <v>82</v>
      </c>
      <c r="AM97" s="179" t="s">
        <v>83</v>
      </c>
      <c r="AN97" s="180"/>
      <c r="AO97" s="11"/>
      <c r="AP97" s="181"/>
      <c r="AQ97" s="2"/>
      <c r="AR97" s="3"/>
      <c r="AS97" s="10"/>
      <c r="AT97" s="1"/>
      <c r="AU97" s="1"/>
      <c r="AV97" s="1"/>
      <c r="AW97" s="1"/>
      <c r="AX97" s="11"/>
      <c r="AY97" s="11"/>
      <c r="AZ97" s="1"/>
      <c r="BA97" s="1"/>
      <c r="BB97" s="1"/>
      <c r="BC97" s="1"/>
      <c r="BD97" s="1"/>
      <c r="BE97" s="1"/>
      <c r="BF97" s="1"/>
      <c r="BG97" s="1"/>
      <c r="BH97" s="1"/>
    </row>
    <row x14ac:dyDescent="0.25" r="98" customHeight="1" ht="14.5">
      <c r="A98" s="1"/>
      <c r="B98" s="1"/>
      <c r="C98" s="1"/>
      <c r="D98" s="1"/>
      <c r="E98" s="2"/>
      <c r="F98" s="2"/>
      <c r="G98" s="90">
        <f>(S98&amp;RIGHT(R98,1))*1</f>
      </c>
      <c r="H98" s="1"/>
      <c r="I98" s="111"/>
      <c r="J98" s="126">
        <f>Planning!Q32</f>
      </c>
      <c r="K98" s="93">
        <f>VLOOKUP(J98,AA$23:AE$88,5,FALSE)</f>
      </c>
      <c r="L98" s="122">
        <f>Planning!V32</f>
      </c>
      <c r="M98" s="95">
        <f>IF(Planning!AC32=0,0,IFERROR($AD32*AI$22,0))</f>
      </c>
      <c r="N98" s="171">
        <f>IF(Planning!AC32=0,0,IFERROR($AD32*AI$22*K98,0))</f>
      </c>
      <c r="O98" s="96">
        <f>IF(ISTEXT(Planning!V32),0,AI32)</f>
      </c>
      <c r="P98" s="94">
        <f>Planning!AC32</f>
      </c>
      <c r="Q98" s="121">
        <f>Progress!T32</f>
      </c>
      <c r="R98" s="95">
        <f>IF(Q98=0,0,IF(ISNUMBER(Q98),IF(S98&gt;=$G$21,$F$21,"Q15"),Q98))</f>
      </c>
      <c r="S98" s="122">
        <f>Progress!U32</f>
      </c>
      <c r="T98" s="97"/>
      <c r="U98" s="96">
        <f>V98/$N$419</f>
      </c>
      <c r="V98" s="176">
        <f>IF(L98&lt;$E$20,0,IF(ISTEXT(L98),0,IF(AND(G98+1&gt;=$E$19+1,L98&gt;0),IF(ISNUMBER(Q98),Q98*$AD32*AI$22*K98,$AD32*AI$22*K98),0)))</f>
      </c>
      <c r="W98" s="95">
        <f>IF(AND(L98&gt;0,S98&gt;0),IF(ISNUMBER(Q98),Q98*$AD32*AI$22*K98,$AD32*AI$22*K98),0)</f>
      </c>
      <c r="X98" s="17"/>
      <c r="Y98" s="11"/>
      <c r="Z98" s="11"/>
      <c r="AA98" s="98" t="s">
        <v>84</v>
      </c>
      <c r="AB98" s="99">
        <v>810</v>
      </c>
      <c r="AC98" s="99">
        <v>2</v>
      </c>
      <c r="AD98" s="100"/>
      <c r="AE98" s="177"/>
      <c r="AF98" s="8"/>
      <c r="AG98" s="1"/>
      <c r="AH98" s="178"/>
      <c r="AI98" s="179" t="s">
        <v>85</v>
      </c>
      <c r="AJ98" s="179" t="s">
        <v>86</v>
      </c>
      <c r="AK98" s="179" t="s">
        <v>73</v>
      </c>
      <c r="AL98" s="179" t="s">
        <v>87</v>
      </c>
      <c r="AM98" s="179" t="s">
        <v>88</v>
      </c>
      <c r="AN98" s="180"/>
      <c r="AO98" s="11"/>
      <c r="AP98" s="181"/>
      <c r="AQ98" s="2"/>
      <c r="AR98" s="3"/>
      <c r="AS98" s="10"/>
      <c r="AT98" s="1"/>
      <c r="AU98" s="1"/>
      <c r="AV98" s="1"/>
      <c r="AW98" s="1"/>
      <c r="AX98" s="11"/>
      <c r="AY98" s="11"/>
      <c r="AZ98" s="1"/>
      <c r="BA98" s="1"/>
      <c r="BB98" s="1"/>
      <c r="BC98" s="1"/>
      <c r="BD98" s="1"/>
      <c r="BE98" s="1"/>
      <c r="BF98" s="1"/>
      <c r="BG98" s="1"/>
      <c r="BH98" s="1"/>
    </row>
    <row x14ac:dyDescent="0.25" r="99" customHeight="1" ht="14.5">
      <c r="A99" s="1"/>
      <c r="B99" s="1"/>
      <c r="C99" s="1"/>
      <c r="D99" s="1"/>
      <c r="E99" s="2"/>
      <c r="F99" s="2"/>
      <c r="G99" s="90">
        <f>(S99&amp;RIGHT(R99,1))*1</f>
      </c>
      <c r="H99" s="1"/>
      <c r="I99" s="111"/>
      <c r="J99" s="126">
        <f>Planning!Q33</f>
      </c>
      <c r="K99" s="93">
        <f>VLOOKUP(J99,AA$23:AE$88,5,FALSE)</f>
      </c>
      <c r="L99" s="122">
        <f>Planning!V33</f>
      </c>
      <c r="M99" s="95">
        <f>IF(Planning!AC33=0,0,IFERROR($AD33*AI$22,0))</f>
      </c>
      <c r="N99" s="171">
        <f>IF(Planning!AC33=0,0,IFERROR($AD33*AI$22*K99,0))</f>
      </c>
      <c r="O99" s="96">
        <f>IF(ISTEXT(Planning!V33),0,AI33)</f>
      </c>
      <c r="P99" s="94">
        <f>Planning!AC33</f>
      </c>
      <c r="Q99" s="121">
        <f>Progress!T33</f>
      </c>
      <c r="R99" s="95">
        <f>IF(Q99=0,0,IF(ISNUMBER(Q99),IF(S99&gt;=$G$21,$F$21,"Q16"),Q99))</f>
      </c>
      <c r="S99" s="122">
        <f>Progress!U33</f>
      </c>
      <c r="T99" s="97"/>
      <c r="U99" s="96">
        <f>V99/$N$419</f>
      </c>
      <c r="V99" s="176">
        <f>IF(L99&lt;$E$20,0,IF(ISTEXT(L99),0,IF(AND(G99+1&gt;=$E$19+1,L99&gt;0),IF(ISNUMBER(Q99),Q99*$AD33*AI$22*K99,$AD33*AI$22*K99),0)))</f>
      </c>
      <c r="W99" s="95">
        <f>IF(AND(L99&gt;0,S99&gt;0),IF(ISNUMBER(Q99),Q99*$AD33*AI$22*K99,$AD33*AI$22*K99),0)</f>
      </c>
      <c r="X99" s="17"/>
      <c r="Y99" s="11"/>
      <c r="Z99" s="11"/>
      <c r="AA99" s="98" t="s">
        <v>89</v>
      </c>
      <c r="AB99" s="99">
        <v>695</v>
      </c>
      <c r="AC99" s="99">
        <v>2</v>
      </c>
      <c r="AD99" s="100"/>
      <c r="AE99" s="177"/>
      <c r="AF99" s="8"/>
      <c r="AG99" s="1"/>
      <c r="AH99" s="178"/>
      <c r="AI99" s="179" t="s">
        <v>90</v>
      </c>
      <c r="AJ99" s="179" t="s">
        <v>91</v>
      </c>
      <c r="AK99" s="179" t="s">
        <v>79</v>
      </c>
      <c r="AL99" s="179"/>
      <c r="AM99" s="179" t="s">
        <v>92</v>
      </c>
      <c r="AN99" s="180"/>
      <c r="AO99" s="11"/>
      <c r="AP99" s="181"/>
      <c r="AQ99" s="2"/>
      <c r="AR99" s="3"/>
      <c r="AS99" s="10"/>
      <c r="AT99" s="1"/>
      <c r="AU99" s="11"/>
      <c r="AV99" s="1"/>
      <c r="AW99" s="1"/>
      <c r="AX99" s="11"/>
      <c r="AY99" s="11"/>
      <c r="AZ99" s="1"/>
      <c r="BA99" s="1"/>
      <c r="BB99" s="1"/>
      <c r="BC99" s="1"/>
      <c r="BD99" s="1"/>
      <c r="BE99" s="1"/>
      <c r="BF99" s="1"/>
      <c r="BG99" s="1"/>
      <c r="BH99" s="1"/>
    </row>
    <row x14ac:dyDescent="0.25" r="100" customHeight="1" ht="14.5">
      <c r="A100" s="1"/>
      <c r="B100" s="1"/>
      <c r="C100" s="1"/>
      <c r="D100" s="1"/>
      <c r="E100" s="2"/>
      <c r="F100" s="2"/>
      <c r="G100" s="90">
        <f>(S100&amp;RIGHT(R100,1))*1</f>
      </c>
      <c r="H100" s="1"/>
      <c r="I100" s="111"/>
      <c r="J100" s="126">
        <f>Planning!Q34</f>
      </c>
      <c r="K100" s="93">
        <f>VLOOKUP(J100,AA$23:AE$88,5,FALSE)</f>
      </c>
      <c r="L100" s="122">
        <f>Planning!V34</f>
      </c>
      <c r="M100" s="95">
        <f>IF(Planning!AC34=0,0,IFERROR($AD34*AI$22,0))</f>
      </c>
      <c r="N100" s="171">
        <f>IF(Planning!AC34=0,0,IFERROR($AD34*AI$22*K100,0))</f>
      </c>
      <c r="O100" s="96">
        <f>IF(ISTEXT(Planning!V34),0,AI34)</f>
      </c>
      <c r="P100" s="94">
        <f>Planning!AC34</f>
      </c>
      <c r="Q100" s="121">
        <f>Progress!T34</f>
      </c>
      <c r="R100" s="95">
        <f>IF(Q100=0,0,IF(ISNUMBER(Q100),IF(S100&gt;=$G$21,$F$21,"Q17"),Q100))</f>
      </c>
      <c r="S100" s="122">
        <f>Progress!U34</f>
      </c>
      <c r="T100" s="97"/>
      <c r="U100" s="96">
        <f>V100/$N$419</f>
      </c>
      <c r="V100" s="176">
        <f>IF(L100&lt;$E$20,0,IF(ISTEXT(L100),0,IF(AND(G100+1&gt;=$E$19+1,L100&gt;0),IF(ISNUMBER(Q100),Q100*$AD34*AI$22*K100,$AD34*AI$22*K100),0)))</f>
      </c>
      <c r="W100" s="95">
        <f>IF(AND(L100&gt;0,S100&gt;0),IF(ISNUMBER(Q100),Q100*$AD34*AI$22*K100,$AD34*AI$22*K100),0)</f>
      </c>
      <c r="X100" s="17"/>
      <c r="Y100" s="11"/>
      <c r="Z100" s="11"/>
      <c r="AA100" s="98" t="s">
        <v>93</v>
      </c>
      <c r="AB100" s="99">
        <v>816</v>
      </c>
      <c r="AC100" s="99">
        <v>2</v>
      </c>
      <c r="AD100" s="100"/>
      <c r="AE100" s="177"/>
      <c r="AF100" s="8"/>
      <c r="AG100" s="1"/>
      <c r="AH100" s="178"/>
      <c r="AI100" s="179" t="s">
        <v>94</v>
      </c>
      <c r="AJ100" s="179" t="s">
        <v>95</v>
      </c>
      <c r="AK100" s="179" t="s">
        <v>84</v>
      </c>
      <c r="AL100" s="179"/>
      <c r="AM100" s="179" t="s">
        <v>96</v>
      </c>
      <c r="AN100" s="180"/>
      <c r="AO100" s="11"/>
      <c r="AP100" s="181"/>
      <c r="AQ100" s="2"/>
      <c r="AR100" s="3"/>
      <c r="AS100" s="10"/>
      <c r="AT100" s="1"/>
      <c r="AU100" s="1"/>
      <c r="AV100" s="1"/>
      <c r="AW100" s="1"/>
      <c r="AX100" s="11"/>
      <c r="AY100" s="11"/>
      <c r="AZ100" s="1"/>
      <c r="BA100" s="1"/>
      <c r="BB100" s="1"/>
      <c r="BC100" s="1"/>
      <c r="BD100" s="1"/>
      <c r="BE100" s="1"/>
      <c r="BF100" s="1"/>
      <c r="BG100" s="1"/>
      <c r="BH100" s="1"/>
    </row>
    <row x14ac:dyDescent="0.25" r="101" customHeight="1" ht="14.5">
      <c r="A101" s="1"/>
      <c r="B101" s="1"/>
      <c r="C101" s="1"/>
      <c r="D101" s="1"/>
      <c r="E101" s="2"/>
      <c r="F101" s="2"/>
      <c r="G101" s="90">
        <f>(S101&amp;RIGHT(R101,1))*1</f>
      </c>
      <c r="H101" s="1"/>
      <c r="I101" s="111"/>
      <c r="J101" s="126">
        <f>Planning!Q35</f>
      </c>
      <c r="K101" s="93">
        <f>VLOOKUP(J101,AA$23:AE$88,5,FALSE)</f>
      </c>
      <c r="L101" s="122">
        <f>Planning!V35</f>
      </c>
      <c r="M101" s="95">
        <f>IF(Planning!AC35=0,0,IFERROR($AD35*AI$22,0))</f>
      </c>
      <c r="N101" s="171">
        <f>IF(Planning!AC35=0,0,IFERROR($AD35*AI$22*K101,0))</f>
      </c>
      <c r="O101" s="96">
        <f>IF(ISTEXT(Planning!V35),0,AI35)</f>
      </c>
      <c r="P101" s="94">
        <f>Planning!AC35</f>
      </c>
      <c r="Q101" s="121">
        <f>Progress!T35</f>
      </c>
      <c r="R101" s="95">
        <f>IF(Q101=0,0,IF(ISNUMBER(Q101),IF(S101&gt;=$G$21,$F$21,"Q18"),Q101))</f>
      </c>
      <c r="S101" s="122">
        <f>Progress!U35</f>
      </c>
      <c r="T101" s="97"/>
      <c r="U101" s="96">
        <f>V101/$N$419</f>
      </c>
      <c r="V101" s="176">
        <f>IF(L101&lt;$E$20,0,IF(ISTEXT(L101),0,IF(AND(G101+1&gt;=$E$19+1,L101&gt;0),IF(ISNUMBER(Q101),Q101*$AD35*AI$22*K101,$AD35*AI$22*K101),0)))</f>
      </c>
      <c r="W101" s="95">
        <f>IF(AND(L101&gt;0,S101&gt;0),IF(ISNUMBER(Q101),Q101*$AD35*AI$22*K101,$AD35*AI$22*K101),0)</f>
      </c>
      <c r="X101" s="17"/>
      <c r="Y101" s="11"/>
      <c r="Z101" s="11"/>
      <c r="AA101" s="98" t="s">
        <v>97</v>
      </c>
      <c r="AB101" s="99">
        <v>719</v>
      </c>
      <c r="AC101" s="99">
        <v>2</v>
      </c>
      <c r="AD101" s="100"/>
      <c r="AE101" s="177"/>
      <c r="AF101" s="8"/>
      <c r="AG101" s="1"/>
      <c r="AH101" s="178"/>
      <c r="AI101" s="179" t="s">
        <v>98</v>
      </c>
      <c r="AJ101" s="179" t="s">
        <v>99</v>
      </c>
      <c r="AK101" s="179" t="s">
        <v>89</v>
      </c>
      <c r="AL101" s="179"/>
      <c r="AM101" s="179" t="s">
        <v>100</v>
      </c>
      <c r="AN101" s="180"/>
      <c r="AO101" s="11"/>
      <c r="AP101" s="181"/>
      <c r="AQ101" s="2"/>
      <c r="AR101" s="3"/>
      <c r="AS101" s="10"/>
      <c r="AT101" s="1"/>
      <c r="AU101" s="1"/>
      <c r="AV101" s="1"/>
      <c r="AW101" s="1"/>
      <c r="AX101" s="11"/>
      <c r="AY101" s="11"/>
      <c r="AZ101" s="1"/>
      <c r="BA101" s="1"/>
      <c r="BB101" s="1"/>
      <c r="BC101" s="1"/>
      <c r="BD101" s="1"/>
      <c r="BE101" s="1"/>
      <c r="BF101" s="1"/>
      <c r="BG101" s="1"/>
      <c r="BH101" s="1"/>
    </row>
    <row x14ac:dyDescent="0.25" r="102" customHeight="1" ht="14.5">
      <c r="A102" s="1"/>
      <c r="B102" s="1"/>
      <c r="C102" s="1"/>
      <c r="D102" s="1"/>
      <c r="E102" s="2"/>
      <c r="F102" s="2"/>
      <c r="G102" s="90">
        <f>(S102&amp;RIGHT(R102,1))*1</f>
      </c>
      <c r="H102" s="1"/>
      <c r="I102" s="111"/>
      <c r="J102" s="126">
        <f>Planning!Q36</f>
      </c>
      <c r="K102" s="93">
        <f>VLOOKUP(J102,AA$23:AE$88,5,FALSE)</f>
      </c>
      <c r="L102" s="122">
        <f>Planning!V36</f>
      </c>
      <c r="M102" s="95">
        <f>IF(Planning!AC36=0,0,IFERROR($AD36*AI$22,0))</f>
      </c>
      <c r="N102" s="171">
        <f>IF(Planning!AC36=0,0,IFERROR($AD36*AI$22*K102,0))</f>
      </c>
      <c r="O102" s="96">
        <f>IF(ISTEXT(Planning!V36),0,AI36)</f>
      </c>
      <c r="P102" s="94">
        <f>Planning!AC36</f>
      </c>
      <c r="Q102" s="121">
        <f>Progress!T36</f>
      </c>
      <c r="R102" s="95">
        <f>IF(Q102=0,0,IF(ISNUMBER(Q102),IF(S102&gt;=$G$21,$F$21,"Q19"),Q102))</f>
      </c>
      <c r="S102" s="122">
        <f>Progress!U36</f>
      </c>
      <c r="T102" s="97"/>
      <c r="U102" s="96">
        <f>V102/$N$419</f>
      </c>
      <c r="V102" s="176">
        <f>IF(L102&lt;$E$20,0,IF(ISTEXT(L102),0,IF(AND(G102+1&gt;=$E$19+1,L102&gt;0),IF(ISNUMBER(Q102),Q102*$AD36*AI$22*K102,$AD36*AI$22*K102),0)))</f>
      </c>
      <c r="W102" s="95">
        <f>IF(AND(L102&gt;0,S102&gt;0),IF(ISNUMBER(Q102),Q102*$AD36*AI$22*K102,$AD36*AI$22*K102),0)</f>
      </c>
      <c r="X102" s="17"/>
      <c r="Y102" s="11"/>
      <c r="Z102" s="11"/>
      <c r="AA102" s="98" t="s">
        <v>101</v>
      </c>
      <c r="AB102" s="99">
        <v>942</v>
      </c>
      <c r="AC102" s="99">
        <v>2</v>
      </c>
      <c r="AD102" s="100"/>
      <c r="AE102" s="177"/>
      <c r="AF102" s="8"/>
      <c r="AG102" s="1"/>
      <c r="AH102" s="178"/>
      <c r="AI102" s="179" t="s">
        <v>102</v>
      </c>
      <c r="AJ102" s="179" t="s">
        <v>103</v>
      </c>
      <c r="AK102" s="179" t="s">
        <v>93</v>
      </c>
      <c r="AL102" s="179"/>
      <c r="AM102" s="179" t="s">
        <v>104</v>
      </c>
      <c r="AN102" s="180"/>
      <c r="AO102" s="11"/>
      <c r="AP102" s="181"/>
      <c r="AQ102" s="2"/>
      <c r="AR102" s="3"/>
      <c r="AS102" s="10"/>
      <c r="AT102" s="1"/>
      <c r="AU102" s="1"/>
      <c r="AV102" s="1"/>
      <c r="AW102" s="1"/>
      <c r="AX102" s="11"/>
      <c r="AY102" s="11"/>
      <c r="AZ102" s="1"/>
      <c r="BA102" s="1"/>
      <c r="BB102" s="1"/>
      <c r="BC102" s="1"/>
      <c r="BD102" s="1"/>
      <c r="BE102" s="1"/>
      <c r="BF102" s="1"/>
      <c r="BG102" s="1"/>
      <c r="BH102" s="1"/>
    </row>
    <row x14ac:dyDescent="0.25" r="103" customHeight="1" ht="14.5">
      <c r="A103" s="1"/>
      <c r="B103" s="1"/>
      <c r="C103" s="1"/>
      <c r="D103" s="1"/>
      <c r="E103" s="2"/>
      <c r="F103" s="2"/>
      <c r="G103" s="90">
        <f>(S103&amp;RIGHT(R103,1))*1</f>
      </c>
      <c r="H103" s="1"/>
      <c r="I103" s="111"/>
      <c r="J103" s="126">
        <f>Planning!Q37</f>
      </c>
      <c r="K103" s="93">
        <f>VLOOKUP(J103,AA$23:AE$88,5,FALSE)</f>
      </c>
      <c r="L103" s="122">
        <f>Planning!V37</f>
      </c>
      <c r="M103" s="95">
        <f>IF(Planning!AC37=0,0,IFERROR($AD37*AI$22,0))</f>
      </c>
      <c r="N103" s="171">
        <f>IF(Planning!AC37=0,0,IFERROR($AD37*AI$22*K103,0))</f>
      </c>
      <c r="O103" s="96">
        <f>IF(ISTEXT(Planning!V37),0,AI37)</f>
      </c>
      <c r="P103" s="94">
        <f>Planning!AC37</f>
      </c>
      <c r="Q103" s="121">
        <f>Progress!T37</f>
      </c>
      <c r="R103" s="95">
        <f>IF(Q103=0,0,IF(ISNUMBER(Q103),IF(S103&gt;=$G$21,$F$21,"Q20"),Q103))</f>
      </c>
      <c r="S103" s="122">
        <f>Progress!U37</f>
      </c>
      <c r="T103" s="97"/>
      <c r="U103" s="96">
        <f>V103/$N$419</f>
      </c>
      <c r="V103" s="176">
        <f>IF(L103&lt;$E$20,0,IF(ISTEXT(L103),0,IF(AND(G103+1&gt;=$E$19+1,L103&gt;0),IF(ISNUMBER(Q103),Q103*$AD37*AI$22*K103,$AD37*AI$22*K103),0)))</f>
      </c>
      <c r="W103" s="95">
        <f>IF(AND(L103&gt;0,S103&gt;0),IF(ISNUMBER(Q103),Q103*$AD37*AI$22*K103,$AD37*AI$22*K103),0)</f>
      </c>
      <c r="X103" s="17"/>
      <c r="Y103" s="11"/>
      <c r="Z103" s="11"/>
      <c r="AA103" s="98" t="s">
        <v>105</v>
      </c>
      <c r="AB103" s="99">
        <v>822</v>
      </c>
      <c r="AC103" s="99">
        <v>2</v>
      </c>
      <c r="AD103" s="100"/>
      <c r="AE103" s="177"/>
      <c r="AF103" s="8"/>
      <c r="AG103" s="1"/>
      <c r="AH103" s="178"/>
      <c r="AI103" s="179" t="s">
        <v>106</v>
      </c>
      <c r="AJ103" s="179" t="s">
        <v>107</v>
      </c>
      <c r="AK103" s="179" t="s">
        <v>97</v>
      </c>
      <c r="AL103" s="179"/>
      <c r="AM103" s="179" t="s">
        <v>108</v>
      </c>
      <c r="AN103" s="180"/>
      <c r="AO103" s="11"/>
      <c r="AP103" s="181"/>
      <c r="AQ103" s="2"/>
      <c r="AR103" s="3"/>
      <c r="AS103" s="10"/>
      <c r="AT103" s="1"/>
      <c r="AU103" s="1"/>
      <c r="AV103" s="1"/>
      <c r="AW103" s="1"/>
      <c r="AX103" s="11"/>
      <c r="AY103" s="11"/>
      <c r="AZ103" s="1"/>
      <c r="BA103" s="1"/>
      <c r="BB103" s="1"/>
      <c r="BC103" s="1"/>
      <c r="BD103" s="1"/>
      <c r="BE103" s="1"/>
      <c r="BF103" s="1"/>
      <c r="BG103" s="1"/>
      <c r="BH103" s="1"/>
    </row>
    <row x14ac:dyDescent="0.25" r="104" customHeight="1" ht="14.5">
      <c r="A104" s="1"/>
      <c r="B104" s="1"/>
      <c r="C104" s="1"/>
      <c r="D104" s="1"/>
      <c r="E104" s="2"/>
      <c r="F104" s="2"/>
      <c r="G104" s="90">
        <f>(S104&amp;RIGHT(R104,1))*1</f>
      </c>
      <c r="H104" s="1"/>
      <c r="I104" s="111"/>
      <c r="J104" s="126">
        <f>Planning!Q38</f>
      </c>
      <c r="K104" s="93">
        <f>VLOOKUP(J104,AA$23:AE$88,5,FALSE)</f>
      </c>
      <c r="L104" s="122">
        <f>Planning!V38</f>
      </c>
      <c r="M104" s="95">
        <f>IF(Planning!AC38=0,0,IFERROR($AD38*AI$22,0))</f>
      </c>
      <c r="N104" s="171">
        <f>IF(Planning!AC38=0,0,IFERROR($AD38*AI$22*K104,0))</f>
      </c>
      <c r="O104" s="96">
        <f>IF(ISTEXT(Planning!V38),0,AI38)</f>
      </c>
      <c r="P104" s="94">
        <f>Planning!AC38</f>
      </c>
      <c r="Q104" s="121">
        <f>Progress!T38</f>
      </c>
      <c r="R104" s="95">
        <f>IF(Q104=0,0,IF(ISNUMBER(Q104),IF(S104&gt;=$G$21,$F$21,"Q21"),Q104))</f>
      </c>
      <c r="S104" s="122">
        <f>Progress!U38</f>
      </c>
      <c r="T104" s="97"/>
      <c r="U104" s="96">
        <f>V104/$N$419</f>
      </c>
      <c r="V104" s="176">
        <f>IF(L104&lt;$E$20,0,IF(ISTEXT(L104),0,IF(AND(G104+1&gt;=$E$19+1,L104&gt;0),IF(ISNUMBER(Q104),Q104*$AD38*AI$22*K104,$AD38*AI$22*K104),0)))</f>
      </c>
      <c r="W104" s="95">
        <f>IF(AND(L104&gt;0,S104&gt;0),IF(ISNUMBER(Q104),Q104*$AD38*AI$22*K104,$AD38*AI$22*K104),0)</f>
      </c>
      <c r="X104" s="17"/>
      <c r="Y104" s="11"/>
      <c r="Z104" s="11"/>
      <c r="AA104" s="98" t="s">
        <v>109</v>
      </c>
      <c r="AB104" s="99">
        <v>280</v>
      </c>
      <c r="AC104" s="99">
        <v>3</v>
      </c>
      <c r="AD104" s="100"/>
      <c r="AE104" s="177"/>
      <c r="AF104" s="8"/>
      <c r="AG104" s="1"/>
      <c r="AH104" s="178"/>
      <c r="AI104" s="179" t="s">
        <v>110</v>
      </c>
      <c r="AJ104" s="179" t="s">
        <v>111</v>
      </c>
      <c r="AK104" s="179" t="s">
        <v>101</v>
      </c>
      <c r="AL104" s="179"/>
      <c r="AM104" s="179" t="s">
        <v>112</v>
      </c>
      <c r="AN104" s="180"/>
      <c r="AO104" s="11"/>
      <c r="AP104" s="181"/>
      <c r="AQ104" s="2"/>
      <c r="AR104" s="3"/>
      <c r="AS104" s="10"/>
      <c r="AT104" s="1"/>
      <c r="AU104" s="1"/>
      <c r="AV104" s="1"/>
      <c r="AW104" s="1"/>
      <c r="AX104" s="11"/>
      <c r="AY104" s="11"/>
      <c r="AZ104" s="1"/>
      <c r="BA104" s="1"/>
      <c r="BB104" s="1"/>
      <c r="BC104" s="1"/>
      <c r="BD104" s="1"/>
      <c r="BE104" s="1"/>
      <c r="BF104" s="1"/>
      <c r="BG104" s="1"/>
      <c r="BH104" s="1"/>
    </row>
    <row x14ac:dyDescent="0.25" r="105" customHeight="1" ht="14.5">
      <c r="A105" s="1"/>
      <c r="B105" s="1"/>
      <c r="C105" s="1"/>
      <c r="D105" s="1"/>
      <c r="E105" s="2"/>
      <c r="F105" s="2"/>
      <c r="G105" s="90">
        <f>(S105&amp;RIGHT(R105,1))*1</f>
      </c>
      <c r="H105" s="1"/>
      <c r="I105" s="111"/>
      <c r="J105" s="126">
        <f>Planning!Q39</f>
      </c>
      <c r="K105" s="93">
        <f>VLOOKUP(J105,AA$23:AE$88,5,FALSE)</f>
      </c>
      <c r="L105" s="122">
        <f>Planning!V39</f>
      </c>
      <c r="M105" s="95">
        <f>IF(Planning!AC39=0,0,IFERROR($AD39*AI$22,0))</f>
      </c>
      <c r="N105" s="171">
        <f>IF(Planning!AC39=0,0,IFERROR($AD39*AI$22*K105,0))</f>
      </c>
      <c r="O105" s="96">
        <f>IF(ISTEXT(Planning!V39),0,AI39)</f>
      </c>
      <c r="P105" s="94">
        <f>Planning!AC39</f>
      </c>
      <c r="Q105" s="121">
        <f>Progress!T39</f>
      </c>
      <c r="R105" s="95">
        <f>IF(Q105=0,0,IF(ISNUMBER(Q105),IF(S105&gt;=$G$21,$F$21,"Q22"),Q105))</f>
      </c>
      <c r="S105" s="122">
        <f>Progress!U39</f>
      </c>
      <c r="T105" s="97"/>
      <c r="U105" s="96">
        <f>V105/$N$419</f>
      </c>
      <c r="V105" s="176">
        <f>IF(L105&lt;$E$20,0,IF(ISTEXT(L105),0,IF(AND(G105+1&gt;=$E$19+1,L105&gt;0),IF(ISNUMBER(Q105),Q105*$AD39*AI$22*K105,$AD39*AI$22*K105),0)))</f>
      </c>
      <c r="W105" s="95">
        <f>IF(AND(L105&gt;0,S105&gt;0),IF(ISNUMBER(Q105),Q105*$AD39*AI$22*K105,$AD39*AI$22*K105),0)</f>
      </c>
      <c r="X105" s="17"/>
      <c r="Y105" s="11"/>
      <c r="Z105" s="11"/>
      <c r="AA105" s="98" t="s">
        <v>113</v>
      </c>
      <c r="AB105" s="99">
        <v>406</v>
      </c>
      <c r="AC105" s="99">
        <v>3</v>
      </c>
      <c r="AD105" s="100"/>
      <c r="AE105" s="177"/>
      <c r="AF105" s="8"/>
      <c r="AG105" s="1"/>
      <c r="AH105" s="178"/>
      <c r="AI105" s="179" t="s">
        <v>114</v>
      </c>
      <c r="AJ105" s="179" t="s">
        <v>115</v>
      </c>
      <c r="AK105" s="179" t="s">
        <v>105</v>
      </c>
      <c r="AL105" s="179"/>
      <c r="AM105" s="179" t="s">
        <v>116</v>
      </c>
      <c r="AN105" s="180"/>
      <c r="AO105" s="11"/>
      <c r="AP105" s="181"/>
      <c r="AQ105" s="2"/>
      <c r="AR105" s="3"/>
      <c r="AS105" s="10"/>
      <c r="AT105" s="1"/>
      <c r="AU105" s="1"/>
      <c r="AV105" s="1"/>
      <c r="AW105" s="1"/>
      <c r="AX105" s="11"/>
      <c r="AY105" s="11"/>
      <c r="AZ105" s="1"/>
      <c r="BA105" s="1"/>
      <c r="BB105" s="1"/>
      <c r="BC105" s="1"/>
      <c r="BD105" s="1"/>
      <c r="BE105" s="1"/>
      <c r="BF105" s="1"/>
      <c r="BG105" s="1"/>
      <c r="BH105" s="1"/>
    </row>
    <row x14ac:dyDescent="0.25" r="106" customHeight="1" ht="14.5">
      <c r="A106" s="1"/>
      <c r="B106" s="1"/>
      <c r="C106" s="1"/>
      <c r="D106" s="1"/>
      <c r="E106" s="2"/>
      <c r="F106" s="2"/>
      <c r="G106" s="90">
        <f>(S106&amp;RIGHT(R106,1))*1</f>
      </c>
      <c r="H106" s="1"/>
      <c r="I106" s="111"/>
      <c r="J106" s="126">
        <f>Planning!Q40</f>
      </c>
      <c r="K106" s="93">
        <f>VLOOKUP(J106,AA$23:AE$88,5,FALSE)</f>
      </c>
      <c r="L106" s="122">
        <f>Planning!V40</f>
      </c>
      <c r="M106" s="95">
        <f>IF(Planning!AC40=0,0,IFERROR($AD40*AI$22,0))</f>
      </c>
      <c r="N106" s="171">
        <f>IF(Planning!AC40=0,0,IFERROR($AD40*AI$22*K106,0))</f>
      </c>
      <c r="O106" s="96">
        <f>IF(ISTEXT(Planning!V40),0,AI40)</f>
      </c>
      <c r="P106" s="94">
        <f>Planning!AC40</f>
      </c>
      <c r="Q106" s="121">
        <f>Progress!T40</f>
      </c>
      <c r="R106" s="95">
        <f>IF(Q106=0,0,IF(ISNUMBER(Q106),IF(S106&gt;=$G$21,$F$21,"Q23"),Q106))</f>
      </c>
      <c r="S106" s="122">
        <f>Progress!U40</f>
      </c>
      <c r="T106" s="97"/>
      <c r="U106" s="96">
        <f>V106/$N$419</f>
      </c>
      <c r="V106" s="176">
        <f>IF(L106&lt;$E$20,0,IF(ISTEXT(L106),0,IF(AND(G106+1&gt;=$E$19+1,L106&gt;0),IF(ISNUMBER(Q106),Q106*$AD40*AI$22*K106,$AD40*AI$22*K106),0)))</f>
      </c>
      <c r="W106" s="95">
        <f>IF(AND(L106&gt;0,S106&gt;0),IF(ISNUMBER(Q106),Q106*$AD40*AI$22*K106,$AD40*AI$22*K106),0)</f>
      </c>
      <c r="X106" s="17"/>
      <c r="Y106" s="11"/>
      <c r="Z106" s="11"/>
      <c r="AA106" s="98" t="s">
        <v>117</v>
      </c>
      <c r="AB106" s="99">
        <v>167</v>
      </c>
      <c r="AC106" s="99">
        <v>2</v>
      </c>
      <c r="AD106" s="100"/>
      <c r="AE106" s="177"/>
      <c r="AF106" s="8"/>
      <c r="AG106" s="1"/>
      <c r="AH106" s="178"/>
      <c r="AI106" s="179" t="s">
        <v>118</v>
      </c>
      <c r="AJ106" s="179" t="s">
        <v>119</v>
      </c>
      <c r="AK106" s="179" t="s">
        <v>109</v>
      </c>
      <c r="AL106" s="179"/>
      <c r="AM106" s="179" t="s">
        <v>120</v>
      </c>
      <c r="AN106" s="180"/>
      <c r="AO106" s="11"/>
      <c r="AP106" s="181"/>
      <c r="AQ106" s="2"/>
      <c r="AR106" s="3"/>
      <c r="AS106" s="10"/>
      <c r="AT106" s="1"/>
      <c r="AU106" s="1"/>
      <c r="AV106" s="1"/>
      <c r="AW106" s="1"/>
      <c r="AX106" s="11"/>
      <c r="AY106" s="11"/>
      <c r="AZ106" s="1"/>
      <c r="BA106" s="1"/>
      <c r="BB106" s="1"/>
      <c r="BC106" s="1"/>
      <c r="BD106" s="1"/>
      <c r="BE106" s="1"/>
      <c r="BF106" s="1"/>
      <c r="BG106" s="1"/>
      <c r="BH106" s="1"/>
    </row>
    <row x14ac:dyDescent="0.25" r="107" customHeight="1" ht="14.5">
      <c r="A107" s="1"/>
      <c r="B107" s="1"/>
      <c r="C107" s="1"/>
      <c r="D107" s="1"/>
      <c r="E107" s="2"/>
      <c r="F107" s="2"/>
      <c r="G107" s="90">
        <f>(S107&amp;RIGHT(R107,1))*1</f>
      </c>
      <c r="H107" s="1"/>
      <c r="I107" s="111"/>
      <c r="J107" s="126">
        <f>Planning!Q41</f>
      </c>
      <c r="K107" s="93">
        <f>VLOOKUP(J107,AA$23:AE$88,5,FALSE)</f>
      </c>
      <c r="L107" s="122">
        <f>Planning!V41</f>
      </c>
      <c r="M107" s="95">
        <f>IF(Planning!AC41=0,0,IFERROR($AD41*AI$22,0))</f>
      </c>
      <c r="N107" s="171">
        <f>IF(Planning!AC41=0,0,IFERROR($AD41*AI$22*K107,0))</f>
      </c>
      <c r="O107" s="96">
        <f>IF(ISTEXT(Planning!V41),0,AI41)</f>
      </c>
      <c r="P107" s="94">
        <f>Planning!AC41</f>
      </c>
      <c r="Q107" s="121">
        <f>Progress!T41</f>
      </c>
      <c r="R107" s="95">
        <f>IF(Q107=0,0,IF(ISNUMBER(Q107),IF(S107&gt;=$G$21,$F$21,"Q24"),Q107))</f>
      </c>
      <c r="S107" s="122">
        <f>Progress!U41</f>
      </c>
      <c r="T107" s="97"/>
      <c r="U107" s="96">
        <f>V107/$N$419</f>
      </c>
      <c r="V107" s="176">
        <f>IF(L107&lt;$E$20,0,IF(ISTEXT(L107),0,IF(AND(G107+1&gt;=$E$19+1,L107&gt;0),IF(ISNUMBER(Q107),Q107*$AD41*AI$22*K107,$AD41*AI$22*K107),0)))</f>
      </c>
      <c r="W107" s="95">
        <f>IF(AND(L107&gt;0,S107&gt;0),IF(ISNUMBER(Q107),Q107*$AD41*AI$22*K107,$AD41*AI$22*K107),0)</f>
      </c>
      <c r="X107" s="17"/>
      <c r="Y107" s="11"/>
      <c r="Z107" s="11"/>
      <c r="AA107" s="98" t="s">
        <v>121</v>
      </c>
      <c r="AB107" s="99">
        <v>1070</v>
      </c>
      <c r="AC107" s="99">
        <v>5</v>
      </c>
      <c r="AD107" s="100"/>
      <c r="AE107" s="177"/>
      <c r="AF107" s="8"/>
      <c r="AG107" s="1"/>
      <c r="AH107" s="178"/>
      <c r="AI107" s="179" t="s">
        <v>122</v>
      </c>
      <c r="AJ107" s="179" t="s">
        <v>123</v>
      </c>
      <c r="AK107" s="179" t="s">
        <v>113</v>
      </c>
      <c r="AL107" s="179"/>
      <c r="AM107" s="179" t="s">
        <v>124</v>
      </c>
      <c r="AN107" s="180"/>
      <c r="AO107" s="11"/>
      <c r="AP107" s="181"/>
      <c r="AQ107" s="2"/>
      <c r="AR107" s="3"/>
      <c r="AS107" s="10"/>
      <c r="AT107" s="1"/>
      <c r="AU107" s="1"/>
      <c r="AV107" s="1"/>
      <c r="AW107" s="1"/>
      <c r="AX107" s="11"/>
      <c r="AY107" s="11"/>
      <c r="AZ107" s="1"/>
      <c r="BA107" s="1"/>
      <c r="BB107" s="1"/>
      <c r="BC107" s="1"/>
      <c r="BD107" s="1"/>
      <c r="BE107" s="1"/>
      <c r="BF107" s="1"/>
      <c r="BG107" s="1"/>
      <c r="BH107" s="1"/>
    </row>
    <row x14ac:dyDescent="0.25" r="108" customHeight="1" ht="14.5">
      <c r="A108" s="1"/>
      <c r="B108" s="1"/>
      <c r="C108" s="1"/>
      <c r="D108" s="1"/>
      <c r="E108" s="2"/>
      <c r="F108" s="2"/>
      <c r="G108" s="90">
        <f>(S108&amp;RIGHT(R108,1))*1</f>
      </c>
      <c r="H108" s="1"/>
      <c r="I108" s="111"/>
      <c r="J108" s="126">
        <f>Planning!Q42</f>
      </c>
      <c r="K108" s="93">
        <f>VLOOKUP(J108,AA$23:AE$88,5,FALSE)</f>
      </c>
      <c r="L108" s="122">
        <f>Planning!V42</f>
      </c>
      <c r="M108" s="95">
        <f>IF(Planning!AC42=0,0,IFERROR($AD42*AI$22,0))</f>
      </c>
      <c r="N108" s="171">
        <f>IF(Planning!AC42=0,0,IFERROR($AD42*AI$22*K108,0))</f>
      </c>
      <c r="O108" s="96">
        <f>IF(ISTEXT(Planning!V42),0,AI42)</f>
      </c>
      <c r="P108" s="94">
        <f>Planning!AC42</f>
      </c>
      <c r="Q108" s="121">
        <f>Progress!T42</f>
      </c>
      <c r="R108" s="95">
        <f>IF(Q108=0,0,IF(ISNUMBER(Q108),IF(S108&gt;=$G$21,$F$21,"Q25"),Q108))</f>
      </c>
      <c r="S108" s="122">
        <f>Progress!U42</f>
      </c>
      <c r="T108" s="97"/>
      <c r="U108" s="96">
        <f>V108/$N$419</f>
      </c>
      <c r="V108" s="176">
        <f>IF(L108&lt;$E$20,0,IF(ISTEXT(L108),0,IF(AND(G108+1&gt;=$E$19+1,L108&gt;0),IF(ISNUMBER(Q108),Q108*$AD42*AI$22*K108,$AD42*AI$22*K108),0)))</f>
      </c>
      <c r="W108" s="95">
        <f>IF(AND(L108&gt;0,S108&gt;0),IF(ISNUMBER(Q108),Q108*$AD42*AI$22*K108,$AD42*AI$22*K108),0)</f>
      </c>
      <c r="X108" s="17"/>
      <c r="Y108" s="11"/>
      <c r="Z108" s="11"/>
      <c r="AA108" s="98" t="s">
        <v>125</v>
      </c>
      <c r="AB108" s="99">
        <v>2461</v>
      </c>
      <c r="AC108" s="99">
        <v>4</v>
      </c>
      <c r="AD108" s="100"/>
      <c r="AE108" s="177"/>
      <c r="AF108" s="8"/>
      <c r="AG108" s="1"/>
      <c r="AH108" s="178"/>
      <c r="AI108" s="179" t="s">
        <v>126</v>
      </c>
      <c r="AJ108" s="179" t="s">
        <v>127</v>
      </c>
      <c r="AK108" s="179" t="s">
        <v>117</v>
      </c>
      <c r="AL108" s="179"/>
      <c r="AM108" s="179" t="s">
        <v>128</v>
      </c>
      <c r="AN108" s="180"/>
      <c r="AO108" s="11"/>
      <c r="AP108" s="181"/>
      <c r="AQ108" s="2"/>
      <c r="AR108" s="3"/>
      <c r="AS108" s="10"/>
      <c r="AT108" s="1"/>
      <c r="AU108" s="1"/>
      <c r="AV108" s="1"/>
      <c r="AW108" s="1"/>
      <c r="AX108" s="11"/>
      <c r="AY108" s="11"/>
      <c r="AZ108" s="1"/>
      <c r="BA108" s="1"/>
      <c r="BB108" s="1"/>
      <c r="BC108" s="1"/>
      <c r="BD108" s="1"/>
      <c r="BE108" s="1"/>
      <c r="BF108" s="1"/>
      <c r="BG108" s="1"/>
      <c r="BH108" s="1"/>
    </row>
    <row x14ac:dyDescent="0.25" r="109" customHeight="1" ht="14.5">
      <c r="A109" s="1"/>
      <c r="B109" s="1"/>
      <c r="C109" s="1"/>
      <c r="D109" s="1"/>
      <c r="E109" s="2"/>
      <c r="F109" s="2"/>
      <c r="G109" s="90">
        <f>(S109&amp;RIGHT(R109,1))*1</f>
      </c>
      <c r="H109" s="1"/>
      <c r="I109" s="111"/>
      <c r="J109" s="126">
        <f>Planning!Q43</f>
      </c>
      <c r="K109" s="93">
        <f>VLOOKUP(J109,AA$23:AE$88,5,FALSE)</f>
      </c>
      <c r="L109" s="122">
        <f>Planning!V43</f>
      </c>
      <c r="M109" s="95">
        <f>IF(Planning!AC43=0,0,IFERROR($AD43*AI$22,0))</f>
      </c>
      <c r="N109" s="171">
        <f>IF(Planning!AC43=0,0,IFERROR($AD43*AI$22*K109,0))</f>
      </c>
      <c r="O109" s="96">
        <f>IF(ISTEXT(Planning!V43),0,AI43)</f>
      </c>
      <c r="P109" s="94">
        <f>Planning!AC43</f>
      </c>
      <c r="Q109" s="121">
        <f>Progress!T43</f>
      </c>
      <c r="R109" s="95">
        <f>IF(Q109=0,0,IF(ISNUMBER(Q109),IF(S109&gt;=$G$21,$F$21,"Q26"),Q109))</f>
      </c>
      <c r="S109" s="122">
        <f>Progress!U43</f>
      </c>
      <c r="T109" s="97"/>
      <c r="U109" s="96">
        <f>V109/$N$419</f>
      </c>
      <c r="V109" s="176">
        <f>IF(L109&lt;$E$20,0,IF(ISTEXT(L109),0,IF(AND(G109+1&gt;=$E$19+1,L109&gt;0),IF(ISNUMBER(Q109),Q109*$AD43*AI$22*K109,$AD43*AI$22*K109),0)))</f>
      </c>
      <c r="W109" s="95">
        <f>IF(AND(L109&gt;0,S109&gt;0),IF(ISNUMBER(Q109),Q109*$AD43*AI$22*K109,$AD43*AI$22*K109),0)</f>
      </c>
      <c r="X109" s="17"/>
      <c r="Y109" s="11"/>
      <c r="Z109" s="11"/>
      <c r="AA109" s="98" t="s">
        <v>129</v>
      </c>
      <c r="AB109" s="99">
        <v>915</v>
      </c>
      <c r="AC109" s="99">
        <v>4</v>
      </c>
      <c r="AD109" s="100"/>
      <c r="AE109" s="177"/>
      <c r="AF109" s="8"/>
      <c r="AG109" s="1"/>
      <c r="AH109" s="178"/>
      <c r="AI109" s="179" t="s">
        <v>130</v>
      </c>
      <c r="AJ109" s="179" t="s">
        <v>131</v>
      </c>
      <c r="AK109" s="179" t="s">
        <v>121</v>
      </c>
      <c r="AL109" s="179"/>
      <c r="AM109" s="179" t="s">
        <v>132</v>
      </c>
      <c r="AN109" s="180"/>
      <c r="AO109" s="11"/>
      <c r="AP109" s="181"/>
      <c r="AQ109" s="2"/>
      <c r="AR109" s="3"/>
      <c r="AS109" s="10"/>
      <c r="AT109" s="1"/>
      <c r="AU109" s="1"/>
      <c r="AV109" s="1"/>
      <c r="AW109" s="1"/>
      <c r="AX109" s="11"/>
      <c r="AY109" s="11"/>
      <c r="AZ109" s="1"/>
      <c r="BA109" s="1"/>
      <c r="BB109" s="1"/>
      <c r="BC109" s="1"/>
      <c r="BD109" s="1"/>
      <c r="BE109" s="1"/>
      <c r="BF109" s="1"/>
      <c r="BG109" s="1"/>
      <c r="BH109" s="1"/>
    </row>
    <row x14ac:dyDescent="0.25" r="110" customHeight="1" ht="14.5">
      <c r="A110" s="1"/>
      <c r="B110" s="1"/>
      <c r="C110" s="1"/>
      <c r="D110" s="1"/>
      <c r="E110" s="2"/>
      <c r="F110" s="2"/>
      <c r="G110" s="90">
        <f>(S110&amp;RIGHT(R110,1))*1</f>
      </c>
      <c r="H110" s="1"/>
      <c r="I110" s="111"/>
      <c r="J110" s="126">
        <f>Planning!Q44</f>
      </c>
      <c r="K110" s="93">
        <f>VLOOKUP(J110,AA$23:AE$88,5,FALSE)</f>
      </c>
      <c r="L110" s="122">
        <f>Planning!V44</f>
      </c>
      <c r="M110" s="95">
        <f>IF(Planning!AC44=0,0,IFERROR($AD44*AI$22,0))</f>
      </c>
      <c r="N110" s="171">
        <f>IF(Planning!AC44=0,0,IFERROR($AD44*AI$22*K110,0))</f>
      </c>
      <c r="O110" s="96">
        <f>IF(ISTEXT(Planning!V44),0,AI44)</f>
      </c>
      <c r="P110" s="94">
        <f>Planning!AC44</f>
      </c>
      <c r="Q110" s="121">
        <f>Progress!T44</f>
      </c>
      <c r="R110" s="95">
        <f>IF(Q110=0,0,IF(ISNUMBER(Q110),IF(S110&gt;=$G$21,$F$21,"Q27"),Q110))</f>
      </c>
      <c r="S110" s="122">
        <f>Progress!U44</f>
      </c>
      <c r="T110" s="97"/>
      <c r="U110" s="96">
        <f>V110/$N$419</f>
      </c>
      <c r="V110" s="176">
        <f>IF(L110&lt;$E$20,0,IF(ISTEXT(L110),0,IF(AND(G110+1&gt;=$E$19+1,L110&gt;0),IF(ISNUMBER(Q110),Q110*$AD44*AI$22*K110,$AD44*AI$22*K110),0)))</f>
      </c>
      <c r="W110" s="95">
        <f>IF(AND(L110&gt;0,S110&gt;0),IF(ISNUMBER(Q110),Q110*$AD44*AI$22*K110,$AD44*AI$22*K110),0)</f>
      </c>
      <c r="X110" s="17"/>
      <c r="Y110" s="11"/>
      <c r="Z110" s="11"/>
      <c r="AA110" s="98" t="s">
        <v>133</v>
      </c>
      <c r="AB110" s="99">
        <v>222</v>
      </c>
      <c r="AC110" s="99">
        <v>4</v>
      </c>
      <c r="AD110" s="100"/>
      <c r="AE110" s="177"/>
      <c r="AF110" s="8"/>
      <c r="AG110" s="1"/>
      <c r="AH110" s="178"/>
      <c r="AI110" s="179" t="s">
        <v>134</v>
      </c>
      <c r="AJ110" s="179" t="s">
        <v>135</v>
      </c>
      <c r="AK110" s="179" t="s">
        <v>125</v>
      </c>
      <c r="AL110" s="179"/>
      <c r="AM110" s="179" t="s">
        <v>136</v>
      </c>
      <c r="AN110" s="180"/>
      <c r="AO110" s="11"/>
      <c r="AP110" s="181"/>
      <c r="AQ110" s="2"/>
      <c r="AR110" s="3"/>
      <c r="AS110" s="10"/>
      <c r="AT110" s="1"/>
      <c r="AU110" s="1"/>
      <c r="AV110" s="1"/>
      <c r="AW110" s="1"/>
      <c r="AX110" s="11"/>
      <c r="AY110" s="11"/>
      <c r="AZ110" s="1"/>
      <c r="BA110" s="1"/>
      <c r="BB110" s="1"/>
      <c r="BC110" s="1"/>
      <c r="BD110" s="1"/>
      <c r="BE110" s="1"/>
      <c r="BF110" s="1"/>
      <c r="BG110" s="1"/>
      <c r="BH110" s="1"/>
    </row>
    <row x14ac:dyDescent="0.25" r="111" customHeight="1" ht="14.5">
      <c r="A111" s="1"/>
      <c r="B111" s="1"/>
      <c r="C111" s="1"/>
      <c r="D111" s="1"/>
      <c r="E111" s="2"/>
      <c r="F111" s="2"/>
      <c r="G111" s="90">
        <f>(S111&amp;RIGHT(R111,1))*1</f>
      </c>
      <c r="H111" s="1"/>
      <c r="I111" s="111"/>
      <c r="J111" s="126">
        <f>Planning!Q45</f>
      </c>
      <c r="K111" s="93">
        <f>VLOOKUP(J111,AA$23:AE$88,5,FALSE)</f>
      </c>
      <c r="L111" s="122">
        <f>Planning!V45</f>
      </c>
      <c r="M111" s="95">
        <f>IF(Planning!AC45=0,0,IFERROR($AD45*AI$22,0))</f>
      </c>
      <c r="N111" s="171">
        <f>IF(Planning!AC45=0,0,IFERROR($AD45*AI$22*K111,0))</f>
      </c>
      <c r="O111" s="96">
        <f>IF(ISTEXT(Planning!V45),0,AI45)</f>
      </c>
      <c r="P111" s="94">
        <f>Planning!AC45</f>
      </c>
      <c r="Q111" s="121">
        <f>Progress!T45</f>
      </c>
      <c r="R111" s="95">
        <f>IF(Q111=0,0,IF(ISNUMBER(Q111),IF(S111&gt;=$G$21,$F$21,"Q28"),Q111))</f>
      </c>
      <c r="S111" s="122">
        <f>Progress!U45</f>
      </c>
      <c r="T111" s="97"/>
      <c r="U111" s="96">
        <f>V111/$N$419</f>
      </c>
      <c r="V111" s="176">
        <f>IF(L111&lt;$E$20,0,IF(ISTEXT(L111),0,IF(AND(G111+1&gt;=$E$19+1,L111&gt;0),IF(ISNUMBER(Q111),Q111*$AD45*AI$22*K111,$AD45*AI$22*K111),0)))</f>
      </c>
      <c r="W111" s="95">
        <f>IF(AND(L111&gt;0,S111&gt;0),IF(ISNUMBER(Q111),Q111*$AD45*AI$22*K111,$AD45*AI$22*K111),0)</f>
      </c>
      <c r="X111" s="17"/>
      <c r="Y111" s="11"/>
      <c r="Z111" s="11"/>
      <c r="AA111" s="98" t="s">
        <v>137</v>
      </c>
      <c r="AB111" s="99">
        <v>117</v>
      </c>
      <c r="AC111" s="99">
        <v>4</v>
      </c>
      <c r="AD111" s="100"/>
      <c r="AE111" s="177"/>
      <c r="AF111" s="8"/>
      <c r="AG111" s="1"/>
      <c r="AH111" s="178"/>
      <c r="AI111" s="179" t="s">
        <v>138</v>
      </c>
      <c r="AJ111" s="179" t="s">
        <v>139</v>
      </c>
      <c r="AK111" s="179" t="s">
        <v>129</v>
      </c>
      <c r="AL111" s="179"/>
      <c r="AM111" s="179" t="s">
        <v>140</v>
      </c>
      <c r="AN111" s="180"/>
      <c r="AO111" s="11"/>
      <c r="AP111" s="181"/>
      <c r="AQ111" s="2"/>
      <c r="AR111" s="3"/>
      <c r="AS111" s="10"/>
      <c r="AT111" s="1"/>
      <c r="AU111" s="1"/>
      <c r="AV111" s="1"/>
      <c r="AW111" s="1"/>
      <c r="AX111" s="11"/>
      <c r="AY111" s="11"/>
      <c r="AZ111" s="1"/>
      <c r="BA111" s="1"/>
      <c r="BB111" s="1"/>
      <c r="BC111" s="1"/>
      <c r="BD111" s="1"/>
      <c r="BE111" s="1"/>
      <c r="BF111" s="1"/>
      <c r="BG111" s="1"/>
      <c r="BH111" s="1"/>
    </row>
    <row x14ac:dyDescent="0.25" r="112" customHeight="1" ht="14.5">
      <c r="A112" s="1"/>
      <c r="B112" s="1"/>
      <c r="C112" s="1"/>
      <c r="D112" s="1"/>
      <c r="E112" s="2"/>
      <c r="F112" s="2"/>
      <c r="G112" s="90">
        <f>(S112&amp;RIGHT(R112,1))*1</f>
      </c>
      <c r="H112" s="1"/>
      <c r="I112" s="111"/>
      <c r="J112" s="126">
        <f>Planning!Q46</f>
      </c>
      <c r="K112" s="93">
        <f>VLOOKUP(J112,AA$23:AE$88,5,FALSE)</f>
      </c>
      <c r="L112" s="122">
        <f>Planning!V46</f>
      </c>
      <c r="M112" s="95">
        <f>IF(Planning!AC46=0,0,IFERROR($AD46*AI$22,0))</f>
      </c>
      <c r="N112" s="171">
        <f>IF(Planning!AC46=0,0,IFERROR($AD46*AI$22*K112,0))</f>
      </c>
      <c r="O112" s="96">
        <f>IF(ISTEXT(Planning!V46),0,AI46)</f>
      </c>
      <c r="P112" s="94">
        <f>Planning!AC46</f>
      </c>
      <c r="Q112" s="121">
        <f>Progress!T46</f>
      </c>
      <c r="R112" s="95">
        <f>IF(Q112=0,0,IF(ISNUMBER(Q112),IF(S112&gt;=$G$21,$F$21,"Q29"),Q112))</f>
      </c>
      <c r="S112" s="122">
        <f>Progress!U46</f>
      </c>
      <c r="T112" s="97"/>
      <c r="U112" s="96">
        <f>V112/$N$419</f>
      </c>
      <c r="V112" s="176">
        <f>IF(L112&lt;$E$20,0,IF(ISTEXT(L112),0,IF(AND(G112+1&gt;=$E$19+1,L112&gt;0),IF(ISNUMBER(Q112),Q112*$AD46*AI$22*K112,$AD46*AI$22*K112),0)))</f>
      </c>
      <c r="W112" s="95">
        <f>IF(AND(L112&gt;0,S112&gt;0),IF(ISNUMBER(Q112),Q112*$AD46*AI$22*K112,$AD46*AI$22*K112),0)</f>
      </c>
      <c r="X112" s="17"/>
      <c r="Y112" s="11"/>
      <c r="Z112" s="11"/>
      <c r="AA112" s="98" t="s">
        <v>141</v>
      </c>
      <c r="AB112" s="99">
        <v>1292</v>
      </c>
      <c r="AC112" s="99">
        <v>5</v>
      </c>
      <c r="AD112" s="100"/>
      <c r="AE112" s="177"/>
      <c r="AF112" s="8"/>
      <c r="AG112" s="1"/>
      <c r="AH112" s="178"/>
      <c r="AI112" s="179" t="s">
        <v>142</v>
      </c>
      <c r="AJ112" s="179" t="s">
        <v>143</v>
      </c>
      <c r="AK112" s="179" t="s">
        <v>133</v>
      </c>
      <c r="AL112" s="179"/>
      <c r="AM112" s="179" t="s">
        <v>144</v>
      </c>
      <c r="AN112" s="180"/>
      <c r="AO112" s="11"/>
      <c r="AP112" s="181"/>
      <c r="AQ112" s="2"/>
      <c r="AR112" s="3"/>
      <c r="AS112" s="10"/>
      <c r="AT112" s="1"/>
      <c r="AU112" s="1"/>
      <c r="AV112" s="1"/>
      <c r="AW112" s="1"/>
      <c r="AX112" s="11"/>
      <c r="AY112" s="11"/>
      <c r="AZ112" s="1"/>
      <c r="BA112" s="1"/>
      <c r="BB112" s="1"/>
      <c r="BC112" s="1"/>
      <c r="BD112" s="1"/>
      <c r="BE112" s="1"/>
      <c r="BF112" s="1"/>
      <c r="BG112" s="1"/>
      <c r="BH112" s="1"/>
    </row>
    <row x14ac:dyDescent="0.25" r="113" customHeight="1" ht="14.5">
      <c r="A113" s="1"/>
      <c r="B113" s="1"/>
      <c r="C113" s="1"/>
      <c r="D113" s="1"/>
      <c r="E113" s="2"/>
      <c r="F113" s="2"/>
      <c r="G113" s="90">
        <f>(S113&amp;RIGHT(R113,1))*1</f>
      </c>
      <c r="H113" s="1"/>
      <c r="I113" s="111"/>
      <c r="J113" s="126">
        <f>Planning!Q47</f>
      </c>
      <c r="K113" s="93">
        <f>VLOOKUP(J113,AA$23:AE$88,5,FALSE)</f>
      </c>
      <c r="L113" s="122">
        <f>Planning!V47</f>
      </c>
      <c r="M113" s="95">
        <f>IF(Planning!AC47=0,0,IFERROR($AD47*AI$22,0))</f>
      </c>
      <c r="N113" s="171">
        <f>IF(Planning!AC47=0,0,IFERROR($AD47*AI$22*K113,0))</f>
      </c>
      <c r="O113" s="96">
        <f>IF(ISTEXT(Planning!V47),0,AI47)</f>
      </c>
      <c r="P113" s="94">
        <f>Planning!AC47</f>
      </c>
      <c r="Q113" s="121">
        <f>Progress!T47</f>
      </c>
      <c r="R113" s="95">
        <f>IF(Q113=0,0,IF(ISNUMBER(Q113),IF(S113&gt;=$G$21,$F$21,"Q30"),Q113))</f>
      </c>
      <c r="S113" s="122">
        <f>Progress!U47</f>
      </c>
      <c r="T113" s="97"/>
      <c r="U113" s="96">
        <f>V113/$N$419</f>
      </c>
      <c r="V113" s="176">
        <f>IF(L113&lt;$E$20,0,IF(ISTEXT(L113),0,IF(AND(G113+1&gt;=$E$19+1,L113&gt;0),IF(ISNUMBER(Q113),Q113*$AD47*AI$22*K113,$AD47*AI$22*K113),0)))</f>
      </c>
      <c r="W113" s="95">
        <f>IF(AND(L113&gt;0,S113&gt;0),IF(ISNUMBER(Q113),Q113*$AD47*AI$22*K113,$AD47*AI$22*K113),0)</f>
      </c>
      <c r="X113" s="17"/>
      <c r="Y113" s="11"/>
      <c r="Z113" s="11"/>
      <c r="AA113" s="98" t="s">
        <v>145</v>
      </c>
      <c r="AB113" s="99">
        <v>1364</v>
      </c>
      <c r="AC113" s="99">
        <v>5</v>
      </c>
      <c r="AD113" s="100"/>
      <c r="AE113" s="177"/>
      <c r="AF113" s="8"/>
      <c r="AG113" s="1"/>
      <c r="AH113" s="178"/>
      <c r="AI113" s="179" t="s">
        <v>146</v>
      </c>
      <c r="AJ113" s="179" t="s">
        <v>147</v>
      </c>
      <c r="AK113" s="179" t="s">
        <v>137</v>
      </c>
      <c r="AL113" s="179"/>
      <c r="AM113" s="179" t="s">
        <v>148</v>
      </c>
      <c r="AN113" s="180"/>
      <c r="AO113" s="11"/>
      <c r="AP113" s="181"/>
      <c r="AQ113" s="2"/>
      <c r="AR113" s="3"/>
      <c r="AS113" s="10"/>
      <c r="AT113" s="1"/>
      <c r="AU113" s="1"/>
      <c r="AV113" s="1"/>
      <c r="AW113" s="1"/>
      <c r="AX113" s="11"/>
      <c r="AY113" s="11"/>
      <c r="AZ113" s="1"/>
      <c r="BA113" s="1"/>
      <c r="BB113" s="1"/>
      <c r="BC113" s="1"/>
      <c r="BD113" s="1"/>
      <c r="BE113" s="1"/>
      <c r="BF113" s="1"/>
      <c r="BG113" s="1"/>
      <c r="BH113" s="1"/>
    </row>
    <row x14ac:dyDescent="0.25" r="114" customHeight="1" ht="14.5">
      <c r="A114" s="1"/>
      <c r="B114" s="1"/>
      <c r="C114" s="1"/>
      <c r="D114" s="1"/>
      <c r="E114" s="2"/>
      <c r="F114" s="2"/>
      <c r="G114" s="90">
        <f>(S114&amp;RIGHT(R114,1))*1</f>
      </c>
      <c r="H114" s="1"/>
      <c r="I114" s="111"/>
      <c r="J114" s="126">
        <f>Planning!Q48</f>
      </c>
      <c r="K114" s="93">
        <f>VLOOKUP(J114,AA$23:AE$88,5,FALSE)</f>
      </c>
      <c r="L114" s="122">
        <f>Planning!V48</f>
      </c>
      <c r="M114" s="95">
        <f>IF(Planning!AC48=0,0,IFERROR($AD48*AI$22,0))</f>
      </c>
      <c r="N114" s="171">
        <f>IF(Planning!AC48=0,0,IFERROR($AD48*AI$22*K114,0))</f>
      </c>
      <c r="O114" s="96">
        <f>IF(ISTEXT(Planning!V48),0,AI48)</f>
      </c>
      <c r="P114" s="94">
        <f>Planning!AC48</f>
      </c>
      <c r="Q114" s="121">
        <f>Progress!T48</f>
      </c>
      <c r="R114" s="95">
        <f>IF(Q114=0,0,IF(ISNUMBER(Q114),IF(S114&gt;=$G$21,$F$21,"Q31"),Q114))</f>
      </c>
      <c r="S114" s="122">
        <f>Progress!U48</f>
      </c>
      <c r="T114" s="97"/>
      <c r="U114" s="96">
        <f>V114/$N$419</f>
      </c>
      <c r="V114" s="176">
        <f>IF(L114&lt;$E$20,0,IF(ISTEXT(L114),0,IF(AND(G114+1&gt;=$E$19+1,L114&gt;0),IF(ISNUMBER(Q114),Q114*$AD48*AI$22*K114,$AD48*AI$22*K114),0)))</f>
      </c>
      <c r="W114" s="95">
        <f>IF(AND(L114&gt;0,S114&gt;0),IF(ISNUMBER(Q114),Q114*$AD48*AI$22*K114,$AD48*AI$22*K114),0)</f>
      </c>
      <c r="X114" s="17"/>
      <c r="Y114" s="11"/>
      <c r="Z114" s="11"/>
      <c r="AA114" s="98" t="s">
        <v>149</v>
      </c>
      <c r="AB114" s="99">
        <v>154</v>
      </c>
      <c r="AC114" s="99">
        <v>5</v>
      </c>
      <c r="AD114" s="100"/>
      <c r="AE114" s="177"/>
      <c r="AF114" s="8"/>
      <c r="AG114" s="1"/>
      <c r="AH114" s="178"/>
      <c r="AI114" s="179" t="s">
        <v>150</v>
      </c>
      <c r="AJ114" s="179" t="s">
        <v>151</v>
      </c>
      <c r="AK114" s="179" t="s">
        <v>141</v>
      </c>
      <c r="AL114" s="179"/>
      <c r="AM114" s="179" t="s">
        <v>152</v>
      </c>
      <c r="AN114" s="180"/>
      <c r="AO114" s="11"/>
      <c r="AP114" s="181"/>
      <c r="AQ114" s="2"/>
      <c r="AR114" s="3"/>
      <c r="AS114" s="10"/>
      <c r="AT114" s="1"/>
      <c r="AU114" s="1"/>
      <c r="AV114" s="1"/>
      <c r="AW114" s="1"/>
      <c r="AX114" s="11"/>
      <c r="AY114" s="11"/>
      <c r="AZ114" s="1"/>
      <c r="BA114" s="1"/>
      <c r="BB114" s="1"/>
      <c r="BC114" s="1"/>
      <c r="BD114" s="1"/>
      <c r="BE114" s="1"/>
      <c r="BF114" s="1"/>
      <c r="BG114" s="1"/>
      <c r="BH114" s="1"/>
    </row>
    <row x14ac:dyDescent="0.25" r="115" customHeight="1" ht="14.5">
      <c r="A115" s="1"/>
      <c r="B115" s="1"/>
      <c r="C115" s="1"/>
      <c r="D115" s="1"/>
      <c r="E115" s="2"/>
      <c r="F115" s="2"/>
      <c r="G115" s="90">
        <f>(S115&amp;RIGHT(R115,1))*1</f>
      </c>
      <c r="H115" s="1"/>
      <c r="I115" s="111"/>
      <c r="J115" s="126">
        <f>Planning!Q49</f>
      </c>
      <c r="K115" s="93">
        <f>VLOOKUP(J115,AA$23:AE$88,5,FALSE)</f>
      </c>
      <c r="L115" s="122">
        <f>Planning!V49</f>
      </c>
      <c r="M115" s="95">
        <f>IF(Planning!AC49=0,0,IFERROR($AD49*AI$22,0))</f>
      </c>
      <c r="N115" s="171">
        <f>IF(Planning!AC49=0,0,IFERROR($AD49*AI$22*K115,0))</f>
      </c>
      <c r="O115" s="96">
        <f>IF(ISTEXT(Planning!V49),0,AI49)</f>
      </c>
      <c r="P115" s="94">
        <f>Planning!AC49</f>
      </c>
      <c r="Q115" s="121">
        <f>Progress!T49</f>
      </c>
      <c r="R115" s="95">
        <f>IF(Q115=0,0,IF(ISNUMBER(Q115),IF(S115&gt;=$G$21,$F$21,"Q32"),Q115))</f>
      </c>
      <c r="S115" s="122">
        <f>Progress!U49</f>
      </c>
      <c r="T115" s="97"/>
      <c r="U115" s="96">
        <f>V115/$N$419</f>
      </c>
      <c r="V115" s="176">
        <f>IF(L115&lt;$E$20,0,IF(ISTEXT(L115),0,IF(AND(G115+1&gt;=$E$19+1,L115&gt;0),IF(ISNUMBER(Q115),Q115*$AD49*AI$22*K115,$AD49*AI$22*K115),0)))</f>
      </c>
      <c r="W115" s="95">
        <f>IF(AND(L115&gt;0,S115&gt;0),IF(ISNUMBER(Q115),Q115*$AD49*AI$22*K115,$AD49*AI$22*K115),0)</f>
      </c>
      <c r="X115" s="17"/>
      <c r="Y115" s="11"/>
      <c r="Z115" s="11"/>
      <c r="AA115" s="98" t="s">
        <v>153</v>
      </c>
      <c r="AB115" s="99">
        <v>1273</v>
      </c>
      <c r="AC115" s="99">
        <v>5</v>
      </c>
      <c r="AD115" s="100"/>
      <c r="AE115" s="177"/>
      <c r="AF115" s="8"/>
      <c r="AG115" s="1"/>
      <c r="AH115" s="178"/>
      <c r="AI115" s="179" t="s">
        <v>154</v>
      </c>
      <c r="AJ115" s="179" t="s">
        <v>155</v>
      </c>
      <c r="AK115" s="179" t="s">
        <v>145</v>
      </c>
      <c r="AL115" s="179"/>
      <c r="AM115" s="179" t="s">
        <v>156</v>
      </c>
      <c r="AN115" s="180"/>
      <c r="AO115" s="1"/>
      <c r="AP115" s="9"/>
      <c r="AQ115" s="2"/>
      <c r="AR115" s="3"/>
      <c r="AS115" s="10"/>
      <c r="AT115" s="1"/>
      <c r="AU115" s="1"/>
      <c r="AV115" s="1"/>
      <c r="AW115" s="1"/>
      <c r="AX115" s="11"/>
      <c r="AY115" s="11"/>
      <c r="AZ115" s="1"/>
      <c r="BA115" s="1"/>
      <c r="BB115" s="1"/>
      <c r="BC115" s="1"/>
      <c r="BD115" s="1"/>
      <c r="BE115" s="1"/>
      <c r="BF115" s="1"/>
      <c r="BG115" s="1"/>
      <c r="BH115" s="1"/>
    </row>
    <row x14ac:dyDescent="0.25" r="116" customHeight="1" ht="14.5">
      <c r="A116" s="1"/>
      <c r="B116" s="1"/>
      <c r="C116" s="1"/>
      <c r="D116" s="1"/>
      <c r="E116" s="2"/>
      <c r="F116" s="2"/>
      <c r="G116" s="90">
        <f>(S116&amp;RIGHT(R116,1))*1</f>
      </c>
      <c r="H116" s="1"/>
      <c r="I116" s="111"/>
      <c r="J116" s="126">
        <f>Planning!Q50</f>
      </c>
      <c r="K116" s="93">
        <f>VLOOKUP(J116,AA$23:AE$88,5,FALSE)</f>
      </c>
      <c r="L116" s="122">
        <f>Planning!V50</f>
      </c>
      <c r="M116" s="95">
        <f>IF(Planning!AC50=0,0,IFERROR($AD50*AI$22,0))</f>
      </c>
      <c r="N116" s="171">
        <f>IF(Planning!AC50=0,0,IFERROR($AD50*AI$22*K116,0))</f>
      </c>
      <c r="O116" s="96">
        <f>IF(ISTEXT(Planning!V50),0,AI50)</f>
      </c>
      <c r="P116" s="94">
        <f>Planning!AC50</f>
      </c>
      <c r="Q116" s="121">
        <f>Progress!T50</f>
      </c>
      <c r="R116" s="95">
        <f>IF(Q116=0,0,IF(ISNUMBER(Q116),IF(S116&gt;=$G$21,$F$21,"Q33"),Q116))</f>
      </c>
      <c r="S116" s="122">
        <f>Progress!U50</f>
      </c>
      <c r="T116" s="97"/>
      <c r="U116" s="96">
        <f>V116/$N$419</f>
      </c>
      <c r="V116" s="176">
        <f>IF(L116&lt;$E$20,0,IF(ISTEXT(L116),0,IF(AND(G116+1&gt;=$E$19+1,L116&gt;0),IF(ISNUMBER(Q116),Q116*$AD50*AI$22*K116,$AD50*AI$22*K116),0)))</f>
      </c>
      <c r="W116" s="95">
        <f>IF(AND(L116&gt;0,S116&gt;0),IF(ISNUMBER(Q116),Q116*$AD50*AI$22*K116,$AD50*AI$22*K116),0)</f>
      </c>
      <c r="X116" s="17"/>
      <c r="Y116" s="11"/>
      <c r="Z116" s="11"/>
      <c r="AA116" s="98" t="s">
        <v>157</v>
      </c>
      <c r="AB116" s="99">
        <v>357</v>
      </c>
      <c r="AC116" s="99">
        <v>4</v>
      </c>
      <c r="AD116" s="100"/>
      <c r="AE116" s="177"/>
      <c r="AF116" s="8"/>
      <c r="AG116" s="1"/>
      <c r="AH116" s="178"/>
      <c r="AI116" s="179"/>
      <c r="AJ116" s="179" t="s">
        <v>158</v>
      </c>
      <c r="AK116" s="179" t="s">
        <v>149</v>
      </c>
      <c r="AL116" s="179"/>
      <c r="AM116" s="179" t="s">
        <v>159</v>
      </c>
      <c r="AN116" s="180"/>
      <c r="AO116" s="1"/>
      <c r="AP116" s="9"/>
      <c r="AQ116" s="2"/>
      <c r="AR116" s="3"/>
      <c r="AS116" s="10"/>
      <c r="AT116" s="1"/>
      <c r="AU116" s="1"/>
      <c r="AV116" s="1"/>
      <c r="AW116" s="1"/>
      <c r="AX116" s="11"/>
      <c r="AY116" s="11"/>
      <c r="AZ116" s="1"/>
      <c r="BA116" s="1"/>
      <c r="BB116" s="1"/>
      <c r="BC116" s="1"/>
      <c r="BD116" s="1"/>
      <c r="BE116" s="1"/>
      <c r="BF116" s="1"/>
      <c r="BG116" s="1"/>
      <c r="BH116" s="1"/>
    </row>
    <row x14ac:dyDescent="0.25" r="117" customHeight="1" ht="14.5">
      <c r="A117" s="1"/>
      <c r="B117" s="1"/>
      <c r="C117" s="1"/>
      <c r="D117" s="1"/>
      <c r="E117" s="2"/>
      <c r="F117" s="2"/>
      <c r="G117" s="90">
        <f>(S117&amp;RIGHT(R117,1))*1</f>
      </c>
      <c r="H117" s="1"/>
      <c r="I117" s="111"/>
      <c r="J117" s="126">
        <f>Planning!Q51</f>
      </c>
      <c r="K117" s="93">
        <f>VLOOKUP(J117,AA$23:AE$88,5,FALSE)</f>
      </c>
      <c r="L117" s="122">
        <f>Planning!V51</f>
      </c>
      <c r="M117" s="95">
        <f>IF(Planning!AC51=0,0,IFERROR($AD51*AI$22,0))</f>
      </c>
      <c r="N117" s="171">
        <f>IF(Planning!AC51=0,0,IFERROR($AD51*AI$22*K117,0))</f>
      </c>
      <c r="O117" s="96">
        <f>IF(ISTEXT(Planning!V51),0,AI51)</f>
      </c>
      <c r="P117" s="94">
        <f>Planning!AC51</f>
      </c>
      <c r="Q117" s="121">
        <f>Progress!T51</f>
      </c>
      <c r="R117" s="95">
        <f>IF(Q117=0,0,IF(ISNUMBER(Q117),IF(S117&gt;=$G$21,$F$21,"Q34"),Q117))</f>
      </c>
      <c r="S117" s="122">
        <f>Progress!U51</f>
      </c>
      <c r="T117" s="97"/>
      <c r="U117" s="96">
        <f>V117/$N$419</f>
      </c>
      <c r="V117" s="176">
        <f>IF(L117&lt;$E$20,0,IF(ISTEXT(L117),0,IF(AND(G117+1&gt;=$E$19+1,L117&gt;0),IF(ISNUMBER(Q117),Q117*$AD51*AI$22*K117,$AD51*AI$22*K117),0)))</f>
      </c>
      <c r="W117" s="95">
        <f>IF(AND(L117&gt;0,S117&gt;0),IF(ISNUMBER(Q117),Q117*$AD51*AI$22*K117,$AD51*AI$22*K117),0)</f>
      </c>
      <c r="X117" s="17"/>
      <c r="Y117" s="11"/>
      <c r="Z117" s="11"/>
      <c r="AA117" s="98" t="s">
        <v>160</v>
      </c>
      <c r="AB117" s="99">
        <v>197</v>
      </c>
      <c r="AC117" s="99">
        <v>5</v>
      </c>
      <c r="AD117" s="100"/>
      <c r="AE117" s="177"/>
      <c r="AF117" s="8"/>
      <c r="AG117" s="1"/>
      <c r="AH117" s="178"/>
      <c r="AI117" s="179"/>
      <c r="AJ117" s="179" t="s">
        <v>161</v>
      </c>
      <c r="AK117" s="179" t="s">
        <v>153</v>
      </c>
      <c r="AL117" s="179"/>
      <c r="AM117" s="179" t="s">
        <v>162</v>
      </c>
      <c r="AN117" s="180"/>
      <c r="AO117" s="1"/>
      <c r="AP117" s="9"/>
      <c r="AQ117" s="2"/>
      <c r="AR117" s="3"/>
      <c r="AS117" s="10"/>
      <c r="AT117" s="1"/>
      <c r="AU117" s="1"/>
      <c r="AV117" s="1"/>
      <c r="AW117" s="1"/>
      <c r="AX117" s="11"/>
      <c r="AY117" s="11"/>
      <c r="AZ117" s="1"/>
      <c r="BA117" s="1"/>
      <c r="BB117" s="1"/>
      <c r="BC117" s="1"/>
      <c r="BD117" s="1"/>
      <c r="BE117" s="1"/>
      <c r="BF117" s="1"/>
      <c r="BG117" s="1"/>
      <c r="BH117" s="1"/>
    </row>
    <row x14ac:dyDescent="0.25" r="118" customHeight="1" ht="14.5">
      <c r="A118" s="1"/>
      <c r="B118" s="1"/>
      <c r="C118" s="1"/>
      <c r="D118" s="1"/>
      <c r="E118" s="2"/>
      <c r="F118" s="2"/>
      <c r="G118" s="90">
        <f>(S118&amp;RIGHT(R118,1))*1</f>
      </c>
      <c r="H118" s="1"/>
      <c r="I118" s="111"/>
      <c r="J118" s="126">
        <f>Planning!Q52</f>
      </c>
      <c r="K118" s="93">
        <f>VLOOKUP(J118,AA$23:AE$88,5,FALSE)</f>
      </c>
      <c r="L118" s="122">
        <f>Planning!V52</f>
      </c>
      <c r="M118" s="95">
        <f>IF(Planning!AC52=0,0,IFERROR($AD52*AI$22,0))</f>
      </c>
      <c r="N118" s="171">
        <f>IF(Planning!AC52=0,0,IFERROR($AD52*AI$22*K118,0))</f>
      </c>
      <c r="O118" s="96">
        <f>IF(ISTEXT(Planning!V52),0,AI52)</f>
      </c>
      <c r="P118" s="94">
        <f>Planning!AC52</f>
      </c>
      <c r="Q118" s="121">
        <f>Progress!T52</f>
      </c>
      <c r="R118" s="95">
        <f>IF(Q118=0,0,IF(ISNUMBER(Q118),IF(S118&gt;=$G$21,$F$21,"Q35"),Q118))</f>
      </c>
      <c r="S118" s="122">
        <f>Progress!U52</f>
      </c>
      <c r="T118" s="97"/>
      <c r="U118" s="96">
        <f>V118/$N$419</f>
      </c>
      <c r="V118" s="176">
        <f>IF(L118&lt;$E$20,0,IF(ISTEXT(L118),0,IF(AND(G118+1&gt;=$E$19+1,L118&gt;0),IF(ISNUMBER(Q118),Q118*$AD52*AI$22*K118,$AD52*AI$22*K118),0)))</f>
      </c>
      <c r="W118" s="95">
        <f>IF(AND(L118&gt;0,S118&gt;0),IF(ISNUMBER(Q118),Q118*$AD52*AI$22*K118,$AD52*AI$22*K118),0)</f>
      </c>
      <c r="X118" s="17"/>
      <c r="Y118" s="11"/>
      <c r="Z118" s="11"/>
      <c r="AA118" s="98" t="s">
        <v>163</v>
      </c>
      <c r="AB118" s="99">
        <v>73</v>
      </c>
      <c r="AC118" s="99">
        <v>5</v>
      </c>
      <c r="AD118" s="100"/>
      <c r="AE118" s="177"/>
      <c r="AF118" s="8"/>
      <c r="AG118" s="1"/>
      <c r="AH118" s="178"/>
      <c r="AI118" s="179"/>
      <c r="AJ118" s="179" t="s">
        <v>164</v>
      </c>
      <c r="AK118" s="179" t="s">
        <v>157</v>
      </c>
      <c r="AL118" s="179"/>
      <c r="AM118" s="179" t="s">
        <v>165</v>
      </c>
      <c r="AN118" s="180"/>
      <c r="AO118" s="1"/>
      <c r="AP118" s="9"/>
      <c r="AQ118" s="2"/>
      <c r="AR118" s="3"/>
      <c r="AS118" s="10"/>
      <c r="AT118" s="1"/>
      <c r="AU118" s="1"/>
      <c r="AV118" s="1"/>
      <c r="AW118" s="1"/>
      <c r="AX118" s="11"/>
      <c r="AY118" s="11"/>
      <c r="AZ118" s="1"/>
      <c r="BA118" s="1"/>
      <c r="BB118" s="1"/>
      <c r="BC118" s="1"/>
      <c r="BD118" s="1"/>
      <c r="BE118" s="1"/>
      <c r="BF118" s="1"/>
      <c r="BG118" s="1"/>
      <c r="BH118" s="1"/>
    </row>
    <row x14ac:dyDescent="0.25" r="119" customHeight="1" ht="14.5">
      <c r="A119" s="1"/>
      <c r="B119" s="1"/>
      <c r="C119" s="1"/>
      <c r="D119" s="1"/>
      <c r="E119" s="2"/>
      <c r="F119" s="2"/>
      <c r="G119" s="90">
        <f>(S119&amp;RIGHT(R119,1))*1</f>
      </c>
      <c r="H119" s="1"/>
      <c r="I119" s="111"/>
      <c r="J119" s="126">
        <f>Planning!Q53</f>
      </c>
      <c r="K119" s="93">
        <f>VLOOKUP(J119,AA$23:AE$88,5,FALSE)</f>
      </c>
      <c r="L119" s="122">
        <f>Planning!V53</f>
      </c>
      <c r="M119" s="95">
        <f>IF(Planning!AC53=0,0,IFERROR($AD53*AI$22,0))</f>
      </c>
      <c r="N119" s="171">
        <f>IF(Planning!AC53=0,0,IFERROR($AD53*AI$22*K119,0))</f>
      </c>
      <c r="O119" s="96">
        <f>IF(ISTEXT(Planning!V53),0,AI53)</f>
      </c>
      <c r="P119" s="94">
        <f>Planning!AC53</f>
      </c>
      <c r="Q119" s="121">
        <f>Progress!T53</f>
      </c>
      <c r="R119" s="95">
        <f>IF(Q119=0,0,IF(ISNUMBER(Q119),IF(S119&gt;=$G$21,$F$21,"Q36"),Q119))</f>
      </c>
      <c r="S119" s="122">
        <f>Progress!U53</f>
      </c>
      <c r="T119" s="97"/>
      <c r="U119" s="96">
        <f>V119/$N$419</f>
      </c>
      <c r="V119" s="176">
        <f>IF(L119&lt;$E$20,0,IF(ISTEXT(L119),0,IF(AND(G119+1&gt;=$E$19+1,L119&gt;0),IF(ISNUMBER(Q119),Q119*$AD53*AI$22*K119,$AD53*AI$22*K119),0)))</f>
      </c>
      <c r="W119" s="95">
        <f>IF(AND(L119&gt;0,S119&gt;0),IF(ISNUMBER(Q119),Q119*$AD53*AI$22*K119,$AD53*AI$22*K119),0)</f>
      </c>
      <c r="X119" s="17"/>
      <c r="Y119" s="11"/>
      <c r="Z119" s="11"/>
      <c r="AA119" s="98" t="s">
        <v>166</v>
      </c>
      <c r="AB119" s="99">
        <v>146</v>
      </c>
      <c r="AC119" s="99">
        <v>5</v>
      </c>
      <c r="AD119" s="100"/>
      <c r="AE119" s="177"/>
      <c r="AF119" s="8"/>
      <c r="AG119" s="1"/>
      <c r="AH119" s="178"/>
      <c r="AI119" s="179"/>
      <c r="AJ119" s="179"/>
      <c r="AK119" s="179" t="s">
        <v>160</v>
      </c>
      <c r="AL119" s="179"/>
      <c r="AM119" s="179" t="s">
        <v>167</v>
      </c>
      <c r="AN119" s="180"/>
      <c r="AO119" s="1"/>
      <c r="AP119" s="9"/>
      <c r="AQ119" s="2"/>
      <c r="AR119" s="3"/>
      <c r="AS119" s="10"/>
      <c r="AT119" s="1"/>
      <c r="AU119" s="1"/>
      <c r="AV119" s="1"/>
      <c r="AW119" s="1"/>
      <c r="AX119" s="11"/>
      <c r="AY119" s="11"/>
      <c r="AZ119" s="1"/>
      <c r="BA119" s="1"/>
      <c r="BB119" s="1"/>
      <c r="BC119" s="1"/>
      <c r="BD119" s="1"/>
      <c r="BE119" s="1"/>
      <c r="BF119" s="1"/>
      <c r="BG119" s="1"/>
      <c r="BH119" s="1"/>
    </row>
    <row x14ac:dyDescent="0.25" r="120" customHeight="1" ht="14.5">
      <c r="A120" s="1"/>
      <c r="B120" s="1"/>
      <c r="C120" s="1"/>
      <c r="D120" s="1"/>
      <c r="E120" s="2"/>
      <c r="F120" s="2"/>
      <c r="G120" s="90">
        <f>(S120&amp;RIGHT(R120,1))*1</f>
      </c>
      <c r="H120" s="1"/>
      <c r="I120" s="111"/>
      <c r="J120" s="126">
        <f>Planning!Q54</f>
      </c>
      <c r="K120" s="93">
        <f>VLOOKUP(J120,AA$23:AE$88,5,FALSE)</f>
      </c>
      <c r="L120" s="122">
        <f>Planning!V54</f>
      </c>
      <c r="M120" s="95">
        <f>IF(Planning!AC54=0,0,IFERROR($AD54*AI$22,0))</f>
      </c>
      <c r="N120" s="171">
        <f>IF(Planning!AC54=0,0,IFERROR($AD54*AI$22*K120,0))</f>
      </c>
      <c r="O120" s="96">
        <f>IF(ISTEXT(Planning!V54),0,AI54)</f>
      </c>
      <c r="P120" s="94">
        <f>Planning!AC54</f>
      </c>
      <c r="Q120" s="121">
        <f>Progress!T54</f>
      </c>
      <c r="R120" s="95">
        <f>IF(Q120=0,0,IF(ISNUMBER(Q120),IF(S120&gt;=$G$21,$F$21,"Q37"),Q120))</f>
      </c>
      <c r="S120" s="122">
        <f>Progress!U54</f>
      </c>
      <c r="T120" s="97"/>
      <c r="U120" s="96">
        <f>V120/$N$419</f>
      </c>
      <c r="V120" s="176">
        <f>IF(L120&lt;$E$20,0,IF(ISTEXT(L120),0,IF(AND(G120+1&gt;=$E$19+1,L120&gt;0),IF(ISNUMBER(Q120),Q120*$AD54*AI$22*K120,$AD54*AI$22*K120),0)))</f>
      </c>
      <c r="W120" s="95">
        <f>IF(AND(L120&gt;0,S120&gt;0),IF(ISNUMBER(Q120),Q120*$AD54*AI$22*K120,$AD54*AI$22*K120),0)</f>
      </c>
      <c r="X120" s="17"/>
      <c r="Y120" s="11"/>
      <c r="Z120" s="11"/>
      <c r="AA120" s="98" t="s">
        <v>168</v>
      </c>
      <c r="AB120" s="99">
        <v>21</v>
      </c>
      <c r="AC120" s="99">
        <v>5</v>
      </c>
      <c r="AD120" s="100"/>
      <c r="AE120" s="177"/>
      <c r="AF120" s="8"/>
      <c r="AG120" s="1"/>
      <c r="AH120" s="178"/>
      <c r="AI120" s="179"/>
      <c r="AJ120" s="179"/>
      <c r="AK120" s="179" t="s">
        <v>163</v>
      </c>
      <c r="AL120" s="179"/>
      <c r="AM120" s="179" t="s">
        <v>169</v>
      </c>
      <c r="AN120" s="180"/>
      <c r="AO120" s="1"/>
      <c r="AP120" s="9"/>
      <c r="AQ120" s="2"/>
      <c r="AR120" s="3"/>
      <c r="AS120" s="10"/>
      <c r="AT120" s="1"/>
      <c r="AU120" s="1"/>
      <c r="AV120" s="1"/>
      <c r="AW120" s="1"/>
      <c r="AX120" s="11"/>
      <c r="AY120" s="11"/>
      <c r="AZ120" s="1"/>
      <c r="BA120" s="1"/>
      <c r="BB120" s="1"/>
      <c r="BC120" s="1"/>
      <c r="BD120" s="1"/>
      <c r="BE120" s="1"/>
      <c r="BF120" s="1"/>
      <c r="BG120" s="1"/>
      <c r="BH120" s="1"/>
    </row>
    <row x14ac:dyDescent="0.25" r="121" customHeight="1" ht="14.5">
      <c r="A121" s="1"/>
      <c r="B121" s="1"/>
      <c r="C121" s="1"/>
      <c r="D121" s="1"/>
      <c r="E121" s="2"/>
      <c r="F121" s="2"/>
      <c r="G121" s="90">
        <f>(S121&amp;RIGHT(R121,1))*1</f>
      </c>
      <c r="H121" s="1"/>
      <c r="I121" s="111"/>
      <c r="J121" s="126">
        <f>Planning!Q55</f>
      </c>
      <c r="K121" s="93">
        <f>VLOOKUP(J121,AA$23:AE$88,5,FALSE)</f>
      </c>
      <c r="L121" s="122">
        <f>Planning!V55</f>
      </c>
      <c r="M121" s="95">
        <f>IF(Planning!AC55=0,0,IFERROR($AD55*AI$22,0))</f>
      </c>
      <c r="N121" s="171">
        <f>IF(Planning!AC55=0,0,IFERROR($AD55*AI$22*K121,0))</f>
      </c>
      <c r="O121" s="96">
        <f>IF(ISTEXT(Planning!V55),0,AI55)</f>
      </c>
      <c r="P121" s="94">
        <f>Planning!AC55</f>
      </c>
      <c r="Q121" s="121">
        <f>Progress!T55</f>
      </c>
      <c r="R121" s="95">
        <f>IF(Q121=0,0,IF(ISNUMBER(Q121),IF(S121&gt;=$G$21,$F$21,"Q38"),Q121))</f>
      </c>
      <c r="S121" s="122">
        <f>Progress!U55</f>
      </c>
      <c r="T121" s="97"/>
      <c r="U121" s="96">
        <f>V121/$N$419</f>
      </c>
      <c r="V121" s="176">
        <f>IF(L121&lt;$E$20,0,IF(ISTEXT(L121),0,IF(AND(G121+1&gt;=$E$19+1,L121&gt;0),IF(ISNUMBER(Q121),Q121*$AD55*AI$22*K121,$AD55*AI$22*K121),0)))</f>
      </c>
      <c r="W121" s="95">
        <f>IF(AND(L121&gt;0,S121&gt;0),IF(ISNUMBER(Q121),Q121*$AD55*AI$22*K121,$AD55*AI$22*K121),0)</f>
      </c>
      <c r="X121" s="17"/>
      <c r="Y121" s="11"/>
      <c r="Z121" s="11"/>
      <c r="AA121" s="98" t="s">
        <v>170</v>
      </c>
      <c r="AB121" s="99">
        <v>48</v>
      </c>
      <c r="AC121" s="99">
        <v>2</v>
      </c>
      <c r="AD121" s="100"/>
      <c r="AE121" s="177"/>
      <c r="AF121" s="8"/>
      <c r="AG121" s="1"/>
      <c r="AH121" s="178"/>
      <c r="AI121" s="179"/>
      <c r="AJ121" s="179"/>
      <c r="AK121" s="179" t="s">
        <v>166</v>
      </c>
      <c r="AL121" s="179"/>
      <c r="AM121" s="179" t="s">
        <v>171</v>
      </c>
      <c r="AN121" s="180"/>
      <c r="AO121" s="1"/>
      <c r="AP121" s="9"/>
      <c r="AQ121" s="2"/>
      <c r="AR121" s="3"/>
      <c r="AS121" s="10"/>
      <c r="AT121" s="1"/>
      <c r="AU121" s="1"/>
      <c r="AV121" s="1"/>
      <c r="AW121" s="1"/>
      <c r="AX121" s="11"/>
      <c r="AY121" s="11"/>
      <c r="AZ121" s="1"/>
      <c r="BA121" s="1"/>
      <c r="BB121" s="1"/>
      <c r="BC121" s="1"/>
      <c r="BD121" s="1"/>
      <c r="BE121" s="1"/>
      <c r="BF121" s="1"/>
      <c r="BG121" s="1"/>
      <c r="BH121" s="1"/>
    </row>
    <row x14ac:dyDescent="0.25" r="122" customHeight="1" ht="14.5">
      <c r="A122" s="1"/>
      <c r="B122" s="1"/>
      <c r="C122" s="1"/>
      <c r="D122" s="1"/>
      <c r="E122" s="2"/>
      <c r="F122" s="2"/>
      <c r="G122" s="90">
        <f>(S122&amp;RIGHT(R122,1))*1</f>
      </c>
      <c r="H122" s="1"/>
      <c r="I122" s="111"/>
      <c r="J122" s="126">
        <f>Planning!Q56</f>
      </c>
      <c r="K122" s="93">
        <f>VLOOKUP(J122,AA$23:AE$88,5,FALSE)</f>
      </c>
      <c r="L122" s="122">
        <f>Planning!V56</f>
      </c>
      <c r="M122" s="95">
        <f>IF(Planning!AC56=0,0,IFERROR($AD56*AI$22,0))</f>
      </c>
      <c r="N122" s="171">
        <f>IF(Planning!AC56=0,0,IFERROR($AD56*AI$22*K122,0))</f>
      </c>
      <c r="O122" s="96">
        <f>IF(ISTEXT(Planning!V56),0,AI56)</f>
      </c>
      <c r="P122" s="94">
        <f>Planning!AC56</f>
      </c>
      <c r="Q122" s="121">
        <f>Progress!T56</f>
      </c>
      <c r="R122" s="95">
        <f>IF(Q122=0,0,IF(ISNUMBER(Q122),IF(S122&gt;=$G$21,$F$21,"Q39"),Q122))</f>
      </c>
      <c r="S122" s="122">
        <f>Progress!U56</f>
      </c>
      <c r="T122" s="97"/>
      <c r="U122" s="96">
        <f>V122/$N$419</f>
      </c>
      <c r="V122" s="176">
        <f>IF(L122&lt;$E$20,0,IF(ISTEXT(L122),0,IF(AND(G122+1&gt;=$E$19+1,L122&gt;0),IF(ISNUMBER(Q122),Q122*$AD56*AI$22*K122,$AD56*AI$22*K122),0)))</f>
      </c>
      <c r="W122" s="95">
        <f>IF(AND(L122&gt;0,S122&gt;0),IF(ISNUMBER(Q122),Q122*$AD56*AI$22*K122,$AD56*AI$22*K122),0)</f>
      </c>
      <c r="X122" s="17"/>
      <c r="Y122" s="11"/>
      <c r="Z122" s="11"/>
      <c r="AA122" s="98" t="s">
        <v>172</v>
      </c>
      <c r="AB122" s="99">
        <v>105</v>
      </c>
      <c r="AC122" s="99">
        <v>5</v>
      </c>
      <c r="AD122" s="100"/>
      <c r="AE122" s="177"/>
      <c r="AF122" s="8"/>
      <c r="AG122" s="1"/>
      <c r="AH122" s="178"/>
      <c r="AI122" s="179"/>
      <c r="AJ122" s="179"/>
      <c r="AK122" s="179" t="s">
        <v>168</v>
      </c>
      <c r="AL122" s="179"/>
      <c r="AM122" s="179" t="s">
        <v>173</v>
      </c>
      <c r="AN122" s="180"/>
      <c r="AO122" s="1"/>
      <c r="AP122" s="9"/>
      <c r="AQ122" s="2"/>
      <c r="AR122" s="3"/>
      <c r="AS122" s="10"/>
      <c r="AT122" s="1"/>
      <c r="AU122" s="1"/>
      <c r="AV122" s="1"/>
      <c r="AW122" s="1"/>
      <c r="AX122" s="11"/>
      <c r="AY122" s="11"/>
      <c r="AZ122" s="1"/>
      <c r="BA122" s="1"/>
      <c r="BB122" s="1"/>
      <c r="BC122" s="1"/>
      <c r="BD122" s="1"/>
      <c r="BE122" s="1"/>
      <c r="BF122" s="1"/>
      <c r="BG122" s="1"/>
      <c r="BH122" s="1"/>
    </row>
    <row x14ac:dyDescent="0.25" r="123" customHeight="1" ht="14.5">
      <c r="A123" s="1"/>
      <c r="B123" s="1"/>
      <c r="C123" s="1"/>
      <c r="D123" s="1"/>
      <c r="E123" s="2"/>
      <c r="F123" s="2"/>
      <c r="G123" s="90">
        <f>(S123&amp;RIGHT(R123,1))*1</f>
      </c>
      <c r="H123" s="1"/>
      <c r="I123" s="111"/>
      <c r="J123" s="126">
        <f>Planning!Q57</f>
      </c>
      <c r="K123" s="93">
        <f>VLOOKUP(J123,AA$23:AE$88,5,FALSE)</f>
      </c>
      <c r="L123" s="122">
        <f>Planning!V57</f>
      </c>
      <c r="M123" s="95">
        <f>IF(Planning!AC57=0,0,IFERROR($AD57*AI$22,0))</f>
      </c>
      <c r="N123" s="171">
        <f>IF(Planning!AC57=0,0,IFERROR($AD57*AI$22*K123,0))</f>
      </c>
      <c r="O123" s="96">
        <f>IF(ISTEXT(Planning!V57),0,AI57)</f>
      </c>
      <c r="P123" s="94">
        <f>Planning!AC57</f>
      </c>
      <c r="Q123" s="121">
        <f>Progress!T57</f>
      </c>
      <c r="R123" s="95">
        <f>IF(Q123=0,0,IF(ISNUMBER(Q123),IF(S123&gt;=$G$21,$F$21,"Q40"),Q123))</f>
      </c>
      <c r="S123" s="122">
        <f>Progress!U57</f>
      </c>
      <c r="T123" s="97"/>
      <c r="U123" s="96">
        <f>V123/$N$419</f>
      </c>
      <c r="V123" s="176">
        <f>IF(L123&lt;$E$20,0,IF(ISTEXT(L123),0,IF(AND(G123+1&gt;=$E$19+1,L123&gt;0),IF(ISNUMBER(Q123),Q123*$AD57*AI$22*K123,$AD57*AI$22*K123),0)))</f>
      </c>
      <c r="W123" s="95">
        <f>IF(AND(L123&gt;0,S123&gt;0),IF(ISNUMBER(Q123),Q123*$AD57*AI$22*K123,$AD57*AI$22*K123),0)</f>
      </c>
      <c r="X123" s="17"/>
      <c r="Y123" s="11"/>
      <c r="Z123" s="11"/>
      <c r="AA123" s="98" t="s">
        <v>174</v>
      </c>
      <c r="AB123" s="99">
        <v>47</v>
      </c>
      <c r="AC123" s="99">
        <v>5</v>
      </c>
      <c r="AD123" s="100"/>
      <c r="AE123" s="177"/>
      <c r="AF123" s="8"/>
      <c r="AG123" s="1"/>
      <c r="AH123" s="178"/>
      <c r="AI123" s="179"/>
      <c r="AJ123" s="179"/>
      <c r="AK123" s="179" t="s">
        <v>170</v>
      </c>
      <c r="AL123" s="179"/>
      <c r="AM123" s="179" t="s">
        <v>175</v>
      </c>
      <c r="AN123" s="180"/>
      <c r="AO123" s="1"/>
      <c r="AP123" s="9"/>
      <c r="AQ123" s="2"/>
      <c r="AR123" s="3"/>
      <c r="AS123" s="10"/>
      <c r="AT123" s="1"/>
      <c r="AU123" s="1"/>
      <c r="AV123" s="1"/>
      <c r="AW123" s="1"/>
      <c r="AX123" s="11"/>
      <c r="AY123" s="11"/>
      <c r="AZ123" s="1"/>
      <c r="BA123" s="1"/>
      <c r="BB123" s="1"/>
      <c r="BC123" s="1"/>
      <c r="BD123" s="1"/>
      <c r="BE123" s="1"/>
      <c r="BF123" s="1"/>
      <c r="BG123" s="1"/>
      <c r="BH123" s="1"/>
    </row>
    <row x14ac:dyDescent="0.25" r="124" customHeight="1" ht="14.5">
      <c r="A124" s="1"/>
      <c r="B124" s="1"/>
      <c r="C124" s="1"/>
      <c r="D124" s="1"/>
      <c r="E124" s="2"/>
      <c r="F124" s="2"/>
      <c r="G124" s="90">
        <f>(S124&amp;RIGHT(R124,1))*1</f>
      </c>
      <c r="H124" s="1"/>
      <c r="I124" s="111"/>
      <c r="J124" s="126">
        <f>Planning!Q58</f>
      </c>
      <c r="K124" s="93">
        <f>VLOOKUP(J124,AA$23:AE$88,5,FALSE)</f>
      </c>
      <c r="L124" s="122">
        <f>Planning!V58</f>
      </c>
      <c r="M124" s="95">
        <f>IF(Planning!AC58=0,0,IFERROR($AD58*AI$22,0))</f>
      </c>
      <c r="N124" s="171">
        <f>IF(Planning!AC58=0,0,IFERROR($AD58*AI$22*K124,0))</f>
      </c>
      <c r="O124" s="96">
        <f>IF(ISTEXT(Planning!V58),0,AI58)</f>
      </c>
      <c r="P124" s="94">
        <f>Planning!AC58</f>
      </c>
      <c r="Q124" s="121">
        <f>Progress!T58</f>
      </c>
      <c r="R124" s="95">
        <f>IF(Q124=0,0,IF(ISNUMBER(Q124),IF(S124&gt;=$G$21,$F$21,"Q41"),Q124))</f>
      </c>
      <c r="S124" s="122">
        <f>Progress!U58</f>
      </c>
      <c r="T124" s="97"/>
      <c r="U124" s="96">
        <f>V124/$N$419</f>
      </c>
      <c r="V124" s="176">
        <f>IF(L124&lt;$E$20,0,IF(ISTEXT(L124),0,IF(AND(G124+1&gt;=$E$19+1,L124&gt;0),IF(ISNUMBER(Q124),Q124*$AD58*AI$22*K124,$AD58*AI$22*K124),0)))</f>
      </c>
      <c r="W124" s="95">
        <f>IF(AND(L124&gt;0,S124&gt;0),IF(ISNUMBER(Q124),Q124*$AD58*AI$22*K124,$AD58*AI$22*K124),0)</f>
      </c>
      <c r="X124" s="17"/>
      <c r="Y124" s="11"/>
      <c r="Z124" s="11"/>
      <c r="AA124" s="98" t="s">
        <v>176</v>
      </c>
      <c r="AB124" s="99">
        <v>56</v>
      </c>
      <c r="AC124" s="99">
        <v>5</v>
      </c>
      <c r="AD124" s="100"/>
      <c r="AE124" s="177"/>
      <c r="AF124" s="8"/>
      <c r="AG124" s="1"/>
      <c r="AH124" s="178"/>
      <c r="AI124" s="179"/>
      <c r="AJ124" s="179"/>
      <c r="AK124" s="179" t="s">
        <v>172</v>
      </c>
      <c r="AL124" s="179"/>
      <c r="AM124" s="179" t="s">
        <v>177</v>
      </c>
      <c r="AN124" s="180"/>
      <c r="AO124" s="1"/>
      <c r="AP124" s="9"/>
      <c r="AQ124" s="2"/>
      <c r="AR124" s="3"/>
      <c r="AS124" s="10"/>
      <c r="AT124" s="1"/>
      <c r="AU124" s="1"/>
      <c r="AV124" s="1"/>
      <c r="AW124" s="1"/>
      <c r="AX124" s="11"/>
      <c r="AY124" s="11"/>
      <c r="AZ124" s="1"/>
      <c r="BA124" s="1"/>
      <c r="BB124" s="1"/>
      <c r="BC124" s="1"/>
      <c r="BD124" s="1"/>
      <c r="BE124" s="1"/>
      <c r="BF124" s="1"/>
      <c r="BG124" s="1"/>
      <c r="BH124" s="1"/>
    </row>
    <row x14ac:dyDescent="0.25" r="125" customHeight="1" ht="14.5">
      <c r="A125" s="1"/>
      <c r="B125" s="1"/>
      <c r="C125" s="1"/>
      <c r="D125" s="1"/>
      <c r="E125" s="2"/>
      <c r="F125" s="2"/>
      <c r="G125" s="90">
        <f>(S125&amp;RIGHT(R125,1))*1</f>
      </c>
      <c r="H125" s="1"/>
      <c r="I125" s="111"/>
      <c r="J125" s="126">
        <f>Planning!Q59</f>
      </c>
      <c r="K125" s="93">
        <f>VLOOKUP(J125,AA$23:AE$88,5,FALSE)</f>
      </c>
      <c r="L125" s="122">
        <f>Planning!V59</f>
      </c>
      <c r="M125" s="95">
        <f>IF(Planning!AC59=0,0,IFERROR($AD59*AI$22,0))</f>
      </c>
      <c r="N125" s="171">
        <f>IF(Planning!AC59=0,0,IFERROR($AD59*AI$22*K125,0))</f>
      </c>
      <c r="O125" s="96">
        <f>IF(ISTEXT(Planning!V59),0,AI59)</f>
      </c>
      <c r="P125" s="94">
        <f>Planning!AC59</f>
      </c>
      <c r="Q125" s="121">
        <f>Progress!T59</f>
      </c>
      <c r="R125" s="95">
        <f>IF(Q125=0,0,IF(ISNUMBER(Q125),IF(S125&gt;=$G$21,$F$21,"Q42"),Q125))</f>
      </c>
      <c r="S125" s="122">
        <f>Progress!U59</f>
      </c>
      <c r="T125" s="97"/>
      <c r="U125" s="96">
        <f>V125/$N$419</f>
      </c>
      <c r="V125" s="176">
        <f>IF(L125&lt;$E$20,0,IF(ISTEXT(L125),0,IF(AND(G125+1&gt;=$E$19+1,L125&gt;0),IF(ISNUMBER(Q125),Q125*$AD59*AI$22*K125,$AD59*AI$22*K125),0)))</f>
      </c>
      <c r="W125" s="95">
        <f>IF(AND(L125&gt;0,S125&gt;0),IF(ISNUMBER(Q125),Q125*$AD59*AI$22*K125,$AD59*AI$22*K125),0)</f>
      </c>
      <c r="X125" s="17"/>
      <c r="Y125" s="11"/>
      <c r="Z125" s="11"/>
      <c r="AA125" s="98" t="s">
        <v>178</v>
      </c>
      <c r="AB125" s="99">
        <v>53</v>
      </c>
      <c r="AC125" s="99">
        <v>5</v>
      </c>
      <c r="AD125" s="100"/>
      <c r="AE125" s="177"/>
      <c r="AF125" s="8"/>
      <c r="AG125" s="1"/>
      <c r="AH125" s="178"/>
      <c r="AI125" s="179"/>
      <c r="AJ125" s="179"/>
      <c r="AK125" s="179" t="s">
        <v>174</v>
      </c>
      <c r="AL125" s="179"/>
      <c r="AM125" s="179" t="s">
        <v>179</v>
      </c>
      <c r="AN125" s="180"/>
      <c r="AO125" s="1"/>
      <c r="AP125" s="9"/>
      <c r="AQ125" s="2"/>
      <c r="AR125" s="3"/>
      <c r="AS125" s="10"/>
      <c r="AT125" s="1"/>
      <c r="AU125" s="1"/>
      <c r="AV125" s="1"/>
      <c r="AW125" s="1"/>
      <c r="AX125" s="11"/>
      <c r="AY125" s="11"/>
      <c r="AZ125" s="1"/>
      <c r="BA125" s="1"/>
      <c r="BB125" s="1"/>
      <c r="BC125" s="1"/>
      <c r="BD125" s="1"/>
      <c r="BE125" s="1"/>
      <c r="BF125" s="1"/>
      <c r="BG125" s="1"/>
      <c r="BH125" s="1"/>
    </row>
    <row x14ac:dyDescent="0.25" r="126" customHeight="1" ht="14.5">
      <c r="A126" s="1"/>
      <c r="B126" s="1"/>
      <c r="C126" s="1"/>
      <c r="D126" s="1"/>
      <c r="E126" s="2"/>
      <c r="F126" s="2"/>
      <c r="G126" s="90">
        <f>(S126&amp;RIGHT(R126,1))*1</f>
      </c>
      <c r="H126" s="1"/>
      <c r="I126" s="111"/>
      <c r="J126" s="126">
        <f>Planning!Q60</f>
      </c>
      <c r="K126" s="93">
        <f>VLOOKUP(J126,AA$23:AE$88,5,FALSE)</f>
      </c>
      <c r="L126" s="122">
        <f>Planning!V60</f>
      </c>
      <c r="M126" s="95">
        <f>IF(Planning!AC60=0,0,IFERROR($AD60*AI$22,0))</f>
      </c>
      <c r="N126" s="171">
        <f>IF(Planning!AC60=0,0,IFERROR($AD60*AI$22*K126,0))</f>
      </c>
      <c r="O126" s="96">
        <f>IF(ISTEXT(Planning!V60),0,AI60)</f>
      </c>
      <c r="P126" s="94">
        <f>Planning!AC60</f>
      </c>
      <c r="Q126" s="121">
        <f>Progress!T60</f>
      </c>
      <c r="R126" s="95">
        <f>IF(Q126=0,0,IF(ISNUMBER(Q126),IF(S126&gt;=$G$21,$F$21,"Q43"),Q126))</f>
      </c>
      <c r="S126" s="122">
        <f>Progress!U60</f>
      </c>
      <c r="T126" s="97"/>
      <c r="U126" s="96">
        <f>V126/$N$419</f>
      </c>
      <c r="V126" s="176">
        <f>IF(L126&lt;$E$20,0,IF(ISTEXT(L126),0,IF(AND(G126+1&gt;=$E$19+1,L126&gt;0),IF(ISNUMBER(Q126),Q126*$AD60*AI$22*K126,$AD60*AI$22*K126),0)))</f>
      </c>
      <c r="W126" s="95">
        <f>IF(AND(L126&gt;0,S126&gt;0),IF(ISNUMBER(Q126),Q126*$AD60*AI$22*K126,$AD60*AI$22*K126),0)</f>
      </c>
      <c r="X126" s="17"/>
      <c r="Y126" s="11"/>
      <c r="Z126" s="11"/>
      <c r="AA126" s="98" t="s">
        <v>180</v>
      </c>
      <c r="AB126" s="99">
        <v>38</v>
      </c>
      <c r="AC126" s="99">
        <v>4</v>
      </c>
      <c r="AD126" s="100"/>
      <c r="AE126" s="177"/>
      <c r="AF126" s="8"/>
      <c r="AG126" s="1"/>
      <c r="AH126" s="178"/>
      <c r="AI126" s="179"/>
      <c r="AJ126" s="179"/>
      <c r="AK126" s="179" t="s">
        <v>176</v>
      </c>
      <c r="AL126" s="179"/>
      <c r="AM126" s="179" t="s">
        <v>181</v>
      </c>
      <c r="AN126" s="180"/>
      <c r="AO126" s="1"/>
      <c r="AP126" s="9"/>
      <c r="AQ126" s="2"/>
      <c r="AR126" s="3"/>
      <c r="AS126" s="10"/>
      <c r="AT126" s="1"/>
      <c r="AU126" s="1"/>
      <c r="AV126" s="1"/>
      <c r="AW126" s="1"/>
      <c r="AX126" s="11"/>
      <c r="AY126" s="11"/>
      <c r="AZ126" s="1"/>
      <c r="BA126" s="1"/>
      <c r="BB126" s="1"/>
      <c r="BC126" s="1"/>
      <c r="BD126" s="1"/>
      <c r="BE126" s="1"/>
      <c r="BF126" s="1"/>
      <c r="BG126" s="1"/>
      <c r="BH126" s="1"/>
    </row>
    <row x14ac:dyDescent="0.25" r="127" customHeight="1" ht="14.5">
      <c r="A127" s="1"/>
      <c r="B127" s="1"/>
      <c r="C127" s="1"/>
      <c r="D127" s="1"/>
      <c r="E127" s="2"/>
      <c r="F127" s="2"/>
      <c r="G127" s="90">
        <f>(S127&amp;RIGHT(R127,1))*1</f>
      </c>
      <c r="H127" s="1"/>
      <c r="I127" s="111"/>
      <c r="J127" s="126">
        <f>Planning!Q61</f>
      </c>
      <c r="K127" s="93">
        <f>VLOOKUP(J127,AA$23:AE$88,5,FALSE)</f>
      </c>
      <c r="L127" s="122">
        <f>Planning!V61</f>
      </c>
      <c r="M127" s="95">
        <f>IF(Planning!AC61=0,0,IFERROR($AD61*AI$22,0))</f>
      </c>
      <c r="N127" s="171">
        <f>IF(Planning!AC61=0,0,IFERROR($AD61*AI$22*K127,0))</f>
      </c>
      <c r="O127" s="96">
        <f>IF(ISTEXT(Planning!V61),0,AI61)</f>
      </c>
      <c r="P127" s="94">
        <f>Planning!AC61</f>
      </c>
      <c r="Q127" s="121">
        <f>Progress!T61</f>
      </c>
      <c r="R127" s="95">
        <f>IF(Q127=0,0,IF(ISNUMBER(Q127),IF(S127&gt;=$G$21,$F$21,"Q44"),Q127))</f>
      </c>
      <c r="S127" s="122">
        <f>Progress!U61</f>
      </c>
      <c r="T127" s="97"/>
      <c r="U127" s="96">
        <f>V127/$N$419</f>
      </c>
      <c r="V127" s="176">
        <f>IF(L127&lt;$E$20,0,IF(ISTEXT(L127),0,IF(AND(G127+1&gt;=$E$19+1,L127&gt;0),IF(ISNUMBER(Q127),Q127*$AD61*AI$22*K127,$AD61*AI$22*K127),0)))</f>
      </c>
      <c r="W127" s="95">
        <f>IF(AND(L127&gt;0,S127&gt;0),IF(ISNUMBER(Q127),Q127*$AD61*AI$22*K127,$AD61*AI$22*K127),0)</f>
      </c>
      <c r="X127" s="17"/>
      <c r="Y127" s="11"/>
      <c r="Z127" s="11"/>
      <c r="AA127" s="98" t="s">
        <v>182</v>
      </c>
      <c r="AB127" s="99">
        <v>211</v>
      </c>
      <c r="AC127" s="99">
        <v>5</v>
      </c>
      <c r="AD127" s="100"/>
      <c r="AE127" s="177"/>
      <c r="AF127" s="8"/>
      <c r="AG127" s="1"/>
      <c r="AH127" s="178"/>
      <c r="AI127" s="179"/>
      <c r="AJ127" s="179"/>
      <c r="AK127" s="179" t="s">
        <v>178</v>
      </c>
      <c r="AL127" s="179"/>
      <c r="AM127" s="179"/>
      <c r="AN127" s="180"/>
      <c r="AO127" s="1"/>
      <c r="AP127" s="9"/>
      <c r="AQ127" s="2"/>
      <c r="AR127" s="3"/>
      <c r="AS127" s="10"/>
      <c r="AT127" s="1"/>
      <c r="AU127" s="1"/>
      <c r="AV127" s="1"/>
      <c r="AW127" s="1"/>
      <c r="AX127" s="11"/>
      <c r="AY127" s="11"/>
      <c r="AZ127" s="1"/>
      <c r="BA127" s="1"/>
      <c r="BB127" s="1"/>
      <c r="BC127" s="1"/>
      <c r="BD127" s="1"/>
      <c r="BE127" s="1"/>
      <c r="BF127" s="1"/>
      <c r="BG127" s="1"/>
      <c r="BH127" s="1"/>
    </row>
    <row x14ac:dyDescent="0.25" r="128" customHeight="1" ht="12.75">
      <c r="A128" s="1"/>
      <c r="B128" s="1"/>
      <c r="C128" s="1"/>
      <c r="D128" s="1"/>
      <c r="E128" s="2"/>
      <c r="F128" s="2"/>
      <c r="G128" s="90">
        <f>(S128&amp;RIGHT(R128,1))*1</f>
      </c>
      <c r="H128" s="1"/>
      <c r="I128" s="111"/>
      <c r="J128" s="126">
        <f>Planning!Q62</f>
      </c>
      <c r="K128" s="93">
        <f>VLOOKUP(J128,AA$23:AE$88,5,FALSE)</f>
      </c>
      <c r="L128" s="122">
        <f>Planning!V62</f>
      </c>
      <c r="M128" s="95">
        <f>IF(Planning!AC62=0,0,IFERROR($AD62*AI$22,0))</f>
      </c>
      <c r="N128" s="171">
        <f>IF(Planning!AC62=0,0,IFERROR($AD62*AI$22*K128,0))</f>
      </c>
      <c r="O128" s="96">
        <f>IF(ISTEXT(Planning!V62),0,AI62)</f>
      </c>
      <c r="P128" s="94">
        <f>Planning!AC62</f>
      </c>
      <c r="Q128" s="121">
        <f>Progress!T62</f>
      </c>
      <c r="R128" s="95">
        <f>IF(Q128=0,0,IF(ISNUMBER(Q128),IF(S128&gt;=$G$21,$F$21,"Q45"),Q128))</f>
      </c>
      <c r="S128" s="122">
        <f>Progress!U62</f>
      </c>
      <c r="T128" s="97"/>
      <c r="U128" s="96">
        <f>V128/$N$419</f>
      </c>
      <c r="V128" s="176">
        <f>IF(L128&lt;$E$20,0,IF(ISTEXT(L128),0,IF(AND(G128+1&gt;=$E$19+1,L128&gt;0),IF(ISNUMBER(Q128),Q128*$AD62*AI$22*K128,$AD62*AI$22*K128),0)))</f>
      </c>
      <c r="W128" s="95">
        <f>IF(AND(L128&gt;0,S128&gt;0),IF(ISNUMBER(Q128),Q128*$AD62*AI$22*K128,$AD62*AI$22*K128),0)</f>
      </c>
      <c r="X128" s="17"/>
      <c r="Y128" s="11"/>
      <c r="Z128" s="11"/>
      <c r="AA128" s="98" t="s">
        <v>183</v>
      </c>
      <c r="AB128" s="99">
        <v>55</v>
      </c>
      <c r="AC128" s="99">
        <v>4</v>
      </c>
      <c r="AD128" s="100"/>
      <c r="AE128" s="182"/>
      <c r="AF128" s="8"/>
      <c r="AG128" s="1"/>
      <c r="AH128" s="178"/>
      <c r="AI128" s="179"/>
      <c r="AJ128" s="179"/>
      <c r="AK128" s="179" t="s">
        <v>180</v>
      </c>
      <c r="AL128" s="179"/>
      <c r="AM128" s="179"/>
      <c r="AN128" s="180"/>
      <c r="AO128" s="1"/>
      <c r="AP128" s="9"/>
      <c r="AQ128" s="2"/>
      <c r="AR128" s="3"/>
      <c r="AS128" s="10"/>
      <c r="AT128" s="1"/>
      <c r="AU128" s="1"/>
      <c r="AV128" s="1"/>
      <c r="AW128" s="1"/>
      <c r="AX128" s="11"/>
      <c r="AY128" s="11"/>
      <c r="AZ128" s="1"/>
      <c r="BA128" s="1"/>
      <c r="BB128" s="1"/>
      <c r="BC128" s="1"/>
      <c r="BD128" s="1"/>
      <c r="BE128" s="1"/>
      <c r="BF128" s="1"/>
      <c r="BG128" s="1"/>
      <c r="BH128" s="1"/>
    </row>
    <row x14ac:dyDescent="0.25" r="129" customHeight="1" ht="13">
      <c r="A129" s="1"/>
      <c r="B129" s="1"/>
      <c r="C129" s="1"/>
      <c r="D129" s="1"/>
      <c r="E129" s="2"/>
      <c r="F129" s="2"/>
      <c r="G129" s="90">
        <f>(S129&amp;RIGHT(R129,1))*1</f>
      </c>
      <c r="H129" s="1"/>
      <c r="I129" s="111"/>
      <c r="J129" s="126">
        <f>Planning!Q63</f>
      </c>
      <c r="K129" s="93">
        <f>VLOOKUP(J129,AA$23:AE$88,5,FALSE)</f>
      </c>
      <c r="L129" s="122">
        <f>Planning!V63</f>
      </c>
      <c r="M129" s="95">
        <f>IF(Planning!AC63=0,0,IFERROR($AD63*AI$22,0))</f>
      </c>
      <c r="N129" s="171">
        <f>IF(Planning!AC63=0,0,IFERROR($AD63*AI$22*K129,0))</f>
      </c>
      <c r="O129" s="96">
        <f>IF(ISTEXT(Planning!V63),0,AI63)</f>
      </c>
      <c r="P129" s="94">
        <f>Planning!AC63</f>
      </c>
      <c r="Q129" s="121">
        <f>Progress!T63</f>
      </c>
      <c r="R129" s="95">
        <f>IF(Q129=0,0,IF(ISNUMBER(Q129),IF(S129&gt;=$G$21,$F$21,"Q46"),Q129))</f>
      </c>
      <c r="S129" s="122">
        <f>Progress!U63</f>
      </c>
      <c r="T129" s="97"/>
      <c r="U129" s="96">
        <f>V129/$N$419</f>
      </c>
      <c r="V129" s="176">
        <f>IF(L129&lt;$E$20,0,IF(ISTEXT(L129),0,IF(AND(G129+1&gt;=$E$19+1,L129&gt;0),IF(ISNUMBER(Q129),Q129*$AD63*AI$22*K129,$AD63*AI$22*K129),0)))</f>
      </c>
      <c r="W129" s="95">
        <f>IF(AND(L129&gt;0,S129&gt;0),IF(ISNUMBER(Q129),Q129*$AD63*AI$22*K129,$AD63*AI$22*K129),0)</f>
      </c>
      <c r="X129" s="17"/>
      <c r="Y129" s="11"/>
      <c r="Z129" s="11"/>
      <c r="AA129" s="98" t="s">
        <v>53</v>
      </c>
      <c r="AB129" s="99">
        <v>1071</v>
      </c>
      <c r="AC129" s="99">
        <v>3</v>
      </c>
      <c r="AD129" s="100"/>
      <c r="AE129" s="172" t="s">
        <v>184</v>
      </c>
      <c r="AF129" s="8"/>
      <c r="AG129" s="1"/>
      <c r="AH129" s="178"/>
      <c r="AI129" s="179"/>
      <c r="AJ129" s="179"/>
      <c r="AK129" s="179" t="s">
        <v>182</v>
      </c>
      <c r="AL129" s="179"/>
      <c r="AM129" s="179"/>
      <c r="AN129" s="180"/>
      <c r="AO129" s="1"/>
      <c r="AP129" s="9"/>
      <c r="AQ129" s="2"/>
      <c r="AR129" s="3"/>
      <c r="AS129" s="10"/>
      <c r="AT129" s="1"/>
      <c r="AU129" s="1"/>
      <c r="AV129" s="1"/>
      <c r="AW129" s="1"/>
      <c r="AX129" s="11"/>
      <c r="AY129" s="11"/>
      <c r="AZ129" s="1"/>
      <c r="BA129" s="1"/>
      <c r="BB129" s="1"/>
      <c r="BC129" s="1"/>
      <c r="BD129" s="1"/>
      <c r="BE129" s="1"/>
      <c r="BF129" s="1"/>
      <c r="BG129" s="1"/>
      <c r="BH129" s="1"/>
    </row>
    <row x14ac:dyDescent="0.25" r="130" customHeight="1" ht="14.5">
      <c r="A130" s="1"/>
      <c r="B130" s="1"/>
      <c r="C130" s="1"/>
      <c r="D130" s="1"/>
      <c r="E130" s="2"/>
      <c r="F130" s="2"/>
      <c r="G130" s="90">
        <f>(S130&amp;RIGHT(R130,1))*1</f>
      </c>
      <c r="H130" s="1"/>
      <c r="I130" s="111"/>
      <c r="J130" s="126">
        <f>Planning!Q64</f>
      </c>
      <c r="K130" s="93">
        <f>VLOOKUP(J130,AA$23:AE$88,5,FALSE)</f>
      </c>
      <c r="L130" s="122">
        <f>Planning!V64</f>
      </c>
      <c r="M130" s="95">
        <f>IF(Planning!AC64=0,0,IFERROR($AD64*AI$22,0))</f>
      </c>
      <c r="N130" s="171">
        <f>IF(Planning!AC64=0,0,IFERROR($AD64*AI$22*K130,0))</f>
      </c>
      <c r="O130" s="96">
        <f>IF(ISTEXT(Planning!V64),0,AI64)</f>
      </c>
      <c r="P130" s="94">
        <f>Planning!AC64</f>
      </c>
      <c r="Q130" s="121">
        <f>Progress!T64</f>
      </c>
      <c r="R130" s="95">
        <f>IF(Q130=0,0,IF(ISNUMBER(Q130),IF(S130&gt;=$G$21,$F$21,"Q47"),Q130))</f>
      </c>
      <c r="S130" s="122">
        <f>Progress!U64</f>
      </c>
      <c r="T130" s="97"/>
      <c r="U130" s="96">
        <f>V130/$N$419</f>
      </c>
      <c r="V130" s="176">
        <f>IF(L130&lt;$E$20,0,IF(ISTEXT(L130),0,IF(AND(G130+1&gt;=$E$19+1,L130&gt;0),IF(ISNUMBER(Q130),Q130*$AD64*AI$22*K130,$AD64*AI$22*K130),0)))</f>
      </c>
      <c r="W130" s="95">
        <f>IF(AND(L130&gt;0,S130&gt;0),IF(ISNUMBER(Q130),Q130*$AD64*AI$22*K130,$AD64*AI$22*K130),0)</f>
      </c>
      <c r="X130" s="17"/>
      <c r="Y130" s="11"/>
      <c r="Z130" s="11"/>
      <c r="AA130" s="98" t="s">
        <v>59</v>
      </c>
      <c r="AB130" s="99">
        <v>678</v>
      </c>
      <c r="AC130" s="99">
        <v>3</v>
      </c>
      <c r="AD130" s="100"/>
      <c r="AE130" s="177"/>
      <c r="AF130" s="8"/>
      <c r="AG130" s="1"/>
      <c r="AH130" s="178"/>
      <c r="AI130" s="179"/>
      <c r="AJ130" s="179"/>
      <c r="AK130" s="179" t="s">
        <v>183</v>
      </c>
      <c r="AL130" s="179"/>
      <c r="AM130" s="179"/>
      <c r="AN130" s="180"/>
      <c r="AO130" s="1"/>
      <c r="AP130" s="9"/>
      <c r="AQ130" s="2"/>
      <c r="AR130" s="3"/>
      <c r="AS130" s="10"/>
      <c r="AT130" s="1"/>
      <c r="AU130" s="1"/>
      <c r="AV130" s="1"/>
      <c r="AW130" s="1"/>
      <c r="AX130" s="11"/>
      <c r="AY130" s="11"/>
      <c r="AZ130" s="1"/>
      <c r="BA130" s="1"/>
      <c r="BB130" s="1"/>
      <c r="BC130" s="1"/>
      <c r="BD130" s="1"/>
      <c r="BE130" s="1"/>
      <c r="BF130" s="1"/>
      <c r="BG130" s="1"/>
      <c r="BH130" s="1"/>
    </row>
    <row x14ac:dyDescent="0.25" r="131" customHeight="1" ht="15">
      <c r="A131" s="1"/>
      <c r="B131" s="1"/>
      <c r="C131" s="1"/>
      <c r="D131" s="1"/>
      <c r="E131" s="2"/>
      <c r="F131" s="2"/>
      <c r="G131" s="90">
        <f>(S131&amp;RIGHT(R131,1))*1</f>
      </c>
      <c r="H131" s="1"/>
      <c r="I131" s="111"/>
      <c r="J131" s="126">
        <f>Planning!Q65</f>
      </c>
      <c r="K131" s="93">
        <f>VLOOKUP(J131,AA$23:AE$88,5,FALSE)</f>
      </c>
      <c r="L131" s="122">
        <f>Planning!V65</f>
      </c>
      <c r="M131" s="95">
        <f>IF(Planning!AC65=0,0,IFERROR($AD65*AI$22,0))</f>
      </c>
      <c r="N131" s="171">
        <f>IF(Planning!AC65=0,0,IFERROR($AD65*AI$22*K131,0))</f>
      </c>
      <c r="O131" s="96">
        <f>IF(ISTEXT(Planning!V65),0,AI65)</f>
      </c>
      <c r="P131" s="94">
        <f>Planning!AC65</f>
      </c>
      <c r="Q131" s="121">
        <f>Progress!T65</f>
      </c>
      <c r="R131" s="95">
        <f>IF(Q131=0,0,IF(ISNUMBER(Q131),IF(S131&gt;=$G$21,$F$21,"Q48"),Q131))</f>
      </c>
      <c r="S131" s="122">
        <f>Progress!U65</f>
      </c>
      <c r="T131" s="97"/>
      <c r="U131" s="96">
        <f>V131/$N$419</f>
      </c>
      <c r="V131" s="176">
        <f>IF(L131&lt;$E$20,0,IF(ISTEXT(L131),0,IF(AND(G131+1&gt;=$E$19+1,L131&gt;0),IF(ISNUMBER(Q131),Q131*$AD65*AI$22*K131,$AD65*AI$22*K131),0)))</f>
      </c>
      <c r="W131" s="95">
        <f>IF(AND(L131&gt;0,S131&gt;0),IF(ISNUMBER(Q131),Q131*$AD65*AI$22*K131,$AD65*AI$22*K131),0)</f>
      </c>
      <c r="X131" s="17"/>
      <c r="Y131" s="11"/>
      <c r="Z131" s="11"/>
      <c r="AA131" s="98" t="s">
        <v>45</v>
      </c>
      <c r="AB131" s="99">
        <v>1151</v>
      </c>
      <c r="AC131" s="99">
        <v>3</v>
      </c>
      <c r="AD131" s="100"/>
      <c r="AE131" s="177"/>
      <c r="AF131" s="8"/>
      <c r="AG131" s="1"/>
      <c r="AH131" s="183"/>
      <c r="AI131" s="184"/>
      <c r="AJ131" s="184"/>
      <c r="AK131" s="184"/>
      <c r="AL131" s="184"/>
      <c r="AM131" s="184"/>
      <c r="AN131" s="185"/>
      <c r="AO131" s="1"/>
      <c r="AP131" s="9"/>
      <c r="AQ131" s="2"/>
      <c r="AR131" s="3"/>
      <c r="AS131" s="10"/>
      <c r="AT131" s="1"/>
      <c r="AU131" s="1"/>
      <c r="AV131" s="1"/>
      <c r="AW131" s="1"/>
      <c r="AX131" s="1"/>
      <c r="AY131" s="1"/>
      <c r="AZ131" s="1"/>
      <c r="BA131" s="1"/>
      <c r="BB131" s="1"/>
      <c r="BC131" s="1"/>
      <c r="BD131" s="1"/>
      <c r="BE131" s="1"/>
      <c r="BF131" s="1"/>
      <c r="BG131" s="1"/>
      <c r="BH131" s="1"/>
    </row>
    <row x14ac:dyDescent="0.25" r="132" customHeight="1" ht="14.5">
      <c r="A132" s="1"/>
      <c r="B132" s="1"/>
      <c r="C132" s="1"/>
      <c r="D132" s="1"/>
      <c r="E132" s="2"/>
      <c r="F132" s="2"/>
      <c r="G132" s="90">
        <f>(S132&amp;RIGHT(R132,1))*1</f>
      </c>
      <c r="H132" s="1"/>
      <c r="I132" s="111"/>
      <c r="J132" s="126">
        <f>Planning!Q66</f>
      </c>
      <c r="K132" s="93">
        <f>VLOOKUP(J132,AA$23:AE$88,5,FALSE)</f>
      </c>
      <c r="L132" s="122">
        <f>Planning!V66</f>
      </c>
      <c r="M132" s="95">
        <f>IF(Planning!AC66=0,0,IFERROR($AD66*AI$22,0))</f>
      </c>
      <c r="N132" s="171">
        <f>IF(Planning!AC66=0,0,IFERROR($AD66*AI$22*K132,0))</f>
      </c>
      <c r="O132" s="96">
        <f>IF(ISTEXT(Planning!V66),0,AI66)</f>
      </c>
      <c r="P132" s="94">
        <f>Planning!AC66</f>
      </c>
      <c r="Q132" s="121">
        <f>Progress!T66</f>
      </c>
      <c r="R132" s="95">
        <f>IF(Q132=0,0,IF(ISNUMBER(Q132),IF(S132&gt;=$G$21,$F$21,"Q49"),Q132))</f>
      </c>
      <c r="S132" s="122">
        <f>Progress!U66</f>
      </c>
      <c r="T132" s="97"/>
      <c r="U132" s="96">
        <f>V132/$N$419</f>
      </c>
      <c r="V132" s="176">
        <f>IF(L132&lt;$E$20,0,IF(ISTEXT(L132),0,IF(AND(G132+1&gt;=$E$19+1,L132&gt;0),IF(ISNUMBER(Q132),Q132*$AD66*AI$22*K132,$AD66*AI$22*K132),0)))</f>
      </c>
      <c r="W132" s="95">
        <f>IF(AND(L132&gt;0,S132&gt;0),IF(ISNUMBER(Q132),Q132*$AD66*AI$22*K132,$AD66*AI$22*K132),0)</f>
      </c>
      <c r="X132" s="17"/>
      <c r="Y132" s="11"/>
      <c r="Z132" s="11"/>
      <c r="AA132" s="98" t="s">
        <v>70</v>
      </c>
      <c r="AB132" s="99">
        <v>879</v>
      </c>
      <c r="AC132" s="99">
        <v>4</v>
      </c>
      <c r="AD132" s="100"/>
      <c r="AE132" s="177"/>
      <c r="AF132" s="8"/>
      <c r="AG132" s="1"/>
      <c r="AH132" s="6"/>
      <c r="AI132" s="6"/>
      <c r="AJ132" s="6"/>
      <c r="AK132" s="6"/>
      <c r="AL132" s="6"/>
      <c r="AM132" s="6"/>
      <c r="AN132" s="6"/>
      <c r="AO132" s="1"/>
      <c r="AP132" s="9"/>
      <c r="AQ132" s="2"/>
      <c r="AR132" s="3"/>
      <c r="AS132" s="10"/>
      <c r="AT132" s="1"/>
      <c r="AU132" s="1"/>
      <c r="AV132" s="1"/>
      <c r="AW132" s="1"/>
      <c r="AX132" s="1"/>
      <c r="AY132" s="1"/>
      <c r="AZ132" s="1"/>
      <c r="BA132" s="1"/>
      <c r="BB132" s="1"/>
      <c r="BC132" s="1"/>
      <c r="BD132" s="1"/>
      <c r="BE132" s="1"/>
      <c r="BF132" s="1"/>
      <c r="BG132" s="1"/>
      <c r="BH132" s="1"/>
    </row>
    <row x14ac:dyDescent="0.25" r="133" customHeight="1" ht="14.5">
      <c r="A133" s="1"/>
      <c r="B133" s="1"/>
      <c r="C133" s="1"/>
      <c r="D133" s="1"/>
      <c r="E133" s="2"/>
      <c r="F133" s="2"/>
      <c r="G133" s="90">
        <f>(S133&amp;RIGHT(R133,1))*1</f>
      </c>
      <c r="H133" s="1"/>
      <c r="I133" s="111"/>
      <c r="J133" s="126">
        <f>Planning!Q67</f>
      </c>
      <c r="K133" s="93">
        <f>VLOOKUP(J133,AA$23:AE$88,5,FALSE)</f>
      </c>
      <c r="L133" s="122">
        <f>Planning!V67</f>
      </c>
      <c r="M133" s="95">
        <f>IF(Planning!AC67=0,0,IFERROR($AD67*AI$22,0))</f>
      </c>
      <c r="N133" s="171">
        <f>IF(Planning!AC67=0,0,IFERROR($AD67*AI$22*K133,0))</f>
      </c>
      <c r="O133" s="96">
        <f>IF(ISTEXT(Planning!V67),0,AI67)</f>
      </c>
      <c r="P133" s="94">
        <f>Planning!AC67</f>
      </c>
      <c r="Q133" s="121">
        <f>Progress!T67</f>
      </c>
      <c r="R133" s="95">
        <f>IF(Q133=0,0,IF(ISNUMBER(Q133),IF(S133&gt;=$G$21,$F$21,"Q50"),Q133))</f>
      </c>
      <c r="S133" s="122">
        <f>Progress!U67</f>
      </c>
      <c r="T133" s="97"/>
      <c r="U133" s="96">
        <f>V133/$N$419</f>
      </c>
      <c r="V133" s="176">
        <f>IF(L133&lt;$E$20,0,IF(ISTEXT(L133),0,IF(AND(G133+1&gt;=$E$19+1,L133&gt;0),IF(ISNUMBER(Q133),Q133*$AD67*AI$22*K133,$AD67*AI$22*K133),0)))</f>
      </c>
      <c r="W133" s="95">
        <f>IF(AND(L133&gt;0,S133&gt;0),IF(ISNUMBER(Q133),Q133*$AD67*AI$22*K133,$AD67*AI$22*K133),0)</f>
      </c>
      <c r="X133" s="17"/>
      <c r="Y133" s="11"/>
      <c r="Z133" s="11"/>
      <c r="AA133" s="98" t="s">
        <v>76</v>
      </c>
      <c r="AB133" s="99">
        <v>1007</v>
      </c>
      <c r="AC133" s="99">
        <v>3</v>
      </c>
      <c r="AD133" s="100"/>
      <c r="AE133" s="177"/>
      <c r="AF133" s="8"/>
      <c r="AG133" s="1"/>
      <c r="AH133" s="6"/>
      <c r="AI133" s="6"/>
      <c r="AJ133" s="6"/>
      <c r="AK133" s="6"/>
      <c r="AL133" s="6"/>
      <c r="AM133" s="6"/>
      <c r="AN133" s="6"/>
      <c r="AO133" s="1"/>
      <c r="AP133" s="9"/>
      <c r="AQ133" s="2"/>
      <c r="AR133" s="3"/>
      <c r="AS133" s="10"/>
      <c r="AT133" s="1"/>
      <c r="AU133" s="1"/>
      <c r="AV133" s="1"/>
      <c r="AW133" s="1"/>
      <c r="AX133" s="1"/>
      <c r="AY133" s="1"/>
      <c r="AZ133" s="1"/>
      <c r="BA133" s="1"/>
      <c r="BB133" s="1"/>
      <c r="BC133" s="1"/>
      <c r="BD133" s="1"/>
      <c r="BE133" s="1"/>
      <c r="BF133" s="1"/>
      <c r="BG133" s="1"/>
      <c r="BH133" s="1"/>
    </row>
    <row x14ac:dyDescent="0.25" r="134" customHeight="1" ht="14.5">
      <c r="A134" s="1"/>
      <c r="B134" s="1"/>
      <c r="C134" s="1"/>
      <c r="D134" s="1"/>
      <c r="E134" s="2"/>
      <c r="F134" s="2"/>
      <c r="G134" s="90">
        <f>(S134&amp;RIGHT(R134,1))*1</f>
      </c>
      <c r="H134" s="1"/>
      <c r="I134" s="111"/>
      <c r="J134" s="126">
        <f>Planning!Q68</f>
      </c>
      <c r="K134" s="93">
        <f>VLOOKUP(J134,AA$23:AE$88,5,FALSE)</f>
      </c>
      <c r="L134" s="122">
        <f>Planning!V68</f>
      </c>
      <c r="M134" s="95">
        <f>IF(Planning!AC68=0,0,IFERROR($AD68*AI$22,0))</f>
      </c>
      <c r="N134" s="171">
        <f>IF(Planning!AC68=0,0,IFERROR($AD68*AI$22*K134,0))</f>
      </c>
      <c r="O134" s="96">
        <f>IF(ISTEXT(Planning!V68),0,AI68)</f>
      </c>
      <c r="P134" s="94">
        <f>Planning!AC68</f>
      </c>
      <c r="Q134" s="121">
        <f>Progress!T68</f>
      </c>
      <c r="R134" s="95">
        <f>IF(Q134=0,0,IF(ISNUMBER(Q134),IF(S134&gt;=$G$21,$F$21,"Q51"),Q134))</f>
      </c>
      <c r="S134" s="122">
        <f>Progress!U68</f>
      </c>
      <c r="T134" s="97"/>
      <c r="U134" s="96">
        <f>V134/$N$419</f>
      </c>
      <c r="V134" s="176">
        <f>IF(L134&lt;$E$20,0,IF(ISTEXT(L134),0,IF(AND(G134+1&gt;=$E$19+1,L134&gt;0),IF(ISNUMBER(Q134),Q134*$AD68*AI$22*K134,$AD68*AI$22*K134),0)))</f>
      </c>
      <c r="W134" s="95">
        <f>IF(AND(L134&gt;0,S134&gt;0),IF(ISNUMBER(Q134),Q134*$AD68*AI$22*K134,$AD68*AI$22*K134),0)</f>
      </c>
      <c r="X134" s="17"/>
      <c r="Y134" s="11"/>
      <c r="Z134" s="11"/>
      <c r="AA134" s="98" t="s">
        <v>81</v>
      </c>
      <c r="AB134" s="99">
        <v>433</v>
      </c>
      <c r="AC134" s="99">
        <v>5</v>
      </c>
      <c r="AD134" s="100"/>
      <c r="AE134" s="177"/>
      <c r="AF134" s="8"/>
      <c r="AG134" s="1"/>
      <c r="AH134" s="6"/>
      <c r="AI134" s="6"/>
      <c r="AJ134" s="6"/>
      <c r="AK134" s="6"/>
      <c r="AL134" s="6"/>
      <c r="AM134" s="6"/>
      <c r="AN134" s="6"/>
      <c r="AO134" s="1"/>
      <c r="AP134" s="9"/>
      <c r="AQ134" s="2"/>
      <c r="AR134" s="3"/>
      <c r="AS134" s="10"/>
      <c r="AT134" s="1"/>
      <c r="AU134" s="1"/>
      <c r="AV134" s="1"/>
      <c r="AW134" s="1"/>
      <c r="AX134" s="1"/>
      <c r="AY134" s="1"/>
      <c r="AZ134" s="1"/>
      <c r="BA134" s="1"/>
      <c r="BB134" s="1"/>
      <c r="BC134" s="1"/>
      <c r="BD134" s="1"/>
      <c r="BE134" s="1"/>
      <c r="BF134" s="1"/>
      <c r="BG134" s="1"/>
      <c r="BH134" s="1"/>
    </row>
    <row x14ac:dyDescent="0.25" r="135" customHeight="1" ht="14.5">
      <c r="A135" s="1"/>
      <c r="B135" s="1"/>
      <c r="C135" s="1"/>
      <c r="D135" s="1"/>
      <c r="E135" s="2"/>
      <c r="F135" s="2"/>
      <c r="G135" s="90">
        <f>(S135&amp;RIGHT(R135,1))*1</f>
      </c>
      <c r="H135" s="1"/>
      <c r="I135" s="111"/>
      <c r="J135" s="126">
        <f>Planning!Q69</f>
      </c>
      <c r="K135" s="93">
        <f>VLOOKUP(J135,AA$23:AE$88,5,FALSE)</f>
      </c>
      <c r="L135" s="122">
        <f>Planning!V69</f>
      </c>
      <c r="M135" s="95">
        <f>IF(Planning!AC69=0,0,IFERROR($AD69*AI$22,0))</f>
      </c>
      <c r="N135" s="171">
        <f>IF(Planning!AC69=0,0,IFERROR($AD69*AI$22*K135,0))</f>
      </c>
      <c r="O135" s="96">
        <f>IF(ISTEXT(Planning!V69),0,AI69)</f>
      </c>
      <c r="P135" s="94">
        <f>Planning!AC69</f>
      </c>
      <c r="Q135" s="121">
        <f>Progress!T69</f>
      </c>
      <c r="R135" s="95">
        <f>IF(Q135=0,0,IF(ISNUMBER(Q135),IF(S135&gt;=$G$21,$F$21,"Q52"),Q135))</f>
      </c>
      <c r="S135" s="122">
        <f>Progress!U69</f>
      </c>
      <c r="T135" s="97"/>
      <c r="U135" s="96">
        <f>V135/$N$419</f>
      </c>
      <c r="V135" s="176">
        <f>IF(L135&lt;$E$20,0,IF(ISTEXT(L135),0,IF(AND(G135+1&gt;=$E$19+1,L135&gt;0),IF(ISNUMBER(Q135),Q135*$AD69*AI$22*K135,$AD69*AI$22*K135),0)))</f>
      </c>
      <c r="W135" s="95">
        <f>IF(AND(L135&gt;0,S135&gt;0),IF(ISNUMBER(Q135),Q135*$AD69*AI$22*K135,$AD69*AI$22*K135),0)</f>
      </c>
      <c r="X135" s="17"/>
      <c r="Y135" s="11"/>
      <c r="Z135" s="11"/>
      <c r="AA135" s="98" t="s">
        <v>86</v>
      </c>
      <c r="AB135" s="99">
        <v>437</v>
      </c>
      <c r="AC135" s="99">
        <v>4</v>
      </c>
      <c r="AD135" s="100"/>
      <c r="AE135" s="177"/>
      <c r="AF135" s="8"/>
      <c r="AG135" s="1"/>
      <c r="AH135" s="6"/>
      <c r="AI135" s="6"/>
      <c r="AJ135" s="6"/>
      <c r="AK135" s="6"/>
      <c r="AL135" s="6"/>
      <c r="AM135" s="6"/>
      <c r="AN135" s="6"/>
      <c r="AO135" s="1"/>
      <c r="AP135" s="9"/>
      <c r="AQ135" s="2"/>
      <c r="AR135" s="3"/>
      <c r="AS135" s="10"/>
      <c r="AT135" s="1"/>
      <c r="AU135" s="1"/>
      <c r="AV135" s="1"/>
      <c r="AW135" s="1"/>
      <c r="AX135" s="1"/>
      <c r="AY135" s="1"/>
      <c r="AZ135" s="1"/>
      <c r="BA135" s="1"/>
      <c r="BB135" s="1"/>
      <c r="BC135" s="1"/>
      <c r="BD135" s="1"/>
      <c r="BE135" s="1"/>
      <c r="BF135" s="1"/>
      <c r="BG135" s="1"/>
      <c r="BH135" s="1"/>
    </row>
    <row x14ac:dyDescent="0.25" r="136" customHeight="1" ht="14.5">
      <c r="A136" s="1"/>
      <c r="B136" s="1"/>
      <c r="C136" s="1"/>
      <c r="D136" s="1"/>
      <c r="E136" s="2"/>
      <c r="F136" s="2"/>
      <c r="G136" s="90">
        <f>(S136&amp;RIGHT(R136,1))*1</f>
      </c>
      <c r="H136" s="1"/>
      <c r="I136" s="111"/>
      <c r="J136" s="126">
        <f>Planning!Q70</f>
      </c>
      <c r="K136" s="93">
        <f>VLOOKUP(J136,AA$23:AE$88,5,FALSE)</f>
      </c>
      <c r="L136" s="122">
        <f>Planning!V70</f>
      </c>
      <c r="M136" s="95">
        <f>IF(Planning!AC70=0,0,IFERROR($AD70*AI$22,0))</f>
      </c>
      <c r="N136" s="171">
        <f>IF(Planning!AC70=0,0,IFERROR($AD70*AI$22*K136,0))</f>
      </c>
      <c r="O136" s="96">
        <f>IF(ISTEXT(Planning!V70),0,AI70)</f>
      </c>
      <c r="P136" s="94">
        <f>Planning!AC70</f>
      </c>
      <c r="Q136" s="121">
        <f>Progress!T70</f>
      </c>
      <c r="R136" s="95">
        <f>IF(Q136=0,0,IF(ISNUMBER(Q136),IF(S136&gt;=$G$21,$F$21,"Q53"),Q136))</f>
      </c>
      <c r="S136" s="122">
        <f>Progress!U70</f>
      </c>
      <c r="T136" s="97"/>
      <c r="U136" s="96">
        <f>V136/$N$419</f>
      </c>
      <c r="V136" s="176">
        <f>IF(L136&lt;$E$20,0,IF(ISTEXT(L136),0,IF(AND(G136+1&gt;=$E$19+1,L136&gt;0),IF(ISNUMBER(Q136),Q136*$AD70*AI$22*K136,$AD70*AI$22*K136),0)))</f>
      </c>
      <c r="W136" s="95">
        <f>IF(AND(L136&gt;0,S136&gt;0),IF(ISNUMBER(Q136),Q136*$AD70*AI$22*K136,$AD70*AI$22*K136),0)</f>
      </c>
      <c r="X136" s="17"/>
      <c r="Y136" s="11"/>
      <c r="Z136" s="11"/>
      <c r="AA136" s="98" t="s">
        <v>91</v>
      </c>
      <c r="AB136" s="99">
        <v>257</v>
      </c>
      <c r="AC136" s="99">
        <v>4</v>
      </c>
      <c r="AD136" s="100"/>
      <c r="AE136" s="177"/>
      <c r="AF136" s="8"/>
      <c r="AG136" s="1"/>
      <c r="AH136" s="6"/>
      <c r="AI136" s="6"/>
      <c r="AJ136" s="6"/>
      <c r="AK136" s="6"/>
      <c r="AL136" s="6"/>
      <c r="AM136" s="6"/>
      <c r="AN136" s="6"/>
      <c r="AO136" s="1"/>
      <c r="AP136" s="9"/>
      <c r="AQ136" s="2"/>
      <c r="AR136" s="3"/>
      <c r="AS136" s="10"/>
      <c r="AT136" s="1"/>
      <c r="AU136" s="1"/>
      <c r="AV136" s="1"/>
      <c r="AW136" s="1"/>
      <c r="AX136" s="1"/>
      <c r="AY136" s="1"/>
      <c r="AZ136" s="1"/>
      <c r="BA136" s="1"/>
      <c r="BB136" s="1"/>
      <c r="BC136" s="1"/>
      <c r="BD136" s="1"/>
      <c r="BE136" s="1"/>
      <c r="BF136" s="1"/>
      <c r="BG136" s="1"/>
      <c r="BH136" s="1"/>
    </row>
    <row x14ac:dyDescent="0.25" r="137" customHeight="1" ht="14.5">
      <c r="A137" s="1"/>
      <c r="B137" s="1"/>
      <c r="C137" s="1"/>
      <c r="D137" s="1"/>
      <c r="E137" s="2"/>
      <c r="F137" s="2"/>
      <c r="G137" s="90">
        <f>(S137&amp;RIGHT(R137,1))*1</f>
      </c>
      <c r="H137" s="1"/>
      <c r="I137" s="111"/>
      <c r="J137" s="126">
        <f>Planning!Q71</f>
      </c>
      <c r="K137" s="93">
        <f>VLOOKUP(J137,AA$23:AE$88,5,FALSE)</f>
      </c>
      <c r="L137" s="122">
        <f>Planning!V71</f>
      </c>
      <c r="M137" s="95">
        <f>IF(Planning!AC71=0,0,IFERROR($AD71*AI$22,0))</f>
      </c>
      <c r="N137" s="171">
        <f>IF(Planning!AC71=0,0,IFERROR($AD71*AI$22*K137,0))</f>
      </c>
      <c r="O137" s="96">
        <f>IF(ISTEXT(Planning!V71),0,AI71)</f>
      </c>
      <c r="P137" s="94">
        <f>Planning!AC71</f>
      </c>
      <c r="Q137" s="121">
        <f>Progress!T71</f>
      </c>
      <c r="R137" s="95">
        <f>IF(Q137=0,0,IF(ISNUMBER(Q137),IF(S137&gt;=$G$21,$F$21,"Q54"),Q137))</f>
      </c>
      <c r="S137" s="122">
        <f>Progress!U71</f>
      </c>
      <c r="T137" s="97"/>
      <c r="U137" s="96">
        <f>V137/$N$419</f>
      </c>
      <c r="V137" s="176">
        <f>IF(L137&lt;$E$20,0,IF(ISTEXT(L137),0,IF(AND(G137+1&gt;=$E$19+1,L137&gt;0),IF(ISNUMBER(Q137),Q137*$AD71*AI$22*K137,$AD71*AI$22*K137),0)))</f>
      </c>
      <c r="W137" s="95">
        <f>IF(AND(L137&gt;0,S137&gt;0),IF(ISNUMBER(Q137),Q137*$AD71*AI$22*K137,$AD71*AI$22*K137),0)</f>
      </c>
      <c r="X137" s="17"/>
      <c r="Y137" s="11"/>
      <c r="Z137" s="11"/>
      <c r="AA137" s="98" t="s">
        <v>95</v>
      </c>
      <c r="AB137" s="99">
        <v>149</v>
      </c>
      <c r="AC137" s="99">
        <v>5</v>
      </c>
      <c r="AD137" s="100"/>
      <c r="AE137" s="177"/>
      <c r="AF137" s="8"/>
      <c r="AG137" s="1"/>
      <c r="AH137" s="6"/>
      <c r="AI137" s="6"/>
      <c r="AJ137" s="6"/>
      <c r="AK137" s="6"/>
      <c r="AL137" s="6"/>
      <c r="AM137" s="6"/>
      <c r="AN137" s="6"/>
      <c r="AO137" s="1"/>
      <c r="AP137" s="9"/>
      <c r="AQ137" s="2"/>
      <c r="AR137" s="3"/>
      <c r="AS137" s="10"/>
      <c r="AT137" s="1"/>
      <c r="AU137" s="1"/>
      <c r="AV137" s="1"/>
      <c r="AW137" s="1"/>
      <c r="AX137" s="1"/>
      <c r="AY137" s="1"/>
      <c r="AZ137" s="1"/>
      <c r="BA137" s="1"/>
      <c r="BB137" s="1"/>
      <c r="BC137" s="1"/>
      <c r="BD137" s="1"/>
      <c r="BE137" s="1"/>
      <c r="BF137" s="1"/>
      <c r="BG137" s="1"/>
      <c r="BH137" s="1"/>
    </row>
    <row x14ac:dyDescent="0.25" r="138" customHeight="1" ht="14.5">
      <c r="A138" s="1"/>
      <c r="B138" s="1"/>
      <c r="C138" s="1"/>
      <c r="D138" s="1"/>
      <c r="E138" s="2"/>
      <c r="F138" s="2"/>
      <c r="G138" s="90">
        <f>(S138&amp;RIGHT(R138,1))*1</f>
      </c>
      <c r="H138" s="1"/>
      <c r="I138" s="111"/>
      <c r="J138" s="126">
        <f>Planning!Q72</f>
      </c>
      <c r="K138" s="93">
        <f>VLOOKUP(J138,AA$23:AE$88,5,FALSE)</f>
      </c>
      <c r="L138" s="122">
        <f>Planning!V72</f>
      </c>
      <c r="M138" s="95">
        <f>IF(Planning!AC72=0,0,IFERROR($AD72*AI$22,0))</f>
      </c>
      <c r="N138" s="171">
        <f>IF(Planning!AC72=0,0,IFERROR($AD72*AI$22*K138,0))</f>
      </c>
      <c r="O138" s="96">
        <f>IF(ISTEXT(Planning!V72),0,AI72)</f>
      </c>
      <c r="P138" s="94">
        <f>Planning!AC72</f>
      </c>
      <c r="Q138" s="121">
        <f>Progress!T72</f>
      </c>
      <c r="R138" s="95">
        <f>IF(Q138=0,0,IF(ISNUMBER(Q138),IF(S138&gt;=$G$21,$F$21,"Q55"),Q138))</f>
      </c>
      <c r="S138" s="122">
        <f>Progress!U72</f>
      </c>
      <c r="T138" s="97"/>
      <c r="U138" s="96">
        <f>V138/$N$419</f>
      </c>
      <c r="V138" s="176">
        <f>IF(L138&lt;$E$20,0,IF(ISTEXT(L138),0,IF(AND(G138+1&gt;=$E$19+1,L138&gt;0),IF(ISNUMBER(Q138),Q138*$AD72*AI$22*K138,$AD72*AI$22*K138),0)))</f>
      </c>
      <c r="W138" s="95">
        <f>IF(AND(L138&gt;0,S138&gt;0),IF(ISNUMBER(Q138),Q138*$AD72*AI$22*K138,$AD72*AI$22*K138),0)</f>
      </c>
      <c r="X138" s="17"/>
      <c r="Y138" s="11"/>
      <c r="Z138" s="11"/>
      <c r="AA138" s="98" t="s">
        <v>99</v>
      </c>
      <c r="AB138" s="99">
        <v>155</v>
      </c>
      <c r="AC138" s="99">
        <v>5</v>
      </c>
      <c r="AD138" s="100"/>
      <c r="AE138" s="177"/>
      <c r="AF138" s="8"/>
      <c r="AG138" s="1"/>
      <c r="AH138" s="6"/>
      <c r="AI138" s="6"/>
      <c r="AJ138" s="6"/>
      <c r="AK138" s="6"/>
      <c r="AL138" s="6"/>
      <c r="AM138" s="6"/>
      <c r="AN138" s="6"/>
      <c r="AO138" s="1"/>
      <c r="AP138" s="9"/>
      <c r="AQ138" s="2"/>
      <c r="AR138" s="3"/>
      <c r="AS138" s="10"/>
      <c r="AT138" s="1"/>
      <c r="AU138" s="1"/>
      <c r="AV138" s="1"/>
      <c r="AW138" s="1"/>
      <c r="AX138" s="1"/>
      <c r="AY138" s="1"/>
      <c r="AZ138" s="1"/>
      <c r="BA138" s="1"/>
      <c r="BB138" s="1"/>
      <c r="BC138" s="1"/>
      <c r="BD138" s="1"/>
      <c r="BE138" s="1"/>
      <c r="BF138" s="1"/>
      <c r="BG138" s="1"/>
      <c r="BH138" s="1"/>
    </row>
    <row x14ac:dyDescent="0.25" r="139" customHeight="1" ht="14.5">
      <c r="A139" s="1"/>
      <c r="B139" s="1"/>
      <c r="C139" s="1"/>
      <c r="D139" s="1"/>
      <c r="E139" s="2"/>
      <c r="F139" s="2"/>
      <c r="G139" s="90">
        <f>(S139&amp;RIGHT(R139,1))*1</f>
      </c>
      <c r="H139" s="1"/>
      <c r="I139" s="111"/>
      <c r="J139" s="126">
        <f>Planning!Q73</f>
      </c>
      <c r="K139" s="93">
        <f>VLOOKUP(J139,AA$23:AE$88,5,FALSE)</f>
      </c>
      <c r="L139" s="122">
        <f>Planning!V73</f>
      </c>
      <c r="M139" s="95">
        <f>IF(Planning!AC73=0,0,IFERROR($AD73*AI$22,0))</f>
      </c>
      <c r="N139" s="171">
        <f>IF(Planning!AC73=0,0,IFERROR($AD73*AI$22*K139,0))</f>
      </c>
      <c r="O139" s="96">
        <f>IF(ISTEXT(Planning!V73),0,AI73)</f>
      </c>
      <c r="P139" s="94">
        <f>Planning!AC73</f>
      </c>
      <c r="Q139" s="121">
        <f>Progress!T73</f>
      </c>
      <c r="R139" s="95">
        <f>IF(Q139=0,0,IF(ISNUMBER(Q139),IF(S139&gt;=$G$21,$F$21,"Q56"),Q139))</f>
      </c>
      <c r="S139" s="122">
        <f>Progress!U73</f>
      </c>
      <c r="T139" s="97"/>
      <c r="U139" s="96">
        <f>V139/$N$419</f>
      </c>
      <c r="V139" s="176">
        <f>IF(L139&lt;$E$20,0,IF(ISTEXT(L139),0,IF(AND(G139+1&gt;=$E$19+1,L139&gt;0),IF(ISNUMBER(Q139),Q139*$AD73*AI$22*K139,$AD73*AI$22*K139),0)))</f>
      </c>
      <c r="W139" s="95">
        <f>IF(AND(L139&gt;0,S139&gt;0),IF(ISNUMBER(Q139),Q139*$AD73*AI$22*K139,$AD73*AI$22*K139),0)</f>
      </c>
      <c r="X139" s="17"/>
      <c r="Y139" s="11"/>
      <c r="Z139" s="11"/>
      <c r="AA139" s="98" t="s">
        <v>103</v>
      </c>
      <c r="AB139" s="99">
        <v>104</v>
      </c>
      <c r="AC139" s="99">
        <v>5</v>
      </c>
      <c r="AD139" s="100"/>
      <c r="AE139" s="177"/>
      <c r="AF139" s="8"/>
      <c r="AG139" s="1"/>
      <c r="AH139" s="6"/>
      <c r="AI139" s="6"/>
      <c r="AJ139" s="6"/>
      <c r="AK139" s="6"/>
      <c r="AL139" s="6"/>
      <c r="AM139" s="6"/>
      <c r="AN139" s="6"/>
      <c r="AO139" s="1"/>
      <c r="AP139" s="9"/>
      <c r="AQ139" s="2"/>
      <c r="AR139" s="3"/>
      <c r="AS139" s="10"/>
      <c r="AT139" s="1"/>
      <c r="AU139" s="1"/>
      <c r="AV139" s="1"/>
      <c r="AW139" s="1"/>
      <c r="AX139" s="1"/>
      <c r="AY139" s="1"/>
      <c r="AZ139" s="1"/>
      <c r="BA139" s="1"/>
      <c r="BB139" s="1"/>
      <c r="BC139" s="1"/>
      <c r="BD139" s="1"/>
      <c r="BE139" s="1"/>
      <c r="BF139" s="1"/>
      <c r="BG139" s="1"/>
      <c r="BH139" s="1"/>
    </row>
    <row x14ac:dyDescent="0.25" r="140" customHeight="1" ht="14.5">
      <c r="A140" s="1"/>
      <c r="B140" s="1"/>
      <c r="C140" s="1"/>
      <c r="D140" s="1"/>
      <c r="E140" s="2"/>
      <c r="F140" s="2"/>
      <c r="G140" s="90">
        <f>(S140&amp;RIGHT(R140,1))*1</f>
      </c>
      <c r="H140" s="1"/>
      <c r="I140" s="111"/>
      <c r="J140" s="126">
        <f>Planning!Q74</f>
      </c>
      <c r="K140" s="93">
        <f>VLOOKUP(J140,AA$23:AE$88,5,FALSE)</f>
      </c>
      <c r="L140" s="122">
        <f>Planning!V74</f>
      </c>
      <c r="M140" s="95">
        <f>IF(Planning!AC74=0,0,IFERROR($AD74*AI$22,0))</f>
      </c>
      <c r="N140" s="171">
        <f>IF(Planning!AC74=0,0,IFERROR($AD74*AI$22*K140,0))</f>
      </c>
      <c r="O140" s="96">
        <f>IF(ISTEXT(Planning!V74),0,AI74)</f>
      </c>
      <c r="P140" s="94">
        <f>Planning!AC74</f>
      </c>
      <c r="Q140" s="121">
        <f>Progress!T74</f>
      </c>
      <c r="R140" s="95">
        <f>IF(Q140=0,0,IF(ISNUMBER(Q140),IF(S140&gt;=$G$21,$F$21,"Q57"),Q140))</f>
      </c>
      <c r="S140" s="122">
        <f>Progress!U74</f>
      </c>
      <c r="T140" s="97"/>
      <c r="U140" s="96">
        <f>V140/$N$419</f>
      </c>
      <c r="V140" s="176">
        <f>IF(L140&lt;$E$20,0,IF(ISTEXT(L140),0,IF(AND(G140+1&gt;=$E$19+1,L140&gt;0),IF(ISNUMBER(Q140),Q140*$AD74*AI$22*K140,$AD74*AI$22*K140),0)))</f>
      </c>
      <c r="W140" s="95">
        <f>IF(AND(L140&gt;0,S140&gt;0),IF(ISNUMBER(Q140),Q140*$AD74*AI$22*K140,$AD74*AI$22*K140),0)</f>
      </c>
      <c r="X140" s="17"/>
      <c r="Y140" s="11"/>
      <c r="Z140" s="11"/>
      <c r="AA140" s="98" t="s">
        <v>107</v>
      </c>
      <c r="AB140" s="99">
        <v>95</v>
      </c>
      <c r="AC140" s="99">
        <v>5</v>
      </c>
      <c r="AD140" s="100"/>
      <c r="AE140" s="177"/>
      <c r="AF140" s="8"/>
      <c r="AG140" s="1"/>
      <c r="AH140" s="6"/>
      <c r="AI140" s="6"/>
      <c r="AJ140" s="6"/>
      <c r="AK140" s="6"/>
      <c r="AL140" s="6"/>
      <c r="AM140" s="6"/>
      <c r="AN140" s="6"/>
      <c r="AO140" s="1"/>
      <c r="AP140" s="9"/>
      <c r="AQ140" s="2"/>
      <c r="AR140" s="3"/>
      <c r="AS140" s="10"/>
      <c r="AT140" s="1"/>
      <c r="AU140" s="1"/>
      <c r="AV140" s="1"/>
      <c r="AW140" s="1"/>
      <c r="AX140" s="1"/>
      <c r="AY140" s="1"/>
      <c r="AZ140" s="1"/>
      <c r="BA140" s="1"/>
      <c r="BB140" s="1"/>
      <c r="BC140" s="1"/>
      <c r="BD140" s="1"/>
      <c r="BE140" s="1"/>
      <c r="BF140" s="1"/>
      <c r="BG140" s="1"/>
      <c r="BH140" s="1"/>
    </row>
    <row x14ac:dyDescent="0.25" r="141" customHeight="1" ht="14.5">
      <c r="A141" s="1"/>
      <c r="B141" s="1"/>
      <c r="C141" s="1"/>
      <c r="D141" s="1"/>
      <c r="E141" s="2"/>
      <c r="F141" s="2"/>
      <c r="G141" s="90">
        <f>(S141&amp;RIGHT(R141,1))*1</f>
      </c>
      <c r="H141" s="1"/>
      <c r="I141" s="111"/>
      <c r="J141" s="126">
        <f>Planning!Q75</f>
      </c>
      <c r="K141" s="93">
        <f>VLOOKUP(J141,AA$23:AE$88,5,FALSE)</f>
      </c>
      <c r="L141" s="122">
        <f>Planning!V75</f>
      </c>
      <c r="M141" s="95">
        <f>IF(Planning!AC75=0,0,IFERROR($AD75*AI$22,0))</f>
      </c>
      <c r="N141" s="171">
        <f>IF(Planning!AC75=0,0,IFERROR($AD75*AI$22*K141,0))</f>
      </c>
      <c r="O141" s="96">
        <f>IF(ISTEXT(Planning!V75),0,AI75)</f>
      </c>
      <c r="P141" s="94">
        <f>Planning!AC75</f>
      </c>
      <c r="Q141" s="121">
        <f>Progress!T75</f>
      </c>
      <c r="R141" s="95">
        <f>IF(Q141=0,0,IF(ISNUMBER(Q141),IF(S141&gt;=$G$21,$F$21,"Q58"),Q141))</f>
      </c>
      <c r="S141" s="122">
        <f>Progress!U75</f>
      </c>
      <c r="T141" s="97"/>
      <c r="U141" s="96">
        <f>V141/$N$419</f>
      </c>
      <c r="V141" s="176">
        <f>IF(L141&lt;$E$20,0,IF(ISTEXT(L141),0,IF(AND(G141+1&gt;=$E$19+1,L141&gt;0),IF(ISNUMBER(Q141),Q141*$AD75*AI$22*K141,$AD75*AI$22*K141),0)))</f>
      </c>
      <c r="W141" s="95">
        <f>IF(AND(L141&gt;0,S141&gt;0),IF(ISNUMBER(Q141),Q141*$AD75*AI$22*K141,$AD75*AI$22*K141),0)</f>
      </c>
      <c r="X141" s="17"/>
      <c r="Y141" s="11"/>
      <c r="Z141" s="11"/>
      <c r="AA141" s="98" t="s">
        <v>111</v>
      </c>
      <c r="AB141" s="99">
        <v>89</v>
      </c>
      <c r="AC141" s="99">
        <v>4</v>
      </c>
      <c r="AD141" s="100"/>
      <c r="AE141" s="177"/>
      <c r="AF141" s="8"/>
      <c r="AG141" s="1"/>
      <c r="AH141" s="6"/>
      <c r="AI141" s="6"/>
      <c r="AJ141" s="6"/>
      <c r="AK141" s="6"/>
      <c r="AL141" s="6"/>
      <c r="AM141" s="6"/>
      <c r="AN141" s="6"/>
      <c r="AO141" s="1"/>
      <c r="AP141" s="9"/>
      <c r="AQ141" s="2"/>
      <c r="AR141" s="3"/>
      <c r="AS141" s="10"/>
      <c r="AT141" s="1"/>
      <c r="AU141" s="1"/>
      <c r="AV141" s="1"/>
      <c r="AW141" s="1"/>
      <c r="AX141" s="1"/>
      <c r="AY141" s="1"/>
      <c r="AZ141" s="1"/>
      <c r="BA141" s="1"/>
      <c r="BB141" s="1"/>
      <c r="BC141" s="1"/>
      <c r="BD141" s="1"/>
      <c r="BE141" s="1"/>
      <c r="BF141" s="1"/>
      <c r="BG141" s="1"/>
      <c r="BH141" s="1"/>
    </row>
    <row x14ac:dyDescent="0.25" r="142" customHeight="1" ht="14.5">
      <c r="A142" s="1"/>
      <c r="B142" s="1"/>
      <c r="C142" s="1"/>
      <c r="D142" s="1"/>
      <c r="E142" s="2"/>
      <c r="F142" s="2"/>
      <c r="G142" s="90">
        <f>(S142&amp;RIGHT(R142,1))*1</f>
      </c>
      <c r="H142" s="1"/>
      <c r="I142" s="111"/>
      <c r="J142" s="126">
        <f>Planning!Q76</f>
      </c>
      <c r="K142" s="93">
        <f>VLOOKUP(J142,AA$23:AE$88,5,FALSE)</f>
      </c>
      <c r="L142" s="122">
        <f>Planning!V76</f>
      </c>
      <c r="M142" s="95">
        <f>IF(Planning!AC76=0,0,IFERROR($AD76*AI$22,0))</f>
      </c>
      <c r="N142" s="171">
        <f>IF(Planning!AC76=0,0,IFERROR($AD76*AI$22*K142,0))</f>
      </c>
      <c r="O142" s="96">
        <f>IF(ISTEXT(Planning!V76),0,AI76)</f>
      </c>
      <c r="P142" s="94">
        <f>Planning!AC76</f>
      </c>
      <c r="Q142" s="121">
        <f>Progress!T76</f>
      </c>
      <c r="R142" s="95">
        <f>IF(Q142=0,0,IF(ISNUMBER(Q142),IF(S142&gt;=$G$21,$F$21,"Q59"),Q142))</f>
      </c>
      <c r="S142" s="122">
        <f>Progress!U76</f>
      </c>
      <c r="T142" s="97"/>
      <c r="U142" s="96">
        <f>V142/$N$419</f>
      </c>
      <c r="V142" s="176">
        <f>IF(L142&lt;$E$20,0,IF(ISTEXT(L142),0,IF(AND(G142+1&gt;=$E$19+1,L142&gt;0),IF(ISNUMBER(Q142),Q142*$AD76*AI$22*K142,$AD76*AI$22*K142),0)))</f>
      </c>
      <c r="W142" s="95">
        <f>IF(AND(L142&gt;0,S142&gt;0),IF(ISNUMBER(Q142),Q142*$AD76*AI$22*K142,$AD76*AI$22*K142),0)</f>
      </c>
      <c r="X142" s="17"/>
      <c r="Y142" s="11"/>
      <c r="Z142" s="11"/>
      <c r="AA142" s="98" t="s">
        <v>115</v>
      </c>
      <c r="AB142" s="99">
        <v>47</v>
      </c>
      <c r="AC142" s="99">
        <v>4</v>
      </c>
      <c r="AD142" s="100"/>
      <c r="AE142" s="177"/>
      <c r="AF142" s="8"/>
      <c r="AG142" s="1"/>
      <c r="AH142" s="6"/>
      <c r="AI142" s="6"/>
      <c r="AJ142" s="6"/>
      <c r="AK142" s="6"/>
      <c r="AL142" s="6"/>
      <c r="AM142" s="6"/>
      <c r="AN142" s="6"/>
      <c r="AO142" s="1"/>
      <c r="AP142" s="9"/>
      <c r="AQ142" s="2"/>
      <c r="AR142" s="3"/>
      <c r="AS142" s="10"/>
      <c r="AT142" s="1"/>
      <c r="AU142" s="1"/>
      <c r="AV142" s="1"/>
      <c r="AW142" s="1"/>
      <c r="AX142" s="1"/>
      <c r="AY142" s="1"/>
      <c r="AZ142" s="1"/>
      <c r="BA142" s="1"/>
      <c r="BB142" s="1"/>
      <c r="BC142" s="1"/>
      <c r="BD142" s="1"/>
      <c r="BE142" s="1"/>
      <c r="BF142" s="1"/>
      <c r="BG142" s="1"/>
      <c r="BH142" s="1"/>
    </row>
    <row x14ac:dyDescent="0.25" r="143" customHeight="1" ht="14.5">
      <c r="A143" s="1"/>
      <c r="B143" s="1"/>
      <c r="C143" s="1"/>
      <c r="D143" s="1"/>
      <c r="E143" s="2"/>
      <c r="F143" s="2"/>
      <c r="G143" s="90">
        <f>(S143&amp;RIGHT(R143,1))*1</f>
      </c>
      <c r="H143" s="1"/>
      <c r="I143" s="111"/>
      <c r="J143" s="126">
        <f>Planning!Q77</f>
      </c>
      <c r="K143" s="93">
        <f>VLOOKUP(J143,AA$23:AE$88,5,FALSE)</f>
      </c>
      <c r="L143" s="122">
        <f>Planning!V77</f>
      </c>
      <c r="M143" s="95">
        <f>IF(Planning!AC77=0,0,IFERROR($AD77*AI$22,0))</f>
      </c>
      <c r="N143" s="171">
        <f>IF(Planning!AC77=0,0,IFERROR($AD77*AI$22*K143,0))</f>
      </c>
      <c r="O143" s="96">
        <f>IF(ISTEXT(Planning!V77),0,AI77)</f>
      </c>
      <c r="P143" s="94">
        <f>Planning!AC77</f>
      </c>
      <c r="Q143" s="121">
        <f>Progress!T77</f>
      </c>
      <c r="R143" s="95">
        <f>IF(Q143=0,0,IF(ISNUMBER(Q143),IF(S143&gt;=$G$21,$F$21,"Q60"),Q143))</f>
      </c>
      <c r="S143" s="122">
        <f>Progress!U77</f>
      </c>
      <c r="T143" s="97"/>
      <c r="U143" s="96">
        <f>V143/$N$419</f>
      </c>
      <c r="V143" s="176">
        <f>IF(L143&lt;$E$20,0,IF(ISTEXT(L143),0,IF(AND(G143+1&gt;=$E$19+1,L143&gt;0),IF(ISNUMBER(Q143),Q143*$AD77*AI$22*K143,$AD77*AI$22*K143),0)))</f>
      </c>
      <c r="W143" s="95">
        <f>IF(AND(L143&gt;0,S143&gt;0),IF(ISNUMBER(Q143),Q143*$AD77*AI$22*K143,$AD77*AI$22*K143),0)</f>
      </c>
      <c r="X143" s="17"/>
      <c r="Y143" s="11"/>
      <c r="Z143" s="11"/>
      <c r="AA143" s="98" t="s">
        <v>119</v>
      </c>
      <c r="AB143" s="99">
        <v>113</v>
      </c>
      <c r="AC143" s="99">
        <v>3</v>
      </c>
      <c r="AD143" s="100"/>
      <c r="AE143" s="177"/>
      <c r="AF143" s="8"/>
      <c r="AG143" s="1"/>
      <c r="AH143" s="6"/>
      <c r="AI143" s="6"/>
      <c r="AJ143" s="6"/>
      <c r="AK143" s="6"/>
      <c r="AL143" s="6"/>
      <c r="AM143" s="6"/>
      <c r="AN143" s="6"/>
      <c r="AO143" s="1"/>
      <c r="AP143" s="9"/>
      <c r="AQ143" s="2"/>
      <c r="AR143" s="3"/>
      <c r="AS143" s="10"/>
      <c r="AT143" s="1"/>
      <c r="AU143" s="1"/>
      <c r="AV143" s="1"/>
      <c r="AW143" s="1"/>
      <c r="AX143" s="1"/>
      <c r="AY143" s="1"/>
      <c r="AZ143" s="1"/>
      <c r="BA143" s="1"/>
      <c r="BB143" s="1"/>
      <c r="BC143" s="1"/>
      <c r="BD143" s="1"/>
      <c r="BE143" s="1"/>
      <c r="BF143" s="1"/>
      <c r="BG143" s="1"/>
      <c r="BH143" s="1"/>
    </row>
    <row x14ac:dyDescent="0.25" r="144" customHeight="1" ht="14.5">
      <c r="A144" s="1"/>
      <c r="B144" s="1"/>
      <c r="C144" s="1"/>
      <c r="D144" s="1"/>
      <c r="E144" s="2"/>
      <c r="F144" s="2"/>
      <c r="G144" s="90">
        <f>(S144&amp;RIGHT(R144,1))*1</f>
      </c>
      <c r="H144" s="1"/>
      <c r="I144" s="111"/>
      <c r="J144" s="126">
        <f>Planning!Q78</f>
      </c>
      <c r="K144" s="93">
        <f>VLOOKUP(J144,AA$23:AE$88,5,FALSE)</f>
      </c>
      <c r="L144" s="122">
        <f>Planning!V78</f>
      </c>
      <c r="M144" s="95">
        <f>IF(Planning!AC78=0,0,IFERROR($AD78*AI$22,0))</f>
      </c>
      <c r="N144" s="171">
        <f>IF(Planning!AC78=0,0,IFERROR($AD78*AI$22*K144,0))</f>
      </c>
      <c r="O144" s="96">
        <f>IF(ISTEXT(Planning!V78),0,AI78)</f>
      </c>
      <c r="P144" s="94">
        <f>Planning!AC78</f>
      </c>
      <c r="Q144" s="121">
        <f>Progress!T78</f>
      </c>
      <c r="R144" s="95">
        <f>IF(Q144=0,0,IF(ISNUMBER(Q144),IF(S144&gt;=$G$21,$F$21,"Q61"),Q144))</f>
      </c>
      <c r="S144" s="122">
        <f>Progress!U78</f>
      </c>
      <c r="T144" s="97"/>
      <c r="U144" s="96">
        <f>V144/$N$419</f>
      </c>
      <c r="V144" s="176">
        <f>IF(L144&lt;$E$20,0,IF(ISTEXT(L144),0,IF(AND(G144+1&gt;=$E$19+1,L144&gt;0),IF(ISNUMBER(Q144),Q144*$AD78*AI$22*K144,$AD78*AI$22*K144),0)))</f>
      </c>
      <c r="W144" s="95">
        <f>IF(AND(L144&gt;0,S144&gt;0),IF(ISNUMBER(Q144),Q144*$AD78*AI$22*K144,$AD78*AI$22*K144),0)</f>
      </c>
      <c r="X144" s="17"/>
      <c r="Y144" s="11"/>
      <c r="Z144" s="11"/>
      <c r="AA144" s="98" t="s">
        <v>123</v>
      </c>
      <c r="AB144" s="99">
        <v>83</v>
      </c>
      <c r="AC144" s="99">
        <v>3</v>
      </c>
      <c r="AD144" s="100"/>
      <c r="AE144" s="177"/>
      <c r="AF144" s="8"/>
      <c r="AG144" s="1"/>
      <c r="AH144" s="6"/>
      <c r="AI144" s="6"/>
      <c r="AJ144" s="6"/>
      <c r="AK144" s="6"/>
      <c r="AL144" s="6"/>
      <c r="AM144" s="6"/>
      <c r="AN144" s="6"/>
      <c r="AO144" s="1"/>
      <c r="AP144" s="9"/>
      <c r="AQ144" s="2"/>
      <c r="AR144" s="3"/>
      <c r="AS144" s="10"/>
      <c r="AT144" s="1"/>
      <c r="AU144" s="1"/>
      <c r="AV144" s="1"/>
      <c r="AW144" s="1"/>
      <c r="AX144" s="1"/>
      <c r="AY144" s="1"/>
      <c r="AZ144" s="1"/>
      <c r="BA144" s="1"/>
      <c r="BB144" s="1"/>
      <c r="BC144" s="1"/>
      <c r="BD144" s="1"/>
      <c r="BE144" s="1"/>
      <c r="BF144" s="1"/>
      <c r="BG144" s="1"/>
      <c r="BH144" s="1"/>
    </row>
    <row x14ac:dyDescent="0.25" r="145" customHeight="1" ht="14.5">
      <c r="A145" s="1"/>
      <c r="B145" s="1"/>
      <c r="C145" s="1"/>
      <c r="D145" s="1"/>
      <c r="E145" s="2"/>
      <c r="F145" s="2"/>
      <c r="G145" s="90">
        <f>(S145&amp;RIGHT(R145,1))*1</f>
      </c>
      <c r="H145" s="1"/>
      <c r="I145" s="111"/>
      <c r="J145" s="126">
        <f>Planning!Q79</f>
      </c>
      <c r="K145" s="93">
        <f>VLOOKUP(J145,AA$23:AE$88,5,FALSE)</f>
      </c>
      <c r="L145" s="122">
        <f>Planning!V79</f>
      </c>
      <c r="M145" s="95">
        <f>IF(Planning!AC79=0,0,IFERROR($AD79*AI$22,0))</f>
      </c>
      <c r="N145" s="171">
        <f>IF(Planning!AC79=0,0,IFERROR($AD79*AI$22*K145,0))</f>
      </c>
      <c r="O145" s="96">
        <f>IF(ISTEXT(Planning!V79),0,AI79)</f>
      </c>
      <c r="P145" s="94">
        <f>Planning!AC79</f>
      </c>
      <c r="Q145" s="121">
        <f>Progress!T79</f>
      </c>
      <c r="R145" s="95">
        <f>IF(Q145=0,0,IF(ISNUMBER(Q145),IF(S145&gt;=$G$21,$F$21,"Q62"),Q145))</f>
      </c>
      <c r="S145" s="122">
        <f>Progress!U79</f>
      </c>
      <c r="T145" s="97"/>
      <c r="U145" s="96">
        <f>V145/$N$419</f>
      </c>
      <c r="V145" s="176">
        <f>IF(L145&lt;$E$20,0,IF(ISTEXT(L145),0,IF(AND(G145+1&gt;=$E$19+1,L145&gt;0),IF(ISNUMBER(Q145),Q145*$AD79*AI$22*K145,$AD79*AI$22*K145),0)))</f>
      </c>
      <c r="W145" s="95">
        <f>IF(AND(L145&gt;0,S145&gt;0),IF(ISNUMBER(Q145),Q145*$AD79*AI$22*K145,$AD79*AI$22*K145),0)</f>
      </c>
      <c r="X145" s="17"/>
      <c r="Y145" s="11"/>
      <c r="Z145" s="11"/>
      <c r="AA145" s="98" t="s">
        <v>127</v>
      </c>
      <c r="AB145" s="99">
        <v>46</v>
      </c>
      <c r="AC145" s="99">
        <v>3</v>
      </c>
      <c r="AD145" s="100"/>
      <c r="AE145" s="177"/>
      <c r="AF145" s="8"/>
      <c r="AG145" s="1"/>
      <c r="AH145" s="6"/>
      <c r="AI145" s="6"/>
      <c r="AJ145" s="6"/>
      <c r="AK145" s="6"/>
      <c r="AL145" s="6"/>
      <c r="AM145" s="6"/>
      <c r="AN145" s="6"/>
      <c r="AO145" s="1"/>
      <c r="AP145" s="9"/>
      <c r="AQ145" s="2"/>
      <c r="AR145" s="3"/>
      <c r="AS145" s="10"/>
      <c r="AT145" s="1"/>
      <c r="AU145" s="1"/>
      <c r="AV145" s="1"/>
      <c r="AW145" s="1"/>
      <c r="AX145" s="1"/>
      <c r="AY145" s="1"/>
      <c r="AZ145" s="1"/>
      <c r="BA145" s="1"/>
      <c r="BB145" s="1"/>
      <c r="BC145" s="1"/>
      <c r="BD145" s="1"/>
      <c r="BE145" s="1"/>
      <c r="BF145" s="1"/>
      <c r="BG145" s="1"/>
      <c r="BH145" s="1"/>
    </row>
    <row x14ac:dyDescent="0.25" r="146" customHeight="1" ht="14.5">
      <c r="A146" s="1"/>
      <c r="B146" s="1"/>
      <c r="C146" s="1"/>
      <c r="D146" s="1"/>
      <c r="E146" s="2"/>
      <c r="F146" s="2"/>
      <c r="G146" s="90">
        <f>(S146&amp;RIGHT(R146,1))*1</f>
      </c>
      <c r="H146" s="1"/>
      <c r="I146" s="111"/>
      <c r="J146" s="126">
        <f>Planning!Q80</f>
      </c>
      <c r="K146" s="93">
        <f>VLOOKUP(J146,AA$23:AE$88,5,FALSE)</f>
      </c>
      <c r="L146" s="122">
        <f>Planning!V80</f>
      </c>
      <c r="M146" s="95">
        <f>IF(Planning!AC80=0,0,IFERROR($AD80*AI$22,0))</f>
      </c>
      <c r="N146" s="171">
        <f>IF(Planning!AC80=0,0,IFERROR($AD80*AI$22*K146,0))</f>
      </c>
      <c r="O146" s="96">
        <f>IF(ISTEXT(Planning!V80),0,AI80)</f>
      </c>
      <c r="P146" s="94">
        <f>Planning!AC80</f>
      </c>
      <c r="Q146" s="121">
        <f>Progress!T80</f>
      </c>
      <c r="R146" s="95">
        <f>IF(Q146=0,0,IF(ISNUMBER(Q146),IF(S146&gt;=$G$21,$F$21,"Q63"),Q146))</f>
      </c>
      <c r="S146" s="122">
        <f>Progress!U80</f>
      </c>
      <c r="T146" s="97"/>
      <c r="U146" s="96">
        <f>V146/$N$419</f>
      </c>
      <c r="V146" s="176">
        <f>IF(L146&lt;$E$20,0,IF(ISTEXT(L146),0,IF(AND(G146+1&gt;=$E$19+1,L146&gt;0),IF(ISNUMBER(Q146),Q146*$AD80*AI$22*K146,$AD80*AI$22*K146),0)))</f>
      </c>
      <c r="W146" s="95">
        <f>IF(AND(L146&gt;0,S146&gt;0),IF(ISNUMBER(Q146),Q146*$AD80*AI$22*K146,$AD80*AI$22*K146),0)</f>
      </c>
      <c r="X146" s="17"/>
      <c r="Y146" s="11"/>
      <c r="Z146" s="11"/>
      <c r="AA146" s="98" t="s">
        <v>131</v>
      </c>
      <c r="AB146" s="99">
        <v>25</v>
      </c>
      <c r="AC146" s="99">
        <v>3</v>
      </c>
      <c r="AD146" s="100"/>
      <c r="AE146" s="177"/>
      <c r="AF146" s="8"/>
      <c r="AG146" s="1"/>
      <c r="AH146" s="6"/>
      <c r="AI146" s="6"/>
      <c r="AJ146" s="6"/>
      <c r="AK146" s="6"/>
      <c r="AL146" s="6"/>
      <c r="AM146" s="6"/>
      <c r="AN146" s="6"/>
      <c r="AO146" s="1"/>
      <c r="AP146" s="9"/>
      <c r="AQ146" s="2"/>
      <c r="AR146" s="3"/>
      <c r="AS146" s="10"/>
      <c r="AT146" s="1"/>
      <c r="AU146" s="1"/>
      <c r="AV146" s="1"/>
      <c r="AW146" s="1"/>
      <c r="AX146" s="1"/>
      <c r="AY146" s="1"/>
      <c r="AZ146" s="1"/>
      <c r="BA146" s="1"/>
      <c r="BB146" s="1"/>
      <c r="BC146" s="1"/>
      <c r="BD146" s="1"/>
      <c r="BE146" s="1"/>
      <c r="BF146" s="1"/>
      <c r="BG146" s="1"/>
      <c r="BH146" s="1"/>
    </row>
    <row x14ac:dyDescent="0.25" r="147" customHeight="1" ht="14.5">
      <c r="A147" s="1"/>
      <c r="B147" s="1"/>
      <c r="C147" s="1"/>
      <c r="D147" s="1"/>
      <c r="E147" s="2"/>
      <c r="F147" s="2"/>
      <c r="G147" s="90">
        <f>(S147&amp;RIGHT(R147,1))*1</f>
      </c>
      <c r="H147" s="1"/>
      <c r="I147" s="111"/>
      <c r="J147" s="126">
        <f>Planning!Q81</f>
      </c>
      <c r="K147" s="93">
        <f>VLOOKUP(J147,AA$23:AE$88,5,FALSE)</f>
      </c>
      <c r="L147" s="122">
        <f>Planning!V81</f>
      </c>
      <c r="M147" s="95">
        <f>IF(Planning!AC81=0,0,IFERROR($AD81*AI$22,0))</f>
      </c>
      <c r="N147" s="171">
        <f>IF(Planning!AC81=0,0,IFERROR($AD81*AI$22*K147,0))</f>
      </c>
      <c r="O147" s="96">
        <f>IF(ISTEXT(Planning!V81),0,AI81)</f>
      </c>
      <c r="P147" s="94">
        <f>Planning!AC81</f>
      </c>
      <c r="Q147" s="121">
        <f>Progress!T81</f>
      </c>
      <c r="R147" s="95">
        <f>IF(Q147=0,0,IF(ISNUMBER(Q147),IF(S147&gt;=$G$21,$F$21,"Q64"),Q147))</f>
      </c>
      <c r="S147" s="122">
        <f>Progress!U81</f>
      </c>
      <c r="T147" s="97"/>
      <c r="U147" s="96">
        <f>V147/$N$419</f>
      </c>
      <c r="V147" s="176">
        <f>IF(L147&lt;$E$20,0,IF(ISTEXT(L147),0,IF(AND(G147+1&gt;=$E$19+1,L147&gt;0),IF(ISNUMBER(Q147),Q147*$AD81*AI$22*K147,$AD81*AI$22*K147),0)))</f>
      </c>
      <c r="W147" s="95">
        <f>IF(AND(L147&gt;0,S147&gt;0),IF(ISNUMBER(Q147),Q147*$AD81*AI$22*K147,$AD81*AI$22*K147),0)</f>
      </c>
      <c r="X147" s="17"/>
      <c r="Y147" s="11"/>
      <c r="Z147" s="11"/>
      <c r="AA147" s="98" t="s">
        <v>135</v>
      </c>
      <c r="AB147" s="99">
        <v>303</v>
      </c>
      <c r="AC147" s="99">
        <v>5</v>
      </c>
      <c r="AD147" s="100"/>
      <c r="AE147" s="177"/>
      <c r="AF147" s="8"/>
      <c r="AG147" s="1"/>
      <c r="AH147" s="6"/>
      <c r="AI147" s="6"/>
      <c r="AJ147" s="6"/>
      <c r="AK147" s="6"/>
      <c r="AL147" s="6"/>
      <c r="AM147" s="6"/>
      <c r="AN147" s="6"/>
      <c r="AO147" s="1"/>
      <c r="AP147" s="9"/>
      <c r="AQ147" s="2"/>
      <c r="AR147" s="3"/>
      <c r="AS147" s="10"/>
      <c r="AT147" s="1"/>
      <c r="AU147" s="1"/>
      <c r="AV147" s="1"/>
      <c r="AW147" s="1"/>
      <c r="AX147" s="1"/>
      <c r="AY147" s="1"/>
      <c r="AZ147" s="1"/>
      <c r="BA147" s="1"/>
      <c r="BB147" s="1"/>
      <c r="BC147" s="1"/>
      <c r="BD147" s="1"/>
      <c r="BE147" s="1"/>
      <c r="BF147" s="1"/>
      <c r="BG147" s="1"/>
      <c r="BH147" s="1"/>
    </row>
    <row x14ac:dyDescent="0.25" r="148" customHeight="1" ht="14.5">
      <c r="A148" s="1"/>
      <c r="B148" s="1"/>
      <c r="C148" s="1"/>
      <c r="D148" s="1"/>
      <c r="E148" s="2"/>
      <c r="F148" s="2"/>
      <c r="G148" s="90">
        <f>(S148&amp;RIGHT(R148,1))*1</f>
      </c>
      <c r="H148" s="1"/>
      <c r="I148" s="111"/>
      <c r="J148" s="126">
        <f>Planning!Q82</f>
      </c>
      <c r="K148" s="93">
        <f>VLOOKUP(J148,AA$23:AE$88,5,FALSE)</f>
      </c>
      <c r="L148" s="122">
        <f>Planning!V82</f>
      </c>
      <c r="M148" s="95">
        <f>IF(Planning!AC82=0,0,IFERROR($AD82*AI$22,0))</f>
      </c>
      <c r="N148" s="171">
        <f>IF(Planning!AC82=0,0,IFERROR($AD82*AI$22*K148,0))</f>
      </c>
      <c r="O148" s="96">
        <f>IF(ISTEXT(Planning!V82),0,AI82)</f>
      </c>
      <c r="P148" s="94">
        <f>Planning!AC82</f>
      </c>
      <c r="Q148" s="121">
        <f>Progress!T82</f>
      </c>
      <c r="R148" s="95">
        <f>IF(Q148=0,0,IF(ISNUMBER(Q148),IF(S148&gt;=$G$21,$F$21,"Q65"),Q148))</f>
      </c>
      <c r="S148" s="122">
        <f>Progress!U82</f>
      </c>
      <c r="T148" s="97"/>
      <c r="U148" s="96">
        <f>V148/$N$419</f>
      </c>
      <c r="V148" s="176">
        <f>IF(L148&lt;$E$20,0,IF(ISTEXT(L148),0,IF(AND(G148+1&gt;=$E$19+1,L148&gt;0),IF(ISNUMBER(Q148),Q148*$AD82*AI$22*K148,$AD82*AI$22*K148),0)))</f>
      </c>
      <c r="W148" s="95">
        <f>IF(AND(L148&gt;0,S148&gt;0),IF(ISNUMBER(Q148),Q148*$AD82*AI$22*K148,$AD82*AI$22*K148),0)</f>
      </c>
      <c r="X148" s="17"/>
      <c r="Y148" s="11"/>
      <c r="Z148" s="11"/>
      <c r="AA148" s="98" t="s">
        <v>139</v>
      </c>
      <c r="AB148" s="99">
        <v>108</v>
      </c>
      <c r="AC148" s="99">
        <v>3</v>
      </c>
      <c r="AD148" s="100"/>
      <c r="AE148" s="177"/>
      <c r="AF148" s="8"/>
      <c r="AG148" s="1"/>
      <c r="AH148" s="6"/>
      <c r="AI148" s="6"/>
      <c r="AJ148" s="6"/>
      <c r="AK148" s="6"/>
      <c r="AL148" s="6"/>
      <c r="AM148" s="6"/>
      <c r="AN148" s="6"/>
      <c r="AO148" s="1"/>
      <c r="AP148" s="9"/>
      <c r="AQ148" s="2"/>
      <c r="AR148" s="3"/>
      <c r="AS148" s="10"/>
      <c r="AT148" s="1"/>
      <c r="AU148" s="1"/>
      <c r="AV148" s="1"/>
      <c r="AW148" s="1"/>
      <c r="AX148" s="1"/>
      <c r="AY148" s="1"/>
      <c r="AZ148" s="1"/>
      <c r="BA148" s="1"/>
      <c r="BB148" s="1"/>
      <c r="BC148" s="1"/>
      <c r="BD148" s="1"/>
      <c r="BE148" s="1"/>
      <c r="BF148" s="1"/>
      <c r="BG148" s="1"/>
      <c r="BH148" s="1"/>
    </row>
    <row x14ac:dyDescent="0.25" r="149" customHeight="1" ht="14.5">
      <c r="A149" s="1"/>
      <c r="B149" s="1"/>
      <c r="C149" s="1"/>
      <c r="D149" s="1"/>
      <c r="E149" s="2"/>
      <c r="F149" s="2"/>
      <c r="G149" s="90">
        <f>(S149&amp;RIGHT(R149,1))*1</f>
      </c>
      <c r="H149" s="1"/>
      <c r="I149" s="111"/>
      <c r="J149" s="126">
        <f>Planning!Q83</f>
      </c>
      <c r="K149" s="93">
        <f>VLOOKUP(J149,AA$23:AE$88,5,FALSE)</f>
      </c>
      <c r="L149" s="122">
        <f>Planning!V83</f>
      </c>
      <c r="M149" s="95">
        <f>IF(Planning!AC83=0,0,IFERROR($AD83*AI$22,0))</f>
      </c>
      <c r="N149" s="171">
        <f>IF(Planning!AC83=0,0,IFERROR($AD83*AI$22*K149,0))</f>
      </c>
      <c r="O149" s="96">
        <f>IF(ISTEXT(Planning!V83),0,AI83)</f>
      </c>
      <c r="P149" s="94">
        <f>Planning!AC83</f>
      </c>
      <c r="Q149" s="121">
        <f>Progress!T83</f>
      </c>
      <c r="R149" s="95">
        <f>IF(Q149=0,0,IF(ISNUMBER(Q149),IF(S149&gt;=$G$21,$F$21,"Q66"),Q149))</f>
      </c>
      <c r="S149" s="122">
        <f>Progress!U83</f>
      </c>
      <c r="T149" s="97"/>
      <c r="U149" s="96">
        <f>V149/$N$419</f>
      </c>
      <c r="V149" s="176">
        <f>IF(L149&lt;$E$20,0,IF(ISTEXT(L149),0,IF(AND(G149+1&gt;=$E$19+1,L149&gt;0),IF(ISNUMBER(Q149),Q149*$AD83*AI$22*K149,$AD83*AI$22*K149),0)))</f>
      </c>
      <c r="W149" s="95">
        <f>IF(AND(L149&gt;0,S149&gt;0),IF(ISNUMBER(Q149),Q149*$AD83*AI$22*K149,$AD83*AI$22*K149),0)</f>
      </c>
      <c r="X149" s="17"/>
      <c r="Y149" s="11"/>
      <c r="Z149" s="11"/>
      <c r="AA149" s="98" t="s">
        <v>143</v>
      </c>
      <c r="AB149" s="99">
        <v>105</v>
      </c>
      <c r="AC149" s="99">
        <v>4</v>
      </c>
      <c r="AD149" s="100"/>
      <c r="AE149" s="177"/>
      <c r="AF149" s="8"/>
      <c r="AG149" s="1"/>
      <c r="AH149" s="6"/>
      <c r="AI149" s="6"/>
      <c r="AJ149" s="6"/>
      <c r="AK149" s="6"/>
      <c r="AL149" s="6"/>
      <c r="AM149" s="6"/>
      <c r="AN149" s="6"/>
      <c r="AO149" s="1"/>
      <c r="AP149" s="9"/>
      <c r="AQ149" s="2"/>
      <c r="AR149" s="3"/>
      <c r="AS149" s="10"/>
      <c r="AT149" s="1"/>
      <c r="AU149" s="1"/>
      <c r="AV149" s="1"/>
      <c r="AW149" s="1"/>
      <c r="AX149" s="1"/>
      <c r="AY149" s="1"/>
      <c r="AZ149" s="1"/>
      <c r="BA149" s="1"/>
      <c r="BB149" s="1"/>
      <c r="BC149" s="1"/>
      <c r="BD149" s="1"/>
      <c r="BE149" s="1"/>
      <c r="BF149" s="1"/>
      <c r="BG149" s="1"/>
      <c r="BH149" s="1"/>
    </row>
    <row x14ac:dyDescent="0.25" r="150" customHeight="1" ht="14.5">
      <c r="A150" s="1"/>
      <c r="B150" s="1"/>
      <c r="C150" s="1"/>
      <c r="D150" s="1"/>
      <c r="E150" s="2"/>
      <c r="F150" s="2"/>
      <c r="G150" s="90">
        <f>(S150&amp;RIGHT(R150,1))*1</f>
      </c>
      <c r="H150" s="1"/>
      <c r="I150" s="111"/>
      <c r="J150" s="126">
        <f>Planning!Q84</f>
      </c>
      <c r="K150" s="93">
        <f>VLOOKUP(J150,AA$23:AE$88,5,FALSE)</f>
      </c>
      <c r="L150" s="122">
        <f>Planning!V84</f>
      </c>
      <c r="M150" s="95">
        <f>IF(Planning!AC84=0,0,IFERROR($AD84*AI$22,0))</f>
      </c>
      <c r="N150" s="171">
        <f>IF(Planning!AC84=0,0,IFERROR($AD84*AI$22*K150,0))</f>
      </c>
      <c r="O150" s="96">
        <f>IF(ISTEXT(Planning!V84),0,AI84)</f>
      </c>
      <c r="P150" s="94">
        <f>Planning!AC84</f>
      </c>
      <c r="Q150" s="121">
        <f>Progress!T84</f>
      </c>
      <c r="R150" s="95">
        <f>IF(Q150=0,0,IF(ISNUMBER(Q150),IF(S150&gt;=$G$21,$F$21,"Q67"),Q150))</f>
      </c>
      <c r="S150" s="122">
        <f>Progress!U84</f>
      </c>
      <c r="T150" s="97"/>
      <c r="U150" s="96">
        <f>V150/$N$419</f>
      </c>
      <c r="V150" s="176">
        <f>IF(L150&lt;$E$20,0,IF(ISTEXT(L150),0,IF(AND(G150+1&gt;=$E$19+1,L150&gt;0),IF(ISNUMBER(Q150),Q150*$AD84*AI$22*K150,$AD84*AI$22*K150),0)))</f>
      </c>
      <c r="W150" s="95">
        <f>IF(AND(L150&gt;0,S150&gt;0),IF(ISNUMBER(Q150),Q150*$AD84*AI$22*K150,$AD84*AI$22*K150),0)</f>
      </c>
      <c r="X150" s="17"/>
      <c r="Y150" s="11"/>
      <c r="Z150" s="11"/>
      <c r="AA150" s="98" t="s">
        <v>147</v>
      </c>
      <c r="AB150" s="99">
        <v>61</v>
      </c>
      <c r="AC150" s="99">
        <v>4</v>
      </c>
      <c r="AD150" s="100"/>
      <c r="AE150" s="177"/>
      <c r="AF150" s="8"/>
      <c r="AG150" s="1"/>
      <c r="AH150" s="6"/>
      <c r="AI150" s="6"/>
      <c r="AJ150" s="6"/>
      <c r="AK150" s="6"/>
      <c r="AL150" s="6"/>
      <c r="AM150" s="6"/>
      <c r="AN150" s="6"/>
      <c r="AO150" s="1"/>
      <c r="AP150" s="9"/>
      <c r="AQ150" s="2"/>
      <c r="AR150" s="3"/>
      <c r="AS150" s="10"/>
      <c r="AT150" s="1"/>
      <c r="AU150" s="1"/>
      <c r="AV150" s="1"/>
      <c r="AW150" s="1"/>
      <c r="AX150" s="1"/>
      <c r="AY150" s="1"/>
      <c r="AZ150" s="1"/>
      <c r="BA150" s="1"/>
      <c r="BB150" s="1"/>
      <c r="BC150" s="1"/>
      <c r="BD150" s="1"/>
      <c r="BE150" s="1"/>
      <c r="BF150" s="1"/>
      <c r="BG150" s="1"/>
      <c r="BH150" s="1"/>
    </row>
    <row x14ac:dyDescent="0.25" r="151" customHeight="1" ht="14.5">
      <c r="A151" s="1"/>
      <c r="B151" s="1"/>
      <c r="C151" s="1"/>
      <c r="D151" s="1"/>
      <c r="E151" s="2"/>
      <c r="F151" s="2"/>
      <c r="G151" s="90">
        <f>(S151&amp;RIGHT(R151,1))*1</f>
      </c>
      <c r="H151" s="1"/>
      <c r="I151" s="111"/>
      <c r="J151" s="126">
        <f>Planning!Q85</f>
      </c>
      <c r="K151" s="93">
        <f>VLOOKUP(J151,AA$23:AE$88,5,FALSE)</f>
      </c>
      <c r="L151" s="122">
        <f>Planning!V85</f>
      </c>
      <c r="M151" s="95">
        <f>IF(Planning!AC85=0,0,IFERROR($AD85*AI$22,0))</f>
      </c>
      <c r="N151" s="171">
        <f>IF(Planning!AC85=0,0,IFERROR($AD85*AI$22*K151,0))</f>
      </c>
      <c r="O151" s="96">
        <f>IF(ISTEXT(Planning!V85),0,AI85)</f>
      </c>
      <c r="P151" s="94">
        <f>Planning!AC85</f>
      </c>
      <c r="Q151" s="121">
        <f>Progress!T85</f>
      </c>
      <c r="R151" s="95">
        <f>IF(Q151=0,0,IF(ISNUMBER(Q151),IF(S151&gt;=$G$21,$F$21,"Q4"),Q151))</f>
      </c>
      <c r="S151" s="122">
        <f>Progress!U85</f>
      </c>
      <c r="T151" s="97"/>
      <c r="U151" s="96">
        <f>V151/$N$419</f>
      </c>
      <c r="V151" s="176">
        <f>IF(L151&lt;$E$20,0,IF(ISTEXT(L151),0,IF(AND(G151+1&gt;=$E$19+1,L151&gt;0),IF(ISNUMBER(Q151),Q151*$AD85*AI$22*K151,$AD85*AI$22*K151),0)))</f>
      </c>
      <c r="W151" s="95">
        <f>IF(AND(L151&gt;0,S151&gt;0),IF(ISNUMBER(Q151),Q151*$AD85*AI$22*K151,$AD85*AI$22*K151),0)</f>
      </c>
      <c r="X151" s="17"/>
      <c r="Y151" s="11"/>
      <c r="Z151" s="11"/>
      <c r="AA151" s="98" t="s">
        <v>151</v>
      </c>
      <c r="AB151" s="99">
        <v>105</v>
      </c>
      <c r="AC151" s="99">
        <v>4</v>
      </c>
      <c r="AD151" s="100"/>
      <c r="AE151" s="177"/>
      <c r="AF151" s="8"/>
      <c r="AG151" s="1"/>
      <c r="AH151" s="6"/>
      <c r="AI151" s="6"/>
      <c r="AJ151" s="6"/>
      <c r="AK151" s="6"/>
      <c r="AL151" s="6"/>
      <c r="AM151" s="6"/>
      <c r="AN151" s="6"/>
      <c r="AO151" s="1"/>
      <c r="AP151" s="9"/>
      <c r="AQ151" s="2"/>
      <c r="AR151" s="3"/>
      <c r="AS151" s="10"/>
      <c r="AT151" s="1"/>
      <c r="AU151" s="1"/>
      <c r="AV151" s="1"/>
      <c r="AW151" s="1"/>
      <c r="AX151" s="1"/>
      <c r="AY151" s="1"/>
      <c r="AZ151" s="1"/>
      <c r="BA151" s="1"/>
      <c r="BB151" s="1"/>
      <c r="BC151" s="1"/>
      <c r="BD151" s="1"/>
      <c r="BE151" s="1"/>
      <c r="BF151" s="1"/>
      <c r="BG151" s="1"/>
      <c r="BH151" s="1"/>
    </row>
    <row x14ac:dyDescent="0.25" r="152" customHeight="1" ht="14.5">
      <c r="A152" s="1"/>
      <c r="B152" s="1"/>
      <c r="C152" s="1"/>
      <c r="D152" s="1"/>
      <c r="E152" s="2"/>
      <c r="F152" s="2"/>
      <c r="G152" s="90">
        <f>(S152&amp;RIGHT(R152,1))*1</f>
      </c>
      <c r="H152" s="1"/>
      <c r="I152" s="111"/>
      <c r="J152" s="126">
        <f>Planning!Q86</f>
      </c>
      <c r="K152" s="93">
        <f>VLOOKUP(J152,AA$23:AE$88,5,FALSE)</f>
      </c>
      <c r="L152" s="122">
        <f>Planning!V86</f>
      </c>
      <c r="M152" s="95">
        <f>IF(Planning!AC86=0,0,IFERROR($AD86*AI$22,0))</f>
      </c>
      <c r="N152" s="171">
        <f>IF(Planning!AC86=0,0,IFERROR($AD86*AI$22*K152,0))</f>
      </c>
      <c r="O152" s="96">
        <f>IF(ISTEXT(Planning!V86),0,AI86)</f>
      </c>
      <c r="P152" s="94">
        <f>Planning!AC86</f>
      </c>
      <c r="Q152" s="121">
        <f>Progress!T86</f>
      </c>
      <c r="R152" s="95">
        <f>IF(Q152=0,0,IF(ISNUMBER(Q152),IF(S152&gt;=$G$21,$F$21,"Q5"),Q152))</f>
      </c>
      <c r="S152" s="122">
        <f>Progress!U86</f>
      </c>
      <c r="T152" s="97"/>
      <c r="U152" s="96">
        <f>V152/$N$419</f>
      </c>
      <c r="V152" s="176">
        <f>IF(L152&lt;$E$20,0,IF(ISTEXT(L152),0,IF(AND(G152+1&gt;=$E$19+1,L152&gt;0),IF(ISNUMBER(Q152),Q152*$AD86*AI$22*K152,$AD86*AI$22*K152),0)))</f>
      </c>
      <c r="W152" s="95">
        <f>IF(AND(L152&gt;0,S152&gt;0),IF(ISNUMBER(Q152),Q152*$AD86*AI$22*K152,$AD86*AI$22*K152),0)</f>
      </c>
      <c r="X152" s="17"/>
      <c r="Y152" s="11"/>
      <c r="Z152" s="11"/>
      <c r="AA152" s="98" t="s">
        <v>155</v>
      </c>
      <c r="AB152" s="99">
        <v>13</v>
      </c>
      <c r="AC152" s="99">
        <v>3</v>
      </c>
      <c r="AD152" s="100"/>
      <c r="AE152" s="177"/>
      <c r="AF152" s="8"/>
      <c r="AG152" s="1"/>
      <c r="AH152" s="6"/>
      <c r="AI152" s="6"/>
      <c r="AJ152" s="6"/>
      <c r="AK152" s="6"/>
      <c r="AL152" s="6"/>
      <c r="AM152" s="6"/>
      <c r="AN152" s="6"/>
      <c r="AO152" s="1"/>
      <c r="AP152" s="9"/>
      <c r="AQ152" s="2"/>
      <c r="AR152" s="3"/>
      <c r="AS152" s="10"/>
      <c r="AT152" s="1"/>
      <c r="AU152" s="1"/>
      <c r="AV152" s="1"/>
      <c r="AW152" s="1"/>
      <c r="AX152" s="1"/>
      <c r="AY152" s="1"/>
      <c r="AZ152" s="1"/>
      <c r="BA152" s="1"/>
      <c r="BB152" s="1"/>
      <c r="BC152" s="1"/>
      <c r="BD152" s="1"/>
      <c r="BE152" s="1"/>
      <c r="BF152" s="1"/>
      <c r="BG152" s="1"/>
      <c r="BH152" s="1"/>
    </row>
    <row x14ac:dyDescent="0.25" r="153" customHeight="1" ht="14.5">
      <c r="A153" s="1"/>
      <c r="B153" s="1"/>
      <c r="C153" s="1"/>
      <c r="D153" s="1"/>
      <c r="E153" s="2"/>
      <c r="F153" s="2"/>
      <c r="G153" s="90">
        <f>(S153&amp;RIGHT(R153,1))*1</f>
      </c>
      <c r="H153" s="1"/>
      <c r="I153" s="111"/>
      <c r="J153" s="126">
        <f>Planning!Q87</f>
      </c>
      <c r="K153" s="93">
        <f>VLOOKUP(J153,AA$23:AE$88,5,FALSE)</f>
      </c>
      <c r="L153" s="122">
        <f>Planning!V87</f>
      </c>
      <c r="M153" s="95">
        <f>IF(Planning!AC87=0,0,IFERROR($AD87*AI$22,0))</f>
      </c>
      <c r="N153" s="171">
        <f>IF(Planning!AC87=0,0,IFERROR($AD87*AI$22*K153,0))</f>
      </c>
      <c r="O153" s="96">
        <f>IF(ISTEXT(Planning!V87),0,AI87)</f>
      </c>
      <c r="P153" s="94">
        <f>Planning!AC87</f>
      </c>
      <c r="Q153" s="121">
        <f>Progress!T87</f>
      </c>
      <c r="R153" s="95">
        <f>IF(Q153=0,0,IF(ISNUMBER(Q153),IF(S153&gt;=$G$21,$F$21,"Q6"),Q153))</f>
      </c>
      <c r="S153" s="122">
        <f>Progress!U87</f>
      </c>
      <c r="T153" s="97"/>
      <c r="U153" s="96">
        <f>V153/$N$419</f>
      </c>
      <c r="V153" s="176">
        <f>IF(L153&lt;$E$20,0,IF(ISTEXT(L153),0,IF(AND(G153+1&gt;=$E$19+1,L153&gt;0),IF(ISNUMBER(Q153),Q153*$AD87*AI$22*K153,$AD87*AI$22*K153),0)))</f>
      </c>
      <c r="W153" s="95">
        <f>IF(AND(L153&gt;0,S153&gt;0),IF(ISNUMBER(Q153),Q153*$AD87*AI$22*K153,$AD87*AI$22*K153),0)</f>
      </c>
      <c r="X153" s="17"/>
      <c r="Y153" s="11"/>
      <c r="Z153" s="11"/>
      <c r="AA153" s="98" t="s">
        <v>158</v>
      </c>
      <c r="AB153" s="99">
        <v>14</v>
      </c>
      <c r="AC153" s="99">
        <v>3</v>
      </c>
      <c r="AD153" s="100"/>
      <c r="AE153" s="177"/>
      <c r="AF153" s="8"/>
      <c r="AG153" s="1"/>
      <c r="AH153" s="6"/>
      <c r="AI153" s="6"/>
      <c r="AJ153" s="6"/>
      <c r="AK153" s="6"/>
      <c r="AL153" s="6"/>
      <c r="AM153" s="6"/>
      <c r="AN153" s="6"/>
      <c r="AO153" s="1"/>
      <c r="AP153" s="9"/>
      <c r="AQ153" s="2"/>
      <c r="AR153" s="3"/>
      <c r="AS153" s="10"/>
      <c r="AT153" s="1"/>
      <c r="AU153" s="1"/>
      <c r="AV153" s="1"/>
      <c r="AW153" s="1"/>
      <c r="AX153" s="1"/>
      <c r="AY153" s="1"/>
      <c r="AZ153" s="1"/>
      <c r="BA153" s="1"/>
      <c r="BB153" s="1"/>
      <c r="BC153" s="1"/>
      <c r="BD153" s="1"/>
      <c r="BE153" s="1"/>
      <c r="BF153" s="1"/>
      <c r="BG153" s="1"/>
      <c r="BH153" s="1"/>
    </row>
    <row x14ac:dyDescent="0.25" r="154" customHeight="1" ht="15">
      <c r="A154" s="1"/>
      <c r="B154" s="1"/>
      <c r="C154" s="1"/>
      <c r="D154" s="1"/>
      <c r="E154" s="2"/>
      <c r="F154" s="2"/>
      <c r="G154" s="90">
        <f>(S154&amp;RIGHT(R154,1))*1</f>
      </c>
      <c r="H154" s="1"/>
      <c r="I154" s="153"/>
      <c r="J154" s="154">
        <f>Planning!Q88</f>
      </c>
      <c r="K154" s="124">
        <f>VLOOKUP(J154,AA$23:AE$88,5,FALSE)</f>
      </c>
      <c r="L154" s="155">
        <f>Planning!V88</f>
      </c>
      <c r="M154" s="156">
        <f>IF(Planning!AC88=0,0,IFERROR($AD88*AI$22,0))</f>
      </c>
      <c r="N154" s="157">
        <f>IF(Planning!AC88=0,0,IFERROR($AD88*AI$22*K154,0))</f>
      </c>
      <c r="O154" s="158">
        <f>IF(ISTEXT(Planning!V88),0,AI88)</f>
      </c>
      <c r="P154" s="155">
        <f>Planning!AC88</f>
      </c>
      <c r="Q154" s="156">
        <f>Progress!T88</f>
      </c>
      <c r="R154" s="156">
        <f>IF(Q154=0,0,IF(ISNUMBER(Q154),IF(S154&gt;=$G$21,$F$21,"Q7"),Q154))</f>
      </c>
      <c r="S154" s="155">
        <f>Progress!U88</f>
      </c>
      <c r="T154" s="160"/>
      <c r="U154" s="158">
        <f>V154/$N$419</f>
      </c>
      <c r="V154" s="161">
        <f>IF(L154&lt;$E$20,0,IF(ISTEXT(L154),0,IF(AND(G154+1&gt;=$E$19+1,L154&gt;0),IF(ISNUMBER(Q154),Q154*$AD88*AI$22*K154,$AD88*AI$22*K154),0)))</f>
      </c>
      <c r="W154" s="156">
        <f>IF(AND(L154&gt;0,S154&gt;0),IF(ISNUMBER(Q154),Q154*$AD88*AI$22*K154,$AD88*AI$22*K154),0)</f>
      </c>
      <c r="X154" s="17"/>
      <c r="Y154" s="11"/>
      <c r="Z154" s="11"/>
      <c r="AA154" s="98" t="s">
        <v>161</v>
      </c>
      <c r="AB154" s="99">
        <v>25</v>
      </c>
      <c r="AC154" s="99">
        <v>3</v>
      </c>
      <c r="AD154" s="100"/>
      <c r="AE154" s="177"/>
      <c r="AF154" s="8"/>
      <c r="AG154" s="1"/>
      <c r="AH154" s="6"/>
      <c r="AI154" s="6"/>
      <c r="AJ154" s="6"/>
      <c r="AK154" s="6"/>
      <c r="AL154" s="6"/>
      <c r="AM154" s="6"/>
      <c r="AN154" s="6"/>
      <c r="AO154" s="1"/>
      <c r="AP154" s="9"/>
      <c r="AQ154" s="2"/>
      <c r="AR154" s="3"/>
      <c r="AS154" s="10"/>
      <c r="AT154" s="1"/>
      <c r="AU154" s="1"/>
      <c r="AV154" s="1"/>
      <c r="AW154" s="1"/>
      <c r="AX154" s="1"/>
      <c r="AY154" s="1"/>
      <c r="AZ154" s="1"/>
      <c r="BA154" s="1"/>
      <c r="BB154" s="1"/>
      <c r="BC154" s="1"/>
      <c r="BD154" s="1"/>
      <c r="BE154" s="1"/>
      <c r="BF154" s="1"/>
      <c r="BG154" s="1"/>
      <c r="BH154" s="1"/>
    </row>
    <row x14ac:dyDescent="0.25" r="155" customHeight="1" ht="12.75">
      <c r="A155" s="1"/>
      <c r="B155" s="1"/>
      <c r="C155" s="1"/>
      <c r="D155" s="1"/>
      <c r="E155" s="2"/>
      <c r="F155" s="2"/>
      <c r="G155" s="90">
        <f>(S155&amp;RIGHT(R155,1))*1</f>
      </c>
      <c r="H155" s="1"/>
      <c r="I155" s="91">
        <f>Planning!W18</f>
      </c>
      <c r="J155" s="120">
        <f>Planning!Q23</f>
      </c>
      <c r="K155" s="150">
        <f>VLOOKUP(J155,AA$23:AE$88,5,FALSE)</f>
      </c>
      <c r="L155" s="122">
        <f>Planning!W23</f>
      </c>
      <c r="M155" s="121">
        <f>IF(Planning!AD23=0,0,IFERROR($AD23*AJ$22,0))</f>
      </c>
      <c r="N155" s="151">
        <f>IF(Planning!AD23=0,0,IFERROR($AD23*AJ$22*K155,0))</f>
      </c>
      <c r="O155" s="163">
        <f>IF(ISTEXT(Planning!W23),0,AJ23)</f>
      </c>
      <c r="P155" s="122">
        <f>Planning!AD23</f>
      </c>
      <c r="Q155" s="121">
        <f>Progress!V23</f>
      </c>
      <c r="R155" s="121">
        <f>IF(Q155=0,0,IF(ISNUMBER(Q155),IF(S155&gt;=$G$21,$F$21,"Q8"),Q155))</f>
      </c>
      <c r="S155" s="122">
        <f>Progress!W23</f>
      </c>
      <c r="T155" s="164"/>
      <c r="U155" s="163">
        <f>V155/$N$419</f>
      </c>
      <c r="V155" s="152">
        <f>IF(L155&lt;$E$20,0,IF(ISTEXT(L155),0,IF(AND(G155+1&gt;=$E$19+1,L155&gt;0),IF(ISNUMBER(Q155),Q155*$AD23*AJ$22*K155,$AD23*AJ$22*K155),0)))</f>
      </c>
      <c r="W155" s="121">
        <f>IF(AND(L155&gt;0,S155&gt;0),IF(ISNUMBER(Q155),Q155*$AD23*AJ$22*K155,$AD23*AJ$22*K155),0)</f>
      </c>
      <c r="X155" s="17"/>
      <c r="Y155" s="11"/>
      <c r="Z155" s="11"/>
      <c r="AA155" s="98" t="s">
        <v>164</v>
      </c>
      <c r="AB155" s="99">
        <v>404</v>
      </c>
      <c r="AC155" s="99">
        <v>3</v>
      </c>
      <c r="AD155" s="186"/>
      <c r="AE155" s="182"/>
      <c r="AF155" s="8"/>
      <c r="AG155" s="1"/>
      <c r="AH155" s="6"/>
      <c r="AI155" s="6"/>
      <c r="AJ155" s="6"/>
      <c r="AK155" s="6"/>
      <c r="AL155" s="6"/>
      <c r="AM155" s="6"/>
      <c r="AN155" s="6"/>
      <c r="AO155" s="1"/>
      <c r="AP155" s="9"/>
      <c r="AQ155" s="2"/>
      <c r="AR155" s="3"/>
      <c r="AS155" s="10"/>
      <c r="AT155" s="1"/>
      <c r="AU155" s="1"/>
      <c r="AV155" s="1"/>
      <c r="AW155" s="1"/>
      <c r="AX155" s="1"/>
      <c r="AY155" s="1"/>
      <c r="AZ155" s="1"/>
      <c r="BA155" s="1"/>
      <c r="BB155" s="1"/>
      <c r="BC155" s="1"/>
      <c r="BD155" s="1"/>
      <c r="BE155" s="1"/>
      <c r="BF155" s="1"/>
      <c r="BG155" s="1"/>
      <c r="BH155" s="1"/>
    </row>
    <row x14ac:dyDescent="0.25" r="156" customHeight="1" ht="14.5">
      <c r="A156" s="1"/>
      <c r="B156" s="1"/>
      <c r="C156" s="1"/>
      <c r="D156" s="1"/>
      <c r="E156" s="2"/>
      <c r="F156" s="2"/>
      <c r="G156" s="90">
        <f>(S156&amp;RIGHT(R156,1))*1</f>
      </c>
      <c r="H156" s="1"/>
      <c r="I156" s="111"/>
      <c r="J156" s="120">
        <f>Planning!Q24</f>
      </c>
      <c r="K156" s="93">
        <f>VLOOKUP(J156,AA$23:AE$88,5,FALSE)</f>
      </c>
      <c r="L156" s="122">
        <f>Planning!W24</f>
      </c>
      <c r="M156" s="121">
        <f>IF(Planning!AD24=0,0,IFERROR($AD24*AJ$22,0))</f>
      </c>
      <c r="N156" s="171">
        <f>IF(Planning!AD24=0,0,IFERROR($AD24*AJ$22*K156,0))</f>
      </c>
      <c r="O156" s="96">
        <f>IF(ISTEXT(Planning!W24),0,AJ24)</f>
      </c>
      <c r="P156" s="94">
        <f>Planning!AD24</f>
      </c>
      <c r="Q156" s="121">
        <f>Progress!V24</f>
      </c>
      <c r="R156" s="95">
        <f>IF(Q156=0,0,IF(ISNUMBER(Q156),IF(S156&gt;=$G$21,$F$21,"Q9"),Q156))</f>
      </c>
      <c r="S156" s="122">
        <f>Progress!W24</f>
      </c>
      <c r="T156" s="97"/>
      <c r="U156" s="96">
        <f>V156/$N$419</f>
      </c>
      <c r="V156" s="176">
        <f>IF(L156&lt;$E$20,0,IF(ISTEXT(L156),0,IF(AND(G156+1&gt;=$E$19+1,L156&gt;0),IF(ISNUMBER(Q156),Q156*$AD24*AJ$22*K156,$AD24*AJ$22*K156),0)))</f>
      </c>
      <c r="W156" s="95">
        <f>IF(AND(L156&gt;0,S156&gt;0),IF(ISNUMBER(Q156),Q156*$AD24*AJ$22*K156,$AD24*AJ$22*K156),0)</f>
      </c>
      <c r="X156" s="17"/>
      <c r="Y156" s="11"/>
      <c r="Z156" s="11"/>
      <c r="AA156" s="187" t="s">
        <v>52</v>
      </c>
      <c r="AB156" s="188">
        <v>80</v>
      </c>
      <c r="AC156" s="188">
        <v>3</v>
      </c>
      <c r="AD156" s="189"/>
      <c r="AE156" s="190" t="s">
        <v>45</v>
      </c>
      <c r="AF156" s="8"/>
      <c r="AG156" s="1"/>
      <c r="AH156" s="6"/>
      <c r="AI156" s="6"/>
      <c r="AJ156" s="6"/>
      <c r="AK156" s="6"/>
      <c r="AL156" s="6"/>
      <c r="AM156" s="6"/>
      <c r="AN156" s="6"/>
      <c r="AO156" s="1"/>
      <c r="AP156" s="9"/>
      <c r="AQ156" s="2"/>
      <c r="AR156" s="3"/>
      <c r="AS156" s="10"/>
      <c r="AT156" s="1"/>
      <c r="AU156" s="1"/>
      <c r="AV156" s="1"/>
      <c r="AW156" s="1"/>
      <c r="AX156" s="1"/>
      <c r="AY156" s="1"/>
      <c r="AZ156" s="1"/>
      <c r="BA156" s="1"/>
      <c r="BB156" s="1"/>
      <c r="BC156" s="1"/>
      <c r="BD156" s="1"/>
      <c r="BE156" s="1"/>
      <c r="BF156" s="1"/>
      <c r="BG156" s="1"/>
      <c r="BH156" s="1"/>
    </row>
    <row x14ac:dyDescent="0.25" r="157" customHeight="1" ht="14.5">
      <c r="A157" s="1"/>
      <c r="B157" s="1"/>
      <c r="C157" s="1"/>
      <c r="D157" s="1"/>
      <c r="E157" s="2"/>
      <c r="F157" s="2"/>
      <c r="G157" s="90">
        <f>(S157&amp;RIGHT(R157,1))*1</f>
      </c>
      <c r="H157" s="1"/>
      <c r="I157" s="111"/>
      <c r="J157" s="120">
        <f>Planning!Q25</f>
      </c>
      <c r="K157" s="93">
        <f>VLOOKUP(J157,AA$23:AE$88,5,FALSE)</f>
      </c>
      <c r="L157" s="122">
        <f>Planning!W25</f>
      </c>
      <c r="M157" s="121">
        <f>IF(Planning!AD25=0,0,IFERROR($AD25*AJ$22,0))</f>
      </c>
      <c r="N157" s="171">
        <f>IF(Planning!AD25=0,0,IFERROR($AD25*AJ$22*K157,0))</f>
      </c>
      <c r="O157" s="96">
        <f>IF(ISTEXT(Planning!W25),0,AJ25)</f>
      </c>
      <c r="P157" s="94">
        <f>Planning!AD25</f>
      </c>
      <c r="Q157" s="121">
        <f>Progress!V25</f>
      </c>
      <c r="R157" s="95">
        <f>IF(Q157=0,0,IF(ISNUMBER(Q157),IF(S157&gt;=$G$21,$F$21,"Q10"),Q157))</f>
      </c>
      <c r="S157" s="122">
        <f>Progress!W25</f>
      </c>
      <c r="T157" s="97"/>
      <c r="U157" s="96">
        <f>V157/$N$419</f>
      </c>
      <c r="V157" s="176">
        <f>IF(L157&lt;$E$20,0,IF(ISTEXT(L157),0,IF(AND(G157+1&gt;=$E$19+1,L157&gt;0),IF(ISNUMBER(Q157),Q157*$AD25*AJ$22*K157,$AD25*AJ$22*K157),0)))</f>
      </c>
      <c r="W157" s="95">
        <f>IF(AND(L157&gt;0,S157&gt;0),IF(ISNUMBER(Q157),Q157*$AD25*AJ$22*K157,$AD25*AJ$22*K157),0)</f>
      </c>
      <c r="X157" s="17"/>
      <c r="Y157" s="11"/>
      <c r="Z157" s="11"/>
      <c r="AA157" s="187" t="s">
        <v>58</v>
      </c>
      <c r="AB157" s="188">
        <v>52</v>
      </c>
      <c r="AC157" s="188">
        <v>3</v>
      </c>
      <c r="AD157" s="189"/>
      <c r="AE157" s="191"/>
      <c r="AF157" s="8"/>
      <c r="AG157" s="1"/>
      <c r="AH157" s="6"/>
      <c r="AI157" s="6"/>
      <c r="AJ157" s="6"/>
      <c r="AK157" s="6"/>
      <c r="AL157" s="6"/>
      <c r="AM157" s="6"/>
      <c r="AN157" s="6"/>
      <c r="AO157" s="1"/>
      <c r="AP157" s="9"/>
      <c r="AQ157" s="2"/>
      <c r="AR157" s="3"/>
      <c r="AS157" s="10"/>
      <c r="AT157" s="1"/>
      <c r="AU157" s="1"/>
      <c r="AV157" s="1"/>
      <c r="AW157" s="1"/>
      <c r="AX157" s="1"/>
      <c r="AY157" s="1"/>
      <c r="AZ157" s="1"/>
      <c r="BA157" s="1"/>
      <c r="BB157" s="1"/>
      <c r="BC157" s="1"/>
      <c r="BD157" s="1"/>
      <c r="BE157" s="1"/>
      <c r="BF157" s="1"/>
      <c r="BG157" s="1"/>
      <c r="BH157" s="1"/>
    </row>
    <row x14ac:dyDescent="0.25" r="158" customHeight="1" ht="14.5">
      <c r="A158" s="1"/>
      <c r="B158" s="1"/>
      <c r="C158" s="1"/>
      <c r="D158" s="1"/>
      <c r="E158" s="2"/>
      <c r="F158" s="2"/>
      <c r="G158" s="90">
        <f>(S158&amp;RIGHT(R158,1))*1</f>
      </c>
      <c r="H158" s="1"/>
      <c r="I158" s="111"/>
      <c r="J158" s="120">
        <f>Planning!Q26</f>
      </c>
      <c r="K158" s="93">
        <f>VLOOKUP(J158,AA$23:AE$88,5,FALSE)</f>
      </c>
      <c r="L158" s="122">
        <f>Planning!W26</f>
      </c>
      <c r="M158" s="121">
        <f>IF(Planning!AD26=0,0,IFERROR($AD26*AJ$22,0))</f>
      </c>
      <c r="N158" s="171">
        <f>IF(Planning!AD26=0,0,IFERROR($AD26*AJ$22*K158,0))</f>
      </c>
      <c r="O158" s="96">
        <f>IF(ISTEXT(Planning!W26),0,AJ26)</f>
      </c>
      <c r="P158" s="94">
        <f>Planning!AD26</f>
      </c>
      <c r="Q158" s="121">
        <f>Progress!V26</f>
      </c>
      <c r="R158" s="95">
        <f>IF(Q158=0,0,IF(ISNUMBER(Q158),IF(S158&gt;=$G$21,$F$21,"Q11"),Q158))</f>
      </c>
      <c r="S158" s="122">
        <f>Progress!W26</f>
      </c>
      <c r="T158" s="97"/>
      <c r="U158" s="96">
        <f>V158/$N$419</f>
      </c>
      <c r="V158" s="176">
        <f>IF(L158&lt;$E$20,0,IF(ISTEXT(L158),0,IF(AND(G158+1&gt;=$E$19+1,L158&gt;0),IF(ISNUMBER(Q158),Q158*$AD26*AJ$22*K158,$AD26*AJ$22*K158),0)))</f>
      </c>
      <c r="W158" s="95">
        <f>IF(AND(L158&gt;0,S158&gt;0),IF(ISNUMBER(Q158),Q158*$AD26*AJ$22*K158,$AD26*AJ$22*K158),0)</f>
      </c>
      <c r="X158" s="17"/>
      <c r="Y158" s="11"/>
      <c r="Z158" s="11"/>
      <c r="AA158" s="187" t="s">
        <v>64</v>
      </c>
      <c r="AB158" s="188">
        <v>38</v>
      </c>
      <c r="AC158" s="188">
        <v>3</v>
      </c>
      <c r="AD158" s="189"/>
      <c r="AE158" s="191"/>
      <c r="AF158" s="8"/>
      <c r="AG158" s="1"/>
      <c r="AH158" s="6"/>
      <c r="AI158" s="6"/>
      <c r="AJ158" s="6"/>
      <c r="AK158" s="6"/>
      <c r="AL158" s="6"/>
      <c r="AM158" s="6"/>
      <c r="AN158" s="6"/>
      <c r="AO158" s="1"/>
      <c r="AP158" s="9"/>
      <c r="AQ158" s="2"/>
      <c r="AR158" s="3"/>
      <c r="AS158" s="10"/>
      <c r="AT158" s="1"/>
      <c r="AU158" s="1"/>
      <c r="AV158" s="1"/>
      <c r="AW158" s="1"/>
      <c r="AX158" s="1"/>
      <c r="AY158" s="1"/>
      <c r="AZ158" s="1"/>
      <c r="BA158" s="1"/>
      <c r="BB158" s="1"/>
      <c r="BC158" s="1"/>
      <c r="BD158" s="1"/>
      <c r="BE158" s="1"/>
      <c r="BF158" s="1"/>
      <c r="BG158" s="1"/>
      <c r="BH158" s="1"/>
    </row>
    <row x14ac:dyDescent="0.25" r="159" customHeight="1" ht="12.75">
      <c r="A159" s="1"/>
      <c r="B159" s="1"/>
      <c r="C159" s="1"/>
      <c r="D159" s="1"/>
      <c r="E159" s="2"/>
      <c r="F159" s="2"/>
      <c r="G159" s="90">
        <f>(S159&amp;RIGHT(R159,1))*1</f>
      </c>
      <c r="H159" s="1"/>
      <c r="I159" s="111"/>
      <c r="J159" s="120">
        <f>Planning!Q27</f>
      </c>
      <c r="K159" s="93">
        <f>VLOOKUP(J159,AA$23:AE$88,5,FALSE)</f>
      </c>
      <c r="L159" s="122">
        <f>Planning!W27</f>
      </c>
      <c r="M159" s="121">
        <f>IF(Planning!AD27=0,0,IFERROR($AD27*AJ$22,0))</f>
      </c>
      <c r="N159" s="171">
        <f>IF(Planning!AD27=0,0,IFERROR($AD27*AJ$22*K159,0))</f>
      </c>
      <c r="O159" s="96">
        <f>IF(ISTEXT(Planning!W27),0,AJ27)</f>
      </c>
      <c r="P159" s="94">
        <f>Planning!AD27</f>
      </c>
      <c r="Q159" s="121">
        <f>Progress!V27</f>
      </c>
      <c r="R159" s="95">
        <f>IF(Q159=0,0,IF(ISNUMBER(Q159),IF(S159&gt;=$G$21,$F$21,"Q12"),Q159))</f>
      </c>
      <c r="S159" s="122">
        <f>Progress!W27</f>
      </c>
      <c r="T159" s="97"/>
      <c r="U159" s="96">
        <f>V159/$N$419</f>
      </c>
      <c r="V159" s="176">
        <f>IF(L159&lt;$E$20,0,IF(ISTEXT(L159),0,IF(AND(G159+1&gt;=$E$19+1,L159&gt;0),IF(ISNUMBER(Q159),Q159*$AD27*AJ$22*K159,$AD27*AJ$22*K159),0)))</f>
      </c>
      <c r="W159" s="95">
        <f>IF(AND(L159&gt;0,S159&gt;0),IF(ISNUMBER(Q159),Q159*$AD27*AJ$22*K159,$AD27*AJ$22*K159),0)</f>
      </c>
      <c r="X159" s="17"/>
      <c r="Y159" s="11"/>
      <c r="Z159" s="11"/>
      <c r="AA159" s="187" t="s">
        <v>69</v>
      </c>
      <c r="AB159" s="188">
        <v>44</v>
      </c>
      <c r="AC159" s="188">
        <v>3</v>
      </c>
      <c r="AD159" s="189"/>
      <c r="AE159" s="191"/>
      <c r="AF159" s="8"/>
      <c r="AG159" s="1"/>
      <c r="AH159" s="6"/>
      <c r="AI159" s="6"/>
      <c r="AJ159" s="6"/>
      <c r="AK159" s="6"/>
      <c r="AL159" s="6"/>
      <c r="AM159" s="6"/>
      <c r="AN159" s="6"/>
      <c r="AO159" s="1"/>
      <c r="AP159" s="9"/>
      <c r="AQ159" s="2"/>
      <c r="AR159" s="3"/>
      <c r="AS159" s="10"/>
      <c r="AT159" s="1"/>
      <c r="AU159" s="1"/>
      <c r="AV159" s="1"/>
      <c r="AW159" s="1"/>
      <c r="AX159" s="11"/>
      <c r="AY159" s="11"/>
      <c r="AZ159" s="1"/>
      <c r="BA159" s="1"/>
      <c r="BB159" s="1"/>
      <c r="BC159" s="1"/>
      <c r="BD159" s="1"/>
      <c r="BE159" s="1"/>
      <c r="BF159" s="1"/>
      <c r="BG159" s="1"/>
      <c r="BH159" s="1"/>
    </row>
    <row x14ac:dyDescent="0.25" r="160" customHeight="1" ht="14.5">
      <c r="A160" s="1"/>
      <c r="B160" s="1"/>
      <c r="C160" s="1"/>
      <c r="D160" s="1"/>
      <c r="E160" s="2"/>
      <c r="F160" s="2"/>
      <c r="G160" s="90">
        <f>(S160&amp;RIGHT(R160,1))*1</f>
      </c>
      <c r="H160" s="1"/>
      <c r="I160" s="111"/>
      <c r="J160" s="126">
        <f>Planning!Q28</f>
      </c>
      <c r="K160" s="93">
        <f>VLOOKUP(J160,AA$23:AE$88,5,FALSE)</f>
      </c>
      <c r="L160" s="122">
        <f>Planning!W28</f>
      </c>
      <c r="M160" s="121">
        <f>IF(Planning!AD28=0,0,IFERROR($AD28*AJ$22,0))</f>
      </c>
      <c r="N160" s="171">
        <f>IF(Planning!AD28=0,0,IFERROR($AD28*AJ$22*K160,0))</f>
      </c>
      <c r="O160" s="96">
        <f>IF(ISTEXT(Planning!W28),0,AJ28)</f>
      </c>
      <c r="P160" s="94">
        <f>Planning!AD28</f>
      </c>
      <c r="Q160" s="121">
        <f>Progress!V28</f>
      </c>
      <c r="R160" s="95">
        <f>IF(Q160=0,0,IF(ISNUMBER(Q160),IF(S160&gt;=$G$21,$F$21,"Q13"),Q160))</f>
      </c>
      <c r="S160" s="122">
        <f>Progress!W28</f>
      </c>
      <c r="T160" s="97"/>
      <c r="U160" s="96">
        <f>V160/$N$419</f>
      </c>
      <c r="V160" s="176">
        <f>IF(L160&lt;$E$20,0,IF(ISTEXT(L160),0,IF(AND(G160+1&gt;=$E$19+1,L160&gt;0),IF(ISNUMBER(Q160),Q160*$AD28*AJ$22*K160,$AD28*AJ$22*K160),0)))</f>
      </c>
      <c r="W160" s="95">
        <f>IF(AND(L160&gt;0,S160&gt;0),IF(ISNUMBER(Q160),Q160*$AD28*AJ$22*K160,$AD28*AJ$22*K160),0)</f>
      </c>
      <c r="X160" s="17"/>
      <c r="Y160" s="11"/>
      <c r="Z160" s="11"/>
      <c r="AA160" s="187" t="s">
        <v>75</v>
      </c>
      <c r="AB160" s="188">
        <v>39</v>
      </c>
      <c r="AC160" s="188">
        <v>3</v>
      </c>
      <c r="AD160" s="189"/>
      <c r="AE160" s="191"/>
      <c r="AF160" s="8"/>
      <c r="AG160" s="1"/>
      <c r="AH160" s="6"/>
      <c r="AI160" s="6"/>
      <c r="AJ160" s="6"/>
      <c r="AK160" s="6"/>
      <c r="AL160" s="6"/>
      <c r="AM160" s="6"/>
      <c r="AN160" s="6"/>
      <c r="AO160" s="1"/>
      <c r="AP160" s="9"/>
      <c r="AQ160" s="2"/>
      <c r="AR160" s="3"/>
      <c r="AS160" s="10"/>
      <c r="AT160" s="1"/>
      <c r="AU160" s="1"/>
      <c r="AV160" s="1"/>
      <c r="AW160" s="1"/>
      <c r="AX160" s="1"/>
      <c r="AY160" s="1"/>
      <c r="AZ160" s="1"/>
      <c r="BA160" s="1"/>
      <c r="BB160" s="1"/>
      <c r="BC160" s="1"/>
      <c r="BD160" s="1"/>
      <c r="BE160" s="1"/>
      <c r="BF160" s="1"/>
      <c r="BG160" s="1"/>
      <c r="BH160" s="1"/>
    </row>
    <row x14ac:dyDescent="0.25" r="161" customHeight="1" ht="14.5">
      <c r="A161" s="1"/>
      <c r="B161" s="1"/>
      <c r="C161" s="1"/>
      <c r="D161" s="1"/>
      <c r="E161" s="2"/>
      <c r="F161" s="2"/>
      <c r="G161" s="90">
        <f>(S161&amp;RIGHT(R161,1))*1</f>
      </c>
      <c r="H161" s="1"/>
      <c r="I161" s="111"/>
      <c r="J161" s="126">
        <f>Planning!Q29</f>
      </c>
      <c r="K161" s="93">
        <f>VLOOKUP(J161,AA$23:AE$88,5,FALSE)</f>
      </c>
      <c r="L161" s="122">
        <f>Planning!W29</f>
      </c>
      <c r="M161" s="121">
        <f>IF(Planning!AD29=0,0,IFERROR($AD29*AJ$22,0))</f>
      </c>
      <c r="N161" s="171">
        <f>IF(Planning!AD29=0,0,IFERROR($AD29*AJ$22*K161,0))</f>
      </c>
      <c r="O161" s="96">
        <f>IF(ISTEXT(Planning!W29),0,AJ29)</f>
      </c>
      <c r="P161" s="94">
        <f>Planning!AD29</f>
      </c>
      <c r="Q161" s="121">
        <f>Progress!V29</f>
      </c>
      <c r="R161" s="95">
        <f>IF(Q161=0,0,IF(ISNUMBER(Q161),IF(S161&gt;=$G$21,$F$21,"Q14"),Q161))</f>
      </c>
      <c r="S161" s="122">
        <f>Progress!W29</f>
      </c>
      <c r="T161" s="97"/>
      <c r="U161" s="96">
        <f>V161/$N$419</f>
      </c>
      <c r="V161" s="176">
        <f>IF(L161&lt;$E$20,0,IF(ISTEXT(L161),0,IF(AND(G161+1&gt;=$E$19+1,L161&gt;0),IF(ISNUMBER(Q161),Q161*$AD29*AJ$22*K161,$AD29*AJ$22*K161),0)))</f>
      </c>
      <c r="W161" s="95">
        <f>IF(AND(L161&gt;0,S161&gt;0),IF(ISNUMBER(Q161),Q161*$AD29*AJ$22*K161,$AD29*AJ$22*K161),0)</f>
      </c>
      <c r="X161" s="17"/>
      <c r="Y161" s="11"/>
      <c r="Z161" s="11"/>
      <c r="AA161" s="187" t="s">
        <v>80</v>
      </c>
      <c r="AB161" s="188">
        <v>49</v>
      </c>
      <c r="AC161" s="188">
        <v>3</v>
      </c>
      <c r="AD161" s="189"/>
      <c r="AE161" s="191"/>
      <c r="AF161" s="8"/>
      <c r="AG161" s="1"/>
      <c r="AH161" s="6"/>
      <c r="AI161" s="6"/>
      <c r="AJ161" s="6"/>
      <c r="AK161" s="6"/>
      <c r="AL161" s="6"/>
      <c r="AM161" s="6"/>
      <c r="AN161" s="6"/>
      <c r="AO161" s="1"/>
      <c r="AP161" s="9"/>
      <c r="AQ161" s="2"/>
      <c r="AR161" s="3"/>
      <c r="AS161" s="10"/>
      <c r="AT161" s="1"/>
      <c r="AU161" s="1"/>
      <c r="AV161" s="1"/>
      <c r="AW161" s="1"/>
      <c r="AX161" s="1"/>
      <c r="AY161" s="1"/>
      <c r="AZ161" s="1"/>
      <c r="BA161" s="1"/>
      <c r="BB161" s="1"/>
      <c r="BC161" s="1"/>
      <c r="BD161" s="1"/>
      <c r="BE161" s="1"/>
      <c r="BF161" s="1"/>
      <c r="BG161" s="1"/>
      <c r="BH161" s="1"/>
    </row>
    <row x14ac:dyDescent="0.25" r="162" customHeight="1" ht="14.5">
      <c r="A162" s="1"/>
      <c r="B162" s="1"/>
      <c r="C162" s="1"/>
      <c r="D162" s="1"/>
      <c r="E162" s="2"/>
      <c r="F162" s="2"/>
      <c r="G162" s="90">
        <f>(S162&amp;RIGHT(R162,1))*1</f>
      </c>
      <c r="H162" s="1"/>
      <c r="I162" s="111"/>
      <c r="J162" s="126">
        <f>Planning!Q30</f>
      </c>
      <c r="K162" s="93">
        <f>VLOOKUP(J162,AA$23:AE$88,5,FALSE)</f>
      </c>
      <c r="L162" s="122">
        <f>Planning!W30</f>
      </c>
      <c r="M162" s="121">
        <f>IF(Planning!AD30=0,0,IFERROR($AD30*AJ$22,0))</f>
      </c>
      <c r="N162" s="171">
        <f>IF(Planning!AD30=0,0,IFERROR($AD30*AJ$22*K162,0))</f>
      </c>
      <c r="O162" s="96">
        <f>IF(ISTEXT(Planning!W30),0,AJ30)</f>
      </c>
      <c r="P162" s="94">
        <f>Planning!AD30</f>
      </c>
      <c r="Q162" s="121">
        <f>Progress!V30</f>
      </c>
      <c r="R162" s="95">
        <f>IF(Q162=0,0,IF(ISNUMBER(Q162),IF(S162&gt;=$G$21,$F$21,"Q15"),Q162))</f>
      </c>
      <c r="S162" s="122">
        <f>Progress!W30</f>
      </c>
      <c r="T162" s="97"/>
      <c r="U162" s="96">
        <f>V162/$N$419</f>
      </c>
      <c r="V162" s="176">
        <f>IF(L162&lt;$E$20,0,IF(ISTEXT(L162),0,IF(AND(G162+1&gt;=$E$19+1,L162&gt;0),IF(ISNUMBER(Q162),Q162*$AD30*AJ$22*K162,$AD30*AJ$22*K162),0)))</f>
      </c>
      <c r="W162" s="95">
        <f>IF(AND(L162&gt;0,S162&gt;0),IF(ISNUMBER(Q162),Q162*$AD30*AJ$22*K162,$AD30*AJ$22*K162),0)</f>
      </c>
      <c r="X162" s="17"/>
      <c r="Y162" s="11"/>
      <c r="Z162" s="11"/>
      <c r="AA162" s="187" t="s">
        <v>85</v>
      </c>
      <c r="AB162" s="188">
        <v>50</v>
      </c>
      <c r="AC162" s="188">
        <v>3</v>
      </c>
      <c r="AD162" s="189"/>
      <c r="AE162" s="191"/>
      <c r="AF162" s="8"/>
      <c r="AG162" s="1"/>
      <c r="AH162" s="6"/>
      <c r="AI162" s="6"/>
      <c r="AJ162" s="6"/>
      <c r="AK162" s="6"/>
      <c r="AL162" s="6"/>
      <c r="AM162" s="6"/>
      <c r="AN162" s="6"/>
      <c r="AO162" s="1"/>
      <c r="AP162" s="9"/>
      <c r="AQ162" s="2"/>
      <c r="AR162" s="3"/>
      <c r="AS162" s="10"/>
      <c r="AT162" s="1"/>
      <c r="AU162" s="1"/>
      <c r="AV162" s="1"/>
      <c r="AW162" s="1"/>
      <c r="AX162" s="1"/>
      <c r="AY162" s="1"/>
      <c r="AZ162" s="1"/>
      <c r="BA162" s="1"/>
      <c r="BB162" s="1"/>
      <c r="BC162" s="1"/>
      <c r="BD162" s="1"/>
      <c r="BE162" s="1"/>
      <c r="BF162" s="1"/>
      <c r="BG162" s="1"/>
      <c r="BH162" s="1"/>
    </row>
    <row x14ac:dyDescent="0.25" r="163" customHeight="1" ht="14.5">
      <c r="A163" s="1"/>
      <c r="B163" s="1"/>
      <c r="C163" s="1"/>
      <c r="D163" s="1"/>
      <c r="E163" s="2"/>
      <c r="F163" s="2"/>
      <c r="G163" s="90">
        <f>(S163&amp;RIGHT(R163,1))*1</f>
      </c>
      <c r="H163" s="1"/>
      <c r="I163" s="111"/>
      <c r="J163" s="126">
        <f>Planning!Q31</f>
      </c>
      <c r="K163" s="93">
        <f>VLOOKUP(J163,AA$23:AE$88,5,FALSE)</f>
      </c>
      <c r="L163" s="122">
        <f>Planning!W31</f>
      </c>
      <c r="M163" s="121">
        <f>IF(Planning!AD31=0,0,IFERROR($AD31*AJ$22,0))</f>
      </c>
      <c r="N163" s="171">
        <f>IF(Planning!AD31=0,0,IFERROR($AD31*AJ$22*K163,0))</f>
      </c>
      <c r="O163" s="96">
        <f>IF(ISTEXT(Planning!W31),0,AJ31)</f>
      </c>
      <c r="P163" s="94">
        <f>Planning!AD31</f>
      </c>
      <c r="Q163" s="121">
        <f>Progress!V31</f>
      </c>
      <c r="R163" s="95">
        <f>IF(Q163=0,0,IF(ISNUMBER(Q163),IF(S163&gt;=$G$21,$F$21,"Q16"),Q163))</f>
      </c>
      <c r="S163" s="122">
        <f>Progress!W31</f>
      </c>
      <c r="T163" s="97"/>
      <c r="U163" s="96">
        <f>V163/$N$419</f>
      </c>
      <c r="V163" s="176">
        <f>IF(L163&lt;$E$20,0,IF(ISTEXT(L163),0,IF(AND(G163+1&gt;=$E$19+1,L163&gt;0),IF(ISNUMBER(Q163),Q163*$AD31*AJ$22*K163,$AD31*AJ$22*K163),0)))</f>
      </c>
      <c r="W163" s="95">
        <f>IF(AND(L163&gt;0,S163&gt;0),IF(ISNUMBER(Q163),Q163*$AD31*AJ$22*K163,$AD31*AJ$22*K163),0)</f>
      </c>
      <c r="X163" s="17"/>
      <c r="Y163" s="11"/>
      <c r="Z163" s="11"/>
      <c r="AA163" s="187" t="s">
        <v>90</v>
      </c>
      <c r="AB163" s="188">
        <v>56</v>
      </c>
      <c r="AC163" s="188">
        <v>3</v>
      </c>
      <c r="AD163" s="189"/>
      <c r="AE163" s="191"/>
      <c r="AF163" s="8"/>
      <c r="AG163" s="1"/>
      <c r="AH163" s="6"/>
      <c r="AI163" s="6"/>
      <c r="AJ163" s="6"/>
      <c r="AK163" s="6"/>
      <c r="AL163" s="6"/>
      <c r="AM163" s="6"/>
      <c r="AN163" s="6"/>
      <c r="AO163" s="1"/>
      <c r="AP163" s="9"/>
      <c r="AQ163" s="2"/>
      <c r="AR163" s="3"/>
      <c r="AS163" s="10"/>
      <c r="AT163" s="1"/>
      <c r="AU163" s="1"/>
      <c r="AV163" s="1"/>
      <c r="AW163" s="1"/>
      <c r="AX163" s="1"/>
      <c r="AY163" s="1"/>
      <c r="AZ163" s="1"/>
      <c r="BA163" s="1"/>
      <c r="BB163" s="1"/>
      <c r="BC163" s="1"/>
      <c r="BD163" s="1"/>
      <c r="BE163" s="1"/>
      <c r="BF163" s="1"/>
      <c r="BG163" s="1"/>
      <c r="BH163" s="1"/>
    </row>
    <row x14ac:dyDescent="0.25" r="164" customHeight="1" ht="14.5">
      <c r="A164" s="1"/>
      <c r="B164" s="1"/>
      <c r="C164" s="1"/>
      <c r="D164" s="1"/>
      <c r="E164" s="2"/>
      <c r="F164" s="2"/>
      <c r="G164" s="90">
        <f>(S164&amp;RIGHT(R164,1))*1</f>
      </c>
      <c r="H164" s="1"/>
      <c r="I164" s="111"/>
      <c r="J164" s="126">
        <f>Planning!Q32</f>
      </c>
      <c r="K164" s="93">
        <f>VLOOKUP(J164,AA$23:AE$88,5,FALSE)</f>
      </c>
      <c r="L164" s="122">
        <f>Planning!W32</f>
      </c>
      <c r="M164" s="121">
        <f>IF(Planning!AD32=0,0,IFERROR($AD32*AJ$22,0))</f>
      </c>
      <c r="N164" s="171">
        <f>IF(Planning!AD32=0,0,IFERROR($AD32*AJ$22*K164,0))</f>
      </c>
      <c r="O164" s="96">
        <f>IF(ISTEXT(Planning!W32),0,AJ32)</f>
      </c>
      <c r="P164" s="94">
        <f>Planning!AD32</f>
      </c>
      <c r="Q164" s="121">
        <f>Progress!V32</f>
      </c>
      <c r="R164" s="95">
        <f>IF(Q164=0,0,IF(ISNUMBER(Q164),IF(S164&gt;=$G$21,$F$21,"Q17"),Q164))</f>
      </c>
      <c r="S164" s="122">
        <f>Progress!W32</f>
      </c>
      <c r="T164" s="97"/>
      <c r="U164" s="96">
        <f>V164/$N$419</f>
      </c>
      <c r="V164" s="176">
        <f>IF(L164&lt;$E$20,0,IF(ISTEXT(L164),0,IF(AND(G164+1&gt;=$E$19+1,L164&gt;0),IF(ISNUMBER(Q164),Q164*$AD32*AJ$22*K164,$AD32*AJ$22*K164),0)))</f>
      </c>
      <c r="W164" s="95">
        <f>IF(AND(L164&gt;0,S164&gt;0),IF(ISNUMBER(Q164),Q164*$AD32*AJ$22*K164,$AD32*AJ$22*K164),0)</f>
      </c>
      <c r="X164" s="17"/>
      <c r="Y164" s="11"/>
      <c r="Z164" s="11"/>
      <c r="AA164" s="187" t="s">
        <v>94</v>
      </c>
      <c r="AB164" s="188">
        <v>62</v>
      </c>
      <c r="AC164" s="188">
        <v>3</v>
      </c>
      <c r="AD164" s="189"/>
      <c r="AE164" s="191"/>
      <c r="AF164" s="8"/>
      <c r="AG164" s="1"/>
      <c r="AH164" s="6"/>
      <c r="AI164" s="6"/>
      <c r="AJ164" s="6"/>
      <c r="AK164" s="6"/>
      <c r="AL164" s="6"/>
      <c r="AM164" s="6"/>
      <c r="AN164" s="6"/>
      <c r="AO164" s="1"/>
      <c r="AP164" s="9"/>
      <c r="AQ164" s="2"/>
      <c r="AR164" s="3"/>
      <c r="AS164" s="10"/>
      <c r="AT164" s="1"/>
      <c r="AU164" s="1"/>
      <c r="AV164" s="1"/>
      <c r="AW164" s="1"/>
      <c r="AX164" s="1"/>
      <c r="AY164" s="1"/>
      <c r="AZ164" s="1"/>
      <c r="BA164" s="1"/>
      <c r="BB164" s="1"/>
      <c r="BC164" s="1"/>
      <c r="BD164" s="1"/>
      <c r="BE164" s="1"/>
      <c r="BF164" s="1"/>
      <c r="BG164" s="1"/>
      <c r="BH164" s="1"/>
    </row>
    <row x14ac:dyDescent="0.25" r="165" customHeight="1" ht="14.5">
      <c r="A165" s="1"/>
      <c r="B165" s="1"/>
      <c r="C165" s="1"/>
      <c r="D165" s="1"/>
      <c r="E165" s="2"/>
      <c r="F165" s="2"/>
      <c r="G165" s="90">
        <f>(S165&amp;RIGHT(R165,1))*1</f>
      </c>
      <c r="H165" s="1"/>
      <c r="I165" s="111"/>
      <c r="J165" s="126">
        <f>Planning!Q33</f>
      </c>
      <c r="K165" s="93">
        <f>VLOOKUP(J165,AA$23:AE$88,5,FALSE)</f>
      </c>
      <c r="L165" s="122">
        <f>Planning!W33</f>
      </c>
      <c r="M165" s="121">
        <f>IF(Planning!AD33=0,0,IFERROR($AD33*AJ$22,0))</f>
      </c>
      <c r="N165" s="171">
        <f>IF(Planning!AD33=0,0,IFERROR($AD33*AJ$22*K165,0))</f>
      </c>
      <c r="O165" s="96">
        <f>IF(ISTEXT(Planning!W33),0,AJ33)</f>
      </c>
      <c r="P165" s="94">
        <f>Planning!AD33</f>
      </c>
      <c r="Q165" s="121">
        <f>Progress!V33</f>
      </c>
      <c r="R165" s="95">
        <f>IF(Q165=0,0,IF(ISNUMBER(Q165),IF(S165&gt;=$G$21,$F$21,"Q18"),Q165))</f>
      </c>
      <c r="S165" s="122">
        <f>Progress!W33</f>
      </c>
      <c r="T165" s="97"/>
      <c r="U165" s="96">
        <f>V165/$N$419</f>
      </c>
      <c r="V165" s="176">
        <f>IF(L165&lt;$E$20,0,IF(ISTEXT(L165),0,IF(AND(G165+1&gt;=$E$19+1,L165&gt;0),IF(ISNUMBER(Q165),Q165*$AD33*AJ$22*K165,$AD33*AJ$22*K165),0)))</f>
      </c>
      <c r="W165" s="95">
        <f>IF(AND(L165&gt;0,S165&gt;0),IF(ISNUMBER(Q165),Q165*$AD33*AJ$22*K165,$AD33*AJ$22*K165),0)</f>
      </c>
      <c r="X165" s="17"/>
      <c r="Y165" s="11"/>
      <c r="Z165" s="11"/>
      <c r="AA165" s="187" t="s">
        <v>98</v>
      </c>
      <c r="AB165" s="188">
        <v>42</v>
      </c>
      <c r="AC165" s="188">
        <v>3</v>
      </c>
      <c r="AD165" s="189"/>
      <c r="AE165" s="191"/>
      <c r="AF165" s="8"/>
      <c r="AG165" s="1"/>
      <c r="AH165" s="6"/>
      <c r="AI165" s="6"/>
      <c r="AJ165" s="6"/>
      <c r="AK165" s="6"/>
      <c r="AL165" s="6"/>
      <c r="AM165" s="6"/>
      <c r="AN165" s="6"/>
      <c r="AO165" s="1"/>
      <c r="AP165" s="9"/>
      <c r="AQ165" s="2"/>
      <c r="AR165" s="3"/>
      <c r="AS165" s="10"/>
      <c r="AT165" s="1"/>
      <c r="AU165" s="1"/>
      <c r="AV165" s="1"/>
      <c r="AW165" s="1"/>
      <c r="AX165" s="1"/>
      <c r="AY165" s="1"/>
      <c r="AZ165" s="1"/>
      <c r="BA165" s="1"/>
      <c r="BB165" s="1"/>
      <c r="BC165" s="1"/>
      <c r="BD165" s="1"/>
      <c r="BE165" s="1"/>
      <c r="BF165" s="1"/>
      <c r="BG165" s="1"/>
      <c r="BH165" s="1"/>
    </row>
    <row x14ac:dyDescent="0.25" r="166" customHeight="1" ht="14.5">
      <c r="A166" s="1"/>
      <c r="B166" s="1"/>
      <c r="C166" s="1"/>
      <c r="D166" s="1"/>
      <c r="E166" s="2"/>
      <c r="F166" s="2"/>
      <c r="G166" s="90">
        <f>(S166&amp;RIGHT(R166,1))*1</f>
      </c>
      <c r="H166" s="1"/>
      <c r="I166" s="111"/>
      <c r="J166" s="126">
        <f>Planning!Q34</f>
      </c>
      <c r="K166" s="93">
        <f>VLOOKUP(J166,AA$23:AE$88,5,FALSE)</f>
      </c>
      <c r="L166" s="122">
        <f>Planning!W34</f>
      </c>
      <c r="M166" s="121">
        <f>IF(Planning!AD34=0,0,IFERROR($AD34*AJ$22,0))</f>
      </c>
      <c r="N166" s="171">
        <f>IF(Planning!AD34=0,0,IFERROR($AD34*AJ$22*K166,0))</f>
      </c>
      <c r="O166" s="96">
        <f>IF(ISTEXT(Planning!W34),0,AJ34)</f>
      </c>
      <c r="P166" s="94">
        <f>Planning!AD34</f>
      </c>
      <c r="Q166" s="121">
        <f>Progress!V34</f>
      </c>
      <c r="R166" s="95">
        <f>IF(Q166=0,0,IF(ISNUMBER(Q166),IF(S166&gt;=$G$21,$F$21,"Q19"),Q166))</f>
      </c>
      <c r="S166" s="122">
        <f>Progress!W34</f>
      </c>
      <c r="T166" s="97"/>
      <c r="U166" s="96">
        <f>V166/$N$419</f>
      </c>
      <c r="V166" s="176">
        <f>IF(L166&lt;$E$20,0,IF(ISTEXT(L166),0,IF(AND(G166+1&gt;=$E$19+1,L166&gt;0),IF(ISNUMBER(Q166),Q166*$AD34*AJ$22*K166,$AD34*AJ$22*K166),0)))</f>
      </c>
      <c r="W166" s="95">
        <f>IF(AND(L166&gt;0,S166&gt;0),IF(ISNUMBER(Q166),Q166*$AD34*AJ$22*K166,$AD34*AJ$22*K166),0)</f>
      </c>
      <c r="X166" s="17"/>
      <c r="Y166" s="11"/>
      <c r="Z166" s="11"/>
      <c r="AA166" s="187" t="s">
        <v>102</v>
      </c>
      <c r="AB166" s="188">
        <v>54</v>
      </c>
      <c r="AC166" s="188">
        <v>3</v>
      </c>
      <c r="AD166" s="189"/>
      <c r="AE166" s="191"/>
      <c r="AF166" s="8"/>
      <c r="AG166" s="1"/>
      <c r="AH166" s="6"/>
      <c r="AI166" s="6"/>
      <c r="AJ166" s="6"/>
      <c r="AK166" s="6"/>
      <c r="AL166" s="6"/>
      <c r="AM166" s="6"/>
      <c r="AN166" s="6"/>
      <c r="AO166" s="1"/>
      <c r="AP166" s="9"/>
      <c r="AQ166" s="2"/>
      <c r="AR166" s="3"/>
      <c r="AS166" s="10"/>
      <c r="AT166" s="1"/>
      <c r="AU166" s="1"/>
      <c r="AV166" s="1"/>
      <c r="AW166" s="1"/>
      <c r="AX166" s="1"/>
      <c r="AY166" s="1"/>
      <c r="AZ166" s="1"/>
      <c r="BA166" s="1"/>
      <c r="BB166" s="1"/>
      <c r="BC166" s="1"/>
      <c r="BD166" s="1"/>
      <c r="BE166" s="1"/>
      <c r="BF166" s="1"/>
      <c r="BG166" s="1"/>
      <c r="BH166" s="1"/>
    </row>
    <row x14ac:dyDescent="0.25" r="167" customHeight="1" ht="14.5">
      <c r="A167" s="1"/>
      <c r="B167" s="1"/>
      <c r="C167" s="1"/>
      <c r="D167" s="1"/>
      <c r="E167" s="2"/>
      <c r="F167" s="2"/>
      <c r="G167" s="90">
        <f>(S167&amp;RIGHT(R167,1))*1</f>
      </c>
      <c r="H167" s="1"/>
      <c r="I167" s="111"/>
      <c r="J167" s="126">
        <f>Planning!Q35</f>
      </c>
      <c r="K167" s="93">
        <f>VLOOKUP(J167,AA$23:AE$88,5,FALSE)</f>
      </c>
      <c r="L167" s="122">
        <f>Planning!W35</f>
      </c>
      <c r="M167" s="121">
        <f>IF(Planning!AD35=0,0,IFERROR($AD35*AJ$22,0))</f>
      </c>
      <c r="N167" s="171">
        <f>IF(Planning!AD35=0,0,IFERROR($AD35*AJ$22*K167,0))</f>
      </c>
      <c r="O167" s="96">
        <f>IF(ISTEXT(Planning!W35),0,AJ35)</f>
      </c>
      <c r="P167" s="94">
        <f>Planning!AD35</f>
      </c>
      <c r="Q167" s="121">
        <f>Progress!V35</f>
      </c>
      <c r="R167" s="95">
        <f>IF(Q167=0,0,IF(ISNUMBER(Q167),IF(S167&gt;=$G$21,$F$21,"Q20"),Q167))</f>
      </c>
      <c r="S167" s="122">
        <f>Progress!W35</f>
      </c>
      <c r="T167" s="97"/>
      <c r="U167" s="96">
        <f>V167/$N$419</f>
      </c>
      <c r="V167" s="176">
        <f>IF(L167&lt;$E$20,0,IF(ISTEXT(L167),0,IF(AND(G167+1&gt;=$E$19+1,L167&gt;0),IF(ISNUMBER(Q167),Q167*$AD35*AJ$22*K167,$AD35*AJ$22*K167),0)))</f>
      </c>
      <c r="W167" s="95">
        <f>IF(AND(L167&gt;0,S167&gt;0),IF(ISNUMBER(Q167),Q167*$AD35*AJ$22*K167,$AD35*AJ$22*K167),0)</f>
      </c>
      <c r="X167" s="17"/>
      <c r="Y167" s="11"/>
      <c r="Z167" s="11"/>
      <c r="AA167" s="187" t="s">
        <v>106</v>
      </c>
      <c r="AB167" s="188">
        <v>59</v>
      </c>
      <c r="AC167" s="188">
        <v>3</v>
      </c>
      <c r="AD167" s="189"/>
      <c r="AE167" s="191"/>
      <c r="AF167" s="8"/>
      <c r="AG167" s="1"/>
      <c r="AH167" s="6"/>
      <c r="AI167" s="6"/>
      <c r="AJ167" s="6"/>
      <c r="AK167" s="6"/>
      <c r="AL167" s="6"/>
      <c r="AM167" s="6"/>
      <c r="AN167" s="6"/>
      <c r="AO167" s="1"/>
      <c r="AP167" s="9"/>
      <c r="AQ167" s="2"/>
      <c r="AR167" s="3"/>
      <c r="AS167" s="10"/>
      <c r="AT167" s="1"/>
      <c r="AU167" s="1"/>
      <c r="AV167" s="1"/>
      <c r="AW167" s="1"/>
      <c r="AX167" s="1"/>
      <c r="AY167" s="1"/>
      <c r="AZ167" s="1"/>
      <c r="BA167" s="1"/>
      <c r="BB167" s="1"/>
      <c r="BC167" s="1"/>
      <c r="BD167" s="1"/>
      <c r="BE167" s="1"/>
      <c r="BF167" s="1"/>
      <c r="BG167" s="1"/>
      <c r="BH167" s="1"/>
    </row>
    <row x14ac:dyDescent="0.25" r="168" customHeight="1" ht="14.5">
      <c r="A168" s="1"/>
      <c r="B168" s="1"/>
      <c r="C168" s="1"/>
      <c r="D168" s="1"/>
      <c r="E168" s="2"/>
      <c r="F168" s="2"/>
      <c r="G168" s="90">
        <f>(S168&amp;RIGHT(R168,1))*1</f>
      </c>
      <c r="H168" s="1"/>
      <c r="I168" s="111"/>
      <c r="J168" s="126">
        <f>Planning!Q36</f>
      </c>
      <c r="K168" s="93">
        <f>VLOOKUP(J168,AA$23:AE$88,5,FALSE)</f>
      </c>
      <c r="L168" s="122">
        <f>Planning!W36</f>
      </c>
      <c r="M168" s="121">
        <f>IF(Planning!AD36=0,0,IFERROR($AD36*AJ$22,0))</f>
      </c>
      <c r="N168" s="171">
        <f>IF(Planning!AD36=0,0,IFERROR($AD36*AJ$22*K168,0))</f>
      </c>
      <c r="O168" s="96">
        <f>IF(ISTEXT(Planning!W36),0,AJ36)</f>
      </c>
      <c r="P168" s="94">
        <f>Planning!AD36</f>
      </c>
      <c r="Q168" s="121">
        <f>Progress!V36</f>
      </c>
      <c r="R168" s="95">
        <f>IF(Q168=0,0,IF(ISNUMBER(Q168),IF(S168&gt;=$G$21,$F$21,"Q21"),Q168))</f>
      </c>
      <c r="S168" s="122">
        <f>Progress!W36</f>
      </c>
      <c r="T168" s="97"/>
      <c r="U168" s="96">
        <f>V168/$N$419</f>
      </c>
      <c r="V168" s="176">
        <f>IF(L168&lt;$E$20,0,IF(ISTEXT(L168),0,IF(AND(G168+1&gt;=$E$19+1,L168&gt;0),IF(ISNUMBER(Q168),Q168*$AD36*AJ$22*K168,$AD36*AJ$22*K168),0)))</f>
      </c>
      <c r="W168" s="95">
        <f>IF(AND(L168&gt;0,S168&gt;0),IF(ISNUMBER(Q168),Q168*$AD36*AJ$22*K168,$AD36*AJ$22*K168),0)</f>
      </c>
      <c r="X168" s="17"/>
      <c r="Y168" s="11"/>
      <c r="Z168" s="11"/>
      <c r="AA168" s="187" t="s">
        <v>110</v>
      </c>
      <c r="AB168" s="188">
        <v>35</v>
      </c>
      <c r="AC168" s="188">
        <v>3</v>
      </c>
      <c r="AD168" s="189"/>
      <c r="AE168" s="191"/>
      <c r="AF168" s="8"/>
      <c r="AG168" s="1"/>
      <c r="AH168" s="6"/>
      <c r="AI168" s="6"/>
      <c r="AJ168" s="6"/>
      <c r="AK168" s="6"/>
      <c r="AL168" s="6"/>
      <c r="AM168" s="6"/>
      <c r="AN168" s="6"/>
      <c r="AO168" s="1"/>
      <c r="AP168" s="9"/>
      <c r="AQ168" s="2"/>
      <c r="AR168" s="3"/>
      <c r="AS168" s="10"/>
      <c r="AT168" s="1"/>
      <c r="AU168" s="1"/>
      <c r="AV168" s="1"/>
      <c r="AW168" s="1"/>
      <c r="AX168" s="1"/>
      <c r="AY168" s="1"/>
      <c r="AZ168" s="1"/>
      <c r="BA168" s="1"/>
      <c r="BB168" s="1"/>
      <c r="BC168" s="1"/>
      <c r="BD168" s="1"/>
      <c r="BE168" s="1"/>
      <c r="BF168" s="1"/>
      <c r="BG168" s="1"/>
      <c r="BH168" s="1"/>
    </row>
    <row x14ac:dyDescent="0.25" r="169" customHeight="1" ht="14.5">
      <c r="A169" s="1"/>
      <c r="B169" s="1"/>
      <c r="C169" s="1"/>
      <c r="D169" s="1"/>
      <c r="E169" s="2"/>
      <c r="F169" s="2"/>
      <c r="G169" s="90">
        <f>(S169&amp;RIGHT(R169,1))*1</f>
      </c>
      <c r="H169" s="1"/>
      <c r="I169" s="111"/>
      <c r="J169" s="126">
        <f>Planning!Q37</f>
      </c>
      <c r="K169" s="93">
        <f>VLOOKUP(J169,AA$23:AE$88,5,FALSE)</f>
      </c>
      <c r="L169" s="122">
        <f>Planning!W37</f>
      </c>
      <c r="M169" s="121">
        <f>IF(Planning!AD37=0,0,IFERROR($AD37*AJ$22,0))</f>
      </c>
      <c r="N169" s="171">
        <f>IF(Planning!AD37=0,0,IFERROR($AD37*AJ$22*K169,0))</f>
      </c>
      <c r="O169" s="96">
        <f>IF(ISTEXT(Planning!W37),0,AJ37)</f>
      </c>
      <c r="P169" s="94">
        <f>Planning!AD37</f>
      </c>
      <c r="Q169" s="121">
        <f>Progress!V37</f>
      </c>
      <c r="R169" s="95">
        <f>IF(Q169=0,0,IF(ISNUMBER(Q169),IF(S169&gt;=$G$21,$F$21,"Q22"),Q169))</f>
      </c>
      <c r="S169" s="122">
        <f>Progress!W37</f>
      </c>
      <c r="T169" s="97"/>
      <c r="U169" s="96">
        <f>V169/$N$419</f>
      </c>
      <c r="V169" s="176">
        <f>IF(L169&lt;$E$20,0,IF(ISTEXT(L169),0,IF(AND(G169+1&gt;=$E$19+1,L169&gt;0),IF(ISNUMBER(Q169),Q169*$AD37*AJ$22*K169,$AD37*AJ$22*K169),0)))</f>
      </c>
      <c r="W169" s="95">
        <f>IF(AND(L169&gt;0,S169&gt;0),IF(ISNUMBER(Q169),Q169*$AD37*AJ$22*K169,$AD37*AJ$22*K169),0)</f>
      </c>
      <c r="X169" s="17"/>
      <c r="Y169" s="11"/>
      <c r="Z169" s="11"/>
      <c r="AA169" s="187" t="s">
        <v>114</v>
      </c>
      <c r="AB169" s="188">
        <v>35</v>
      </c>
      <c r="AC169" s="188">
        <v>3</v>
      </c>
      <c r="AD169" s="189"/>
      <c r="AE169" s="191"/>
      <c r="AF169" s="8"/>
      <c r="AG169" s="1"/>
      <c r="AH169" s="6"/>
      <c r="AI169" s="6"/>
      <c r="AJ169" s="6"/>
      <c r="AK169" s="6"/>
      <c r="AL169" s="6"/>
      <c r="AM169" s="6"/>
      <c r="AN169" s="6"/>
      <c r="AO169" s="1"/>
      <c r="AP169" s="9"/>
      <c r="AQ169" s="2"/>
      <c r="AR169" s="3"/>
      <c r="AS169" s="10"/>
      <c r="AT169" s="1"/>
      <c r="AU169" s="1"/>
      <c r="AV169" s="1"/>
      <c r="AW169" s="1"/>
      <c r="AX169" s="1"/>
      <c r="AY169" s="1"/>
      <c r="AZ169" s="1"/>
      <c r="BA169" s="1"/>
      <c r="BB169" s="1"/>
      <c r="BC169" s="1"/>
      <c r="BD169" s="1"/>
      <c r="BE169" s="1"/>
      <c r="BF169" s="1"/>
      <c r="BG169" s="1"/>
      <c r="BH169" s="1"/>
    </row>
    <row x14ac:dyDescent="0.25" r="170" customHeight="1" ht="14.5">
      <c r="A170" s="1"/>
      <c r="B170" s="1"/>
      <c r="C170" s="1"/>
      <c r="D170" s="1"/>
      <c r="E170" s="2"/>
      <c r="F170" s="2"/>
      <c r="G170" s="90">
        <f>(S170&amp;RIGHT(R170,1))*1</f>
      </c>
      <c r="H170" s="1"/>
      <c r="I170" s="111"/>
      <c r="J170" s="126">
        <f>Planning!Q38</f>
      </c>
      <c r="K170" s="93">
        <f>VLOOKUP(J170,AA$23:AE$88,5,FALSE)</f>
      </c>
      <c r="L170" s="122">
        <f>Planning!W38</f>
      </c>
      <c r="M170" s="121">
        <f>IF(Planning!AD38=0,0,IFERROR($AD38*AJ$22,0))</f>
      </c>
      <c r="N170" s="171">
        <f>IF(Planning!AD38=0,0,IFERROR($AD38*AJ$22*K170,0))</f>
      </c>
      <c r="O170" s="96">
        <f>IF(ISTEXT(Planning!W38),0,AJ38)</f>
      </c>
      <c r="P170" s="94">
        <f>Planning!AD38</f>
      </c>
      <c r="Q170" s="121">
        <f>Progress!V38</f>
      </c>
      <c r="R170" s="95">
        <f>IF(Q170=0,0,IF(ISNUMBER(Q170),IF(S170&gt;=$G$21,$F$21,"Q23"),Q170))</f>
      </c>
      <c r="S170" s="122">
        <f>Progress!W38</f>
      </c>
      <c r="T170" s="97"/>
      <c r="U170" s="96">
        <f>V170/$N$419</f>
      </c>
      <c r="V170" s="176">
        <f>IF(L170&lt;$E$20,0,IF(ISTEXT(L170),0,IF(AND(G170+1&gt;=$E$19+1,L170&gt;0),IF(ISNUMBER(Q170),Q170*$AD38*AJ$22*K170,$AD38*AJ$22*K170),0)))</f>
      </c>
      <c r="W170" s="95">
        <f>IF(AND(L170&gt;0,S170&gt;0),IF(ISNUMBER(Q170),Q170*$AD38*AJ$22*K170,$AD38*AJ$22*K170),0)</f>
      </c>
      <c r="X170" s="17"/>
      <c r="Y170" s="11"/>
      <c r="Z170" s="11"/>
      <c r="AA170" s="187" t="s">
        <v>118</v>
      </c>
      <c r="AB170" s="188">
        <v>32</v>
      </c>
      <c r="AC170" s="188">
        <v>3</v>
      </c>
      <c r="AD170" s="189"/>
      <c r="AE170" s="191"/>
      <c r="AF170" s="8"/>
      <c r="AG170" s="1"/>
      <c r="AH170" s="6"/>
      <c r="AI170" s="6"/>
      <c r="AJ170" s="6"/>
      <c r="AK170" s="6"/>
      <c r="AL170" s="6"/>
      <c r="AM170" s="6"/>
      <c r="AN170" s="6"/>
      <c r="AO170" s="1"/>
      <c r="AP170" s="9"/>
      <c r="AQ170" s="2"/>
      <c r="AR170" s="3"/>
      <c r="AS170" s="10"/>
      <c r="AT170" s="1"/>
      <c r="AU170" s="1"/>
      <c r="AV170" s="1"/>
      <c r="AW170" s="1"/>
      <c r="AX170" s="1"/>
      <c r="AY170" s="1"/>
      <c r="AZ170" s="1"/>
      <c r="BA170" s="1"/>
      <c r="BB170" s="1"/>
      <c r="BC170" s="1"/>
      <c r="BD170" s="1"/>
      <c r="BE170" s="1"/>
      <c r="BF170" s="1"/>
      <c r="BG170" s="1"/>
      <c r="BH170" s="1"/>
    </row>
    <row x14ac:dyDescent="0.25" r="171" customHeight="1" ht="14.5">
      <c r="A171" s="1"/>
      <c r="B171" s="1"/>
      <c r="C171" s="1"/>
      <c r="D171" s="1"/>
      <c r="E171" s="2"/>
      <c r="F171" s="2"/>
      <c r="G171" s="90">
        <f>(S171&amp;RIGHT(R171,1))*1</f>
      </c>
      <c r="H171" s="1"/>
      <c r="I171" s="111"/>
      <c r="J171" s="126">
        <f>Planning!Q39</f>
      </c>
      <c r="K171" s="93">
        <f>VLOOKUP(J171,AA$23:AE$88,5,FALSE)</f>
      </c>
      <c r="L171" s="122">
        <f>Planning!W39</f>
      </c>
      <c r="M171" s="121">
        <f>IF(Planning!AD39=0,0,IFERROR($AD39*AJ$22,0))</f>
      </c>
      <c r="N171" s="171">
        <f>IF(Planning!AD39=0,0,IFERROR($AD39*AJ$22*K171,0))</f>
      </c>
      <c r="O171" s="96">
        <f>IF(ISTEXT(Planning!W39),0,AJ39)</f>
      </c>
      <c r="P171" s="94">
        <f>Planning!AD39</f>
      </c>
      <c r="Q171" s="121">
        <f>Progress!V39</f>
      </c>
      <c r="R171" s="95">
        <f>IF(Q171=0,0,IF(ISNUMBER(Q171),IF(S171&gt;=$G$21,$F$21,"Q24"),Q171))</f>
      </c>
      <c r="S171" s="122">
        <f>Progress!W39</f>
      </c>
      <c r="T171" s="97"/>
      <c r="U171" s="96">
        <f>V171/$N$419</f>
      </c>
      <c r="V171" s="176">
        <f>IF(L171&lt;$E$20,0,IF(ISTEXT(L171),0,IF(AND(G171+1&gt;=$E$19+1,L171&gt;0),IF(ISNUMBER(Q171),Q171*$AD39*AJ$22*K171,$AD39*AJ$22*K171),0)))</f>
      </c>
      <c r="W171" s="95">
        <f>IF(AND(L171&gt;0,S171&gt;0),IF(ISNUMBER(Q171),Q171*$AD39*AJ$22*K171,$AD39*AJ$22*K171),0)</f>
      </c>
      <c r="X171" s="17"/>
      <c r="Y171" s="11"/>
      <c r="Z171" s="11"/>
      <c r="AA171" s="187" t="s">
        <v>122</v>
      </c>
      <c r="AB171" s="188">
        <v>31</v>
      </c>
      <c r="AC171" s="188">
        <v>3</v>
      </c>
      <c r="AD171" s="189"/>
      <c r="AE171" s="191"/>
      <c r="AF171" s="8"/>
      <c r="AG171" s="1"/>
      <c r="AH171" s="6"/>
      <c r="AI171" s="6"/>
      <c r="AJ171" s="6"/>
      <c r="AK171" s="6"/>
      <c r="AL171" s="6"/>
      <c r="AM171" s="6"/>
      <c r="AN171" s="6"/>
      <c r="AO171" s="1"/>
      <c r="AP171" s="9"/>
      <c r="AQ171" s="2"/>
      <c r="AR171" s="3"/>
      <c r="AS171" s="10"/>
      <c r="AT171" s="1"/>
      <c r="AU171" s="1"/>
      <c r="AV171" s="1"/>
      <c r="AW171" s="1"/>
      <c r="AX171" s="1"/>
      <c r="AY171" s="1"/>
      <c r="AZ171" s="1"/>
      <c r="BA171" s="1"/>
      <c r="BB171" s="1"/>
      <c r="BC171" s="1"/>
      <c r="BD171" s="1"/>
      <c r="BE171" s="1"/>
      <c r="BF171" s="1"/>
      <c r="BG171" s="1"/>
      <c r="BH171" s="1"/>
    </row>
    <row x14ac:dyDescent="0.25" r="172" customHeight="1" ht="14.5">
      <c r="A172" s="1"/>
      <c r="B172" s="1"/>
      <c r="C172" s="1"/>
      <c r="D172" s="1"/>
      <c r="E172" s="2"/>
      <c r="F172" s="2"/>
      <c r="G172" s="90">
        <f>(S172&amp;RIGHT(R172,1))*1</f>
      </c>
      <c r="H172" s="1"/>
      <c r="I172" s="111"/>
      <c r="J172" s="126">
        <f>Planning!Q40</f>
      </c>
      <c r="K172" s="93">
        <f>VLOOKUP(J172,AA$23:AE$88,5,FALSE)</f>
      </c>
      <c r="L172" s="122">
        <f>Planning!W40</f>
      </c>
      <c r="M172" s="121">
        <f>IF(Planning!AD40=0,0,IFERROR($AD40*AJ$22,0))</f>
      </c>
      <c r="N172" s="171">
        <f>IF(Planning!AD40=0,0,IFERROR($AD40*AJ$22*K172,0))</f>
      </c>
      <c r="O172" s="96">
        <f>IF(ISTEXT(Planning!W40),0,AJ40)</f>
      </c>
      <c r="P172" s="94">
        <f>Planning!AD40</f>
      </c>
      <c r="Q172" s="121">
        <f>Progress!V40</f>
      </c>
      <c r="R172" s="95">
        <f>IF(Q172=0,0,IF(ISNUMBER(Q172),IF(S172&gt;=$G$21,$F$21,"Q25"),Q172))</f>
      </c>
      <c r="S172" s="122">
        <f>Progress!W40</f>
      </c>
      <c r="T172" s="97"/>
      <c r="U172" s="96">
        <f>V172/$N$419</f>
      </c>
      <c r="V172" s="176">
        <f>IF(L172&lt;$E$20,0,IF(ISTEXT(L172),0,IF(AND(G172+1&gt;=$E$19+1,L172&gt;0),IF(ISNUMBER(Q172),Q172*$AD40*AJ$22*K172,$AD40*AJ$22*K172),0)))</f>
      </c>
      <c r="W172" s="95">
        <f>IF(AND(L172&gt;0,S172&gt;0),IF(ISNUMBER(Q172),Q172*$AD40*AJ$22*K172,$AD40*AJ$22*K172),0)</f>
      </c>
      <c r="X172" s="17"/>
      <c r="Y172" s="11"/>
      <c r="Z172" s="11"/>
      <c r="AA172" s="187" t="s">
        <v>126</v>
      </c>
      <c r="AB172" s="188">
        <v>37</v>
      </c>
      <c r="AC172" s="188">
        <v>3</v>
      </c>
      <c r="AD172" s="189"/>
      <c r="AE172" s="191"/>
      <c r="AF172" s="8"/>
      <c r="AG172" s="1"/>
      <c r="AH172" s="6"/>
      <c r="AI172" s="6"/>
      <c r="AJ172" s="6"/>
      <c r="AK172" s="6"/>
      <c r="AL172" s="6"/>
      <c r="AM172" s="6"/>
      <c r="AN172" s="6"/>
      <c r="AO172" s="1"/>
      <c r="AP172" s="9"/>
      <c r="AQ172" s="2"/>
      <c r="AR172" s="3"/>
      <c r="AS172" s="10"/>
      <c r="AT172" s="1"/>
      <c r="AU172" s="1"/>
      <c r="AV172" s="1"/>
      <c r="AW172" s="1"/>
      <c r="AX172" s="1"/>
      <c r="AY172" s="1"/>
      <c r="AZ172" s="1"/>
      <c r="BA172" s="1"/>
      <c r="BB172" s="1"/>
      <c r="BC172" s="1"/>
      <c r="BD172" s="1"/>
      <c r="BE172" s="1"/>
      <c r="BF172" s="1"/>
      <c r="BG172" s="1"/>
      <c r="BH172" s="1"/>
    </row>
    <row x14ac:dyDescent="0.25" r="173" customHeight="1" ht="14.5">
      <c r="A173" s="1"/>
      <c r="B173" s="1"/>
      <c r="C173" s="1"/>
      <c r="D173" s="1"/>
      <c r="E173" s="2"/>
      <c r="F173" s="2"/>
      <c r="G173" s="90">
        <f>(S173&amp;RIGHT(R173,1))*1</f>
      </c>
      <c r="H173" s="1"/>
      <c r="I173" s="111"/>
      <c r="J173" s="126">
        <f>Planning!Q41</f>
      </c>
      <c r="K173" s="93">
        <f>VLOOKUP(J173,AA$23:AE$88,5,FALSE)</f>
      </c>
      <c r="L173" s="122">
        <f>Planning!W41</f>
      </c>
      <c r="M173" s="121">
        <f>IF(Planning!AD41=0,0,IFERROR($AD41*AJ$22,0))</f>
      </c>
      <c r="N173" s="171">
        <f>IF(Planning!AD41=0,0,IFERROR($AD41*AJ$22*K173,0))</f>
      </c>
      <c r="O173" s="96">
        <f>IF(ISTEXT(Planning!W41),0,AJ41)</f>
      </c>
      <c r="P173" s="94">
        <f>Planning!AD41</f>
      </c>
      <c r="Q173" s="121">
        <f>Progress!V41</f>
      </c>
      <c r="R173" s="95">
        <f>IF(Q173=0,0,IF(ISNUMBER(Q173),IF(S173&gt;=$G$21,$F$21,"Q26"),Q173))</f>
      </c>
      <c r="S173" s="122">
        <f>Progress!W41</f>
      </c>
      <c r="T173" s="97"/>
      <c r="U173" s="96">
        <f>V173/$N$419</f>
      </c>
      <c r="V173" s="176">
        <f>IF(L173&lt;$E$20,0,IF(ISTEXT(L173),0,IF(AND(G173+1&gt;=$E$19+1,L173&gt;0),IF(ISNUMBER(Q173),Q173*$AD41*AJ$22*K173,$AD41*AJ$22*K173),0)))</f>
      </c>
      <c r="W173" s="95">
        <f>IF(AND(L173&gt;0,S173&gt;0),IF(ISNUMBER(Q173),Q173*$AD41*AJ$22*K173,$AD41*AJ$22*K173),0)</f>
      </c>
      <c r="X173" s="17"/>
      <c r="Y173" s="11"/>
      <c r="Z173" s="11"/>
      <c r="AA173" s="187" t="s">
        <v>130</v>
      </c>
      <c r="AB173" s="188">
        <v>43</v>
      </c>
      <c r="AC173" s="188">
        <v>3</v>
      </c>
      <c r="AD173" s="189"/>
      <c r="AE173" s="191"/>
      <c r="AF173" s="8"/>
      <c r="AG173" s="1"/>
      <c r="AH173" s="6"/>
      <c r="AI173" s="6"/>
      <c r="AJ173" s="6"/>
      <c r="AK173" s="6"/>
      <c r="AL173" s="6"/>
      <c r="AM173" s="6"/>
      <c r="AN173" s="6"/>
      <c r="AO173" s="1"/>
      <c r="AP173" s="9"/>
      <c r="AQ173" s="2"/>
      <c r="AR173" s="3"/>
      <c r="AS173" s="10"/>
      <c r="AT173" s="1"/>
      <c r="AU173" s="1"/>
      <c r="AV173" s="1"/>
      <c r="AW173" s="1"/>
      <c r="AX173" s="1"/>
      <c r="AY173" s="1"/>
      <c r="AZ173" s="1"/>
      <c r="BA173" s="1"/>
      <c r="BB173" s="1"/>
      <c r="BC173" s="1"/>
      <c r="BD173" s="1"/>
      <c r="BE173" s="1"/>
      <c r="BF173" s="1"/>
      <c r="BG173" s="1"/>
      <c r="BH173" s="1"/>
    </row>
    <row x14ac:dyDescent="0.25" r="174" customHeight="1" ht="14.5">
      <c r="A174" s="1"/>
      <c r="B174" s="1"/>
      <c r="C174" s="1"/>
      <c r="D174" s="1"/>
      <c r="E174" s="2"/>
      <c r="F174" s="2"/>
      <c r="G174" s="90">
        <f>(S174&amp;RIGHT(R174,1))*1</f>
      </c>
      <c r="H174" s="1"/>
      <c r="I174" s="111"/>
      <c r="J174" s="126">
        <f>Planning!Q42</f>
      </c>
      <c r="K174" s="93">
        <f>VLOOKUP(J174,AA$23:AE$88,5,FALSE)</f>
      </c>
      <c r="L174" s="122">
        <f>Planning!W42</f>
      </c>
      <c r="M174" s="121">
        <f>IF(Planning!AD42=0,0,IFERROR($AD42*AJ$22,0))</f>
      </c>
      <c r="N174" s="171">
        <f>IF(Planning!AD42=0,0,IFERROR($AD42*AJ$22*K174,0))</f>
      </c>
      <c r="O174" s="96">
        <f>IF(ISTEXT(Planning!W42),0,AJ42)</f>
      </c>
      <c r="P174" s="94">
        <f>Planning!AD42</f>
      </c>
      <c r="Q174" s="121">
        <f>Progress!V42</f>
      </c>
      <c r="R174" s="95">
        <f>IF(Q174=0,0,IF(ISNUMBER(Q174),IF(S174&gt;=$G$21,$F$21,"Q27"),Q174))</f>
      </c>
      <c r="S174" s="122">
        <f>Progress!W42</f>
      </c>
      <c r="T174" s="97"/>
      <c r="U174" s="96">
        <f>V174/$N$419</f>
      </c>
      <c r="V174" s="176">
        <f>IF(L174&lt;$E$20,0,IF(ISTEXT(L174),0,IF(AND(G174+1&gt;=$E$19+1,L174&gt;0),IF(ISNUMBER(Q174),Q174*$AD42*AJ$22*K174,$AD42*AJ$22*K174),0)))</f>
      </c>
      <c r="W174" s="95">
        <f>IF(AND(L174&gt;0,S174&gt;0),IF(ISNUMBER(Q174),Q174*$AD42*AJ$22*K174,$AD42*AJ$22*K174),0)</f>
      </c>
      <c r="X174" s="17"/>
      <c r="Y174" s="11"/>
      <c r="Z174" s="11"/>
      <c r="AA174" s="187" t="s">
        <v>134</v>
      </c>
      <c r="AB174" s="188">
        <v>48</v>
      </c>
      <c r="AC174" s="188">
        <v>3</v>
      </c>
      <c r="AD174" s="189"/>
      <c r="AE174" s="191"/>
      <c r="AF174" s="8"/>
      <c r="AG174" s="1"/>
      <c r="AH174" s="6"/>
      <c r="AI174" s="6"/>
      <c r="AJ174" s="6"/>
      <c r="AK174" s="6"/>
      <c r="AL174" s="6"/>
      <c r="AM174" s="6"/>
      <c r="AN174" s="6"/>
      <c r="AO174" s="1"/>
      <c r="AP174" s="9"/>
      <c r="AQ174" s="2"/>
      <c r="AR174" s="3"/>
      <c r="AS174" s="10"/>
      <c r="AT174" s="1"/>
      <c r="AU174" s="1"/>
      <c r="AV174" s="1"/>
      <c r="AW174" s="1"/>
      <c r="AX174" s="1"/>
      <c r="AY174" s="1"/>
      <c r="AZ174" s="1"/>
      <c r="BA174" s="1"/>
      <c r="BB174" s="1"/>
      <c r="BC174" s="1"/>
      <c r="BD174" s="1"/>
      <c r="BE174" s="1"/>
      <c r="BF174" s="1"/>
      <c r="BG174" s="1"/>
      <c r="BH174" s="1"/>
    </row>
    <row x14ac:dyDescent="0.25" r="175" customHeight="1" ht="14.5">
      <c r="A175" s="1"/>
      <c r="B175" s="1"/>
      <c r="C175" s="1"/>
      <c r="D175" s="1"/>
      <c r="E175" s="2"/>
      <c r="F175" s="2"/>
      <c r="G175" s="90">
        <f>(S175&amp;RIGHT(R175,1))*1</f>
      </c>
      <c r="H175" s="1"/>
      <c r="I175" s="111"/>
      <c r="J175" s="126">
        <f>Planning!Q43</f>
      </c>
      <c r="K175" s="93">
        <f>VLOOKUP(J175,AA$23:AE$88,5,FALSE)</f>
      </c>
      <c r="L175" s="122">
        <f>Planning!W43</f>
      </c>
      <c r="M175" s="121">
        <f>IF(Planning!AD43=0,0,IFERROR($AD43*AJ$22,0))</f>
      </c>
      <c r="N175" s="171">
        <f>IF(Planning!AD43=0,0,IFERROR($AD43*AJ$22*K175,0))</f>
      </c>
      <c r="O175" s="96">
        <f>IF(ISTEXT(Planning!W43),0,AJ43)</f>
      </c>
      <c r="P175" s="94">
        <f>Planning!AD43</f>
      </c>
      <c r="Q175" s="121">
        <f>Progress!V43</f>
      </c>
      <c r="R175" s="95">
        <f>IF(Q175=0,0,IF(ISNUMBER(Q175),IF(S175&gt;=$G$21,$F$21,"Q28"),Q175))</f>
      </c>
      <c r="S175" s="122">
        <f>Progress!W43</f>
      </c>
      <c r="T175" s="97"/>
      <c r="U175" s="96">
        <f>V175/$N$419</f>
      </c>
      <c r="V175" s="176">
        <f>IF(L175&lt;$E$20,0,IF(ISTEXT(L175),0,IF(AND(G175+1&gt;=$E$19+1,L175&gt;0),IF(ISNUMBER(Q175),Q175*$AD43*AJ$22*K175,$AD43*AJ$22*K175),0)))</f>
      </c>
      <c r="W175" s="95">
        <f>IF(AND(L175&gt;0,S175&gt;0),IF(ISNUMBER(Q175),Q175*$AD43*AJ$22*K175,$AD43*AJ$22*K175),0)</f>
      </c>
      <c r="X175" s="17"/>
      <c r="Y175" s="11"/>
      <c r="Z175" s="11"/>
      <c r="AA175" s="98" t="s">
        <v>138</v>
      </c>
      <c r="AB175" s="99">
        <v>47</v>
      </c>
      <c r="AC175" s="188">
        <v>3</v>
      </c>
      <c r="AD175" s="189"/>
      <c r="AE175" s="191"/>
      <c r="AF175" s="8"/>
      <c r="AG175" s="1"/>
      <c r="AH175" s="6"/>
      <c r="AI175" s="6"/>
      <c r="AJ175" s="6"/>
      <c r="AK175" s="6"/>
      <c r="AL175" s="6"/>
      <c r="AM175" s="6"/>
      <c r="AN175" s="6"/>
      <c r="AO175" s="1"/>
      <c r="AP175" s="9"/>
      <c r="AQ175" s="2"/>
      <c r="AR175" s="3"/>
      <c r="AS175" s="10"/>
      <c r="AT175" s="1"/>
      <c r="AU175" s="1"/>
      <c r="AV175" s="1"/>
      <c r="AW175" s="1"/>
      <c r="AX175" s="1"/>
      <c r="AY175" s="1"/>
      <c r="AZ175" s="1"/>
      <c r="BA175" s="1"/>
      <c r="BB175" s="1"/>
      <c r="BC175" s="1"/>
      <c r="BD175" s="1"/>
      <c r="BE175" s="1"/>
      <c r="BF175" s="1"/>
      <c r="BG175" s="1"/>
      <c r="BH175" s="1"/>
    </row>
    <row x14ac:dyDescent="0.25" r="176" customHeight="1" ht="14.5">
      <c r="A176" s="1"/>
      <c r="B176" s="1"/>
      <c r="C176" s="1"/>
      <c r="D176" s="1"/>
      <c r="E176" s="2"/>
      <c r="F176" s="2"/>
      <c r="G176" s="90">
        <f>(S176&amp;RIGHT(R176,1))*1</f>
      </c>
      <c r="H176" s="1"/>
      <c r="I176" s="111"/>
      <c r="J176" s="126">
        <f>Planning!Q44</f>
      </c>
      <c r="K176" s="93">
        <f>VLOOKUP(J176,AA$23:AE$88,5,FALSE)</f>
      </c>
      <c r="L176" s="122">
        <f>Planning!W44</f>
      </c>
      <c r="M176" s="121">
        <f>IF(Planning!AD44=0,0,IFERROR($AD44*AJ$22,0))</f>
      </c>
      <c r="N176" s="171">
        <f>IF(Planning!AD44=0,0,IFERROR($AD44*AJ$22*K176,0))</f>
      </c>
      <c r="O176" s="96">
        <f>IF(ISTEXT(Planning!W44),0,AJ44)</f>
      </c>
      <c r="P176" s="94">
        <f>Planning!AD44</f>
      </c>
      <c r="Q176" s="121">
        <f>Progress!V44</f>
      </c>
      <c r="R176" s="95">
        <f>IF(Q176=0,0,IF(ISNUMBER(Q176),IF(S176&gt;=$G$21,$F$21,"Q29"),Q176))</f>
      </c>
      <c r="S176" s="122">
        <f>Progress!W44</f>
      </c>
      <c r="T176" s="97"/>
      <c r="U176" s="96">
        <f>V176/$N$419</f>
      </c>
      <c r="V176" s="176">
        <f>IF(L176&lt;$E$20,0,IF(ISTEXT(L176),0,IF(AND(G176+1&gt;=$E$19+1,L176&gt;0),IF(ISNUMBER(Q176),Q176*$AD44*AJ$22*K176,$AD44*AJ$22*K176),0)))</f>
      </c>
      <c r="W176" s="95">
        <f>IF(AND(L176&gt;0,S176&gt;0),IF(ISNUMBER(Q176),Q176*$AD44*AJ$22*K176,$AD44*AJ$22*K176),0)</f>
      </c>
      <c r="X176" s="17"/>
      <c r="Y176" s="11"/>
      <c r="Z176" s="11"/>
      <c r="AA176" s="98" t="s">
        <v>142</v>
      </c>
      <c r="AB176" s="99">
        <v>38</v>
      </c>
      <c r="AC176" s="188">
        <v>3</v>
      </c>
      <c r="AD176" s="189"/>
      <c r="AE176" s="191"/>
      <c r="AF176" s="8"/>
      <c r="AG176" s="1"/>
      <c r="AH176" s="6"/>
      <c r="AI176" s="6"/>
      <c r="AJ176" s="6"/>
      <c r="AK176" s="6"/>
      <c r="AL176" s="6"/>
      <c r="AM176" s="6"/>
      <c r="AN176" s="6"/>
      <c r="AO176" s="1"/>
      <c r="AP176" s="9"/>
      <c r="AQ176" s="2"/>
      <c r="AR176" s="3"/>
      <c r="AS176" s="10"/>
      <c r="AT176" s="1"/>
      <c r="AU176" s="1"/>
      <c r="AV176" s="1"/>
      <c r="AW176" s="1"/>
      <c r="AX176" s="1"/>
      <c r="AY176" s="1"/>
      <c r="AZ176" s="1"/>
      <c r="BA176" s="1"/>
      <c r="BB176" s="1"/>
      <c r="BC176" s="1"/>
      <c r="BD176" s="1"/>
      <c r="BE176" s="1"/>
      <c r="BF176" s="1"/>
      <c r="BG176" s="1"/>
      <c r="BH176" s="1"/>
    </row>
    <row x14ac:dyDescent="0.25" r="177" customHeight="1" ht="14.5">
      <c r="A177" s="1"/>
      <c r="B177" s="1"/>
      <c r="C177" s="1"/>
      <c r="D177" s="1"/>
      <c r="E177" s="2"/>
      <c r="F177" s="2"/>
      <c r="G177" s="90">
        <f>(S177&amp;RIGHT(R177,1))*1</f>
      </c>
      <c r="H177" s="1"/>
      <c r="I177" s="111"/>
      <c r="J177" s="126">
        <f>Planning!Q45</f>
      </c>
      <c r="K177" s="93">
        <f>VLOOKUP(J177,AA$23:AE$88,5,FALSE)</f>
      </c>
      <c r="L177" s="122">
        <f>Planning!W45</f>
      </c>
      <c r="M177" s="121">
        <f>IF(Planning!AD45=0,0,IFERROR($AD45*AJ$22,0))</f>
      </c>
      <c r="N177" s="171">
        <f>IF(Planning!AD45=0,0,IFERROR($AD45*AJ$22*K177,0))</f>
      </c>
      <c r="O177" s="96">
        <f>IF(ISTEXT(Planning!W45),0,AJ45)</f>
      </c>
      <c r="P177" s="94">
        <f>Planning!AD45</f>
      </c>
      <c r="Q177" s="121">
        <f>Progress!V45</f>
      </c>
      <c r="R177" s="95">
        <f>IF(Q177=0,0,IF(ISNUMBER(Q177),IF(S177&gt;=$G$21,$F$21,"Q30"),Q177))</f>
      </c>
      <c r="S177" s="122">
        <f>Progress!W45</f>
      </c>
      <c r="T177" s="97"/>
      <c r="U177" s="96">
        <f>V177/$N$419</f>
      </c>
      <c r="V177" s="176">
        <f>IF(L177&lt;$E$20,0,IF(ISTEXT(L177),0,IF(AND(G177+1&gt;=$E$19+1,L177&gt;0),IF(ISNUMBER(Q177),Q177*$AD45*AJ$22*K177,$AD45*AJ$22*K177),0)))</f>
      </c>
      <c r="W177" s="95">
        <f>IF(AND(L177&gt;0,S177&gt;0),IF(ISNUMBER(Q177),Q177*$AD45*AJ$22*K177,$AD45*AJ$22*K177),0)</f>
      </c>
      <c r="X177" s="17"/>
      <c r="Y177" s="11"/>
      <c r="Z177" s="11"/>
      <c r="AA177" s="98" t="s">
        <v>146</v>
      </c>
      <c r="AB177" s="99">
        <v>71</v>
      </c>
      <c r="AC177" s="188">
        <v>3</v>
      </c>
      <c r="AD177" s="189"/>
      <c r="AE177" s="191"/>
      <c r="AF177" s="8"/>
      <c r="AG177" s="1"/>
      <c r="AH177" s="6"/>
      <c r="AI177" s="6"/>
      <c r="AJ177" s="6"/>
      <c r="AK177" s="6"/>
      <c r="AL177" s="6"/>
      <c r="AM177" s="6"/>
      <c r="AN177" s="6"/>
      <c r="AO177" s="1"/>
      <c r="AP177" s="9"/>
      <c r="AQ177" s="2"/>
      <c r="AR177" s="3"/>
      <c r="AS177" s="10"/>
      <c r="AT177" s="1"/>
      <c r="AU177" s="1"/>
      <c r="AV177" s="1"/>
      <c r="AW177" s="1"/>
      <c r="AX177" s="1"/>
      <c r="AY177" s="1"/>
      <c r="AZ177" s="1"/>
      <c r="BA177" s="1"/>
      <c r="BB177" s="1"/>
      <c r="BC177" s="1"/>
      <c r="BD177" s="1"/>
      <c r="BE177" s="1"/>
      <c r="BF177" s="1"/>
      <c r="BG177" s="1"/>
      <c r="BH177" s="1"/>
    </row>
    <row x14ac:dyDescent="0.25" r="178" customHeight="1" ht="14.5">
      <c r="A178" s="1"/>
      <c r="B178" s="1"/>
      <c r="C178" s="1"/>
      <c r="D178" s="1"/>
      <c r="E178" s="2"/>
      <c r="F178" s="2"/>
      <c r="G178" s="90">
        <f>(S178&amp;RIGHT(R178,1))*1</f>
      </c>
      <c r="H178" s="1"/>
      <c r="I178" s="111"/>
      <c r="J178" s="126">
        <f>Planning!Q46</f>
      </c>
      <c r="K178" s="93">
        <f>VLOOKUP(J178,AA$23:AE$88,5,FALSE)</f>
      </c>
      <c r="L178" s="122">
        <f>Planning!W46</f>
      </c>
      <c r="M178" s="121">
        <f>IF(Planning!AD46=0,0,IFERROR($AD46*AJ$22,0))</f>
      </c>
      <c r="N178" s="171">
        <f>IF(Planning!AD46=0,0,IFERROR($AD46*AJ$22*K178,0))</f>
      </c>
      <c r="O178" s="96">
        <f>IF(ISTEXT(Planning!W46),0,AJ46)</f>
      </c>
      <c r="P178" s="94">
        <f>Planning!AD46</f>
      </c>
      <c r="Q178" s="121">
        <f>Progress!V46</f>
      </c>
      <c r="R178" s="95">
        <f>IF(Q178=0,0,IF(ISNUMBER(Q178),IF(S178&gt;=$G$21,$F$21,"Q31"),Q178))</f>
      </c>
      <c r="S178" s="122">
        <f>Progress!W46</f>
      </c>
      <c r="T178" s="97"/>
      <c r="U178" s="96">
        <f>V178/$N$419</f>
      </c>
      <c r="V178" s="176">
        <f>IF(L178&lt;$E$20,0,IF(ISTEXT(L178),0,IF(AND(G178+1&gt;=$E$19+1,L178&gt;0),IF(ISNUMBER(Q178),Q178*$AD46*AJ$22*K178,$AD46*AJ$22*K178),0)))</f>
      </c>
      <c r="W178" s="95">
        <f>IF(AND(L178&gt;0,S178&gt;0),IF(ISNUMBER(Q178),Q178*$AD46*AJ$22*K178,$AD46*AJ$22*K178),0)</f>
      </c>
      <c r="X178" s="17"/>
      <c r="Y178" s="11"/>
      <c r="Z178" s="11"/>
      <c r="AA178" s="98" t="s">
        <v>150</v>
      </c>
      <c r="AB178" s="99">
        <v>56</v>
      </c>
      <c r="AC178" s="188">
        <v>3</v>
      </c>
      <c r="AD178" s="189"/>
      <c r="AE178" s="191"/>
      <c r="AF178" s="8"/>
      <c r="AG178" s="1"/>
      <c r="AH178" s="6"/>
      <c r="AI178" s="6"/>
      <c r="AJ178" s="6"/>
      <c r="AK178" s="6"/>
      <c r="AL178" s="6"/>
      <c r="AM178" s="6"/>
      <c r="AN178" s="6"/>
      <c r="AO178" s="1"/>
      <c r="AP178" s="9"/>
      <c r="AQ178" s="2"/>
      <c r="AR178" s="3"/>
      <c r="AS178" s="10"/>
      <c r="AT178" s="1"/>
      <c r="AU178" s="1"/>
      <c r="AV178" s="1"/>
      <c r="AW178" s="1"/>
      <c r="AX178" s="1"/>
      <c r="AY178" s="1"/>
      <c r="AZ178" s="1"/>
      <c r="BA178" s="1"/>
      <c r="BB178" s="1"/>
      <c r="BC178" s="1"/>
      <c r="BD178" s="1"/>
      <c r="BE178" s="1"/>
      <c r="BF178" s="1"/>
      <c r="BG178" s="1"/>
      <c r="BH178" s="1"/>
    </row>
    <row x14ac:dyDescent="0.25" r="179" customHeight="1" ht="15">
      <c r="A179" s="1"/>
      <c r="B179" s="1"/>
      <c r="C179" s="1"/>
      <c r="D179" s="1"/>
      <c r="E179" s="2"/>
      <c r="F179" s="2"/>
      <c r="G179" s="90">
        <f>(S179&amp;RIGHT(R179,1))*1</f>
      </c>
      <c r="H179" s="1"/>
      <c r="I179" s="111"/>
      <c r="J179" s="126">
        <f>Planning!Q47</f>
      </c>
      <c r="K179" s="93">
        <f>VLOOKUP(J179,AA$23:AE$88,5,FALSE)</f>
      </c>
      <c r="L179" s="122">
        <f>Planning!W47</f>
      </c>
      <c r="M179" s="121">
        <f>IF(Planning!AD47=0,0,IFERROR($AD47*AJ$22,0))</f>
      </c>
      <c r="N179" s="171">
        <f>IF(Planning!AD47=0,0,IFERROR($AD47*AJ$22*K179,0))</f>
      </c>
      <c r="O179" s="96">
        <f>IF(ISTEXT(Planning!W47),0,AJ47)</f>
      </c>
      <c r="P179" s="94">
        <f>Planning!AD47</f>
      </c>
      <c r="Q179" s="121">
        <f>Progress!V47</f>
      </c>
      <c r="R179" s="95">
        <f>IF(Q179=0,0,IF(ISNUMBER(Q179),IF(S179&gt;=$G$21,$F$21,"Q32"),Q179))</f>
      </c>
      <c r="S179" s="122">
        <f>Progress!W47</f>
      </c>
      <c r="T179" s="97"/>
      <c r="U179" s="96">
        <f>V179/$N$419</f>
      </c>
      <c r="V179" s="176">
        <f>IF(L179&lt;$E$20,0,IF(ISTEXT(L179),0,IF(AND(G179+1&gt;=$E$19+1,L179&gt;0),IF(ISNUMBER(Q179),Q179*$AD47*AJ$22*K179,$AD47*AJ$22*K179),0)))</f>
      </c>
      <c r="W179" s="95">
        <f>IF(AND(L179&gt;0,S179&gt;0),IF(ISNUMBER(Q179),Q179*$AD47*AJ$22*K179,$AD47*AJ$22*K179),0)</f>
      </c>
      <c r="X179" s="17"/>
      <c r="Y179" s="11"/>
      <c r="Z179" s="11"/>
      <c r="AA179" s="98" t="s">
        <v>154</v>
      </c>
      <c r="AB179" s="99">
        <v>53</v>
      </c>
      <c r="AC179" s="99">
        <v>3</v>
      </c>
      <c r="AD179" s="186"/>
      <c r="AE179" s="192"/>
      <c r="AF179" s="8"/>
      <c r="AG179" s="1"/>
      <c r="AH179" s="6"/>
      <c r="AI179" s="6"/>
      <c r="AJ179" s="6"/>
      <c r="AK179" s="6"/>
      <c r="AL179" s="6"/>
      <c r="AM179" s="6"/>
      <c r="AN179" s="6"/>
      <c r="AO179" s="1"/>
      <c r="AP179" s="9"/>
      <c r="AQ179" s="2"/>
      <c r="AR179" s="3"/>
      <c r="AS179" s="10"/>
      <c r="AT179" s="1"/>
      <c r="AU179" s="1"/>
      <c r="AV179" s="1"/>
      <c r="AW179" s="1"/>
      <c r="AX179" s="1"/>
      <c r="AY179" s="1"/>
      <c r="AZ179" s="1"/>
      <c r="BA179" s="1"/>
      <c r="BB179" s="1"/>
      <c r="BC179" s="1"/>
      <c r="BD179" s="1"/>
      <c r="BE179" s="1"/>
      <c r="BF179" s="1"/>
      <c r="BG179" s="1"/>
      <c r="BH179" s="1"/>
    </row>
    <row x14ac:dyDescent="0.25" r="180" customHeight="1" ht="13">
      <c r="A180" s="1"/>
      <c r="B180" s="1"/>
      <c r="C180" s="1"/>
      <c r="D180" s="1"/>
      <c r="E180" s="2"/>
      <c r="F180" s="2"/>
      <c r="G180" s="90">
        <f>(S180&amp;RIGHT(R180,1))*1</f>
      </c>
      <c r="H180" s="1"/>
      <c r="I180" s="111"/>
      <c r="J180" s="126">
        <f>Planning!Q48</f>
      </c>
      <c r="K180" s="93">
        <f>VLOOKUP(J180,AA$23:AE$88,5,FALSE)</f>
      </c>
      <c r="L180" s="122">
        <f>Planning!W48</f>
      </c>
      <c r="M180" s="121">
        <f>IF(Planning!AD48=0,0,IFERROR($AD48*AJ$22,0))</f>
      </c>
      <c r="N180" s="171">
        <f>IF(Planning!AD48=0,0,IFERROR($AD48*AJ$22*K180,0))</f>
      </c>
      <c r="O180" s="96">
        <f>IF(ISTEXT(Planning!W48),0,AJ48)</f>
      </c>
      <c r="P180" s="94">
        <f>Planning!AD48</f>
      </c>
      <c r="Q180" s="121">
        <f>Progress!V48</f>
      </c>
      <c r="R180" s="95">
        <f>IF(Q180=0,0,IF(ISNUMBER(Q180),IF(S180&gt;=$G$21,$F$21,"Q33"),Q180))</f>
      </c>
      <c r="S180" s="122">
        <f>Progress!W48</f>
      </c>
      <c r="T180" s="97"/>
      <c r="U180" s="96">
        <f>V180/$N$419</f>
      </c>
      <c r="V180" s="176">
        <f>IF(L180&lt;$E$20,0,IF(ISTEXT(L180),0,IF(AND(G180+1&gt;=$E$19+1,L180&gt;0),IF(ISNUMBER(Q180),Q180*$AD48*AJ$22*K180,$AD48*AJ$22*K180),0)))</f>
      </c>
      <c r="W180" s="95">
        <f>IF(AND(L180&gt;0,S180&gt;0),IF(ISNUMBER(Q180),Q180*$AD48*AJ$22*K180,$AD48*AJ$22*K180),0)</f>
      </c>
      <c r="X180" s="17"/>
      <c r="Y180" s="11"/>
      <c r="Z180" s="11"/>
      <c r="AA180" s="187">
        <f>AL92</f>
      </c>
      <c r="AB180" s="188">
        <v>255</v>
      </c>
      <c r="AC180" s="188">
        <v>3</v>
      </c>
      <c r="AD180" s="193"/>
      <c r="AE180" s="194" t="s">
        <v>48</v>
      </c>
      <c r="AF180" s="8"/>
      <c r="AG180" s="1"/>
      <c r="AH180" s="6"/>
      <c r="AI180" s="6"/>
      <c r="AJ180" s="6"/>
      <c r="AK180" s="6"/>
      <c r="AL180" s="6"/>
      <c r="AM180" s="6"/>
      <c r="AN180" s="6"/>
      <c r="AO180" s="1"/>
      <c r="AP180" s="9"/>
      <c r="AQ180" s="2"/>
      <c r="AR180" s="3"/>
      <c r="AS180" s="10"/>
      <c r="AT180" s="1"/>
      <c r="AU180" s="1"/>
      <c r="AV180" s="1"/>
      <c r="AW180" s="1"/>
      <c r="AX180" s="1"/>
      <c r="AY180" s="1"/>
      <c r="AZ180" s="1"/>
      <c r="BA180" s="1"/>
      <c r="BB180" s="1"/>
      <c r="BC180" s="1"/>
      <c r="BD180" s="1"/>
      <c r="BE180" s="1"/>
      <c r="BF180" s="1"/>
      <c r="BG180" s="1"/>
      <c r="BH180" s="1"/>
    </row>
    <row x14ac:dyDescent="0.25" r="181" customHeight="1" ht="14.5">
      <c r="A181" s="1"/>
      <c r="B181" s="1"/>
      <c r="C181" s="1"/>
      <c r="D181" s="1"/>
      <c r="E181" s="2"/>
      <c r="F181" s="2"/>
      <c r="G181" s="90">
        <f>(S181&amp;RIGHT(R181,1))*1</f>
      </c>
      <c r="H181" s="1"/>
      <c r="I181" s="111"/>
      <c r="J181" s="126">
        <f>Planning!Q49</f>
      </c>
      <c r="K181" s="93">
        <f>VLOOKUP(J181,AA$23:AE$88,5,FALSE)</f>
      </c>
      <c r="L181" s="122">
        <f>Planning!W49</f>
      </c>
      <c r="M181" s="121">
        <f>IF(Planning!AD49=0,0,IFERROR($AD49*AJ$22,0))</f>
      </c>
      <c r="N181" s="171">
        <f>IF(Planning!AD49=0,0,IFERROR($AD49*AJ$22*K181,0))</f>
      </c>
      <c r="O181" s="96">
        <f>IF(ISTEXT(Planning!W49),0,AJ49)</f>
      </c>
      <c r="P181" s="94">
        <f>Planning!AD49</f>
      </c>
      <c r="Q181" s="121">
        <f>Progress!V49</f>
      </c>
      <c r="R181" s="95">
        <f>IF(Q181=0,0,IF(ISNUMBER(Q181),IF(S181&gt;=$G$21,$F$21,"Q34"),Q181))</f>
      </c>
      <c r="S181" s="122">
        <f>Progress!W49</f>
      </c>
      <c r="T181" s="97"/>
      <c r="U181" s="96">
        <f>V181/$N$419</f>
      </c>
      <c r="V181" s="176">
        <f>IF(L181&lt;$E$20,0,IF(ISTEXT(L181),0,IF(AND(G181+1&gt;=$E$19+1,L181&gt;0),IF(ISNUMBER(Q181),Q181*$AD49*AJ$22*K181,$AD49*AJ$22*K181),0)))</f>
      </c>
      <c r="W181" s="95">
        <f>IF(AND(L181&gt;0,S181&gt;0),IF(ISNUMBER(Q181),Q181*$AD49*AJ$22*K181,$AD49*AJ$22*K181),0)</f>
      </c>
      <c r="X181" s="17"/>
      <c r="Y181" s="11"/>
      <c r="Z181" s="11"/>
      <c r="AA181" s="187">
        <f>AL93</f>
      </c>
      <c r="AB181" s="188">
        <v>282</v>
      </c>
      <c r="AC181" s="188">
        <v>3</v>
      </c>
      <c r="AD181" s="195"/>
      <c r="AE181" s="196"/>
      <c r="AF181" s="8"/>
      <c r="AG181" s="1"/>
      <c r="AH181" s="6"/>
      <c r="AI181" s="6"/>
      <c r="AJ181" s="6"/>
      <c r="AK181" s="6"/>
      <c r="AL181" s="6"/>
      <c r="AM181" s="6"/>
      <c r="AN181" s="6"/>
      <c r="AO181" s="1"/>
      <c r="AP181" s="9"/>
      <c r="AQ181" s="2"/>
      <c r="AR181" s="3"/>
      <c r="AS181" s="10"/>
      <c r="AT181" s="1"/>
      <c r="AU181" s="1"/>
      <c r="AV181" s="1"/>
      <c r="AW181" s="1"/>
      <c r="AX181" s="1"/>
      <c r="AY181" s="1"/>
      <c r="AZ181" s="1"/>
      <c r="BA181" s="1"/>
      <c r="BB181" s="1"/>
      <c r="BC181" s="1"/>
      <c r="BD181" s="1"/>
      <c r="BE181" s="1"/>
      <c r="BF181" s="1"/>
      <c r="BG181" s="1"/>
      <c r="BH181" s="1"/>
    </row>
    <row x14ac:dyDescent="0.25" r="182" customHeight="1" ht="12.75">
      <c r="A182" s="1"/>
      <c r="B182" s="1"/>
      <c r="C182" s="1"/>
      <c r="D182" s="1"/>
      <c r="E182" s="2"/>
      <c r="F182" s="2"/>
      <c r="G182" s="90">
        <f>(S182&amp;RIGHT(R182,1))*1</f>
      </c>
      <c r="H182" s="1"/>
      <c r="I182" s="111"/>
      <c r="J182" s="126">
        <f>Planning!Q50</f>
      </c>
      <c r="K182" s="93">
        <f>VLOOKUP(J182,AA$23:AE$88,5,FALSE)</f>
      </c>
      <c r="L182" s="122">
        <f>Planning!W50</f>
      </c>
      <c r="M182" s="121">
        <f>IF(Planning!AD50=0,0,IFERROR($AD50*AJ$22,0))</f>
      </c>
      <c r="N182" s="171">
        <f>IF(Planning!AD50=0,0,IFERROR($AD50*AJ$22*K182,0))</f>
      </c>
      <c r="O182" s="96">
        <f>IF(ISTEXT(Planning!W50),0,AJ50)</f>
      </c>
      <c r="P182" s="94">
        <f>Planning!AD50</f>
      </c>
      <c r="Q182" s="121">
        <f>Progress!V50</f>
      </c>
      <c r="R182" s="95">
        <f>IF(Q182=0,0,IF(ISNUMBER(Q182),IF(S182&gt;=$G$21,$F$21,"Q35"),Q182))</f>
      </c>
      <c r="S182" s="122">
        <f>Progress!W50</f>
      </c>
      <c r="T182" s="97"/>
      <c r="U182" s="96">
        <f>V182/$N$419</f>
      </c>
      <c r="V182" s="176">
        <f>IF(L182&lt;$E$20,0,IF(ISTEXT(L182),0,IF(AND(G182+1&gt;=$E$19+1,L182&gt;0),IF(ISNUMBER(Q182),Q182*$AD50*AJ$22*K182,$AD50*AJ$22*K182),0)))</f>
      </c>
      <c r="W182" s="95">
        <f>IF(AND(L182&gt;0,S182&gt;0),IF(ISNUMBER(Q182),Q182*$AD50*AJ$22*K182,$AD50*AJ$22*K182),0)</f>
      </c>
      <c r="X182" s="17"/>
      <c r="Y182" s="11"/>
      <c r="Z182" s="11"/>
      <c r="AA182" s="187">
        <f>AL94</f>
      </c>
      <c r="AB182" s="99">
        <v>252</v>
      </c>
      <c r="AC182" s="188">
        <v>3</v>
      </c>
      <c r="AD182" s="195"/>
      <c r="AE182" s="196"/>
      <c r="AF182" s="8"/>
      <c r="AG182" s="1"/>
      <c r="AH182" s="6"/>
      <c r="AI182" s="6"/>
      <c r="AJ182" s="6"/>
      <c r="AK182" s="6"/>
      <c r="AL182" s="6"/>
      <c r="AM182" s="6"/>
      <c r="AN182" s="6"/>
      <c r="AO182" s="1"/>
      <c r="AP182" s="9"/>
      <c r="AQ182" s="2"/>
      <c r="AR182" s="3"/>
      <c r="AS182" s="10"/>
      <c r="AT182" s="1"/>
      <c r="AU182" s="1"/>
      <c r="AV182" s="1"/>
      <c r="AW182" s="1"/>
      <c r="AX182" s="1"/>
      <c r="AY182" s="1"/>
      <c r="AZ182" s="1"/>
      <c r="BA182" s="1"/>
      <c r="BB182" s="1"/>
      <c r="BC182" s="1"/>
      <c r="BD182" s="1"/>
      <c r="BE182" s="1"/>
      <c r="BF182" s="1"/>
      <c r="BG182" s="1"/>
      <c r="BH182" s="1"/>
    </row>
    <row x14ac:dyDescent="0.25" r="183" customHeight="1" ht="14.5">
      <c r="A183" s="1"/>
      <c r="B183" s="1"/>
      <c r="C183" s="1"/>
      <c r="D183" s="1"/>
      <c r="E183" s="2"/>
      <c r="F183" s="2"/>
      <c r="G183" s="90">
        <f>(S183&amp;RIGHT(R183,1))*1</f>
      </c>
      <c r="H183" s="1"/>
      <c r="I183" s="111"/>
      <c r="J183" s="126">
        <f>Planning!Q51</f>
      </c>
      <c r="K183" s="93">
        <f>VLOOKUP(J183,AA$23:AE$88,5,FALSE)</f>
      </c>
      <c r="L183" s="122">
        <f>Planning!W51</f>
      </c>
      <c r="M183" s="121">
        <f>IF(Planning!AD51=0,0,IFERROR($AD51*AJ$22,0))</f>
      </c>
      <c r="N183" s="171">
        <f>IF(Planning!AD51=0,0,IFERROR($AD51*AJ$22*K183,0))</f>
      </c>
      <c r="O183" s="96">
        <f>IF(ISTEXT(Planning!W51),0,AJ51)</f>
      </c>
      <c r="P183" s="94">
        <f>Planning!AD51</f>
      </c>
      <c r="Q183" s="121">
        <f>Progress!V51</f>
      </c>
      <c r="R183" s="95">
        <f>IF(Q183=0,0,IF(ISNUMBER(Q183),IF(S183&gt;=$G$21,$F$21,"Q36"),Q183))</f>
      </c>
      <c r="S183" s="122">
        <f>Progress!W51</f>
      </c>
      <c r="T183" s="97"/>
      <c r="U183" s="96">
        <f>V183/$N$419</f>
      </c>
      <c r="V183" s="176">
        <f>IF(L183&lt;$E$20,0,IF(ISTEXT(L183),0,IF(AND(G183+1&gt;=$E$19+1,L183&gt;0),IF(ISNUMBER(Q183),Q183*$AD51*AJ$22*K183,$AD51*AJ$22*K183),0)))</f>
      </c>
      <c r="W183" s="95">
        <f>IF(AND(L183&gt;0,S183&gt;0),IF(ISNUMBER(Q183),Q183*$AD51*AJ$22*K183,$AD51*AJ$22*K183),0)</f>
      </c>
      <c r="X183" s="17"/>
      <c r="Y183" s="11"/>
      <c r="Z183" s="11"/>
      <c r="AA183" s="187">
        <f>AL95</f>
      </c>
      <c r="AB183" s="99">
        <v>243</v>
      </c>
      <c r="AC183" s="188">
        <v>3</v>
      </c>
      <c r="AD183" s="195"/>
      <c r="AE183" s="196"/>
      <c r="AF183" s="8"/>
      <c r="AG183" s="1"/>
      <c r="AH183" s="6"/>
      <c r="AI183" s="6"/>
      <c r="AJ183" s="6"/>
      <c r="AK183" s="6"/>
      <c r="AL183" s="6"/>
      <c r="AM183" s="6"/>
      <c r="AN183" s="6"/>
      <c r="AO183" s="1"/>
      <c r="AP183" s="9"/>
      <c r="AQ183" s="2"/>
      <c r="AR183" s="3"/>
      <c r="AS183" s="10"/>
      <c r="AT183" s="1"/>
      <c r="AU183" s="1"/>
      <c r="AV183" s="1"/>
      <c r="AW183" s="1"/>
      <c r="AX183" s="1"/>
      <c r="AY183" s="1"/>
      <c r="AZ183" s="1"/>
      <c r="BA183" s="1"/>
      <c r="BB183" s="1"/>
      <c r="BC183" s="1"/>
      <c r="BD183" s="1"/>
      <c r="BE183" s="1"/>
      <c r="BF183" s="1"/>
      <c r="BG183" s="1"/>
      <c r="BH183" s="1"/>
    </row>
    <row x14ac:dyDescent="0.25" r="184" customHeight="1" ht="14.5">
      <c r="A184" s="1"/>
      <c r="B184" s="1"/>
      <c r="C184" s="1"/>
      <c r="D184" s="1"/>
      <c r="E184" s="2"/>
      <c r="F184" s="2"/>
      <c r="G184" s="90">
        <f>(S184&amp;RIGHT(R184,1))*1</f>
      </c>
      <c r="H184" s="1"/>
      <c r="I184" s="111"/>
      <c r="J184" s="126">
        <f>Planning!Q52</f>
      </c>
      <c r="K184" s="93">
        <f>VLOOKUP(J184,AA$23:AE$88,5,FALSE)</f>
      </c>
      <c r="L184" s="122">
        <f>Planning!W52</f>
      </c>
      <c r="M184" s="121">
        <f>IF(Planning!AD52=0,0,IFERROR($AD52*AJ$22,0))</f>
      </c>
      <c r="N184" s="171">
        <f>IF(Planning!AD52=0,0,IFERROR($AD52*AJ$22*K184,0))</f>
      </c>
      <c r="O184" s="96">
        <f>IF(ISTEXT(Planning!W52),0,AJ52)</f>
      </c>
      <c r="P184" s="94">
        <f>Planning!AD52</f>
      </c>
      <c r="Q184" s="121">
        <f>Progress!V52</f>
      </c>
      <c r="R184" s="95">
        <f>IF(Q184=0,0,IF(ISNUMBER(Q184),IF(S184&gt;=$G$21,$F$21,"Q37"),Q184))</f>
      </c>
      <c r="S184" s="122">
        <f>Progress!W52</f>
      </c>
      <c r="T184" s="97"/>
      <c r="U184" s="96">
        <f>V184/$N$419</f>
      </c>
      <c r="V184" s="176">
        <f>IF(L184&lt;$E$20,0,IF(ISTEXT(L184),0,IF(AND(G184+1&gt;=$E$19+1,L184&gt;0),IF(ISNUMBER(Q184),Q184*$AD52*AJ$22*K184,$AD52*AJ$22*K184),0)))</f>
      </c>
      <c r="W184" s="95">
        <f>IF(AND(L184&gt;0,S184&gt;0),IF(ISNUMBER(Q184),Q184*$AD52*AJ$22*K184,$AD52*AJ$22*K184),0)</f>
      </c>
      <c r="X184" s="17"/>
      <c r="Y184" s="11"/>
      <c r="Z184" s="11"/>
      <c r="AA184" s="187">
        <f>AL96</f>
      </c>
      <c r="AB184" s="99">
        <v>264</v>
      </c>
      <c r="AC184" s="188">
        <v>3</v>
      </c>
      <c r="AD184" s="195"/>
      <c r="AE184" s="196"/>
      <c r="AF184" s="8"/>
      <c r="AG184" s="1"/>
      <c r="AH184" s="6"/>
      <c r="AI184" s="6"/>
      <c r="AJ184" s="6"/>
      <c r="AK184" s="6"/>
      <c r="AL184" s="6"/>
      <c r="AM184" s="6"/>
      <c r="AN184" s="6"/>
      <c r="AO184" s="1"/>
      <c r="AP184" s="9"/>
      <c r="AQ184" s="2"/>
      <c r="AR184" s="3"/>
      <c r="AS184" s="10"/>
      <c r="AT184" s="1"/>
      <c r="AU184" s="1"/>
      <c r="AV184" s="1"/>
      <c r="AW184" s="1"/>
      <c r="AX184" s="1"/>
      <c r="AY184" s="1"/>
      <c r="AZ184" s="1"/>
      <c r="BA184" s="1"/>
      <c r="BB184" s="1"/>
      <c r="BC184" s="1"/>
      <c r="BD184" s="1"/>
      <c r="BE184" s="1"/>
      <c r="BF184" s="1"/>
      <c r="BG184" s="1"/>
      <c r="BH184" s="1"/>
    </row>
    <row x14ac:dyDescent="0.25" r="185" customHeight="1" ht="14.5">
      <c r="A185" s="1"/>
      <c r="B185" s="1"/>
      <c r="C185" s="1"/>
      <c r="D185" s="1"/>
      <c r="E185" s="2"/>
      <c r="F185" s="2"/>
      <c r="G185" s="90">
        <f>(S185&amp;RIGHT(R185,1))*1</f>
      </c>
      <c r="H185" s="1"/>
      <c r="I185" s="111"/>
      <c r="J185" s="126">
        <f>Planning!Q53</f>
      </c>
      <c r="K185" s="93">
        <f>VLOOKUP(J185,AA$23:AE$88,5,FALSE)</f>
      </c>
      <c r="L185" s="122">
        <f>Planning!W53</f>
      </c>
      <c r="M185" s="121">
        <f>IF(Planning!AD53=0,0,IFERROR($AD53*AJ$22,0))</f>
      </c>
      <c r="N185" s="171">
        <f>IF(Planning!AD53=0,0,IFERROR($AD53*AJ$22*K185,0))</f>
      </c>
      <c r="O185" s="96">
        <f>IF(ISTEXT(Planning!W53),0,AJ53)</f>
      </c>
      <c r="P185" s="94">
        <f>Planning!AD53</f>
      </c>
      <c r="Q185" s="121">
        <f>Progress!V53</f>
      </c>
      <c r="R185" s="95">
        <f>IF(Q185=0,0,IF(ISNUMBER(Q185),IF(S185&gt;=$G$21,$F$21,"Q38"),Q185))</f>
      </c>
      <c r="S185" s="122">
        <f>Progress!W53</f>
      </c>
      <c r="T185" s="97"/>
      <c r="U185" s="96">
        <f>V185/$N$419</f>
      </c>
      <c r="V185" s="176">
        <f>IF(L185&lt;$E$20,0,IF(ISTEXT(L185),0,IF(AND(G185+1&gt;=$E$19+1,L185&gt;0),IF(ISNUMBER(Q185),Q185*$AD53*AJ$22*K185,$AD53*AJ$22*K185),0)))</f>
      </c>
      <c r="W185" s="95">
        <f>IF(AND(L185&gt;0,S185&gt;0),IF(ISNUMBER(Q185),Q185*$AD53*AJ$22*K185,$AD53*AJ$22*K185),0)</f>
      </c>
      <c r="X185" s="17"/>
      <c r="Y185" s="11"/>
      <c r="Z185" s="11"/>
      <c r="AA185" s="187">
        <f>AL97</f>
      </c>
      <c r="AB185" s="99">
        <v>181</v>
      </c>
      <c r="AC185" s="188">
        <v>3</v>
      </c>
      <c r="AD185" s="195"/>
      <c r="AE185" s="196"/>
      <c r="AF185" s="8"/>
      <c r="AG185" s="1"/>
      <c r="AH185" s="6"/>
      <c r="AI185" s="6"/>
      <c r="AJ185" s="6"/>
      <c r="AK185" s="6"/>
      <c r="AL185" s="6"/>
      <c r="AM185" s="6"/>
      <c r="AN185" s="6"/>
      <c r="AO185" s="1"/>
      <c r="AP185" s="9"/>
      <c r="AQ185" s="2"/>
      <c r="AR185" s="3"/>
      <c r="AS185" s="10"/>
      <c r="AT185" s="1"/>
      <c r="AU185" s="1"/>
      <c r="AV185" s="1"/>
      <c r="AW185" s="1"/>
      <c r="AX185" s="1"/>
      <c r="AY185" s="1"/>
      <c r="AZ185" s="1"/>
      <c r="BA185" s="1"/>
      <c r="BB185" s="1"/>
      <c r="BC185" s="1"/>
      <c r="BD185" s="1"/>
      <c r="BE185" s="1"/>
      <c r="BF185" s="1"/>
      <c r="BG185" s="1"/>
      <c r="BH185" s="1"/>
    </row>
    <row x14ac:dyDescent="0.25" r="186" customHeight="1" ht="15">
      <c r="A186" s="1"/>
      <c r="B186" s="1"/>
      <c r="C186" s="1"/>
      <c r="D186" s="1"/>
      <c r="E186" s="2"/>
      <c r="F186" s="2"/>
      <c r="G186" s="90">
        <f>(S186&amp;RIGHT(R186,1))*1</f>
      </c>
      <c r="H186" s="1"/>
      <c r="I186" s="111"/>
      <c r="J186" s="126">
        <f>Planning!Q54</f>
      </c>
      <c r="K186" s="93">
        <f>VLOOKUP(J186,AA$23:AE$88,5,FALSE)</f>
      </c>
      <c r="L186" s="122">
        <f>Planning!W54</f>
      </c>
      <c r="M186" s="121">
        <f>IF(Planning!AD54=0,0,IFERROR($AD54*AJ$22,0))</f>
      </c>
      <c r="N186" s="171">
        <f>IF(Planning!AD54=0,0,IFERROR($AD54*AJ$22*K186,0))</f>
      </c>
      <c r="O186" s="96">
        <f>IF(ISTEXT(Planning!W54),0,AJ54)</f>
      </c>
      <c r="P186" s="94">
        <f>Planning!AD54</f>
      </c>
      <c r="Q186" s="121">
        <f>Progress!V54</f>
      </c>
      <c r="R186" s="95">
        <f>IF(Q186=0,0,IF(ISNUMBER(Q186),IF(S186&gt;=$G$21,$F$21,"Q39"),Q186))</f>
      </c>
      <c r="S186" s="122">
        <f>Progress!W54</f>
      </c>
      <c r="T186" s="97"/>
      <c r="U186" s="96">
        <f>V186/$N$419</f>
      </c>
      <c r="V186" s="176">
        <f>IF(L186&lt;$E$20,0,IF(ISTEXT(L186),0,IF(AND(G186+1&gt;=$E$19+1,L186&gt;0),IF(ISNUMBER(Q186),Q186*$AD54*AJ$22*K186,$AD54*AJ$22*K186),0)))</f>
      </c>
      <c r="W186" s="95">
        <f>IF(AND(L186&gt;0,S186&gt;0),IF(ISNUMBER(Q186),Q186*$AD54*AJ$22*K186,$AD54*AJ$22*K186),0)</f>
      </c>
      <c r="X186" s="17"/>
      <c r="Y186" s="11"/>
      <c r="Z186" s="11"/>
      <c r="AA186" s="197">
        <f>AL98</f>
      </c>
      <c r="AB186" s="198">
        <v>251</v>
      </c>
      <c r="AC186" s="198">
        <v>3</v>
      </c>
      <c r="AD186" s="199"/>
      <c r="AE186" s="200"/>
      <c r="AF186" s="8"/>
      <c r="AG186" s="1"/>
      <c r="AH186" s="6"/>
      <c r="AI186" s="6"/>
      <c r="AJ186" s="6"/>
      <c r="AK186" s="6"/>
      <c r="AL186" s="6"/>
      <c r="AM186" s="6"/>
      <c r="AN186" s="6"/>
      <c r="AO186" s="1"/>
      <c r="AP186" s="9"/>
      <c r="AQ186" s="2"/>
      <c r="AR186" s="3"/>
      <c r="AS186" s="10"/>
      <c r="AT186" s="1"/>
      <c r="AU186" s="1"/>
      <c r="AV186" s="1"/>
      <c r="AW186" s="1"/>
      <c r="AX186" s="1"/>
      <c r="AY186" s="1"/>
      <c r="AZ186" s="1"/>
      <c r="BA186" s="1"/>
      <c r="BB186" s="1"/>
      <c r="BC186" s="1"/>
      <c r="BD186" s="1"/>
      <c r="BE186" s="1"/>
      <c r="BF186" s="1"/>
      <c r="BG186" s="1"/>
      <c r="BH186" s="1"/>
    </row>
    <row x14ac:dyDescent="0.25" r="187" customHeight="1" ht="12">
      <c r="A187" s="1"/>
      <c r="B187" s="1"/>
      <c r="C187" s="1"/>
      <c r="D187" s="1"/>
      <c r="E187" s="2"/>
      <c r="F187" s="2"/>
      <c r="G187" s="90">
        <f>(S187&amp;RIGHT(R187,1))*1</f>
      </c>
      <c r="H187" s="1"/>
      <c r="I187" s="111"/>
      <c r="J187" s="126">
        <f>Planning!Q55</f>
      </c>
      <c r="K187" s="93">
        <f>VLOOKUP(J187,AA$23:AE$88,5,FALSE)</f>
      </c>
      <c r="L187" s="122">
        <f>Planning!W55</f>
      </c>
      <c r="M187" s="121">
        <f>IF(Planning!AD55=0,0,IFERROR($AD55*AJ$22,0))</f>
      </c>
      <c r="N187" s="171">
        <f>IF(Planning!AD55=0,0,IFERROR($AD55*AJ$22*K187,0))</f>
      </c>
      <c r="O187" s="96">
        <f>IF(ISTEXT(Planning!W55),0,AJ55)</f>
      </c>
      <c r="P187" s="94">
        <f>Planning!AD55</f>
      </c>
      <c r="Q187" s="121">
        <f>Progress!V55</f>
      </c>
      <c r="R187" s="95">
        <f>IF(Q187=0,0,IF(ISNUMBER(Q187),IF(S187&gt;=$G$21,$F$21,"Q40"),Q187))</f>
      </c>
      <c r="S187" s="122">
        <f>Progress!W55</f>
      </c>
      <c r="T187" s="97"/>
      <c r="U187" s="96">
        <f>V187/$N$419</f>
      </c>
      <c r="V187" s="176">
        <f>IF(L187&lt;$E$20,0,IF(ISTEXT(L187),0,IF(AND(G187+1&gt;=$E$19+1,L187&gt;0),IF(ISNUMBER(Q187),Q187*$AD55*AJ$22*K187,$AD55*AJ$22*K187),0)))</f>
      </c>
      <c r="W187" s="95">
        <f>IF(AND(L187&gt;0,S187&gt;0),IF(ISNUMBER(Q187),Q187*$AD55*AJ$22*K187,$AD55*AJ$22*K187),0)</f>
      </c>
      <c r="X187" s="17"/>
      <c r="Y187" s="11"/>
      <c r="Z187" s="11"/>
      <c r="AA187" s="187" t="s">
        <v>51</v>
      </c>
      <c r="AB187" s="188">
        <v>267</v>
      </c>
      <c r="AC187" s="188">
        <v>3</v>
      </c>
      <c r="AD187" s="193"/>
      <c r="AE187" s="194" t="s">
        <v>41</v>
      </c>
      <c r="AF187" s="8"/>
      <c r="AG187" s="1"/>
      <c r="AH187" s="6"/>
      <c r="AI187" s="6"/>
      <c r="AJ187" s="6"/>
      <c r="AK187" s="6"/>
      <c r="AL187" s="6"/>
      <c r="AM187" s="6"/>
      <c r="AN187" s="6"/>
      <c r="AO187" s="1"/>
      <c r="AP187" s="9"/>
      <c r="AQ187" s="2"/>
      <c r="AR187" s="3"/>
      <c r="AS187" s="10"/>
      <c r="AT187" s="1"/>
      <c r="AU187" s="1"/>
      <c r="AV187" s="1"/>
      <c r="AW187" s="1"/>
      <c r="AX187" s="1"/>
      <c r="AY187" s="1"/>
      <c r="AZ187" s="1"/>
      <c r="BA187" s="1"/>
      <c r="BB187" s="1"/>
      <c r="BC187" s="1"/>
      <c r="BD187" s="1"/>
      <c r="BE187" s="1"/>
      <c r="BF187" s="1"/>
      <c r="BG187" s="1"/>
      <c r="BH187" s="1"/>
    </row>
    <row x14ac:dyDescent="0.25" r="188" customHeight="1" ht="14.5">
      <c r="A188" s="1"/>
      <c r="B188" s="1"/>
      <c r="C188" s="1"/>
      <c r="D188" s="1"/>
      <c r="E188" s="2"/>
      <c r="F188" s="2"/>
      <c r="G188" s="90">
        <f>(S188&amp;RIGHT(R188,1))*1</f>
      </c>
      <c r="H188" s="1"/>
      <c r="I188" s="111"/>
      <c r="J188" s="126">
        <f>Planning!Q56</f>
      </c>
      <c r="K188" s="93">
        <f>VLOOKUP(J188,AA$23:AE$88,5,FALSE)</f>
      </c>
      <c r="L188" s="122">
        <f>Planning!W56</f>
      </c>
      <c r="M188" s="121">
        <f>IF(Planning!AD56=0,0,IFERROR($AD56*AJ$22,0))</f>
      </c>
      <c r="N188" s="171">
        <f>IF(Planning!AD56=0,0,IFERROR($AD56*AJ$22*K188,0))</f>
      </c>
      <c r="O188" s="96">
        <f>IF(ISTEXT(Planning!W56),0,AJ56)</f>
      </c>
      <c r="P188" s="94">
        <f>Planning!AD56</f>
      </c>
      <c r="Q188" s="121">
        <f>Progress!V56</f>
      </c>
      <c r="R188" s="95">
        <f>IF(Q188=0,0,IF(ISNUMBER(Q188),IF(S188&gt;=$G$21,$F$21,"Q41"),Q188))</f>
      </c>
      <c r="S188" s="122">
        <f>Progress!W56</f>
      </c>
      <c r="T188" s="97"/>
      <c r="U188" s="96">
        <f>V188/$N$419</f>
      </c>
      <c r="V188" s="176">
        <f>IF(L188&lt;$E$20,0,IF(ISTEXT(L188),0,IF(AND(G188+1&gt;=$E$19+1,L188&gt;0),IF(ISNUMBER(Q188),Q188*$AD56*AJ$22*K188,$AD56*AJ$22*K188),0)))</f>
      </c>
      <c r="W188" s="95">
        <f>IF(AND(L188&gt;0,S188&gt;0),IF(ISNUMBER(Q188),Q188*$AD56*AJ$22*K188,$AD56*AJ$22*K188),0)</f>
      </c>
      <c r="X188" s="17"/>
      <c r="Y188" s="11"/>
      <c r="Z188" s="11"/>
      <c r="AA188" s="187" t="s">
        <v>57</v>
      </c>
      <c r="AB188" s="188">
        <v>247</v>
      </c>
      <c r="AC188" s="188">
        <v>3</v>
      </c>
      <c r="AD188" s="195"/>
      <c r="AE188" s="196"/>
      <c r="AF188" s="8"/>
      <c r="AG188" s="1"/>
      <c r="AH188" s="6"/>
      <c r="AI188" s="6"/>
      <c r="AJ188" s="6"/>
      <c r="AK188" s="6"/>
      <c r="AL188" s="6"/>
      <c r="AM188" s="6"/>
      <c r="AN188" s="6"/>
      <c r="AO188" s="1"/>
      <c r="AP188" s="9"/>
      <c r="AQ188" s="2"/>
      <c r="AR188" s="3"/>
      <c r="AS188" s="10"/>
      <c r="AT188" s="1"/>
      <c r="AU188" s="1"/>
      <c r="AV188" s="1"/>
      <c r="AW188" s="1"/>
      <c r="AX188" s="1"/>
      <c r="AY188" s="1"/>
      <c r="AZ188" s="1"/>
      <c r="BA188" s="1"/>
      <c r="BB188" s="1"/>
      <c r="BC188" s="1"/>
      <c r="BD188" s="1"/>
      <c r="BE188" s="1"/>
      <c r="BF188" s="1"/>
      <c r="BG188" s="1"/>
      <c r="BH188" s="1"/>
    </row>
    <row x14ac:dyDescent="0.25" r="189" customHeight="1" ht="14.5">
      <c r="A189" s="1"/>
      <c r="B189" s="1"/>
      <c r="C189" s="1"/>
      <c r="D189" s="1"/>
      <c r="E189" s="2"/>
      <c r="F189" s="2"/>
      <c r="G189" s="90">
        <f>(S189&amp;RIGHT(R189,1))*1</f>
      </c>
      <c r="H189" s="1"/>
      <c r="I189" s="111"/>
      <c r="J189" s="126">
        <f>Planning!Q57</f>
      </c>
      <c r="K189" s="93">
        <f>VLOOKUP(J189,AA$23:AE$88,5,FALSE)</f>
      </c>
      <c r="L189" s="122">
        <f>Planning!W57</f>
      </c>
      <c r="M189" s="121">
        <f>IF(Planning!AD57=0,0,IFERROR($AD57*AJ$22,0))</f>
      </c>
      <c r="N189" s="171">
        <f>IF(Planning!AD57=0,0,IFERROR($AD57*AJ$22*K189,0))</f>
      </c>
      <c r="O189" s="96">
        <f>IF(ISTEXT(Planning!W57),0,AJ57)</f>
      </c>
      <c r="P189" s="94">
        <f>Planning!AD57</f>
      </c>
      <c r="Q189" s="121">
        <f>Progress!V57</f>
      </c>
      <c r="R189" s="95">
        <f>IF(Q189=0,0,IF(ISNUMBER(Q189),IF(S189&gt;=$G$21,$F$21,"Q42"),Q189))</f>
      </c>
      <c r="S189" s="122">
        <f>Progress!W57</f>
      </c>
      <c r="T189" s="97"/>
      <c r="U189" s="96">
        <f>V189/$N$419</f>
      </c>
      <c r="V189" s="176">
        <f>IF(L189&lt;$E$20,0,IF(ISTEXT(L189),0,IF(AND(G189+1&gt;=$E$19+1,L189&gt;0),IF(ISNUMBER(Q189),Q189*$AD57*AJ$22*K189,$AD57*AJ$22*K189),0)))</f>
      </c>
      <c r="W189" s="95">
        <f>IF(AND(L189&gt;0,S189&gt;0),IF(ISNUMBER(Q189),Q189*$AD57*AJ$22*K189,$AD57*AJ$22*K189),0)</f>
      </c>
      <c r="X189" s="17"/>
      <c r="Y189" s="11"/>
      <c r="Z189" s="11"/>
      <c r="AA189" s="187" t="s">
        <v>63</v>
      </c>
      <c r="AB189" s="188">
        <v>360</v>
      </c>
      <c r="AC189" s="188">
        <v>3</v>
      </c>
      <c r="AD189" s="195"/>
      <c r="AE189" s="196"/>
      <c r="AF189" s="8"/>
      <c r="AG189" s="1"/>
      <c r="AH189" s="6"/>
      <c r="AI189" s="6"/>
      <c r="AJ189" s="6"/>
      <c r="AK189" s="6"/>
      <c r="AL189" s="6"/>
      <c r="AM189" s="6"/>
      <c r="AN189" s="6"/>
      <c r="AO189" s="1"/>
      <c r="AP189" s="9"/>
      <c r="AQ189" s="2"/>
      <c r="AR189" s="3"/>
      <c r="AS189" s="10"/>
      <c r="AT189" s="1"/>
      <c r="AU189" s="1"/>
      <c r="AV189" s="1"/>
      <c r="AW189" s="1"/>
      <c r="AX189" s="1"/>
      <c r="AY189" s="1"/>
      <c r="AZ189" s="1"/>
      <c r="BA189" s="1"/>
      <c r="BB189" s="1"/>
      <c r="BC189" s="1"/>
      <c r="BD189" s="1"/>
      <c r="BE189" s="1"/>
      <c r="BF189" s="1"/>
      <c r="BG189" s="1"/>
      <c r="BH189" s="1"/>
    </row>
    <row x14ac:dyDescent="0.25" r="190" customHeight="1" ht="14.5">
      <c r="A190" s="1"/>
      <c r="B190" s="1"/>
      <c r="C190" s="1"/>
      <c r="D190" s="1"/>
      <c r="E190" s="2"/>
      <c r="F190" s="2"/>
      <c r="G190" s="90">
        <f>(S190&amp;RIGHT(R190,1))*1</f>
      </c>
      <c r="H190" s="1"/>
      <c r="I190" s="111"/>
      <c r="J190" s="126">
        <f>Planning!Q58</f>
      </c>
      <c r="K190" s="93">
        <f>VLOOKUP(J190,AA$23:AE$88,5,FALSE)</f>
      </c>
      <c r="L190" s="122">
        <f>Planning!W58</f>
      </c>
      <c r="M190" s="121">
        <f>IF(Planning!AD58=0,0,IFERROR($AD58*AJ$22,0))</f>
      </c>
      <c r="N190" s="171">
        <f>IF(Planning!AD58=0,0,IFERROR($AD58*AJ$22*K190,0))</f>
      </c>
      <c r="O190" s="96">
        <f>IF(ISTEXT(Planning!W58),0,AJ58)</f>
      </c>
      <c r="P190" s="94">
        <f>Planning!AD58</f>
      </c>
      <c r="Q190" s="121">
        <f>Progress!V58</f>
      </c>
      <c r="R190" s="95">
        <f>IF(Q190=0,0,IF(ISNUMBER(Q190),IF(S190&gt;=$G$21,$F$21,"Q43"),Q190))</f>
      </c>
      <c r="S190" s="122">
        <f>Progress!W58</f>
      </c>
      <c r="T190" s="97"/>
      <c r="U190" s="96">
        <f>V190/$N$419</f>
      </c>
      <c r="V190" s="176">
        <f>IF(L190&lt;$E$20,0,IF(ISTEXT(L190),0,IF(AND(G190+1&gt;=$E$19+1,L190&gt;0),IF(ISNUMBER(Q190),Q190*$AD58*AJ$22*K190,$AD58*AJ$22*K190),0)))</f>
      </c>
      <c r="W190" s="95">
        <f>IF(AND(L190&gt;0,S190&gt;0),IF(ISNUMBER(Q190),Q190*$AD58*AJ$22*K190,$AD58*AJ$22*K190),0)</f>
      </c>
      <c r="X190" s="17"/>
      <c r="Y190" s="11"/>
      <c r="Z190" s="11"/>
      <c r="AA190" s="187" t="s">
        <v>68</v>
      </c>
      <c r="AB190" s="99">
        <v>322</v>
      </c>
      <c r="AC190" s="188">
        <v>3</v>
      </c>
      <c r="AD190" s="195"/>
      <c r="AE190" s="196"/>
      <c r="AF190" s="8"/>
      <c r="AG190" s="1"/>
      <c r="AH190" s="6"/>
      <c r="AI190" s="6"/>
      <c r="AJ190" s="6"/>
      <c r="AK190" s="6"/>
      <c r="AL190" s="6"/>
      <c r="AM190" s="6"/>
      <c r="AN190" s="6"/>
      <c r="AO190" s="1"/>
      <c r="AP190" s="9"/>
      <c r="AQ190" s="2"/>
      <c r="AR190" s="3"/>
      <c r="AS190" s="10"/>
      <c r="AT190" s="1"/>
      <c r="AU190" s="1"/>
      <c r="AV190" s="1"/>
      <c r="AW190" s="1"/>
      <c r="AX190" s="1"/>
      <c r="AY190" s="1"/>
      <c r="AZ190" s="1"/>
      <c r="BA190" s="1"/>
      <c r="BB190" s="1"/>
      <c r="BC190" s="1"/>
      <c r="BD190" s="1"/>
      <c r="BE190" s="1"/>
      <c r="BF190" s="1"/>
      <c r="BG190" s="1"/>
      <c r="BH190" s="1"/>
    </row>
    <row x14ac:dyDescent="0.25" r="191" customHeight="1" ht="15">
      <c r="A191" s="1"/>
      <c r="B191" s="1"/>
      <c r="C191" s="1"/>
      <c r="D191" s="1"/>
      <c r="E191" s="2"/>
      <c r="F191" s="2"/>
      <c r="G191" s="90">
        <f>(S191&amp;RIGHT(R191,1))*1</f>
      </c>
      <c r="H191" s="1"/>
      <c r="I191" s="111"/>
      <c r="J191" s="126">
        <f>Planning!Q59</f>
      </c>
      <c r="K191" s="93">
        <f>VLOOKUP(J191,AA$23:AE$88,5,FALSE)</f>
      </c>
      <c r="L191" s="122">
        <f>Planning!W59</f>
      </c>
      <c r="M191" s="121">
        <f>IF(Planning!AD59=0,0,IFERROR($AD59*AJ$22,0))</f>
      </c>
      <c r="N191" s="171">
        <f>IF(Planning!AD59=0,0,IFERROR($AD59*AJ$22*K191,0))</f>
      </c>
      <c r="O191" s="96">
        <f>IF(ISTEXT(Planning!W59),0,AJ59)</f>
      </c>
      <c r="P191" s="94">
        <f>Planning!AD59</f>
      </c>
      <c r="Q191" s="121">
        <f>Progress!V59</f>
      </c>
      <c r="R191" s="95">
        <f>IF(Q191=0,0,IF(ISNUMBER(Q191),IF(S191&gt;=$G$21,$F$21,"Q44"),Q191))</f>
      </c>
      <c r="S191" s="122">
        <f>Progress!W59</f>
      </c>
      <c r="T191" s="97"/>
      <c r="U191" s="96">
        <f>V191/$N$419</f>
      </c>
      <c r="V191" s="176">
        <f>IF(L191&lt;$E$20,0,IF(ISTEXT(L191),0,IF(AND(G191+1&gt;=$E$19+1,L191&gt;0),IF(ISNUMBER(Q191),Q191*$AD59*AJ$22*K191,$AD59*AJ$22*K191),0)))</f>
      </c>
      <c r="W191" s="95">
        <f>IF(AND(L191&gt;0,S191&gt;0),IF(ISNUMBER(Q191),Q191*$AD59*AJ$22*K191,$AD59*AJ$22*K191),0)</f>
      </c>
      <c r="X191" s="17"/>
      <c r="Y191" s="11"/>
      <c r="Z191" s="11"/>
      <c r="AA191" s="197" t="s">
        <v>74</v>
      </c>
      <c r="AB191" s="198">
        <v>337</v>
      </c>
      <c r="AC191" s="198">
        <v>3</v>
      </c>
      <c r="AD191" s="199"/>
      <c r="AE191" s="200"/>
      <c r="AF191" s="8"/>
      <c r="AG191" s="1"/>
      <c r="AH191" s="6"/>
      <c r="AI191" s="6"/>
      <c r="AJ191" s="6"/>
      <c r="AK191" s="6"/>
      <c r="AL191" s="6"/>
      <c r="AM191" s="6"/>
      <c r="AN191" s="6"/>
      <c r="AO191" s="1"/>
      <c r="AP191" s="9"/>
      <c r="AQ191" s="2"/>
      <c r="AR191" s="3"/>
      <c r="AS191" s="10"/>
      <c r="AT191" s="1"/>
      <c r="AU191" s="1"/>
      <c r="AV191" s="1"/>
      <c r="AW191" s="1"/>
      <c r="AX191" s="1"/>
      <c r="AY191" s="1"/>
      <c r="AZ191" s="1"/>
      <c r="BA191" s="1"/>
      <c r="BB191" s="1"/>
      <c r="BC191" s="1"/>
      <c r="BD191" s="1"/>
      <c r="BE191" s="1"/>
      <c r="BF191" s="1"/>
      <c r="BG191" s="1"/>
      <c r="BH191" s="1"/>
    </row>
    <row x14ac:dyDescent="0.25" r="192" customHeight="1" ht="14.5">
      <c r="A192" s="1"/>
      <c r="B192" s="1"/>
      <c r="C192" s="1"/>
      <c r="D192" s="1"/>
      <c r="E192" s="2"/>
      <c r="F192" s="2"/>
      <c r="G192" s="90">
        <f>(S192&amp;RIGHT(R192,1))*1</f>
      </c>
      <c r="H192" s="1"/>
      <c r="I192" s="111"/>
      <c r="J192" s="126">
        <f>Planning!Q60</f>
      </c>
      <c r="K192" s="93">
        <f>VLOOKUP(J192,AA$23:AE$88,5,FALSE)</f>
      </c>
      <c r="L192" s="122">
        <f>Planning!W60</f>
      </c>
      <c r="M192" s="121">
        <f>IF(Planning!AD60=0,0,IFERROR($AD60*AJ$22,0))</f>
      </c>
      <c r="N192" s="171">
        <f>IF(Planning!AD60=0,0,IFERROR($AD60*AJ$22*K192,0))</f>
      </c>
      <c r="O192" s="96">
        <f>IF(ISTEXT(Planning!W60),0,AJ60)</f>
      </c>
      <c r="P192" s="94">
        <f>Planning!AD60</f>
      </c>
      <c r="Q192" s="121">
        <f>Progress!V60</f>
      </c>
      <c r="R192" s="95">
        <f>IF(Q192=0,0,IF(ISNUMBER(Q192),IF(S192&gt;=$G$21,$F$21,"Q45"),Q192))</f>
      </c>
      <c r="S192" s="122">
        <f>Progress!W60</f>
      </c>
      <c r="T192" s="97"/>
      <c r="U192" s="96">
        <f>V192/$N$419</f>
      </c>
      <c r="V192" s="176">
        <f>IF(L192&lt;$E$20,0,IF(ISTEXT(L192),0,IF(AND(G192+1&gt;=$E$19+1,L192&gt;0),IF(ISNUMBER(Q192),Q192*$AD60*AJ$22*K192,$AD60*AJ$22*K192),0)))</f>
      </c>
      <c r="W192" s="95">
        <f>IF(AND(L192&gt;0,S192&gt;0),IF(ISNUMBER(Q192),Q192*$AD60*AJ$22*K192,$AD60*AJ$22*K192),0)</f>
      </c>
      <c r="X192" s="17"/>
      <c r="Y192" s="11"/>
      <c r="Z192" s="11"/>
      <c r="AA192" s="187" t="s">
        <v>55</v>
      </c>
      <c r="AB192" s="99">
        <v>543</v>
      </c>
      <c r="AC192" s="188">
        <v>3</v>
      </c>
      <c r="AD192" s="195"/>
      <c r="AE192" s="194" t="s">
        <v>185</v>
      </c>
      <c r="AF192" s="8"/>
      <c r="AG192" s="1"/>
      <c r="AH192" s="6"/>
      <c r="AI192" s="6"/>
      <c r="AJ192" s="6"/>
      <c r="AK192" s="6"/>
      <c r="AL192" s="6"/>
      <c r="AM192" s="6"/>
      <c r="AN192" s="6"/>
      <c r="AO192" s="1"/>
      <c r="AP192" s="9"/>
      <c r="AQ192" s="2"/>
      <c r="AR192" s="3"/>
      <c r="AS192" s="10"/>
      <c r="AT192" s="1"/>
      <c r="AU192" s="1"/>
      <c r="AV192" s="1"/>
      <c r="AW192" s="1"/>
      <c r="AX192" s="1"/>
      <c r="AY192" s="1"/>
      <c r="AZ192" s="1"/>
      <c r="BA192" s="1"/>
      <c r="BB192" s="1"/>
      <c r="BC192" s="1"/>
      <c r="BD192" s="1"/>
      <c r="BE192" s="1"/>
      <c r="BF192" s="1"/>
      <c r="BG192" s="1"/>
      <c r="BH192" s="1"/>
    </row>
    <row x14ac:dyDescent="0.25" r="193" customHeight="1" ht="14.5">
      <c r="A193" s="1"/>
      <c r="B193" s="1"/>
      <c r="C193" s="1"/>
      <c r="D193" s="1"/>
      <c r="E193" s="2"/>
      <c r="F193" s="2"/>
      <c r="G193" s="90">
        <f>(S193&amp;RIGHT(R193,1))*1</f>
      </c>
      <c r="H193" s="1"/>
      <c r="I193" s="111"/>
      <c r="J193" s="126">
        <f>Planning!Q61</f>
      </c>
      <c r="K193" s="93">
        <f>VLOOKUP(J193,AA$23:AE$88,5,FALSE)</f>
      </c>
      <c r="L193" s="122">
        <f>Planning!W61</f>
      </c>
      <c r="M193" s="121">
        <f>IF(Planning!AD61=0,0,IFERROR($AD61*AJ$22,0))</f>
      </c>
      <c r="N193" s="171">
        <f>IF(Planning!AD61=0,0,IFERROR($AD61*AJ$22*K193,0))</f>
      </c>
      <c r="O193" s="96">
        <f>IF(ISTEXT(Planning!W61),0,AJ61)</f>
      </c>
      <c r="P193" s="94">
        <f>Planning!AD61</f>
      </c>
      <c r="Q193" s="121">
        <f>Progress!V61</f>
      </c>
      <c r="R193" s="95">
        <f>IF(Q193=0,0,IF(ISNUMBER(Q193),IF(S193&gt;=$G$21,$F$21,"Q46"),Q193))</f>
      </c>
      <c r="S193" s="122">
        <f>Progress!W61</f>
      </c>
      <c r="T193" s="97"/>
      <c r="U193" s="96">
        <f>V193/$N$419</f>
      </c>
      <c r="V193" s="176">
        <f>IF(L193&lt;$E$20,0,IF(ISTEXT(L193),0,IF(AND(G193+1&gt;=$E$19+1,L193&gt;0),IF(ISNUMBER(Q193),Q193*$AD61*AJ$22*K193,$AD61*AJ$22*K193),0)))</f>
      </c>
      <c r="W193" s="95">
        <f>IF(AND(L193&gt;0,S193&gt;0),IF(ISNUMBER(Q193),Q193*$AD61*AJ$22*K193,$AD61*AJ$22*K193),0)</f>
      </c>
      <c r="X193" s="17"/>
      <c r="Y193" s="11"/>
      <c r="Z193" s="11"/>
      <c r="AA193" s="187" t="s">
        <v>61</v>
      </c>
      <c r="AB193" s="99">
        <v>320</v>
      </c>
      <c r="AC193" s="188">
        <v>3</v>
      </c>
      <c r="AD193" s="195"/>
      <c r="AE193" s="196"/>
      <c r="AF193" s="8"/>
      <c r="AG193" s="1"/>
      <c r="AH193" s="6"/>
      <c r="AI193" s="6"/>
      <c r="AJ193" s="6"/>
      <c r="AK193" s="6"/>
      <c r="AL193" s="6"/>
      <c r="AM193" s="6"/>
      <c r="AN193" s="6"/>
      <c r="AO193" s="1"/>
      <c r="AP193" s="9"/>
      <c r="AQ193" s="2"/>
      <c r="AR193" s="3"/>
      <c r="AS193" s="10"/>
      <c r="AT193" s="1"/>
      <c r="AU193" s="1"/>
      <c r="AV193" s="1"/>
      <c r="AW193" s="1"/>
      <c r="AX193" s="1"/>
      <c r="AY193" s="1"/>
      <c r="AZ193" s="1"/>
      <c r="BA193" s="1"/>
      <c r="BB193" s="1"/>
      <c r="BC193" s="1"/>
      <c r="BD193" s="1"/>
      <c r="BE193" s="1"/>
      <c r="BF193" s="1"/>
      <c r="BG193" s="1"/>
      <c r="BH193" s="1"/>
    </row>
    <row x14ac:dyDescent="0.25" r="194" customHeight="1" ht="14.5">
      <c r="A194" s="1"/>
      <c r="B194" s="1"/>
      <c r="C194" s="1"/>
      <c r="D194" s="1"/>
      <c r="E194" s="2"/>
      <c r="F194" s="2"/>
      <c r="G194" s="90">
        <f>(S194&amp;RIGHT(R194,1))*1</f>
      </c>
      <c r="H194" s="1"/>
      <c r="I194" s="111"/>
      <c r="J194" s="126">
        <f>Planning!Q62</f>
      </c>
      <c r="K194" s="93">
        <f>VLOOKUP(J194,AA$23:AE$88,5,FALSE)</f>
      </c>
      <c r="L194" s="122">
        <f>Planning!W62</f>
      </c>
      <c r="M194" s="121">
        <f>IF(Planning!AD62=0,0,IFERROR($AD62*AJ$22,0))</f>
      </c>
      <c r="N194" s="171">
        <f>IF(Planning!AD62=0,0,IFERROR($AD62*AJ$22*K194,0))</f>
      </c>
      <c r="O194" s="96">
        <f>IF(ISTEXT(Planning!W62),0,AJ62)</f>
      </c>
      <c r="P194" s="94">
        <f>Planning!AD62</f>
      </c>
      <c r="Q194" s="121">
        <f>Progress!V62</f>
      </c>
      <c r="R194" s="95">
        <f>IF(Q194=0,0,IF(ISNUMBER(Q194),IF(S194&gt;=$G$21,$F$21,"Q47"),Q194))</f>
      </c>
      <c r="S194" s="122">
        <f>Progress!W62</f>
      </c>
      <c r="T194" s="97"/>
      <c r="U194" s="96">
        <f>V194/$N$419</f>
      </c>
      <c r="V194" s="176">
        <f>IF(L194&lt;$E$20,0,IF(ISTEXT(L194),0,IF(AND(G194+1&gt;=$E$19+1,L194&gt;0),IF(ISNUMBER(Q194),Q194*$AD62*AJ$22*K194,$AD62*AJ$22*K194),0)))</f>
      </c>
      <c r="W194" s="95">
        <f>IF(AND(L194&gt;0,S194&gt;0),IF(ISNUMBER(Q194),Q194*$AD62*AJ$22*K194,$AD62*AJ$22*K194),0)</f>
      </c>
      <c r="X194" s="17"/>
      <c r="Y194" s="11"/>
      <c r="Z194" s="11"/>
      <c r="AA194" s="187" t="s">
        <v>66</v>
      </c>
      <c r="AB194" s="99">
        <v>7</v>
      </c>
      <c r="AC194" s="188">
        <v>4</v>
      </c>
      <c r="AD194" s="195"/>
      <c r="AE194" s="196"/>
      <c r="AF194" s="8"/>
      <c r="AG194" s="1"/>
      <c r="AH194" s="6"/>
      <c r="AI194" s="6"/>
      <c r="AJ194" s="6"/>
      <c r="AK194" s="6"/>
      <c r="AL194" s="6"/>
      <c r="AM194" s="6"/>
      <c r="AN194" s="6"/>
      <c r="AO194" s="1"/>
      <c r="AP194" s="9"/>
      <c r="AQ194" s="2"/>
      <c r="AR194" s="3"/>
      <c r="AS194" s="10"/>
      <c r="AT194" s="1"/>
      <c r="AU194" s="1"/>
      <c r="AV194" s="1"/>
      <c r="AW194" s="1"/>
      <c r="AX194" s="1"/>
      <c r="AY194" s="1"/>
      <c r="AZ194" s="1"/>
      <c r="BA194" s="1"/>
      <c r="BB194" s="1"/>
      <c r="BC194" s="1"/>
      <c r="BD194" s="1"/>
      <c r="BE194" s="1"/>
      <c r="BF194" s="1"/>
      <c r="BG194" s="1"/>
      <c r="BH194" s="1"/>
    </row>
    <row x14ac:dyDescent="0.25" r="195" customHeight="1" ht="14.5">
      <c r="A195" s="1"/>
      <c r="B195" s="1"/>
      <c r="C195" s="1"/>
      <c r="D195" s="1"/>
      <c r="E195" s="2"/>
      <c r="F195" s="2"/>
      <c r="G195" s="90">
        <f>(S195&amp;RIGHT(R195,1))*1</f>
      </c>
      <c r="H195" s="1"/>
      <c r="I195" s="111"/>
      <c r="J195" s="126">
        <f>Planning!Q63</f>
      </c>
      <c r="K195" s="93">
        <f>VLOOKUP(J195,AA$23:AE$88,5,FALSE)</f>
      </c>
      <c r="L195" s="122">
        <f>Planning!W63</f>
      </c>
      <c r="M195" s="121">
        <f>IF(Planning!AD63=0,0,IFERROR($AD63*AJ$22,0))</f>
      </c>
      <c r="N195" s="171">
        <f>IF(Planning!AD63=0,0,IFERROR($AD63*AJ$22*K195,0))</f>
      </c>
      <c r="O195" s="96">
        <f>IF(ISTEXT(Planning!W63),0,AJ63)</f>
      </c>
      <c r="P195" s="94">
        <f>Planning!AD63</f>
      </c>
      <c r="Q195" s="121">
        <f>Progress!V63</f>
      </c>
      <c r="R195" s="95">
        <f>IF(Q195=0,0,IF(ISNUMBER(Q195),IF(S195&gt;=$G$21,$F$21,"Q48"),Q195))</f>
      </c>
      <c r="S195" s="122">
        <f>Progress!W63</f>
      </c>
      <c r="T195" s="97"/>
      <c r="U195" s="96">
        <f>V195/$N$419</f>
      </c>
      <c r="V195" s="176">
        <f>IF(L195&lt;$E$20,0,IF(ISTEXT(L195),0,IF(AND(G195+1&gt;=$E$19+1,L195&gt;0),IF(ISNUMBER(Q195),Q195*$AD63*AJ$22*K195,$AD63*AJ$22*K195),0)))</f>
      </c>
      <c r="W195" s="95">
        <f>IF(AND(L195&gt;0,S195&gt;0),IF(ISNUMBER(Q195),Q195*$AD63*AJ$22*K195,$AD63*AJ$22*K195),0)</f>
      </c>
      <c r="X195" s="17"/>
      <c r="Y195" s="11"/>
      <c r="Z195" s="11"/>
      <c r="AA195" s="187" t="s">
        <v>72</v>
      </c>
      <c r="AB195" s="99">
        <v>62</v>
      </c>
      <c r="AC195" s="188">
        <v>3</v>
      </c>
      <c r="AD195" s="195"/>
      <c r="AE195" s="196"/>
      <c r="AF195" s="8"/>
      <c r="AG195" s="1"/>
      <c r="AH195" s="6"/>
      <c r="AI195" s="6"/>
      <c r="AJ195" s="6"/>
      <c r="AK195" s="6"/>
      <c r="AL195" s="6"/>
      <c r="AM195" s="6"/>
      <c r="AN195" s="6"/>
      <c r="AO195" s="1"/>
      <c r="AP195" s="9"/>
      <c r="AQ195" s="2"/>
      <c r="AR195" s="3"/>
      <c r="AS195" s="10"/>
      <c r="AT195" s="1"/>
      <c r="AU195" s="1"/>
      <c r="AV195" s="1"/>
      <c r="AW195" s="1"/>
      <c r="AX195" s="1"/>
      <c r="AY195" s="1"/>
      <c r="AZ195" s="1"/>
      <c r="BA195" s="1"/>
      <c r="BB195" s="1"/>
      <c r="BC195" s="1"/>
      <c r="BD195" s="1"/>
      <c r="BE195" s="1"/>
      <c r="BF195" s="1"/>
      <c r="BG195" s="1"/>
      <c r="BH195" s="1"/>
    </row>
    <row x14ac:dyDescent="0.25" r="196" customHeight="1" ht="14.5">
      <c r="A196" s="1"/>
      <c r="B196" s="1"/>
      <c r="C196" s="1"/>
      <c r="D196" s="1"/>
      <c r="E196" s="2"/>
      <c r="F196" s="2"/>
      <c r="G196" s="90">
        <f>(S196&amp;RIGHT(R196,1))*1</f>
      </c>
      <c r="H196" s="1"/>
      <c r="I196" s="111"/>
      <c r="J196" s="126">
        <f>Planning!Q64</f>
      </c>
      <c r="K196" s="93">
        <f>VLOOKUP(J196,AA$23:AE$88,5,FALSE)</f>
      </c>
      <c r="L196" s="122">
        <f>Planning!W64</f>
      </c>
      <c r="M196" s="121">
        <f>IF(Planning!AD64=0,0,IFERROR($AD64*AJ$22,0))</f>
      </c>
      <c r="N196" s="171">
        <f>IF(Planning!AD64=0,0,IFERROR($AD64*AJ$22*K196,0))</f>
      </c>
      <c r="O196" s="96">
        <f>IF(ISTEXT(Planning!W64),0,AJ64)</f>
      </c>
      <c r="P196" s="94">
        <f>Planning!AD64</f>
      </c>
      <c r="Q196" s="121">
        <f>Progress!V64</f>
      </c>
      <c r="R196" s="95">
        <f>IF(Q196=0,0,IF(ISNUMBER(Q196),IF(S196&gt;=$G$21,$F$21,"Q49"),Q196))</f>
      </c>
      <c r="S196" s="122">
        <f>Progress!W64</f>
      </c>
      <c r="T196" s="97"/>
      <c r="U196" s="96">
        <f>V196/$N$419</f>
      </c>
      <c r="V196" s="176">
        <f>IF(L196&lt;$E$20,0,IF(ISTEXT(L196),0,IF(AND(G196+1&gt;=$E$19+1,L196&gt;0),IF(ISNUMBER(Q196),Q196*$AD64*AJ$22*K196,$AD64*AJ$22*K196),0)))</f>
      </c>
      <c r="W196" s="95">
        <f>IF(AND(L196&gt;0,S196&gt;0),IF(ISNUMBER(Q196),Q196*$AD64*AJ$22*K196,$AD64*AJ$22*K196),0)</f>
      </c>
      <c r="X196" s="17"/>
      <c r="Y196" s="11"/>
      <c r="Z196" s="11"/>
      <c r="AA196" s="187" t="s">
        <v>78</v>
      </c>
      <c r="AB196" s="99">
        <v>6</v>
      </c>
      <c r="AC196" s="188">
        <v>3</v>
      </c>
      <c r="AD196" s="195"/>
      <c r="AE196" s="196"/>
      <c r="AF196" s="8"/>
      <c r="AG196" s="1"/>
      <c r="AH196" s="6"/>
      <c r="AI196" s="6"/>
      <c r="AJ196" s="6"/>
      <c r="AK196" s="6"/>
      <c r="AL196" s="6"/>
      <c r="AM196" s="6"/>
      <c r="AN196" s="6"/>
      <c r="AO196" s="1"/>
      <c r="AP196" s="9"/>
      <c r="AQ196" s="2"/>
      <c r="AR196" s="3"/>
      <c r="AS196" s="10"/>
      <c r="AT196" s="1"/>
      <c r="AU196" s="1"/>
      <c r="AV196" s="1"/>
      <c r="AW196" s="1"/>
      <c r="AX196" s="1"/>
      <c r="AY196" s="1"/>
      <c r="AZ196" s="1"/>
      <c r="BA196" s="1"/>
      <c r="BB196" s="1"/>
      <c r="BC196" s="1"/>
      <c r="BD196" s="1"/>
      <c r="BE196" s="1"/>
      <c r="BF196" s="1"/>
      <c r="BG196" s="1"/>
      <c r="BH196" s="1"/>
    </row>
    <row x14ac:dyDescent="0.25" r="197" customHeight="1" ht="13">
      <c r="A197" s="1"/>
      <c r="B197" s="1"/>
      <c r="C197" s="1"/>
      <c r="D197" s="1"/>
      <c r="E197" s="2"/>
      <c r="F197" s="2"/>
      <c r="G197" s="90">
        <f>(S197&amp;RIGHT(R197,1))*1</f>
      </c>
      <c r="H197" s="1"/>
      <c r="I197" s="111"/>
      <c r="J197" s="126">
        <f>Planning!Q65</f>
      </c>
      <c r="K197" s="93">
        <f>VLOOKUP(J197,AA$23:AE$88,5,FALSE)</f>
      </c>
      <c r="L197" s="122">
        <f>Planning!W65</f>
      </c>
      <c r="M197" s="121">
        <f>IF(Planning!AD65=0,0,IFERROR($AD65*AJ$22,0))</f>
      </c>
      <c r="N197" s="171">
        <f>IF(Planning!AD65=0,0,IFERROR($AD65*AJ$22*K197,0))</f>
      </c>
      <c r="O197" s="96">
        <f>IF(ISTEXT(Planning!W65),0,AJ65)</f>
      </c>
      <c r="P197" s="94">
        <f>Planning!AD65</f>
      </c>
      <c r="Q197" s="121">
        <f>Progress!V65</f>
      </c>
      <c r="R197" s="95">
        <f>IF(Q197=0,0,IF(ISNUMBER(Q197),IF(S197&gt;=$G$21,$F$21,"Q50"),Q197))</f>
      </c>
      <c r="S197" s="122">
        <f>Progress!W65</f>
      </c>
      <c r="T197" s="97"/>
      <c r="U197" s="96">
        <f>V197/$N$419</f>
      </c>
      <c r="V197" s="176">
        <f>IF(L197&lt;$E$20,0,IF(ISTEXT(L197),0,IF(AND(G197+1&gt;=$E$19+1,L197&gt;0),IF(ISNUMBER(Q197),Q197*$AD65*AJ$22*K197,$AD65*AJ$22*K197),0)))</f>
      </c>
      <c r="W197" s="95">
        <f>IF(AND(L197&gt;0,S197&gt;0),IF(ISNUMBER(Q197),Q197*$AD65*AJ$22*K197,$AD65*AJ$22*K197),0)</f>
      </c>
      <c r="X197" s="17"/>
      <c r="Y197" s="11"/>
      <c r="Z197" s="11"/>
      <c r="AA197" s="187" t="s">
        <v>83</v>
      </c>
      <c r="AB197" s="99">
        <v>3</v>
      </c>
      <c r="AC197" s="188">
        <v>2</v>
      </c>
      <c r="AD197" s="195"/>
      <c r="AE197" s="196"/>
      <c r="AF197" s="8"/>
      <c r="AG197" s="1"/>
      <c r="AH197" s="6"/>
      <c r="AI197" s="6"/>
      <c r="AJ197" s="6"/>
      <c r="AK197" s="6"/>
      <c r="AL197" s="6"/>
      <c r="AM197" s="6"/>
      <c r="AN197" s="6"/>
      <c r="AO197" s="1"/>
      <c r="AP197" s="9"/>
      <c r="AQ197" s="2"/>
      <c r="AR197" s="3"/>
      <c r="AS197" s="10"/>
      <c r="AT197" s="1"/>
      <c r="AU197" s="1"/>
      <c r="AV197" s="1"/>
      <c r="AW197" s="1"/>
      <c r="AX197" s="1"/>
      <c r="AY197" s="1"/>
      <c r="AZ197" s="1"/>
      <c r="BA197" s="1"/>
      <c r="BB197" s="1"/>
      <c r="BC197" s="1"/>
      <c r="BD197" s="1"/>
      <c r="BE197" s="1"/>
      <c r="BF197" s="1"/>
      <c r="BG197" s="1"/>
      <c r="BH197" s="1"/>
    </row>
    <row x14ac:dyDescent="0.25" r="198" customHeight="1" ht="14.5">
      <c r="A198" s="1"/>
      <c r="B198" s="1"/>
      <c r="C198" s="1"/>
      <c r="D198" s="1"/>
      <c r="E198" s="2"/>
      <c r="F198" s="2"/>
      <c r="G198" s="90">
        <f>(S198&amp;RIGHT(R198,1))*1</f>
      </c>
      <c r="H198" s="1"/>
      <c r="I198" s="111"/>
      <c r="J198" s="126">
        <f>Planning!Q66</f>
      </c>
      <c r="K198" s="93">
        <f>VLOOKUP(J198,AA$23:AE$88,5,FALSE)</f>
      </c>
      <c r="L198" s="122">
        <f>Planning!W66</f>
      </c>
      <c r="M198" s="121">
        <f>IF(Planning!AD66=0,0,IFERROR($AD66*AJ$22,0))</f>
      </c>
      <c r="N198" s="171">
        <f>IF(Planning!AD66=0,0,IFERROR($AD66*AJ$22*K198,0))</f>
      </c>
      <c r="O198" s="96">
        <f>IF(ISTEXT(Planning!W66),0,AJ66)</f>
      </c>
      <c r="P198" s="94">
        <f>Planning!AD66</f>
      </c>
      <c r="Q198" s="121">
        <f>Progress!V66</f>
      </c>
      <c r="R198" s="95">
        <f>IF(Q198=0,0,IF(ISNUMBER(Q198),IF(S198&gt;=$G$21,$F$21,"Q51"),Q198))</f>
      </c>
      <c r="S198" s="122">
        <f>Progress!W66</f>
      </c>
      <c r="T198" s="97"/>
      <c r="U198" s="96">
        <f>V198/$N$419</f>
      </c>
      <c r="V198" s="176">
        <f>IF(L198&lt;$E$20,0,IF(ISTEXT(L198),0,IF(AND(G198+1&gt;=$E$19+1,L198&gt;0),IF(ISNUMBER(Q198),Q198*$AD66*AJ$22*K198,$AD66*AJ$22*K198),0)))</f>
      </c>
      <c r="W198" s="95">
        <f>IF(AND(L198&gt;0,S198&gt;0),IF(ISNUMBER(Q198),Q198*$AD66*AJ$22*K198,$AD66*AJ$22*K198),0)</f>
      </c>
      <c r="X198" s="17"/>
      <c r="Y198" s="11"/>
      <c r="Z198" s="11"/>
      <c r="AA198" s="187" t="s">
        <v>88</v>
      </c>
      <c r="AB198" s="99">
        <v>13</v>
      </c>
      <c r="AC198" s="188">
        <v>2</v>
      </c>
      <c r="AD198" s="195"/>
      <c r="AE198" s="196"/>
      <c r="AF198" s="8"/>
      <c r="AG198" s="1"/>
      <c r="AH198" s="6"/>
      <c r="AI198" s="6"/>
      <c r="AJ198" s="6"/>
      <c r="AK198" s="6"/>
      <c r="AL198" s="6"/>
      <c r="AM198" s="6"/>
      <c r="AN198" s="6"/>
      <c r="AO198" s="1"/>
      <c r="AP198" s="9"/>
      <c r="AQ198" s="2"/>
      <c r="AR198" s="3"/>
      <c r="AS198" s="10"/>
      <c r="AT198" s="1"/>
      <c r="AU198" s="1"/>
      <c r="AV198" s="1"/>
      <c r="AW198" s="1"/>
      <c r="AX198" s="1"/>
      <c r="AY198" s="1"/>
      <c r="AZ198" s="1"/>
      <c r="BA198" s="1"/>
      <c r="BB198" s="1"/>
      <c r="BC198" s="1"/>
      <c r="BD198" s="1"/>
      <c r="BE198" s="1"/>
      <c r="BF198" s="1"/>
      <c r="BG198" s="1"/>
      <c r="BH198" s="1"/>
    </row>
    <row x14ac:dyDescent="0.25" r="199" customHeight="1" ht="14.5">
      <c r="A199" s="1"/>
      <c r="B199" s="1"/>
      <c r="C199" s="1"/>
      <c r="D199" s="1"/>
      <c r="E199" s="2"/>
      <c r="F199" s="2"/>
      <c r="G199" s="90">
        <f>(S199&amp;RIGHT(R199,1))*1</f>
      </c>
      <c r="H199" s="1"/>
      <c r="I199" s="111"/>
      <c r="J199" s="126">
        <f>Planning!Q67</f>
      </c>
      <c r="K199" s="93">
        <f>VLOOKUP(J199,AA$23:AE$88,5,FALSE)</f>
      </c>
      <c r="L199" s="122">
        <f>Planning!W67</f>
      </c>
      <c r="M199" s="121">
        <f>IF(Planning!AD67=0,0,IFERROR($AD67*AJ$22,0))</f>
      </c>
      <c r="N199" s="171">
        <f>IF(Planning!AD67=0,0,IFERROR($AD67*AJ$22*K199,0))</f>
      </c>
      <c r="O199" s="96">
        <f>IF(ISTEXT(Planning!W67),0,AJ67)</f>
      </c>
      <c r="P199" s="94">
        <f>Planning!AD67</f>
      </c>
      <c r="Q199" s="121">
        <f>Progress!V67</f>
      </c>
      <c r="R199" s="95">
        <f>IF(Q199=0,0,IF(ISNUMBER(Q199),IF(S199&gt;=$G$21,$F$21,"Q52"),Q199))</f>
      </c>
      <c r="S199" s="122">
        <f>Progress!W67</f>
      </c>
      <c r="T199" s="97"/>
      <c r="U199" s="96">
        <f>V199/$N$419</f>
      </c>
      <c r="V199" s="176">
        <f>IF(L199&lt;$E$20,0,IF(ISTEXT(L199),0,IF(AND(G199+1&gt;=$E$19+1,L199&gt;0),IF(ISNUMBER(Q199),Q199*$AD67*AJ$22*K199,$AD67*AJ$22*K199),0)))</f>
      </c>
      <c r="W199" s="95">
        <f>IF(AND(L199&gt;0,S199&gt;0),IF(ISNUMBER(Q199),Q199*$AD67*AJ$22*K199,$AD67*AJ$22*K199),0)</f>
      </c>
      <c r="X199" s="17"/>
      <c r="Y199" s="11"/>
      <c r="Z199" s="11"/>
      <c r="AA199" s="187" t="s">
        <v>92</v>
      </c>
      <c r="AB199" s="99">
        <v>21</v>
      </c>
      <c r="AC199" s="188">
        <v>2</v>
      </c>
      <c r="AD199" s="195"/>
      <c r="AE199" s="196"/>
      <c r="AF199" s="8"/>
      <c r="AG199" s="1"/>
      <c r="AH199" s="6"/>
      <c r="AI199" s="6"/>
      <c r="AJ199" s="6"/>
      <c r="AK199" s="6"/>
      <c r="AL199" s="6"/>
      <c r="AM199" s="6"/>
      <c r="AN199" s="6"/>
      <c r="AO199" s="1"/>
      <c r="AP199" s="9"/>
      <c r="AQ199" s="2"/>
      <c r="AR199" s="3"/>
      <c r="AS199" s="10"/>
      <c r="AT199" s="1"/>
      <c r="AU199" s="1"/>
      <c r="AV199" s="1"/>
      <c r="AW199" s="1"/>
      <c r="AX199" s="1"/>
      <c r="AY199" s="1"/>
      <c r="AZ199" s="1"/>
      <c r="BA199" s="1"/>
      <c r="BB199" s="1"/>
      <c r="BC199" s="1"/>
      <c r="BD199" s="1"/>
      <c r="BE199" s="1"/>
      <c r="BF199" s="1"/>
      <c r="BG199" s="1"/>
      <c r="BH199" s="1"/>
    </row>
    <row x14ac:dyDescent="0.25" r="200" customHeight="1" ht="14.5">
      <c r="A200" s="1"/>
      <c r="B200" s="1"/>
      <c r="C200" s="1"/>
      <c r="D200" s="1"/>
      <c r="E200" s="2"/>
      <c r="F200" s="2"/>
      <c r="G200" s="90">
        <f>(S200&amp;RIGHT(R200,1))*1</f>
      </c>
      <c r="H200" s="1"/>
      <c r="I200" s="111"/>
      <c r="J200" s="126">
        <f>Planning!Q68</f>
      </c>
      <c r="K200" s="93">
        <f>VLOOKUP(J200,AA$23:AE$88,5,FALSE)</f>
      </c>
      <c r="L200" s="122">
        <f>Planning!W68</f>
      </c>
      <c r="M200" s="121">
        <f>IF(Planning!AD68=0,0,IFERROR($AD68*AJ$22,0))</f>
      </c>
      <c r="N200" s="171">
        <f>IF(Planning!AD68=0,0,IFERROR($AD68*AJ$22*K200,0))</f>
      </c>
      <c r="O200" s="96">
        <f>IF(ISTEXT(Planning!W68),0,AJ68)</f>
      </c>
      <c r="P200" s="94">
        <f>Planning!AD68</f>
      </c>
      <c r="Q200" s="121">
        <f>Progress!V68</f>
      </c>
      <c r="R200" s="95">
        <f>IF(Q200=0,0,IF(ISNUMBER(Q200),IF(S200&gt;=$G$21,$F$21,"Q53"),Q200))</f>
      </c>
      <c r="S200" s="122">
        <f>Progress!W68</f>
      </c>
      <c r="T200" s="97"/>
      <c r="U200" s="96">
        <f>V200/$N$419</f>
      </c>
      <c r="V200" s="176">
        <f>IF(L200&lt;$E$20,0,IF(ISTEXT(L200),0,IF(AND(G200+1&gt;=$E$19+1,L200&gt;0),IF(ISNUMBER(Q200),Q200*$AD68*AJ$22*K200,$AD68*AJ$22*K200),0)))</f>
      </c>
      <c r="W200" s="95">
        <f>IF(AND(L200&gt;0,S200&gt;0),IF(ISNUMBER(Q200),Q200*$AD68*AJ$22*K200,$AD68*AJ$22*K200),0)</f>
      </c>
      <c r="X200" s="17"/>
      <c r="Y200" s="11"/>
      <c r="Z200" s="11"/>
      <c r="AA200" s="187" t="s">
        <v>96</v>
      </c>
      <c r="AB200" s="99">
        <v>13</v>
      </c>
      <c r="AC200" s="188">
        <v>2</v>
      </c>
      <c r="AD200" s="195"/>
      <c r="AE200" s="196"/>
      <c r="AF200" s="8"/>
      <c r="AG200" s="1"/>
      <c r="AH200" s="6"/>
      <c r="AI200" s="6"/>
      <c r="AJ200" s="6"/>
      <c r="AK200" s="6"/>
      <c r="AL200" s="6"/>
      <c r="AM200" s="6"/>
      <c r="AN200" s="6"/>
      <c r="AO200" s="1"/>
      <c r="AP200" s="9"/>
      <c r="AQ200" s="2"/>
      <c r="AR200" s="3"/>
      <c r="AS200" s="10"/>
      <c r="AT200" s="1"/>
      <c r="AU200" s="1"/>
      <c r="AV200" s="1"/>
      <c r="AW200" s="1"/>
      <c r="AX200" s="1"/>
      <c r="AY200" s="1"/>
      <c r="AZ200" s="1"/>
      <c r="BA200" s="1"/>
      <c r="BB200" s="1"/>
      <c r="BC200" s="1"/>
      <c r="BD200" s="1"/>
      <c r="BE200" s="1"/>
      <c r="BF200" s="1"/>
      <c r="BG200" s="1"/>
      <c r="BH200" s="1"/>
    </row>
    <row x14ac:dyDescent="0.25" r="201" customHeight="1" ht="14.5">
      <c r="A201" s="1"/>
      <c r="B201" s="1"/>
      <c r="C201" s="1"/>
      <c r="D201" s="1"/>
      <c r="E201" s="2"/>
      <c r="F201" s="2"/>
      <c r="G201" s="90">
        <f>(S201&amp;RIGHT(R201,1))*1</f>
      </c>
      <c r="H201" s="1"/>
      <c r="I201" s="111"/>
      <c r="J201" s="126">
        <f>Planning!Q69</f>
      </c>
      <c r="K201" s="93">
        <f>VLOOKUP(J201,AA$23:AE$88,5,FALSE)</f>
      </c>
      <c r="L201" s="122">
        <f>Planning!W69</f>
      </c>
      <c r="M201" s="121">
        <f>IF(Planning!AD69=0,0,IFERROR($AD69*AJ$22,0))</f>
      </c>
      <c r="N201" s="171">
        <f>IF(Planning!AD69=0,0,IFERROR($AD69*AJ$22*K201,0))</f>
      </c>
      <c r="O201" s="96">
        <f>IF(ISTEXT(Planning!W69),0,AJ69)</f>
      </c>
      <c r="P201" s="94">
        <f>Planning!AD69</f>
      </c>
      <c r="Q201" s="121">
        <f>Progress!V69</f>
      </c>
      <c r="R201" s="95">
        <f>IF(Q201=0,0,IF(ISNUMBER(Q201),IF(S201&gt;=$G$21,$F$21,"Q54"),Q201))</f>
      </c>
      <c r="S201" s="122">
        <f>Progress!W69</f>
      </c>
      <c r="T201" s="97"/>
      <c r="U201" s="96">
        <f>V201/$N$419</f>
      </c>
      <c r="V201" s="176">
        <f>IF(L201&lt;$E$20,0,IF(ISTEXT(L201),0,IF(AND(G201+1&gt;=$E$19+1,L201&gt;0),IF(ISNUMBER(Q201),Q201*$AD69*AJ$22*K201,$AD69*AJ$22*K201),0)))</f>
      </c>
      <c r="W201" s="95">
        <f>IF(AND(L201&gt;0,S201&gt;0),IF(ISNUMBER(Q201),Q201*$AD69*AJ$22*K201,$AD69*AJ$22*K201),0)</f>
      </c>
      <c r="X201" s="17"/>
      <c r="Y201" s="11"/>
      <c r="Z201" s="11"/>
      <c r="AA201" s="187" t="s">
        <v>100</v>
      </c>
      <c r="AB201" s="99">
        <v>20</v>
      </c>
      <c r="AC201" s="188">
        <v>2</v>
      </c>
      <c r="AD201" s="195"/>
      <c r="AE201" s="196"/>
      <c r="AF201" s="8"/>
      <c r="AG201" s="1"/>
      <c r="AH201" s="6"/>
      <c r="AI201" s="6"/>
      <c r="AJ201" s="6"/>
      <c r="AK201" s="6"/>
      <c r="AL201" s="6"/>
      <c r="AM201" s="6"/>
      <c r="AN201" s="6"/>
      <c r="AO201" s="1"/>
      <c r="AP201" s="9"/>
      <c r="AQ201" s="2"/>
      <c r="AR201" s="3"/>
      <c r="AS201" s="10"/>
      <c r="AT201" s="1"/>
      <c r="AU201" s="1"/>
      <c r="AV201" s="1"/>
      <c r="AW201" s="1"/>
      <c r="AX201" s="1"/>
      <c r="AY201" s="1"/>
      <c r="AZ201" s="1"/>
      <c r="BA201" s="1"/>
      <c r="BB201" s="1"/>
      <c r="BC201" s="1"/>
      <c r="BD201" s="1"/>
      <c r="BE201" s="1"/>
      <c r="BF201" s="1"/>
      <c r="BG201" s="1"/>
      <c r="BH201" s="1"/>
    </row>
    <row x14ac:dyDescent="0.25" r="202" customHeight="1" ht="14.5">
      <c r="A202" s="1"/>
      <c r="B202" s="1"/>
      <c r="C202" s="1"/>
      <c r="D202" s="1"/>
      <c r="E202" s="2"/>
      <c r="F202" s="2"/>
      <c r="G202" s="90">
        <f>(S202&amp;RIGHT(R202,1))*1</f>
      </c>
      <c r="H202" s="1"/>
      <c r="I202" s="111"/>
      <c r="J202" s="126">
        <f>Planning!Q70</f>
      </c>
      <c r="K202" s="93">
        <f>VLOOKUP(J202,AA$23:AE$88,5,FALSE)</f>
      </c>
      <c r="L202" s="122">
        <f>Planning!W70</f>
      </c>
      <c r="M202" s="121">
        <f>IF(Planning!AD70=0,0,IFERROR($AD70*AJ$22,0))</f>
      </c>
      <c r="N202" s="171">
        <f>IF(Planning!AD70=0,0,IFERROR($AD70*AJ$22*K202,0))</f>
      </c>
      <c r="O202" s="96">
        <f>IF(ISTEXT(Planning!W70),0,AJ70)</f>
      </c>
      <c r="P202" s="94">
        <f>Planning!AD70</f>
      </c>
      <c r="Q202" s="121">
        <f>Progress!V70</f>
      </c>
      <c r="R202" s="95">
        <f>IF(Q202=0,0,IF(ISNUMBER(Q202),IF(S202&gt;=$G$21,$F$21,"Q55"),Q202))</f>
      </c>
      <c r="S202" s="122">
        <f>Progress!W70</f>
      </c>
      <c r="T202" s="97"/>
      <c r="U202" s="96">
        <f>V202/$N$419</f>
      </c>
      <c r="V202" s="176">
        <f>IF(L202&lt;$E$20,0,IF(ISTEXT(L202),0,IF(AND(G202+1&gt;=$E$19+1,L202&gt;0),IF(ISNUMBER(Q202),Q202*$AD70*AJ$22*K202,$AD70*AJ$22*K202),0)))</f>
      </c>
      <c r="W202" s="95">
        <f>IF(AND(L202&gt;0,S202&gt;0),IF(ISNUMBER(Q202),Q202*$AD70*AJ$22*K202,$AD70*AJ$22*K202),0)</f>
      </c>
      <c r="X202" s="17"/>
      <c r="Y202" s="11"/>
      <c r="Z202" s="11"/>
      <c r="AA202" s="187" t="s">
        <v>104</v>
      </c>
      <c r="AB202" s="99">
        <v>5</v>
      </c>
      <c r="AC202" s="188">
        <v>2</v>
      </c>
      <c r="AD202" s="195"/>
      <c r="AE202" s="196"/>
      <c r="AF202" s="8"/>
      <c r="AG202" s="1"/>
      <c r="AH202" s="6"/>
      <c r="AI202" s="6"/>
      <c r="AJ202" s="6"/>
      <c r="AK202" s="6"/>
      <c r="AL202" s="6"/>
      <c r="AM202" s="6"/>
      <c r="AN202" s="6"/>
      <c r="AO202" s="1"/>
      <c r="AP202" s="9"/>
      <c r="AQ202" s="2"/>
      <c r="AR202" s="3"/>
      <c r="AS202" s="10"/>
      <c r="AT202" s="1"/>
      <c r="AU202" s="1"/>
      <c r="AV202" s="1"/>
      <c r="AW202" s="1"/>
      <c r="AX202" s="1"/>
      <c r="AY202" s="1"/>
      <c r="AZ202" s="1"/>
      <c r="BA202" s="1"/>
      <c r="BB202" s="1"/>
      <c r="BC202" s="1"/>
      <c r="BD202" s="1"/>
      <c r="BE202" s="1"/>
      <c r="BF202" s="1"/>
      <c r="BG202" s="1"/>
      <c r="BH202" s="1"/>
    </row>
    <row x14ac:dyDescent="0.25" r="203" customHeight="1" ht="14.5">
      <c r="A203" s="1"/>
      <c r="B203" s="1"/>
      <c r="C203" s="1"/>
      <c r="D203" s="1"/>
      <c r="E203" s="2"/>
      <c r="F203" s="2"/>
      <c r="G203" s="90">
        <f>(S203&amp;RIGHT(R203,1))*1</f>
      </c>
      <c r="H203" s="1"/>
      <c r="I203" s="111"/>
      <c r="J203" s="126">
        <f>Planning!Q71</f>
      </c>
      <c r="K203" s="93">
        <f>VLOOKUP(J203,AA$23:AE$88,5,FALSE)</f>
      </c>
      <c r="L203" s="122">
        <f>Planning!W71</f>
      </c>
      <c r="M203" s="121">
        <f>IF(Planning!AD71=0,0,IFERROR($AD71*AJ$22,0))</f>
      </c>
      <c r="N203" s="171">
        <f>IF(Planning!AD71=0,0,IFERROR($AD71*AJ$22*K203,0))</f>
      </c>
      <c r="O203" s="96">
        <f>IF(ISTEXT(Planning!W71),0,AJ71)</f>
      </c>
      <c r="P203" s="94">
        <f>Planning!AD71</f>
      </c>
      <c r="Q203" s="121">
        <f>Progress!V71</f>
      </c>
      <c r="R203" s="95">
        <f>IF(Q203=0,0,IF(ISNUMBER(Q203),IF(S203&gt;=$G$21,$F$21,"Q56"),Q203))</f>
      </c>
      <c r="S203" s="122">
        <f>Progress!W71</f>
      </c>
      <c r="T203" s="97"/>
      <c r="U203" s="96">
        <f>V203/$N$419</f>
      </c>
      <c r="V203" s="176">
        <f>IF(L203&lt;$E$20,0,IF(ISTEXT(L203),0,IF(AND(G203+1&gt;=$E$19+1,L203&gt;0),IF(ISNUMBER(Q203),Q203*$AD71*AJ$22*K203,$AD71*AJ$22*K203),0)))</f>
      </c>
      <c r="W203" s="95">
        <f>IF(AND(L203&gt;0,S203&gt;0),IF(ISNUMBER(Q203),Q203*$AD71*AJ$22*K203,$AD71*AJ$22*K203),0)</f>
      </c>
      <c r="X203" s="17"/>
      <c r="Y203" s="11"/>
      <c r="Z203" s="11"/>
      <c r="AA203" s="187" t="s">
        <v>108</v>
      </c>
      <c r="AB203" s="99">
        <v>2</v>
      </c>
      <c r="AC203" s="188">
        <v>2</v>
      </c>
      <c r="AD203" s="195"/>
      <c r="AE203" s="196"/>
      <c r="AF203" s="8"/>
      <c r="AG203" s="1"/>
      <c r="AH203" s="6"/>
      <c r="AI203" s="6"/>
      <c r="AJ203" s="6"/>
      <c r="AK203" s="6"/>
      <c r="AL203" s="6"/>
      <c r="AM203" s="6"/>
      <c r="AN203" s="6"/>
      <c r="AO203" s="1"/>
      <c r="AP203" s="9"/>
      <c r="AQ203" s="2"/>
      <c r="AR203" s="3"/>
      <c r="AS203" s="10"/>
      <c r="AT203" s="1"/>
      <c r="AU203" s="1"/>
      <c r="AV203" s="1"/>
      <c r="AW203" s="1"/>
      <c r="AX203" s="1"/>
      <c r="AY203" s="1"/>
      <c r="AZ203" s="1"/>
      <c r="BA203" s="1"/>
      <c r="BB203" s="1"/>
      <c r="BC203" s="1"/>
      <c r="BD203" s="1"/>
      <c r="BE203" s="1"/>
      <c r="BF203" s="1"/>
      <c r="BG203" s="1"/>
      <c r="BH203" s="1"/>
    </row>
    <row x14ac:dyDescent="0.25" r="204" customHeight="1" ht="14.5">
      <c r="A204" s="1"/>
      <c r="B204" s="1"/>
      <c r="C204" s="1"/>
      <c r="D204" s="1"/>
      <c r="E204" s="2"/>
      <c r="F204" s="2"/>
      <c r="G204" s="90">
        <f>(S204&amp;RIGHT(R204,1))*1</f>
      </c>
      <c r="H204" s="1"/>
      <c r="I204" s="111"/>
      <c r="J204" s="126">
        <f>Planning!Q72</f>
      </c>
      <c r="K204" s="93">
        <f>VLOOKUP(J204,AA$23:AE$88,5,FALSE)</f>
      </c>
      <c r="L204" s="122">
        <f>Planning!W72</f>
      </c>
      <c r="M204" s="121">
        <f>IF(Planning!AD72=0,0,IFERROR($AD72*AJ$22,0))</f>
      </c>
      <c r="N204" s="171">
        <f>IF(Planning!AD72=0,0,IFERROR($AD72*AJ$22*K204,0))</f>
      </c>
      <c r="O204" s="96">
        <f>IF(ISTEXT(Planning!W72),0,AJ72)</f>
      </c>
      <c r="P204" s="94">
        <f>Planning!AD72</f>
      </c>
      <c r="Q204" s="121">
        <f>Progress!V72</f>
      </c>
      <c r="R204" s="95">
        <f>IF(Q204=0,0,IF(ISNUMBER(Q204),IF(S204&gt;=$G$21,$F$21,"Q57"),Q204))</f>
      </c>
      <c r="S204" s="122">
        <f>Progress!W72</f>
      </c>
      <c r="T204" s="97"/>
      <c r="U204" s="96">
        <f>V204/$N$419</f>
      </c>
      <c r="V204" s="176">
        <f>IF(L204&lt;$E$20,0,IF(ISTEXT(L204),0,IF(AND(G204+1&gt;=$E$19+1,L204&gt;0),IF(ISNUMBER(Q204),Q204*$AD72*AJ$22*K204,$AD72*AJ$22*K204),0)))</f>
      </c>
      <c r="W204" s="95">
        <f>IF(AND(L204&gt;0,S204&gt;0),IF(ISNUMBER(Q204),Q204*$AD72*AJ$22*K204,$AD72*AJ$22*K204),0)</f>
      </c>
      <c r="X204" s="17"/>
      <c r="Y204" s="11"/>
      <c r="Z204" s="11"/>
      <c r="AA204" s="187" t="s">
        <v>112</v>
      </c>
      <c r="AB204" s="99">
        <v>10</v>
      </c>
      <c r="AC204" s="188">
        <v>4</v>
      </c>
      <c r="AD204" s="195"/>
      <c r="AE204" s="196"/>
      <c r="AF204" s="8"/>
      <c r="AG204" s="1"/>
      <c r="AH204" s="6"/>
      <c r="AI204" s="6"/>
      <c r="AJ204" s="6"/>
      <c r="AK204" s="6"/>
      <c r="AL204" s="6"/>
      <c r="AM204" s="6"/>
      <c r="AN204" s="6"/>
      <c r="AO204" s="1"/>
      <c r="AP204" s="9"/>
      <c r="AQ204" s="2"/>
      <c r="AR204" s="3"/>
      <c r="AS204" s="10"/>
      <c r="AT204" s="1"/>
      <c r="AU204" s="1"/>
      <c r="AV204" s="1"/>
      <c r="AW204" s="1"/>
      <c r="AX204" s="1"/>
      <c r="AY204" s="1"/>
      <c r="AZ204" s="1"/>
      <c r="BA204" s="1"/>
      <c r="BB204" s="1"/>
      <c r="BC204" s="1"/>
      <c r="BD204" s="1"/>
      <c r="BE204" s="1"/>
      <c r="BF204" s="1"/>
      <c r="BG204" s="1"/>
      <c r="BH204" s="1"/>
    </row>
    <row x14ac:dyDescent="0.25" r="205" customHeight="1" ht="14.5">
      <c r="A205" s="1"/>
      <c r="B205" s="1"/>
      <c r="C205" s="1"/>
      <c r="D205" s="1"/>
      <c r="E205" s="2"/>
      <c r="F205" s="2"/>
      <c r="G205" s="90">
        <f>(S205&amp;RIGHT(R205,1))*1</f>
      </c>
      <c r="H205" s="1"/>
      <c r="I205" s="111"/>
      <c r="J205" s="126">
        <f>Planning!Q73</f>
      </c>
      <c r="K205" s="93">
        <f>VLOOKUP(J205,AA$23:AE$88,5,FALSE)</f>
      </c>
      <c r="L205" s="122">
        <f>Planning!W73</f>
      </c>
      <c r="M205" s="121">
        <f>IF(Planning!AD73=0,0,IFERROR($AD73*AJ$22,0))</f>
      </c>
      <c r="N205" s="171">
        <f>IF(Planning!AD73=0,0,IFERROR($AD73*AJ$22*K205,0))</f>
      </c>
      <c r="O205" s="96">
        <f>IF(ISTEXT(Planning!W73),0,AJ73)</f>
      </c>
      <c r="P205" s="94">
        <f>Planning!AD73</f>
      </c>
      <c r="Q205" s="121">
        <f>Progress!V73</f>
      </c>
      <c r="R205" s="95">
        <f>IF(Q205=0,0,IF(ISNUMBER(Q205),IF(S205&gt;=$G$21,$F$21,"Q58"),Q205))</f>
      </c>
      <c r="S205" s="122">
        <f>Progress!W73</f>
      </c>
      <c r="T205" s="97"/>
      <c r="U205" s="96">
        <f>V205/$N$419</f>
      </c>
      <c r="V205" s="176">
        <f>IF(L205&lt;$E$20,0,IF(ISTEXT(L205),0,IF(AND(G205+1&gt;=$E$19+1,L205&gt;0),IF(ISNUMBER(Q205),Q205*$AD73*AJ$22*K205,$AD73*AJ$22*K205),0)))</f>
      </c>
      <c r="W205" s="95">
        <f>IF(AND(L205&gt;0,S205&gt;0),IF(ISNUMBER(Q205),Q205*$AD73*AJ$22*K205,$AD73*AJ$22*K205),0)</f>
      </c>
      <c r="X205" s="17"/>
      <c r="Y205" s="11"/>
      <c r="Z205" s="11"/>
      <c r="AA205" s="187" t="s">
        <v>116</v>
      </c>
      <c r="AB205" s="99">
        <v>12</v>
      </c>
      <c r="AC205" s="188">
        <v>5</v>
      </c>
      <c r="AD205" s="195"/>
      <c r="AE205" s="196"/>
      <c r="AF205" s="8"/>
      <c r="AG205" s="1"/>
      <c r="AH205" s="6"/>
      <c r="AI205" s="6"/>
      <c r="AJ205" s="6"/>
      <c r="AK205" s="6"/>
      <c r="AL205" s="6"/>
      <c r="AM205" s="6"/>
      <c r="AN205" s="6"/>
      <c r="AO205" s="1"/>
      <c r="AP205" s="9"/>
      <c r="AQ205" s="2"/>
      <c r="AR205" s="3"/>
      <c r="AS205" s="10"/>
      <c r="AT205" s="1"/>
      <c r="AU205" s="1"/>
      <c r="AV205" s="1"/>
      <c r="AW205" s="1"/>
      <c r="AX205" s="1"/>
      <c r="AY205" s="1"/>
      <c r="AZ205" s="1"/>
      <c r="BA205" s="1"/>
      <c r="BB205" s="1"/>
      <c r="BC205" s="1"/>
      <c r="BD205" s="1"/>
      <c r="BE205" s="1"/>
      <c r="BF205" s="1"/>
      <c r="BG205" s="1"/>
      <c r="BH205" s="1"/>
    </row>
    <row x14ac:dyDescent="0.25" r="206" customHeight="1" ht="14.5">
      <c r="A206" s="1"/>
      <c r="B206" s="1"/>
      <c r="C206" s="1"/>
      <c r="D206" s="1"/>
      <c r="E206" s="2"/>
      <c r="F206" s="2"/>
      <c r="G206" s="90">
        <f>(S206&amp;RIGHT(R206,1))*1</f>
      </c>
      <c r="H206" s="1"/>
      <c r="I206" s="111"/>
      <c r="J206" s="126">
        <f>Planning!Q74</f>
      </c>
      <c r="K206" s="93">
        <f>VLOOKUP(J206,AA$23:AE$88,5,FALSE)</f>
      </c>
      <c r="L206" s="122">
        <f>Planning!W74</f>
      </c>
      <c r="M206" s="121">
        <f>IF(Planning!AD74=0,0,IFERROR($AD74*AJ$22,0))</f>
      </c>
      <c r="N206" s="171">
        <f>IF(Planning!AD74=0,0,IFERROR($AD74*AJ$22*K206,0))</f>
      </c>
      <c r="O206" s="96">
        <f>IF(ISTEXT(Planning!W74),0,AJ74)</f>
      </c>
      <c r="P206" s="94">
        <f>Planning!AD74</f>
      </c>
      <c r="Q206" s="121">
        <f>Progress!V74</f>
      </c>
      <c r="R206" s="95">
        <f>IF(Q206=0,0,IF(ISNUMBER(Q206),IF(S206&gt;=$G$21,$F$21,"Q59"),Q206))</f>
      </c>
      <c r="S206" s="122">
        <f>Progress!W74</f>
      </c>
      <c r="T206" s="97"/>
      <c r="U206" s="96">
        <f>V206/$N$419</f>
      </c>
      <c r="V206" s="176">
        <f>IF(L206&lt;$E$20,0,IF(ISTEXT(L206),0,IF(AND(G206+1&gt;=$E$19+1,L206&gt;0),IF(ISNUMBER(Q206),Q206*$AD74*AJ$22*K206,$AD74*AJ$22*K206),0)))</f>
      </c>
      <c r="W206" s="95">
        <f>IF(AND(L206&gt;0,S206&gt;0),IF(ISNUMBER(Q206),Q206*$AD74*AJ$22*K206,$AD74*AJ$22*K206),0)</f>
      </c>
      <c r="X206" s="17"/>
      <c r="Y206" s="11"/>
      <c r="Z206" s="11"/>
      <c r="AA206" s="187" t="s">
        <v>120</v>
      </c>
      <c r="AB206" s="99">
        <v>3</v>
      </c>
      <c r="AC206" s="188">
        <v>5</v>
      </c>
      <c r="AD206" s="195"/>
      <c r="AE206" s="196"/>
      <c r="AF206" s="8"/>
      <c r="AG206" s="1"/>
      <c r="AH206" s="6"/>
      <c r="AI206" s="6"/>
      <c r="AJ206" s="6"/>
      <c r="AK206" s="6"/>
      <c r="AL206" s="6"/>
      <c r="AM206" s="6"/>
      <c r="AN206" s="6"/>
      <c r="AO206" s="1"/>
      <c r="AP206" s="9"/>
      <c r="AQ206" s="2"/>
      <c r="AR206" s="3"/>
      <c r="AS206" s="10"/>
      <c r="AT206" s="1"/>
      <c r="AU206" s="1"/>
      <c r="AV206" s="1"/>
      <c r="AW206" s="1"/>
      <c r="AX206" s="1"/>
      <c r="AY206" s="1"/>
      <c r="AZ206" s="1"/>
      <c r="BA206" s="1"/>
      <c r="BB206" s="1"/>
      <c r="BC206" s="1"/>
      <c r="BD206" s="1"/>
      <c r="BE206" s="1"/>
      <c r="BF206" s="1"/>
      <c r="BG206" s="1"/>
      <c r="BH206" s="1"/>
    </row>
    <row x14ac:dyDescent="0.25" r="207" customHeight="1" ht="14.5">
      <c r="A207" s="1"/>
      <c r="B207" s="1"/>
      <c r="C207" s="1"/>
      <c r="D207" s="1"/>
      <c r="E207" s="2"/>
      <c r="F207" s="2"/>
      <c r="G207" s="90">
        <f>(S207&amp;RIGHT(R207,1))*1</f>
      </c>
      <c r="H207" s="1"/>
      <c r="I207" s="111"/>
      <c r="J207" s="126">
        <f>Planning!Q75</f>
      </c>
      <c r="K207" s="93">
        <f>VLOOKUP(J207,AA$23:AE$88,5,FALSE)</f>
      </c>
      <c r="L207" s="122">
        <f>Planning!W75</f>
      </c>
      <c r="M207" s="121">
        <f>IF(Planning!AD75=0,0,IFERROR($AD75*AJ$22,0))</f>
      </c>
      <c r="N207" s="171">
        <f>IF(Planning!AD75=0,0,IFERROR($AD75*AJ$22*K207,0))</f>
      </c>
      <c r="O207" s="96">
        <f>IF(ISTEXT(Planning!W75),0,AJ75)</f>
      </c>
      <c r="P207" s="94">
        <f>Planning!AD75</f>
      </c>
      <c r="Q207" s="121">
        <f>Progress!V75</f>
      </c>
      <c r="R207" s="95">
        <f>IF(Q207=0,0,IF(ISNUMBER(Q207),IF(S207&gt;=$G$21,$F$21,"Q60"),Q207))</f>
      </c>
      <c r="S207" s="122">
        <f>Progress!W75</f>
      </c>
      <c r="T207" s="97"/>
      <c r="U207" s="96">
        <f>V207/$N$419</f>
      </c>
      <c r="V207" s="176">
        <f>IF(L207&lt;$E$20,0,IF(ISTEXT(L207),0,IF(AND(G207+1&gt;=$E$19+1,L207&gt;0),IF(ISNUMBER(Q207),Q207*$AD75*AJ$22*K207,$AD75*AJ$22*K207),0)))</f>
      </c>
      <c r="W207" s="95">
        <f>IF(AND(L207&gt;0,S207&gt;0),IF(ISNUMBER(Q207),Q207*$AD75*AJ$22*K207,$AD75*AJ$22*K207),0)</f>
      </c>
      <c r="X207" s="17"/>
      <c r="Y207" s="11"/>
      <c r="Z207" s="11"/>
      <c r="AA207" s="187" t="s">
        <v>124</v>
      </c>
      <c r="AB207" s="99">
        <v>1</v>
      </c>
      <c r="AC207" s="188">
        <v>5</v>
      </c>
      <c r="AD207" s="195"/>
      <c r="AE207" s="196"/>
      <c r="AF207" s="8"/>
      <c r="AG207" s="1"/>
      <c r="AH207" s="6"/>
      <c r="AI207" s="6"/>
      <c r="AJ207" s="6"/>
      <c r="AK207" s="6"/>
      <c r="AL207" s="6"/>
      <c r="AM207" s="6"/>
      <c r="AN207" s="6"/>
      <c r="AO207" s="1"/>
      <c r="AP207" s="9"/>
      <c r="AQ207" s="2"/>
      <c r="AR207" s="3"/>
      <c r="AS207" s="10"/>
      <c r="AT207" s="1"/>
      <c r="AU207" s="1"/>
      <c r="AV207" s="1"/>
      <c r="AW207" s="1"/>
      <c r="AX207" s="1"/>
      <c r="AY207" s="1"/>
      <c r="AZ207" s="1"/>
      <c r="BA207" s="1"/>
      <c r="BB207" s="1"/>
      <c r="BC207" s="1"/>
      <c r="BD207" s="1"/>
      <c r="BE207" s="1"/>
      <c r="BF207" s="1"/>
      <c r="BG207" s="1"/>
      <c r="BH207" s="1"/>
    </row>
    <row x14ac:dyDescent="0.25" r="208" customHeight="1" ht="14.5">
      <c r="A208" s="1"/>
      <c r="B208" s="1"/>
      <c r="C208" s="1"/>
      <c r="D208" s="1"/>
      <c r="E208" s="2"/>
      <c r="F208" s="2"/>
      <c r="G208" s="90">
        <f>(S208&amp;RIGHT(R208,1))*1</f>
      </c>
      <c r="H208" s="1"/>
      <c r="I208" s="111"/>
      <c r="J208" s="126">
        <f>Planning!Q76</f>
      </c>
      <c r="K208" s="93">
        <f>VLOOKUP(J208,AA$23:AE$88,5,FALSE)</f>
      </c>
      <c r="L208" s="122">
        <f>Planning!W76</f>
      </c>
      <c r="M208" s="121">
        <f>IF(Planning!AD76=0,0,IFERROR($AD76*AJ$22,0))</f>
      </c>
      <c r="N208" s="171">
        <f>IF(Planning!AD76=0,0,IFERROR($AD76*AJ$22*K208,0))</f>
      </c>
      <c r="O208" s="96">
        <f>IF(ISTEXT(Planning!W76),0,AJ76)</f>
      </c>
      <c r="P208" s="94">
        <f>Planning!AD76</f>
      </c>
      <c r="Q208" s="121">
        <f>Progress!V76</f>
      </c>
      <c r="R208" s="95">
        <f>IF(Q208=0,0,IF(ISNUMBER(Q208),IF(S208&gt;=$G$21,$F$21,"Q61"),Q208))</f>
      </c>
      <c r="S208" s="122">
        <f>Progress!W76</f>
      </c>
      <c r="T208" s="97"/>
      <c r="U208" s="96">
        <f>V208/$N$419</f>
      </c>
      <c r="V208" s="176">
        <f>IF(L208&lt;$E$20,0,IF(ISTEXT(L208),0,IF(AND(G208+1&gt;=$E$19+1,L208&gt;0),IF(ISNUMBER(Q208),Q208*$AD76*AJ$22*K208,$AD76*AJ$22*K208),0)))</f>
      </c>
      <c r="W208" s="95">
        <f>IF(AND(L208&gt;0,S208&gt;0),IF(ISNUMBER(Q208),Q208*$AD76*AJ$22*K208,$AD76*AJ$22*K208),0)</f>
      </c>
      <c r="X208" s="17"/>
      <c r="Y208" s="11"/>
      <c r="Z208" s="11"/>
      <c r="AA208" s="187" t="s">
        <v>128</v>
      </c>
      <c r="AB208" s="99">
        <v>26</v>
      </c>
      <c r="AC208" s="188">
        <v>2</v>
      </c>
      <c r="AD208" s="195"/>
      <c r="AE208" s="196"/>
      <c r="AF208" s="8"/>
      <c r="AG208" s="1"/>
      <c r="AH208" s="6"/>
      <c r="AI208" s="6"/>
      <c r="AJ208" s="6"/>
      <c r="AK208" s="6"/>
      <c r="AL208" s="6"/>
      <c r="AM208" s="6"/>
      <c r="AN208" s="6"/>
      <c r="AO208" s="1"/>
      <c r="AP208" s="9"/>
      <c r="AQ208" s="2"/>
      <c r="AR208" s="3"/>
      <c r="AS208" s="10"/>
      <c r="AT208" s="1"/>
      <c r="AU208" s="1"/>
      <c r="AV208" s="1"/>
      <c r="AW208" s="1"/>
      <c r="AX208" s="1"/>
      <c r="AY208" s="1"/>
      <c r="AZ208" s="1"/>
      <c r="BA208" s="1"/>
      <c r="BB208" s="1"/>
      <c r="BC208" s="1"/>
      <c r="BD208" s="1"/>
      <c r="BE208" s="1"/>
      <c r="BF208" s="1"/>
      <c r="BG208" s="1"/>
      <c r="BH208" s="1"/>
    </row>
    <row x14ac:dyDescent="0.25" r="209" customHeight="1" ht="14.5">
      <c r="A209" s="1"/>
      <c r="B209" s="1"/>
      <c r="C209" s="1"/>
      <c r="D209" s="1"/>
      <c r="E209" s="2"/>
      <c r="F209" s="2"/>
      <c r="G209" s="90">
        <f>(S209&amp;RIGHT(R209,1))*1</f>
      </c>
      <c r="H209" s="1"/>
      <c r="I209" s="111"/>
      <c r="J209" s="126">
        <f>Planning!Q77</f>
      </c>
      <c r="K209" s="93">
        <f>VLOOKUP(J209,AA$23:AE$88,5,FALSE)</f>
      </c>
      <c r="L209" s="122">
        <f>Planning!W77</f>
      </c>
      <c r="M209" s="121">
        <f>IF(Planning!AD77=0,0,IFERROR($AD77*AJ$22,0))</f>
      </c>
      <c r="N209" s="171">
        <f>IF(Planning!AD77=0,0,IFERROR($AD77*AJ$22*K209,0))</f>
      </c>
      <c r="O209" s="96">
        <f>IF(ISTEXT(Planning!W77),0,AJ77)</f>
      </c>
      <c r="P209" s="94">
        <f>Planning!AD77</f>
      </c>
      <c r="Q209" s="121">
        <f>Progress!V77</f>
      </c>
      <c r="R209" s="95">
        <f>IF(Q209=0,0,IF(ISNUMBER(Q209),IF(S209&gt;=$G$21,$F$21,"Q62"),Q209))</f>
      </c>
      <c r="S209" s="122">
        <f>Progress!W77</f>
      </c>
      <c r="T209" s="97"/>
      <c r="U209" s="96">
        <f>V209/$N$419</f>
      </c>
      <c r="V209" s="176">
        <f>IF(L209&lt;$E$20,0,IF(ISTEXT(L209),0,IF(AND(G209+1&gt;=$E$19+1,L209&gt;0),IF(ISNUMBER(Q209),Q209*$AD77*AJ$22*K209,$AD77*AJ$22*K209),0)))</f>
      </c>
      <c r="W209" s="95">
        <f>IF(AND(L209&gt;0,S209&gt;0),IF(ISNUMBER(Q209),Q209*$AD77*AJ$22*K209,$AD77*AJ$22*K209),0)</f>
      </c>
      <c r="X209" s="17"/>
      <c r="Y209" s="11"/>
      <c r="Z209" s="11"/>
      <c r="AA209" s="187" t="s">
        <v>132</v>
      </c>
      <c r="AB209" s="99">
        <v>1</v>
      </c>
      <c r="AC209" s="188">
        <v>5</v>
      </c>
      <c r="AD209" s="195"/>
      <c r="AE209" s="196"/>
      <c r="AF209" s="8"/>
      <c r="AG209" s="1"/>
      <c r="AH209" s="6"/>
      <c r="AI209" s="6"/>
      <c r="AJ209" s="6"/>
      <c r="AK209" s="6"/>
      <c r="AL209" s="6"/>
      <c r="AM209" s="6"/>
      <c r="AN209" s="6"/>
      <c r="AO209" s="1"/>
      <c r="AP209" s="9"/>
      <c r="AQ209" s="2"/>
      <c r="AR209" s="3"/>
      <c r="AS209" s="10"/>
      <c r="AT209" s="1"/>
      <c r="AU209" s="1"/>
      <c r="AV209" s="1"/>
      <c r="AW209" s="1"/>
      <c r="AX209" s="1"/>
      <c r="AY209" s="1"/>
      <c r="AZ209" s="1"/>
      <c r="BA209" s="1"/>
      <c r="BB209" s="1"/>
      <c r="BC209" s="1"/>
      <c r="BD209" s="1"/>
      <c r="BE209" s="1"/>
      <c r="BF209" s="1"/>
      <c r="BG209" s="1"/>
      <c r="BH209" s="1"/>
    </row>
    <row x14ac:dyDescent="0.25" r="210" customHeight="1" ht="14.5">
      <c r="A210" s="1"/>
      <c r="B210" s="1"/>
      <c r="C210" s="1"/>
      <c r="D210" s="1"/>
      <c r="E210" s="2"/>
      <c r="F210" s="2"/>
      <c r="G210" s="90">
        <f>(S210&amp;RIGHT(R210,1))*1</f>
      </c>
      <c r="H210" s="1"/>
      <c r="I210" s="111"/>
      <c r="J210" s="126">
        <f>Planning!Q78</f>
      </c>
      <c r="K210" s="93">
        <f>VLOOKUP(J210,AA$23:AE$88,5,FALSE)</f>
      </c>
      <c r="L210" s="122">
        <f>Planning!W78</f>
      </c>
      <c r="M210" s="121">
        <f>IF(Planning!AD78=0,0,IFERROR($AD78*AJ$22,0))</f>
      </c>
      <c r="N210" s="171">
        <f>IF(Planning!AD78=0,0,IFERROR($AD78*AJ$22*K210,0))</f>
      </c>
      <c r="O210" s="96">
        <f>IF(ISTEXT(Planning!W78),0,AJ78)</f>
      </c>
      <c r="P210" s="94">
        <f>Planning!AD78</f>
      </c>
      <c r="Q210" s="121">
        <f>Progress!V78</f>
      </c>
      <c r="R210" s="95">
        <f>IF(Q210=0,0,IF(ISNUMBER(Q210),IF(S210&gt;=$G$21,$F$21,"Q63"),Q210))</f>
      </c>
      <c r="S210" s="122">
        <f>Progress!W78</f>
      </c>
      <c r="T210" s="97"/>
      <c r="U210" s="96">
        <f>V210/$N$419</f>
      </c>
      <c r="V210" s="176">
        <f>IF(L210&lt;$E$20,0,IF(ISTEXT(L210),0,IF(AND(G210+1&gt;=$E$19+1,L210&gt;0),IF(ISNUMBER(Q210),Q210*$AD78*AJ$22*K210,$AD78*AJ$22*K210),0)))</f>
      </c>
      <c r="W210" s="95">
        <f>IF(AND(L210&gt;0,S210&gt;0),IF(ISNUMBER(Q210),Q210*$AD78*AJ$22*K210,$AD78*AJ$22*K210),0)</f>
      </c>
      <c r="X210" s="17"/>
      <c r="Y210" s="11"/>
      <c r="Z210" s="11"/>
      <c r="AA210" s="187" t="s">
        <v>136</v>
      </c>
      <c r="AB210" s="99">
        <v>2</v>
      </c>
      <c r="AC210" s="188">
        <v>5</v>
      </c>
      <c r="AD210" s="195"/>
      <c r="AE210" s="196"/>
      <c r="AF210" s="8"/>
      <c r="AG210" s="1"/>
      <c r="AH210" s="6"/>
      <c r="AI210" s="6"/>
      <c r="AJ210" s="6"/>
      <c r="AK210" s="6"/>
      <c r="AL210" s="6"/>
      <c r="AM210" s="6"/>
      <c r="AN210" s="6"/>
      <c r="AO210" s="1"/>
      <c r="AP210" s="9"/>
      <c r="AQ210" s="2"/>
      <c r="AR210" s="3"/>
      <c r="AS210" s="10"/>
      <c r="AT210" s="1"/>
      <c r="AU210" s="1"/>
      <c r="AV210" s="1"/>
      <c r="AW210" s="1"/>
      <c r="AX210" s="1"/>
      <c r="AY210" s="1"/>
      <c r="AZ210" s="1"/>
      <c r="BA210" s="1"/>
      <c r="BB210" s="1"/>
      <c r="BC210" s="1"/>
      <c r="BD210" s="1"/>
      <c r="BE210" s="1"/>
      <c r="BF210" s="1"/>
      <c r="BG210" s="1"/>
      <c r="BH210" s="1"/>
    </row>
    <row x14ac:dyDescent="0.25" r="211" customHeight="1" ht="14.5">
      <c r="A211" s="1"/>
      <c r="B211" s="1"/>
      <c r="C211" s="1"/>
      <c r="D211" s="1"/>
      <c r="E211" s="2"/>
      <c r="F211" s="2"/>
      <c r="G211" s="90">
        <f>(S211&amp;RIGHT(R211,1))*1</f>
      </c>
      <c r="H211" s="1"/>
      <c r="I211" s="111"/>
      <c r="J211" s="126">
        <f>Planning!Q79</f>
      </c>
      <c r="K211" s="93">
        <f>VLOOKUP(J211,AA$23:AE$88,5,FALSE)</f>
      </c>
      <c r="L211" s="122">
        <f>Planning!W79</f>
      </c>
      <c r="M211" s="121">
        <f>IF(Planning!AD79=0,0,IFERROR($AD79*AJ$22,0))</f>
      </c>
      <c r="N211" s="171">
        <f>IF(Planning!AD79=0,0,IFERROR($AD79*AJ$22*K211,0))</f>
      </c>
      <c r="O211" s="96">
        <f>IF(ISTEXT(Planning!W79),0,AJ79)</f>
      </c>
      <c r="P211" s="94">
        <f>Planning!AD79</f>
      </c>
      <c r="Q211" s="121">
        <f>Progress!V79</f>
      </c>
      <c r="R211" s="95">
        <f>IF(Q211=0,0,IF(ISNUMBER(Q211),IF(S211&gt;=$G$21,$F$21,"Q64"),Q211))</f>
      </c>
      <c r="S211" s="122">
        <f>Progress!W79</f>
      </c>
      <c r="T211" s="97"/>
      <c r="U211" s="96">
        <f>V211/$N$419</f>
      </c>
      <c r="V211" s="176">
        <f>IF(L211&lt;$E$20,0,IF(ISTEXT(L211),0,IF(AND(G211+1&gt;=$E$19+1,L211&gt;0),IF(ISNUMBER(Q211),Q211*$AD79*AJ$22*K211,$AD79*AJ$22*K211),0)))</f>
      </c>
      <c r="W211" s="95">
        <f>IF(AND(L211&gt;0,S211&gt;0),IF(ISNUMBER(Q211),Q211*$AD79*AJ$22*K211,$AD79*AJ$22*K211),0)</f>
      </c>
      <c r="X211" s="17"/>
      <c r="Y211" s="11"/>
      <c r="Z211" s="11"/>
      <c r="AA211" s="187" t="s">
        <v>140</v>
      </c>
      <c r="AB211" s="99">
        <v>76</v>
      </c>
      <c r="AC211" s="188">
        <v>3</v>
      </c>
      <c r="AD211" s="195"/>
      <c r="AE211" s="196"/>
      <c r="AF211" s="8"/>
      <c r="AG211" s="1"/>
      <c r="AH211" s="6"/>
      <c r="AI211" s="6"/>
      <c r="AJ211" s="6"/>
      <c r="AK211" s="6"/>
      <c r="AL211" s="6"/>
      <c r="AM211" s="6"/>
      <c r="AN211" s="6"/>
      <c r="AO211" s="1"/>
      <c r="AP211" s="9"/>
      <c r="AQ211" s="2"/>
      <c r="AR211" s="3"/>
      <c r="AS211" s="10"/>
      <c r="AT211" s="1"/>
      <c r="AU211" s="1"/>
      <c r="AV211" s="1"/>
      <c r="AW211" s="1"/>
      <c r="AX211" s="1"/>
      <c r="AY211" s="1"/>
      <c r="AZ211" s="1"/>
      <c r="BA211" s="1"/>
      <c r="BB211" s="1"/>
      <c r="BC211" s="1"/>
      <c r="BD211" s="1"/>
      <c r="BE211" s="1"/>
      <c r="BF211" s="1"/>
      <c r="BG211" s="1"/>
      <c r="BH211" s="1"/>
    </row>
    <row x14ac:dyDescent="0.25" r="212" customHeight="1" ht="14.5">
      <c r="A212" s="1"/>
      <c r="B212" s="1"/>
      <c r="C212" s="1"/>
      <c r="D212" s="1"/>
      <c r="E212" s="2"/>
      <c r="F212" s="2"/>
      <c r="G212" s="90">
        <f>(S212&amp;RIGHT(R212,1))*1</f>
      </c>
      <c r="H212" s="1"/>
      <c r="I212" s="111"/>
      <c r="J212" s="126">
        <f>Planning!Q80</f>
      </c>
      <c r="K212" s="93">
        <f>VLOOKUP(J212,AA$23:AE$88,5,FALSE)</f>
      </c>
      <c r="L212" s="122">
        <f>Planning!W80</f>
      </c>
      <c r="M212" s="121">
        <f>IF(Planning!AD80=0,0,IFERROR($AD80*AJ$22,0))</f>
      </c>
      <c r="N212" s="171">
        <f>IF(Planning!AD80=0,0,IFERROR($AD80*AJ$22*K212,0))</f>
      </c>
      <c r="O212" s="96">
        <f>IF(ISTEXT(Planning!W80),0,AJ80)</f>
      </c>
      <c r="P212" s="94">
        <f>Planning!AD80</f>
      </c>
      <c r="Q212" s="121">
        <f>Progress!V80</f>
      </c>
      <c r="R212" s="95">
        <f>IF(Q212=0,0,IF(ISNUMBER(Q212),IF(S212&gt;=$G$21,$F$21,"Q65"),Q212))</f>
      </c>
      <c r="S212" s="122">
        <f>Progress!W80</f>
      </c>
      <c r="T212" s="97"/>
      <c r="U212" s="96">
        <f>V212/$N$419</f>
      </c>
      <c r="V212" s="176">
        <f>IF(L212&lt;$E$20,0,IF(ISTEXT(L212),0,IF(AND(G212+1&gt;=$E$19+1,L212&gt;0),IF(ISNUMBER(Q212),Q212*$AD80*AJ$22*K212,$AD80*AJ$22*K212),0)))</f>
      </c>
      <c r="W212" s="95">
        <f>IF(AND(L212&gt;0,S212&gt;0),IF(ISNUMBER(Q212),Q212*$AD80*AJ$22*K212,$AD80*AJ$22*K212),0)</f>
      </c>
      <c r="X212" s="17"/>
      <c r="Y212" s="11"/>
      <c r="Z212" s="11"/>
      <c r="AA212" s="187" t="s">
        <v>144</v>
      </c>
      <c r="AB212" s="99">
        <v>150</v>
      </c>
      <c r="AC212" s="188">
        <v>3</v>
      </c>
      <c r="AD212" s="195"/>
      <c r="AE212" s="196"/>
      <c r="AF212" s="8"/>
      <c r="AG212" s="1"/>
      <c r="AH212" s="6"/>
      <c r="AI212" s="6"/>
      <c r="AJ212" s="6"/>
      <c r="AK212" s="6"/>
      <c r="AL212" s="6"/>
      <c r="AM212" s="6"/>
      <c r="AN212" s="6"/>
      <c r="AO212" s="1"/>
      <c r="AP212" s="9"/>
      <c r="AQ212" s="2"/>
      <c r="AR212" s="3"/>
      <c r="AS212" s="10"/>
      <c r="AT212" s="1"/>
      <c r="AU212" s="1"/>
      <c r="AV212" s="1"/>
      <c r="AW212" s="1"/>
      <c r="AX212" s="1"/>
      <c r="AY212" s="1"/>
      <c r="AZ212" s="1"/>
      <c r="BA212" s="1"/>
      <c r="BB212" s="1"/>
      <c r="BC212" s="1"/>
      <c r="BD212" s="1"/>
      <c r="BE212" s="1"/>
      <c r="BF212" s="1"/>
      <c r="BG212" s="1"/>
      <c r="BH212" s="1"/>
    </row>
    <row x14ac:dyDescent="0.25" r="213" customHeight="1" ht="14.5">
      <c r="A213" s="1"/>
      <c r="B213" s="1"/>
      <c r="C213" s="1"/>
      <c r="D213" s="1"/>
      <c r="E213" s="2"/>
      <c r="F213" s="2"/>
      <c r="G213" s="90">
        <f>(S213&amp;RIGHT(R213,1))*1</f>
      </c>
      <c r="H213" s="1"/>
      <c r="I213" s="111"/>
      <c r="J213" s="126">
        <f>Planning!Q81</f>
      </c>
      <c r="K213" s="93">
        <f>VLOOKUP(J213,AA$23:AE$88,5,FALSE)</f>
      </c>
      <c r="L213" s="122">
        <f>Planning!W81</f>
      </c>
      <c r="M213" s="121">
        <f>IF(Planning!AD81=0,0,IFERROR($AD81*AJ$22,0))</f>
      </c>
      <c r="N213" s="171">
        <f>IF(Planning!AD81=0,0,IFERROR($AD81*AJ$22*K213,0))</f>
      </c>
      <c r="O213" s="96">
        <f>IF(ISTEXT(Planning!W81),0,AJ81)</f>
      </c>
      <c r="P213" s="94">
        <f>Planning!AD81</f>
      </c>
      <c r="Q213" s="121">
        <f>Progress!V81</f>
      </c>
      <c r="R213" s="95">
        <f>IF(Q213=0,0,IF(ISNUMBER(Q213),IF(S213&gt;=$G$21,$F$21,"Q66"),Q213))</f>
      </c>
      <c r="S213" s="122">
        <f>Progress!W81</f>
      </c>
      <c r="T213" s="97"/>
      <c r="U213" s="96">
        <f>V213/$N$419</f>
      </c>
      <c r="V213" s="176">
        <f>IF(L213&lt;$E$20,0,IF(ISTEXT(L213),0,IF(AND(G213+1&gt;=$E$19+1,L213&gt;0),IF(ISNUMBER(Q213),Q213*$AD81*AJ$22*K213,$AD81*AJ$22*K213),0)))</f>
      </c>
      <c r="W213" s="95">
        <f>IF(AND(L213&gt;0,S213&gt;0),IF(ISNUMBER(Q213),Q213*$AD81*AJ$22*K213,$AD81*AJ$22*K213),0)</f>
      </c>
      <c r="X213" s="17"/>
      <c r="Y213" s="11"/>
      <c r="Z213" s="11"/>
      <c r="AA213" s="187" t="s">
        <v>148</v>
      </c>
      <c r="AB213" s="99">
        <v>88</v>
      </c>
      <c r="AC213" s="188">
        <v>3</v>
      </c>
      <c r="AD213" s="195"/>
      <c r="AE213" s="196"/>
      <c r="AF213" s="8"/>
      <c r="AG213" s="1"/>
      <c r="AH213" s="6"/>
      <c r="AI213" s="6"/>
      <c r="AJ213" s="6"/>
      <c r="AK213" s="6"/>
      <c r="AL213" s="6"/>
      <c r="AM213" s="6"/>
      <c r="AN213" s="6"/>
      <c r="AO213" s="1"/>
      <c r="AP213" s="9"/>
      <c r="AQ213" s="2"/>
      <c r="AR213" s="3"/>
      <c r="AS213" s="10"/>
      <c r="AT213" s="1"/>
      <c r="AU213" s="1"/>
      <c r="AV213" s="1"/>
      <c r="AW213" s="1"/>
      <c r="AX213" s="1"/>
      <c r="AY213" s="1"/>
      <c r="AZ213" s="1"/>
      <c r="BA213" s="1"/>
      <c r="BB213" s="1"/>
      <c r="BC213" s="1"/>
      <c r="BD213" s="1"/>
      <c r="BE213" s="1"/>
      <c r="BF213" s="1"/>
      <c r="BG213" s="1"/>
      <c r="BH213" s="1"/>
    </row>
    <row x14ac:dyDescent="0.25" r="214" customHeight="1" ht="14.5">
      <c r="A214" s="1"/>
      <c r="B214" s="1"/>
      <c r="C214" s="1"/>
      <c r="D214" s="1"/>
      <c r="E214" s="2"/>
      <c r="F214" s="2"/>
      <c r="G214" s="90">
        <f>(S214&amp;RIGHT(R214,1))*1</f>
      </c>
      <c r="H214" s="1"/>
      <c r="I214" s="111"/>
      <c r="J214" s="126">
        <f>Planning!Q82</f>
      </c>
      <c r="K214" s="93">
        <f>VLOOKUP(J214,AA$23:AE$88,5,FALSE)</f>
      </c>
      <c r="L214" s="122">
        <f>Planning!W82</f>
      </c>
      <c r="M214" s="121">
        <f>IF(Planning!AD82=0,0,IFERROR($AD82*AJ$22,0))</f>
      </c>
      <c r="N214" s="171">
        <f>IF(Planning!AD82=0,0,IFERROR($AD82*AJ$22*K214,0))</f>
      </c>
      <c r="O214" s="96">
        <f>IF(ISTEXT(Planning!W82),0,AJ82)</f>
      </c>
      <c r="P214" s="94">
        <f>Planning!AD82</f>
      </c>
      <c r="Q214" s="121">
        <f>Progress!V82</f>
      </c>
      <c r="R214" s="95">
        <f>IF(Q214=0,0,IF(ISNUMBER(Q214),IF(S214&gt;=$G$21,$F$21,"Q67"),Q214))</f>
      </c>
      <c r="S214" s="122">
        <f>Progress!W82</f>
      </c>
      <c r="T214" s="97"/>
      <c r="U214" s="96">
        <f>V214/$N$419</f>
      </c>
      <c r="V214" s="176">
        <f>IF(L214&lt;$E$20,0,IF(ISTEXT(L214),0,IF(AND(G214+1&gt;=$E$19+1,L214&gt;0),IF(ISNUMBER(Q214),Q214*$AD82*AJ$22*K214,$AD82*AJ$22*K214),0)))</f>
      </c>
      <c r="W214" s="95">
        <f>IF(AND(L214&gt;0,S214&gt;0),IF(ISNUMBER(Q214),Q214*$AD82*AJ$22*K214,$AD82*AJ$22*K214),0)</f>
      </c>
      <c r="X214" s="17"/>
      <c r="Y214" s="11"/>
      <c r="Z214" s="11"/>
      <c r="AA214" s="187" t="s">
        <v>152</v>
      </c>
      <c r="AB214" s="99">
        <v>136</v>
      </c>
      <c r="AC214" s="188">
        <v>4</v>
      </c>
      <c r="AD214" s="195"/>
      <c r="AE214" s="196"/>
      <c r="AF214" s="8"/>
      <c r="AG214" s="1"/>
      <c r="AH214" s="6"/>
      <c r="AI214" s="6"/>
      <c r="AJ214" s="6"/>
      <c r="AK214" s="6"/>
      <c r="AL214" s="6"/>
      <c r="AM214" s="6"/>
      <c r="AN214" s="6"/>
      <c r="AO214" s="1"/>
      <c r="AP214" s="9"/>
      <c r="AQ214" s="2"/>
      <c r="AR214" s="3"/>
      <c r="AS214" s="10"/>
      <c r="AT214" s="1"/>
      <c r="AU214" s="1"/>
      <c r="AV214" s="1"/>
      <c r="AW214" s="1"/>
      <c r="AX214" s="1"/>
      <c r="AY214" s="1"/>
      <c r="AZ214" s="1"/>
      <c r="BA214" s="1"/>
      <c r="BB214" s="1"/>
      <c r="BC214" s="1"/>
      <c r="BD214" s="1"/>
      <c r="BE214" s="1"/>
      <c r="BF214" s="1"/>
      <c r="BG214" s="1"/>
      <c r="BH214" s="1"/>
    </row>
    <row x14ac:dyDescent="0.25" r="215" customHeight="1" ht="14.5">
      <c r="A215" s="1"/>
      <c r="B215" s="1"/>
      <c r="C215" s="1"/>
      <c r="D215" s="1"/>
      <c r="E215" s="2"/>
      <c r="F215" s="2"/>
      <c r="G215" s="90">
        <f>(S215&amp;RIGHT(R215,1))*1</f>
      </c>
      <c r="H215" s="1"/>
      <c r="I215" s="111"/>
      <c r="J215" s="126">
        <f>Planning!Q83</f>
      </c>
      <c r="K215" s="93">
        <f>VLOOKUP(J215,AA$23:AE$88,5,FALSE)</f>
      </c>
      <c r="L215" s="122">
        <f>Planning!W83</f>
      </c>
      <c r="M215" s="121">
        <f>IF(Planning!AD83=0,0,IFERROR($AD83*AJ$22,0))</f>
      </c>
      <c r="N215" s="171">
        <f>IF(Planning!AD83=0,0,IFERROR($AD83*AJ$22*K215,0))</f>
      </c>
      <c r="O215" s="96">
        <f>IF(ISTEXT(Planning!W83),0,AJ83)</f>
      </c>
      <c r="P215" s="94">
        <f>Planning!AD83</f>
      </c>
      <c r="Q215" s="121">
        <f>Progress!V83</f>
      </c>
      <c r="R215" s="95">
        <f>IF(Q215=0,0,IF(ISNUMBER(Q215),IF(S215&gt;=$G$21,$F$21,"Q4"),Q215))</f>
      </c>
      <c r="S215" s="122">
        <f>Progress!W83</f>
      </c>
      <c r="T215" s="97"/>
      <c r="U215" s="96">
        <f>V215/$N$419</f>
      </c>
      <c r="V215" s="176">
        <f>IF(L215&lt;$E$20,0,IF(ISTEXT(L215),0,IF(AND(G215+1&gt;=$E$19+1,L215&gt;0),IF(ISNUMBER(Q215),Q215*$AD83*AJ$22*K215,$AD83*AJ$22*K215),0)))</f>
      </c>
      <c r="W215" s="95">
        <f>IF(AND(L215&gt;0,S215&gt;0),IF(ISNUMBER(Q215),Q215*$AD83*AJ$22*K215,$AD83*AJ$22*K215),0)</f>
      </c>
      <c r="X215" s="17"/>
      <c r="Y215" s="11"/>
      <c r="Z215" s="11"/>
      <c r="AA215" s="187" t="s">
        <v>156</v>
      </c>
      <c r="AB215" s="99">
        <v>493</v>
      </c>
      <c r="AC215" s="188">
        <v>3</v>
      </c>
      <c r="AD215" s="195"/>
      <c r="AE215" s="196"/>
      <c r="AF215" s="8"/>
      <c r="AG215" s="1"/>
      <c r="AH215" s="6"/>
      <c r="AI215" s="6"/>
      <c r="AJ215" s="6"/>
      <c r="AK215" s="6"/>
      <c r="AL215" s="6"/>
      <c r="AM215" s="6"/>
      <c r="AN215" s="6"/>
      <c r="AO215" s="1"/>
      <c r="AP215" s="9"/>
      <c r="AQ215" s="2"/>
      <c r="AR215" s="3"/>
      <c r="AS215" s="10"/>
      <c r="AT215" s="1"/>
      <c r="AU215" s="1"/>
      <c r="AV215" s="1"/>
      <c r="AW215" s="1"/>
      <c r="AX215" s="1"/>
      <c r="AY215" s="1"/>
      <c r="AZ215" s="1"/>
      <c r="BA215" s="1"/>
      <c r="BB215" s="1"/>
      <c r="BC215" s="1"/>
      <c r="BD215" s="1"/>
      <c r="BE215" s="1"/>
      <c r="BF215" s="1"/>
      <c r="BG215" s="1"/>
      <c r="BH215" s="1"/>
    </row>
    <row x14ac:dyDescent="0.25" r="216" customHeight="1" ht="14.5">
      <c r="A216" s="1"/>
      <c r="B216" s="1"/>
      <c r="C216" s="1"/>
      <c r="D216" s="1"/>
      <c r="E216" s="2"/>
      <c r="F216" s="2"/>
      <c r="G216" s="90">
        <f>(S216&amp;RIGHT(R216,1))*1</f>
      </c>
      <c r="H216" s="1"/>
      <c r="I216" s="111"/>
      <c r="J216" s="126">
        <f>Planning!Q84</f>
      </c>
      <c r="K216" s="93">
        <f>VLOOKUP(J216,AA$23:AE$88,5,FALSE)</f>
      </c>
      <c r="L216" s="122">
        <f>Planning!W84</f>
      </c>
      <c r="M216" s="121">
        <f>IF(Planning!AD84=0,0,IFERROR($AD84*AJ$22,0))</f>
      </c>
      <c r="N216" s="171">
        <f>IF(Planning!AD84=0,0,IFERROR($AD84*AJ$22*K216,0))</f>
      </c>
      <c r="O216" s="96">
        <f>IF(ISTEXT(Planning!W84),0,AJ84)</f>
      </c>
      <c r="P216" s="94">
        <f>Planning!AD84</f>
      </c>
      <c r="Q216" s="121">
        <f>Progress!V84</f>
      </c>
      <c r="R216" s="95">
        <f>IF(Q216=0,0,IF(ISNUMBER(Q216),IF(S216&gt;=$G$21,$F$21,"Q5"),Q216))</f>
      </c>
      <c r="S216" s="122">
        <f>Progress!W84</f>
      </c>
      <c r="T216" s="97"/>
      <c r="U216" s="96">
        <f>V216/$N$419</f>
      </c>
      <c r="V216" s="176">
        <f>IF(L216&lt;$E$20,0,IF(ISTEXT(L216),0,IF(AND(G216+1&gt;=$E$19+1,L216&gt;0),IF(ISNUMBER(Q216),Q216*$AD84*AJ$22*K216,$AD84*AJ$22*K216),0)))</f>
      </c>
      <c r="W216" s="95">
        <f>IF(AND(L216&gt;0,S216&gt;0),IF(ISNUMBER(Q216),Q216*$AD84*AJ$22*K216,$AD84*AJ$22*K216),0)</f>
      </c>
      <c r="X216" s="17"/>
      <c r="Y216" s="11"/>
      <c r="Z216" s="11"/>
      <c r="AA216" s="187" t="s">
        <v>159</v>
      </c>
      <c r="AB216" s="99">
        <v>217</v>
      </c>
      <c r="AC216" s="188">
        <v>5</v>
      </c>
      <c r="AD216" s="195"/>
      <c r="AE216" s="196"/>
      <c r="AF216" s="8"/>
      <c r="AG216" s="1"/>
      <c r="AH216" s="6"/>
      <c r="AI216" s="6"/>
      <c r="AJ216" s="6"/>
      <c r="AK216" s="6"/>
      <c r="AL216" s="6"/>
      <c r="AM216" s="6"/>
      <c r="AN216" s="6"/>
      <c r="AO216" s="1"/>
      <c r="AP216" s="9"/>
      <c r="AQ216" s="2"/>
      <c r="AR216" s="3"/>
      <c r="AS216" s="10"/>
      <c r="AT216" s="1"/>
      <c r="AU216" s="1"/>
      <c r="AV216" s="1"/>
      <c r="AW216" s="1"/>
      <c r="AX216" s="1"/>
      <c r="AY216" s="1"/>
      <c r="AZ216" s="1"/>
      <c r="BA216" s="1"/>
      <c r="BB216" s="1"/>
      <c r="BC216" s="1"/>
      <c r="BD216" s="1"/>
      <c r="BE216" s="1"/>
      <c r="BF216" s="1"/>
      <c r="BG216" s="1"/>
      <c r="BH216" s="1"/>
    </row>
    <row x14ac:dyDescent="0.25" r="217" customHeight="1" ht="14.5">
      <c r="A217" s="1"/>
      <c r="B217" s="1"/>
      <c r="C217" s="1"/>
      <c r="D217" s="1"/>
      <c r="E217" s="2"/>
      <c r="F217" s="2"/>
      <c r="G217" s="90">
        <f>(S217&amp;RIGHT(R217,1))*1</f>
      </c>
      <c r="H217" s="1"/>
      <c r="I217" s="111"/>
      <c r="J217" s="126">
        <f>Planning!Q85</f>
      </c>
      <c r="K217" s="93">
        <f>VLOOKUP(J217,AA$23:AE$88,5,FALSE)</f>
      </c>
      <c r="L217" s="122">
        <f>Planning!W85</f>
      </c>
      <c r="M217" s="121">
        <f>IF(Planning!AD85=0,0,IFERROR($AD85*AJ$22,0))</f>
      </c>
      <c r="N217" s="171">
        <f>IF(Planning!AD85=0,0,IFERROR($AD85*AJ$22*K217,0))</f>
      </c>
      <c r="O217" s="96">
        <f>IF(ISTEXT(Planning!W85),0,AJ85)</f>
      </c>
      <c r="P217" s="94">
        <f>Planning!AD85</f>
      </c>
      <c r="Q217" s="121">
        <f>Progress!V85</f>
      </c>
      <c r="R217" s="95">
        <f>IF(Q217=0,0,IF(ISNUMBER(Q217),IF(S217&gt;=$G$21,$F$21,"Q6"),Q217))</f>
      </c>
      <c r="S217" s="122">
        <f>Progress!W85</f>
      </c>
      <c r="T217" s="97"/>
      <c r="U217" s="96">
        <f>V217/$N$419</f>
      </c>
      <c r="V217" s="176">
        <f>IF(L217&lt;$E$20,0,IF(ISTEXT(L217),0,IF(AND(G217+1&gt;=$E$19+1,L217&gt;0),IF(ISNUMBER(Q217),Q217*$AD85*AJ$22*K217,$AD85*AJ$22*K217),0)))</f>
      </c>
      <c r="W217" s="95">
        <f>IF(AND(L217&gt;0,S217&gt;0),IF(ISNUMBER(Q217),Q217*$AD85*AJ$22*K217,$AD85*AJ$22*K217),0)</f>
      </c>
      <c r="X217" s="17"/>
      <c r="Y217" s="11"/>
      <c r="Z217" s="11"/>
      <c r="AA217" s="187" t="s">
        <v>162</v>
      </c>
      <c r="AB217" s="99">
        <v>217</v>
      </c>
      <c r="AC217" s="188">
        <v>4</v>
      </c>
      <c r="AD217" s="195"/>
      <c r="AE217" s="196"/>
      <c r="AF217" s="8"/>
      <c r="AG217" s="1"/>
      <c r="AH217" s="6"/>
      <c r="AI217" s="6"/>
      <c r="AJ217" s="6"/>
      <c r="AK217" s="6"/>
      <c r="AL217" s="6"/>
      <c r="AM217" s="6"/>
      <c r="AN217" s="6"/>
      <c r="AO217" s="1"/>
      <c r="AP217" s="9"/>
      <c r="AQ217" s="2"/>
      <c r="AR217" s="3"/>
      <c r="AS217" s="10"/>
      <c r="AT217" s="1"/>
      <c r="AU217" s="1"/>
      <c r="AV217" s="1"/>
      <c r="AW217" s="1"/>
      <c r="AX217" s="1"/>
      <c r="AY217" s="1"/>
      <c r="AZ217" s="1"/>
      <c r="BA217" s="1"/>
      <c r="BB217" s="1"/>
      <c r="BC217" s="1"/>
      <c r="BD217" s="1"/>
      <c r="BE217" s="1"/>
      <c r="BF217" s="1"/>
      <c r="BG217" s="1"/>
      <c r="BH217" s="1"/>
    </row>
    <row x14ac:dyDescent="0.25" r="218" customHeight="1" ht="14.5">
      <c r="A218" s="1"/>
      <c r="B218" s="1"/>
      <c r="C218" s="1"/>
      <c r="D218" s="1"/>
      <c r="E218" s="2"/>
      <c r="F218" s="2"/>
      <c r="G218" s="90">
        <f>(S218&amp;RIGHT(R218,1))*1</f>
      </c>
      <c r="H218" s="1"/>
      <c r="I218" s="111"/>
      <c r="J218" s="126">
        <f>Planning!Q86</f>
      </c>
      <c r="K218" s="93">
        <f>VLOOKUP(J218,AA$23:AE$88,5,FALSE)</f>
      </c>
      <c r="L218" s="122">
        <f>Planning!W86</f>
      </c>
      <c r="M218" s="121">
        <f>IF(Planning!AD86=0,0,IFERROR($AD86*AJ$22,0))</f>
      </c>
      <c r="N218" s="171">
        <f>IF(Planning!AD86=0,0,IFERROR($AD86*AJ$22*K218,0))</f>
      </c>
      <c r="O218" s="96">
        <f>IF(ISTEXT(Planning!W86),0,AJ86)</f>
      </c>
      <c r="P218" s="94">
        <f>Planning!AD86</f>
      </c>
      <c r="Q218" s="121">
        <f>Progress!V86</f>
      </c>
      <c r="R218" s="95">
        <f>IF(Q218=0,0,IF(ISNUMBER(Q218),IF(S218&gt;=$G$21,$F$21,"Q7"),Q218))</f>
      </c>
      <c r="S218" s="122">
        <f>Progress!W86</f>
      </c>
      <c r="T218" s="97"/>
      <c r="U218" s="96">
        <f>V218/$N$419</f>
      </c>
      <c r="V218" s="176">
        <f>IF(L218&lt;$E$20,0,IF(ISTEXT(L218),0,IF(AND(G218+1&gt;=$E$19+1,L218&gt;0),IF(ISNUMBER(Q218),Q218*$AD86*AJ$22*K218,$AD86*AJ$22*K218),0)))</f>
      </c>
      <c r="W218" s="95">
        <f>IF(AND(L218&gt;0,S218&gt;0),IF(ISNUMBER(Q218),Q218*$AD86*AJ$22*K218,$AD86*AJ$22*K218),0)</f>
      </c>
      <c r="X218" s="17"/>
      <c r="Y218" s="11"/>
      <c r="Z218" s="11"/>
      <c r="AA218" s="187" t="s">
        <v>165</v>
      </c>
      <c r="AB218" s="99">
        <v>138</v>
      </c>
      <c r="AC218" s="188">
        <v>4</v>
      </c>
      <c r="AD218" s="195"/>
      <c r="AE218" s="196"/>
      <c r="AF218" s="8"/>
      <c r="AG218" s="1"/>
      <c r="AH218" s="6"/>
      <c r="AI218" s="6"/>
      <c r="AJ218" s="6"/>
      <c r="AK218" s="6"/>
      <c r="AL218" s="6"/>
      <c r="AM218" s="6"/>
      <c r="AN218" s="6"/>
      <c r="AO218" s="1"/>
      <c r="AP218" s="9"/>
      <c r="AQ218" s="2"/>
      <c r="AR218" s="3"/>
      <c r="AS218" s="10"/>
      <c r="AT218" s="1"/>
      <c r="AU218" s="1"/>
      <c r="AV218" s="1"/>
      <c r="AW218" s="1"/>
      <c r="AX218" s="1"/>
      <c r="AY218" s="1"/>
      <c r="AZ218" s="1"/>
      <c r="BA218" s="1"/>
      <c r="BB218" s="1"/>
      <c r="BC218" s="1"/>
      <c r="BD218" s="1"/>
      <c r="BE218" s="1"/>
      <c r="BF218" s="1"/>
      <c r="BG218" s="1"/>
      <c r="BH218" s="1"/>
    </row>
    <row x14ac:dyDescent="0.25" r="219" customHeight="1" ht="14.5">
      <c r="A219" s="1"/>
      <c r="B219" s="1"/>
      <c r="C219" s="1"/>
      <c r="D219" s="1"/>
      <c r="E219" s="2"/>
      <c r="F219" s="2"/>
      <c r="G219" s="90">
        <f>(S219&amp;RIGHT(R219,1))*1</f>
      </c>
      <c r="H219" s="1"/>
      <c r="I219" s="111"/>
      <c r="J219" s="126">
        <f>Planning!Q87</f>
      </c>
      <c r="K219" s="93">
        <f>VLOOKUP(J219,AA$23:AE$88,5,FALSE)</f>
      </c>
      <c r="L219" s="122">
        <f>Planning!W87</f>
      </c>
      <c r="M219" s="121">
        <f>IF(Planning!AD87=0,0,IFERROR($AD87*AJ$22,0))</f>
      </c>
      <c r="N219" s="171">
        <f>IF(Planning!AD87=0,0,IFERROR($AD87*AJ$22*K219,0))</f>
      </c>
      <c r="O219" s="96">
        <f>IF(ISTEXT(Planning!W87),0,AJ87)</f>
      </c>
      <c r="P219" s="94">
        <f>Planning!AD87</f>
      </c>
      <c r="Q219" s="121">
        <f>Progress!V87</f>
      </c>
      <c r="R219" s="95">
        <f>IF(Q219=0,0,IF(ISNUMBER(Q219),IF(S219&gt;=$G$21,$F$21,"Q8"),Q219))</f>
      </c>
      <c r="S219" s="122">
        <f>Progress!W87</f>
      </c>
      <c r="T219" s="97"/>
      <c r="U219" s="96">
        <f>V219/$N$419</f>
      </c>
      <c r="V219" s="176">
        <f>IF(L219&lt;$E$20,0,IF(ISTEXT(L219),0,IF(AND(G219+1&gt;=$E$19+1,L219&gt;0),IF(ISNUMBER(Q219),Q219*$AD87*AJ$22*K219,$AD87*AJ$22*K219),0)))</f>
      </c>
      <c r="W219" s="95">
        <f>IF(AND(L219&gt;0,S219&gt;0),IF(ISNUMBER(Q219),Q219*$AD87*AJ$22*K219,$AD87*AJ$22*K219),0)</f>
      </c>
      <c r="X219" s="17"/>
      <c r="Y219" s="11"/>
      <c r="Z219" s="11"/>
      <c r="AA219" s="187" t="s">
        <v>167</v>
      </c>
      <c r="AB219" s="99">
        <v>149</v>
      </c>
      <c r="AC219" s="188">
        <v>5</v>
      </c>
      <c r="AD219" s="195"/>
      <c r="AE219" s="196"/>
      <c r="AF219" s="8"/>
      <c r="AG219" s="1"/>
      <c r="AH219" s="6"/>
      <c r="AI219" s="6"/>
      <c r="AJ219" s="6"/>
      <c r="AK219" s="6"/>
      <c r="AL219" s="6"/>
      <c r="AM219" s="6"/>
      <c r="AN219" s="6"/>
      <c r="AO219" s="1"/>
      <c r="AP219" s="9"/>
      <c r="AQ219" s="2"/>
      <c r="AR219" s="3"/>
      <c r="AS219" s="10"/>
      <c r="AT219" s="1"/>
      <c r="AU219" s="1"/>
      <c r="AV219" s="1"/>
      <c r="AW219" s="1"/>
      <c r="AX219" s="1"/>
      <c r="AY219" s="1"/>
      <c r="AZ219" s="1"/>
      <c r="BA219" s="1"/>
      <c r="BB219" s="1"/>
      <c r="BC219" s="1"/>
      <c r="BD219" s="1"/>
      <c r="BE219" s="1"/>
      <c r="BF219" s="1"/>
      <c r="BG219" s="1"/>
      <c r="BH219" s="1"/>
    </row>
    <row x14ac:dyDescent="0.25" r="220" customHeight="1" ht="15">
      <c r="A220" s="1"/>
      <c r="B220" s="1"/>
      <c r="C220" s="1"/>
      <c r="D220" s="1"/>
      <c r="E220" s="2"/>
      <c r="F220" s="2"/>
      <c r="G220" s="90">
        <f>(S220&amp;RIGHT(R220,1))*1</f>
      </c>
      <c r="H220" s="1"/>
      <c r="I220" s="153"/>
      <c r="J220" s="154">
        <f>Planning!Q88</f>
      </c>
      <c r="K220" s="124">
        <f>VLOOKUP(J220,AA$23:AE$88,5,FALSE)</f>
      </c>
      <c r="L220" s="155">
        <f>Planning!W88</f>
      </c>
      <c r="M220" s="156">
        <f>IF(Planning!AD88=0,0,IFERROR($AD88*AJ$22,0))</f>
      </c>
      <c r="N220" s="157">
        <f>IF(Planning!AD88=0,0,IFERROR($AD88*AJ$22*K220,0))</f>
      </c>
      <c r="O220" s="158">
        <f>IF(ISTEXT(Planning!W88),0,AJ88)</f>
      </c>
      <c r="P220" s="155">
        <f>Planning!AD88</f>
      </c>
      <c r="Q220" s="156">
        <f>Progress!V88</f>
      </c>
      <c r="R220" s="156">
        <f>IF(Q220=0,0,IF(ISNUMBER(Q220),IF(S220&gt;=$G$21,$F$21,"Q9"),Q220))</f>
      </c>
      <c r="S220" s="155">
        <f>Progress!W88</f>
      </c>
      <c r="T220" s="160"/>
      <c r="U220" s="158">
        <f>V220/$N$419</f>
      </c>
      <c r="V220" s="161">
        <f>IF(L220&lt;$E$20,0,IF(ISTEXT(L220),0,IF(AND(G220+1&gt;=$E$19+1,L220&gt;0),IF(ISNUMBER(Q220),Q220*$AD88*AJ$22*K220,$AD88*AJ$22*K220),0)))</f>
      </c>
      <c r="W220" s="156">
        <f>IF(AND(L220&gt;0,S220&gt;0),IF(ISNUMBER(Q220),Q220*$AD88*AJ$22*K220,$AD88*AJ$22*K220),0)</f>
      </c>
      <c r="X220" s="17"/>
      <c r="Y220" s="11"/>
      <c r="Z220" s="11"/>
      <c r="AA220" s="187" t="s">
        <v>169</v>
      </c>
      <c r="AB220" s="99">
        <v>138</v>
      </c>
      <c r="AC220" s="188">
        <v>5</v>
      </c>
      <c r="AD220" s="195"/>
      <c r="AE220" s="196"/>
      <c r="AF220" s="8"/>
      <c r="AG220" s="1"/>
      <c r="AH220" s="6"/>
      <c r="AI220" s="6"/>
      <c r="AJ220" s="6"/>
      <c r="AK220" s="6"/>
      <c r="AL220" s="6"/>
      <c r="AM220" s="6"/>
      <c r="AN220" s="6"/>
      <c r="AO220" s="1"/>
      <c r="AP220" s="9"/>
      <c r="AQ220" s="2"/>
      <c r="AR220" s="3"/>
      <c r="AS220" s="10"/>
      <c r="AT220" s="1"/>
      <c r="AU220" s="1"/>
      <c r="AV220" s="1"/>
      <c r="AW220" s="1"/>
      <c r="AX220" s="1"/>
      <c r="AY220" s="1"/>
      <c r="AZ220" s="1"/>
      <c r="BA220" s="1"/>
      <c r="BB220" s="1"/>
      <c r="BC220" s="1"/>
      <c r="BD220" s="1"/>
      <c r="BE220" s="1"/>
      <c r="BF220" s="1"/>
      <c r="BG220" s="1"/>
      <c r="BH220" s="1"/>
    </row>
    <row x14ac:dyDescent="0.25" r="221" customHeight="1" ht="12.75">
      <c r="A221" s="1"/>
      <c r="B221" s="1"/>
      <c r="C221" s="1"/>
      <c r="D221" s="1"/>
      <c r="E221" s="2"/>
      <c r="F221" s="2"/>
      <c r="G221" s="90">
        <f>(S221&amp;RIGHT(R221,1))*1</f>
      </c>
      <c r="H221" s="1"/>
      <c r="I221" s="91">
        <f>Planning!X18</f>
      </c>
      <c r="J221" s="120">
        <f>Planning!Q23</f>
      </c>
      <c r="K221" s="150">
        <f>VLOOKUP(J221,AA$23:AE$88,5,FALSE)</f>
      </c>
      <c r="L221" s="122">
        <f>Planning!X23</f>
      </c>
      <c r="M221" s="121">
        <f>IF(Planning!AE23=0,0,IFERROR($AD23*AK$22,0))</f>
      </c>
      <c r="N221" s="151">
        <f>IF(Planning!AE23=0,0,IFERROR($AD23*AK$22*K221,0))</f>
      </c>
      <c r="O221" s="163">
        <f>IF(ISTEXT(Planning!X23),0,AK23)</f>
      </c>
      <c r="P221" s="122">
        <f>Planning!AE23</f>
      </c>
      <c r="Q221" s="121">
        <f>Progress!X23</f>
      </c>
      <c r="R221" s="121">
        <f>IF(Q221=0,0,IF(ISNUMBER(Q221),IF(S221&gt;=$G$21,$F$21,"Q10"),Q221))</f>
      </c>
      <c r="S221" s="122">
        <f>Progress!Y23</f>
      </c>
      <c r="T221" s="164"/>
      <c r="U221" s="163">
        <f>V221/$N$419</f>
      </c>
      <c r="V221" s="152">
        <f>IF(L221&lt;$E$20,0,IF(ISTEXT(L221),0,IF(AND(G221+1&gt;=$E$19+1,L221&gt;0),IF(ISNUMBER(Q221),Q221*$AD23*AK$22*K221,$AD23*AK$22*K221),0)))</f>
      </c>
      <c r="W221" s="121">
        <f>IF(AND(L221&gt;0,S221&gt;0),IF(ISNUMBER(Q221),Q221*$AD23*AK$22*K221,$AD23*AK$22*K221),0)</f>
      </c>
      <c r="X221" s="17"/>
      <c r="Y221" s="11"/>
      <c r="Z221" s="11"/>
      <c r="AA221" s="187" t="s">
        <v>171</v>
      </c>
      <c r="AB221" s="99">
        <v>70</v>
      </c>
      <c r="AC221" s="188">
        <v>5</v>
      </c>
      <c r="AD221" s="195"/>
      <c r="AE221" s="196"/>
      <c r="AF221" s="8"/>
      <c r="AG221" s="1"/>
      <c r="AH221" s="6"/>
      <c r="AI221" s="6"/>
      <c r="AJ221" s="6"/>
      <c r="AK221" s="6"/>
      <c r="AL221" s="6"/>
      <c r="AM221" s="6"/>
      <c r="AN221" s="6"/>
      <c r="AO221" s="1"/>
      <c r="AP221" s="9"/>
      <c r="AQ221" s="2"/>
      <c r="AR221" s="3"/>
      <c r="AS221" s="10"/>
      <c r="AT221" s="1"/>
      <c r="AU221" s="1"/>
      <c r="AV221" s="1"/>
      <c r="AW221" s="1"/>
      <c r="AX221" s="1"/>
      <c r="AY221" s="1"/>
      <c r="AZ221" s="1"/>
      <c r="BA221" s="1"/>
      <c r="BB221" s="1"/>
      <c r="BC221" s="1"/>
      <c r="BD221" s="1"/>
      <c r="BE221" s="1"/>
      <c r="BF221" s="1"/>
      <c r="BG221" s="1"/>
      <c r="BH221" s="1"/>
    </row>
    <row x14ac:dyDescent="0.25" r="222" customHeight="1" ht="14.5">
      <c r="A222" s="1"/>
      <c r="B222" s="1"/>
      <c r="C222" s="1"/>
      <c r="D222" s="1"/>
      <c r="E222" s="2"/>
      <c r="F222" s="2"/>
      <c r="G222" s="90">
        <f>(S222&amp;RIGHT(R222,1))*1</f>
      </c>
      <c r="H222" s="1"/>
      <c r="I222" s="111"/>
      <c r="J222" s="120">
        <f>Planning!Q24</f>
      </c>
      <c r="K222" s="93">
        <f>VLOOKUP(J222,AA$23:AE$88,5,FALSE)</f>
      </c>
      <c r="L222" s="122">
        <f>Planning!X24</f>
      </c>
      <c r="M222" s="95">
        <f>IF(Planning!AE24=0,0,IFERROR($AD24*AK$22,0))</f>
      </c>
      <c r="N222" s="171">
        <f>IF(Planning!AE24=0,0,IFERROR($AD24*AK$22*K222,0))</f>
      </c>
      <c r="O222" s="96">
        <f>IF(ISTEXT(Planning!X24),0,AK24)</f>
      </c>
      <c r="P222" s="94">
        <f>Planning!AE24</f>
      </c>
      <c r="Q222" s="121">
        <f>Progress!X24</f>
      </c>
      <c r="R222" s="95">
        <f>IF(Q222=0,0,IF(ISNUMBER(Q222),IF(S222&gt;=$G$21,$F$21,"Q11"),Q222))</f>
      </c>
      <c r="S222" s="122">
        <f>Progress!Y24</f>
      </c>
      <c r="T222" s="97"/>
      <c r="U222" s="96">
        <f>V222/$N$419</f>
      </c>
      <c r="V222" s="176">
        <f>IF(L222&lt;$E$20,0,IF(ISTEXT(L222),0,IF(AND(G222+1&gt;=$E$19+1,L222&gt;0),IF(ISNUMBER(Q222),Q222*$AD24*AK$22*K222,$AD24*AK$22*K222),0)))</f>
      </c>
      <c r="W222" s="95">
        <f>IF(AND(L222&gt;0,S222&gt;0),IF(ISNUMBER(Q222),Q222*$AD24*AK$22*K222,$AD24*AK$22*K222),0)</f>
      </c>
      <c r="X222" s="17"/>
      <c r="Y222" s="11"/>
      <c r="Z222" s="11"/>
      <c r="AA222" s="187" t="s">
        <v>173</v>
      </c>
      <c r="AB222" s="99">
        <v>51</v>
      </c>
      <c r="AC222" s="188">
        <v>4</v>
      </c>
      <c r="AD222" s="195"/>
      <c r="AE222" s="196"/>
      <c r="AF222" s="8"/>
      <c r="AG222" s="1"/>
      <c r="AH222" s="6"/>
      <c r="AI222" s="6"/>
      <c r="AJ222" s="6"/>
      <c r="AK222" s="6"/>
      <c r="AL222" s="6"/>
      <c r="AM222" s="6"/>
      <c r="AN222" s="6"/>
      <c r="AO222" s="1"/>
      <c r="AP222" s="9"/>
      <c r="AQ222" s="2"/>
      <c r="AR222" s="3"/>
      <c r="AS222" s="10"/>
      <c r="AT222" s="1"/>
      <c r="AU222" s="1"/>
      <c r="AV222" s="1"/>
      <c r="AW222" s="1"/>
      <c r="AX222" s="1"/>
      <c r="AY222" s="1"/>
      <c r="AZ222" s="1"/>
      <c r="BA222" s="1"/>
      <c r="BB222" s="1"/>
      <c r="BC222" s="1"/>
      <c r="BD222" s="1"/>
      <c r="BE222" s="1"/>
      <c r="BF222" s="1"/>
      <c r="BG222" s="1"/>
      <c r="BH222" s="1"/>
    </row>
    <row x14ac:dyDescent="0.25" r="223" customHeight="1" ht="14.5">
      <c r="A223" s="1"/>
      <c r="B223" s="1"/>
      <c r="C223" s="1"/>
      <c r="D223" s="1"/>
      <c r="E223" s="2"/>
      <c r="F223" s="2"/>
      <c r="G223" s="90">
        <f>(S223&amp;RIGHT(R223,1))*1</f>
      </c>
      <c r="H223" s="1"/>
      <c r="I223" s="111"/>
      <c r="J223" s="120">
        <f>Planning!Q25</f>
      </c>
      <c r="K223" s="93">
        <f>VLOOKUP(J223,AA$23:AE$88,5,FALSE)</f>
      </c>
      <c r="L223" s="122">
        <f>Planning!X25</f>
      </c>
      <c r="M223" s="95">
        <f>IF(Planning!AE25=0,0,IFERROR($AD25*AK$22,0))</f>
      </c>
      <c r="N223" s="171">
        <f>IF(Planning!AE25=0,0,IFERROR($AD25*AK$22*K223,0))</f>
      </c>
      <c r="O223" s="96">
        <f>IF(ISTEXT(Planning!X25),0,AK25)</f>
      </c>
      <c r="P223" s="94">
        <f>Planning!AE25</f>
      </c>
      <c r="Q223" s="121">
        <f>Progress!X25</f>
      </c>
      <c r="R223" s="95">
        <f>IF(Q223=0,0,IF(ISNUMBER(Q223),IF(S223&gt;=$G$21,$F$21,"Q12"),Q223))</f>
      </c>
      <c r="S223" s="122">
        <f>Progress!Y25</f>
      </c>
      <c r="T223" s="97"/>
      <c r="U223" s="96">
        <f>V223/$N$419</f>
      </c>
      <c r="V223" s="176">
        <f>IF(L223&lt;$E$20,0,IF(ISTEXT(L223),0,IF(AND(G223+1&gt;=$E$19+1,L223&gt;0),IF(ISNUMBER(Q223),Q223*$AD25*AK$22*K223,$AD25*AK$22*K223),0)))</f>
      </c>
      <c r="W223" s="95">
        <f>IF(AND(L223&gt;0,S223&gt;0),IF(ISNUMBER(Q223),Q223*$AD25*AK$22*K223,$AD25*AK$22*K223),0)</f>
      </c>
      <c r="X223" s="17"/>
      <c r="Y223" s="11"/>
      <c r="Z223" s="11"/>
      <c r="AA223" s="187" t="s">
        <v>175</v>
      </c>
      <c r="AB223" s="99">
        <v>30</v>
      </c>
      <c r="AC223" s="188">
        <v>4</v>
      </c>
      <c r="AD223" s="195"/>
      <c r="AE223" s="196"/>
      <c r="AF223" s="8"/>
      <c r="AG223" s="1"/>
      <c r="AH223" s="6"/>
      <c r="AI223" s="6"/>
      <c r="AJ223" s="6"/>
      <c r="AK223" s="6"/>
      <c r="AL223" s="6"/>
      <c r="AM223" s="6"/>
      <c r="AN223" s="6"/>
      <c r="AO223" s="1"/>
      <c r="AP223" s="9"/>
      <c r="AQ223" s="2"/>
      <c r="AR223" s="3"/>
      <c r="AS223" s="10"/>
      <c r="AT223" s="1"/>
      <c r="AU223" s="1"/>
      <c r="AV223" s="1"/>
      <c r="AW223" s="1"/>
      <c r="AX223" s="1"/>
      <c r="AY223" s="1"/>
      <c r="AZ223" s="1"/>
      <c r="BA223" s="1"/>
      <c r="BB223" s="1"/>
      <c r="BC223" s="1"/>
      <c r="BD223" s="1"/>
      <c r="BE223" s="1"/>
      <c r="BF223" s="1"/>
      <c r="BG223" s="1"/>
      <c r="BH223" s="1"/>
    </row>
    <row x14ac:dyDescent="0.25" r="224" customHeight="1" ht="14.5">
      <c r="A224" s="1"/>
      <c r="B224" s="1"/>
      <c r="C224" s="1"/>
      <c r="D224" s="1"/>
      <c r="E224" s="2"/>
      <c r="F224" s="2"/>
      <c r="G224" s="90">
        <f>(S224&amp;RIGHT(R224,1))*1</f>
      </c>
      <c r="H224" s="1"/>
      <c r="I224" s="111"/>
      <c r="J224" s="120">
        <f>Planning!Q26</f>
      </c>
      <c r="K224" s="93">
        <f>VLOOKUP(J224,AA$23:AE$88,5,FALSE)</f>
      </c>
      <c r="L224" s="122">
        <f>Planning!X26</f>
      </c>
      <c r="M224" s="95">
        <f>IF(Planning!AE26=0,0,IFERROR($AD26*AK$22,0))</f>
      </c>
      <c r="N224" s="171">
        <f>IF(Planning!AE26=0,0,IFERROR($AD26*AK$22*K224,0))</f>
      </c>
      <c r="O224" s="96">
        <f>IF(ISTEXT(Planning!X26),0,AK26)</f>
      </c>
      <c r="P224" s="94">
        <f>Planning!AE26</f>
      </c>
      <c r="Q224" s="121">
        <f>Progress!X26</f>
      </c>
      <c r="R224" s="95">
        <f>IF(Q224=0,0,IF(ISNUMBER(Q224),IF(S224&gt;=$G$21,$F$21,"Q13"),Q224))</f>
      </c>
      <c r="S224" s="122">
        <f>Progress!Y26</f>
      </c>
      <c r="T224" s="97"/>
      <c r="U224" s="96">
        <f>V224/$N$419</f>
      </c>
      <c r="V224" s="176">
        <f>IF(L224&lt;$E$20,0,IF(ISTEXT(L224),0,IF(AND(G224+1&gt;=$E$19+1,L224&gt;0),IF(ISNUMBER(Q224),Q224*$AD26*AK$22*K224,$AD26*AK$22*K224),0)))</f>
      </c>
      <c r="W224" s="95">
        <f>IF(AND(L224&gt;0,S224&gt;0),IF(ISNUMBER(Q224),Q224*$AD26*AK$22*K224,$AD26*AK$22*K224),0)</f>
      </c>
      <c r="X224" s="17"/>
      <c r="Y224" s="11"/>
      <c r="Z224" s="11"/>
      <c r="AA224" s="187" t="s">
        <v>177</v>
      </c>
      <c r="AB224" s="99">
        <v>63</v>
      </c>
      <c r="AC224" s="188">
        <v>3</v>
      </c>
      <c r="AD224" s="195"/>
      <c r="AE224" s="196"/>
      <c r="AF224" s="8"/>
      <c r="AG224" s="1"/>
      <c r="AH224" s="6"/>
      <c r="AI224" s="6"/>
      <c r="AJ224" s="6"/>
      <c r="AK224" s="6"/>
      <c r="AL224" s="6"/>
      <c r="AM224" s="6"/>
      <c r="AN224" s="6"/>
      <c r="AO224" s="1"/>
      <c r="AP224" s="9"/>
      <c r="AQ224" s="2"/>
      <c r="AR224" s="3"/>
      <c r="AS224" s="10"/>
      <c r="AT224" s="1"/>
      <c r="AU224" s="1"/>
      <c r="AV224" s="1"/>
      <c r="AW224" s="1"/>
      <c r="AX224" s="1"/>
      <c r="AY224" s="1"/>
      <c r="AZ224" s="1"/>
      <c r="BA224" s="1"/>
      <c r="BB224" s="1"/>
      <c r="BC224" s="1"/>
      <c r="BD224" s="1"/>
      <c r="BE224" s="1"/>
      <c r="BF224" s="1"/>
      <c r="BG224" s="1"/>
      <c r="BH224" s="1"/>
    </row>
    <row x14ac:dyDescent="0.25" r="225" customHeight="1" ht="14.5">
      <c r="A225" s="1"/>
      <c r="B225" s="1"/>
      <c r="C225" s="1"/>
      <c r="D225" s="1"/>
      <c r="E225" s="2"/>
      <c r="F225" s="2"/>
      <c r="G225" s="90">
        <f>(S225&amp;RIGHT(R225,1))*1</f>
      </c>
      <c r="H225" s="1"/>
      <c r="I225" s="111"/>
      <c r="J225" s="120">
        <f>Planning!Q27</f>
      </c>
      <c r="K225" s="93">
        <f>VLOOKUP(J225,AA$23:AE$88,5,FALSE)</f>
      </c>
      <c r="L225" s="122">
        <f>Planning!X27</f>
      </c>
      <c r="M225" s="95">
        <f>IF(Planning!AE27=0,0,IFERROR($AD27*AK$22,0))</f>
      </c>
      <c r="N225" s="171">
        <f>IF(Planning!AE27=0,0,IFERROR($AD27*AK$22*K225,0))</f>
      </c>
      <c r="O225" s="96">
        <f>IF(ISTEXT(Planning!X27),0,AK27)</f>
      </c>
      <c r="P225" s="94">
        <f>Planning!AE27</f>
      </c>
      <c r="Q225" s="121">
        <f>Progress!X27</f>
      </c>
      <c r="R225" s="95">
        <f>IF(Q225=0,0,IF(ISNUMBER(Q225),IF(S225&gt;=$G$21,$F$21,"Q14"),Q225))</f>
      </c>
      <c r="S225" s="122">
        <f>Progress!Y27</f>
      </c>
      <c r="T225" s="97"/>
      <c r="U225" s="96">
        <f>V225/$N$419</f>
      </c>
      <c r="V225" s="176">
        <f>IF(L225&lt;$E$20,0,IF(ISTEXT(L225),0,IF(AND(G225+1&gt;=$E$19+1,L225&gt;0),IF(ISNUMBER(Q225),Q225*$AD27*AK$22*K225,$AD27*AK$22*K225),0)))</f>
      </c>
      <c r="W225" s="95">
        <f>IF(AND(L225&gt;0,S225&gt;0),IF(ISNUMBER(Q225),Q225*$AD27*AK$22*K225,$AD27*AK$22*K225),0)</f>
      </c>
      <c r="X225" s="17"/>
      <c r="Y225" s="11"/>
      <c r="Z225" s="11"/>
      <c r="AA225" s="187" t="s">
        <v>179</v>
      </c>
      <c r="AB225" s="99">
        <v>22</v>
      </c>
      <c r="AC225" s="188">
        <v>3</v>
      </c>
      <c r="AD225" s="195"/>
      <c r="AE225" s="196"/>
      <c r="AF225" s="8"/>
      <c r="AG225" s="1"/>
      <c r="AH225" s="6"/>
      <c r="AI225" s="6"/>
      <c r="AJ225" s="6"/>
      <c r="AK225" s="6"/>
      <c r="AL225" s="6"/>
      <c r="AM225" s="6"/>
      <c r="AN225" s="6"/>
      <c r="AO225" s="1"/>
      <c r="AP225" s="9"/>
      <c r="AQ225" s="2"/>
      <c r="AR225" s="3"/>
      <c r="AS225" s="10"/>
      <c r="AT225" s="1"/>
      <c r="AU225" s="1"/>
      <c r="AV225" s="1"/>
      <c r="AW225" s="11"/>
      <c r="AX225" s="11"/>
      <c r="AY225" s="1"/>
      <c r="AZ225" s="1"/>
      <c r="BA225" s="1"/>
      <c r="BB225" s="1"/>
      <c r="BC225" s="1"/>
      <c r="BD225" s="1"/>
      <c r="BE225" s="1"/>
      <c r="BF225" s="1"/>
      <c r="BG225" s="1"/>
      <c r="BH225" s="1"/>
    </row>
    <row x14ac:dyDescent="0.25" r="226" customHeight="1" ht="14.5">
      <c r="A226" s="1"/>
      <c r="B226" s="1"/>
      <c r="C226" s="1"/>
      <c r="D226" s="1"/>
      <c r="E226" s="2"/>
      <c r="F226" s="2"/>
      <c r="G226" s="90">
        <f>(S226&amp;RIGHT(R226,1))*1</f>
      </c>
      <c r="H226" s="1"/>
      <c r="I226" s="111"/>
      <c r="J226" s="126">
        <f>Planning!Q28</f>
      </c>
      <c r="K226" s="93">
        <f>VLOOKUP(J226,AA$23:AE$88,5,FALSE)</f>
      </c>
      <c r="L226" s="122">
        <f>Planning!X28</f>
      </c>
      <c r="M226" s="95">
        <f>IF(Planning!AE28=0,0,IFERROR($AD28*AK$22,0))</f>
      </c>
      <c r="N226" s="171">
        <f>IF(Planning!AE28=0,0,IFERROR($AD28*AK$22*K226,0))</f>
      </c>
      <c r="O226" s="96">
        <f>IF(ISTEXT(Planning!X28),0,AK28)</f>
      </c>
      <c r="P226" s="94">
        <f>Planning!AE28</f>
      </c>
      <c r="Q226" s="121">
        <f>Progress!X28</f>
      </c>
      <c r="R226" s="95">
        <f>IF(Q226=0,0,IF(ISNUMBER(Q226),IF(S226&gt;=$G$21,$F$21,"Q15"),Q226))</f>
      </c>
      <c r="S226" s="122">
        <f>Progress!Y28</f>
      </c>
      <c r="T226" s="97"/>
      <c r="U226" s="96">
        <f>V226/$N$419</f>
      </c>
      <c r="V226" s="176">
        <f>IF(L226&lt;$E$20,0,IF(ISTEXT(L226),0,IF(AND(G226+1&gt;=$E$19+1,L226&gt;0),IF(ISNUMBER(Q226),Q226*$AD28*AK$22*K226,$AD28*AK$22*K226),0)))</f>
      </c>
      <c r="W226" s="95">
        <f>IF(AND(L226&gt;0,S226&gt;0),IF(ISNUMBER(Q226),Q226*$AD28*AK$22*K226,$AD28*AK$22*K226),0)</f>
      </c>
      <c r="X226" s="17"/>
      <c r="Y226" s="11"/>
      <c r="Z226" s="11"/>
      <c r="AA226" s="201" t="s">
        <v>181</v>
      </c>
      <c r="AB226" s="198">
        <v>150</v>
      </c>
      <c r="AC226" s="202">
        <v>3</v>
      </c>
      <c r="AD226" s="203"/>
      <c r="AE226" s="200"/>
      <c r="AF226" s="8"/>
      <c r="AG226" s="1"/>
      <c r="AH226" s="6"/>
      <c r="AI226" s="6"/>
      <c r="AJ226" s="6"/>
      <c r="AK226" s="6"/>
      <c r="AL226" s="6"/>
      <c r="AM226" s="6"/>
      <c r="AN226" s="6"/>
      <c r="AO226" s="1"/>
      <c r="AP226" s="9"/>
      <c r="AQ226" s="2"/>
      <c r="AR226" s="3"/>
      <c r="AS226" s="10"/>
      <c r="AT226" s="1"/>
      <c r="AU226" s="1"/>
      <c r="AV226" s="1"/>
      <c r="AW226" s="1"/>
      <c r="AX226" s="1"/>
      <c r="AY226" s="1"/>
      <c r="AZ226" s="1"/>
      <c r="BA226" s="1"/>
      <c r="BB226" s="1"/>
      <c r="BC226" s="1"/>
      <c r="BD226" s="1"/>
      <c r="BE226" s="1"/>
      <c r="BF226" s="1"/>
      <c r="BG226" s="1"/>
      <c r="BH226" s="1"/>
    </row>
    <row x14ac:dyDescent="0.25" r="227" customHeight="1" ht="14.5">
      <c r="A227" s="1"/>
      <c r="B227" s="1"/>
      <c r="C227" s="1"/>
      <c r="D227" s="1"/>
      <c r="E227" s="2"/>
      <c r="F227" s="2"/>
      <c r="G227" s="90">
        <f>(S227&amp;RIGHT(R227,1))*1</f>
      </c>
      <c r="H227" s="1"/>
      <c r="I227" s="111"/>
      <c r="J227" s="126">
        <f>Planning!Q29</f>
      </c>
      <c r="K227" s="93">
        <f>VLOOKUP(J227,AA$23:AE$88,5,FALSE)</f>
      </c>
      <c r="L227" s="122">
        <f>Planning!X29</f>
      </c>
      <c r="M227" s="95">
        <f>IF(Planning!AE29=0,0,IFERROR($AD29*AK$22,0))</f>
      </c>
      <c r="N227" s="171">
        <f>IF(Planning!AE29=0,0,IFERROR($AD29*AK$22*K227,0))</f>
      </c>
      <c r="O227" s="96">
        <f>IF(ISTEXT(Planning!X29),0,AK29)</f>
      </c>
      <c r="P227" s="94">
        <f>Planning!AE29</f>
      </c>
      <c r="Q227" s="121">
        <f>Progress!X29</f>
      </c>
      <c r="R227" s="95">
        <f>IF(Q227=0,0,IF(ISNUMBER(Q227),IF(S227&gt;=$G$21,$F$21,"Q16"),Q227))</f>
      </c>
      <c r="S227" s="122">
        <f>Progress!Y29</f>
      </c>
      <c r="T227" s="97"/>
      <c r="U227" s="96">
        <f>V227/$N$419</f>
      </c>
      <c r="V227" s="176">
        <f>IF(L227&lt;$E$20,0,IF(ISTEXT(L227),0,IF(AND(G227+1&gt;=$E$19+1,L227&gt;0),IF(ISNUMBER(Q227),Q227*$AD29*AK$22*K227,$AD29*AK$22*K227),0)))</f>
      </c>
      <c r="W227" s="95">
        <f>IF(AND(L227&gt;0,S227&gt;0),IF(ISNUMBER(Q227),Q227*$AD29*AK$22*K227,$AD29*AK$22*K227),0)</f>
      </c>
      <c r="X227" s="17"/>
      <c r="Y227" s="11"/>
      <c r="Z227" s="11"/>
      <c r="AA227" s="3"/>
      <c r="AB227" s="3"/>
      <c r="AC227" s="3"/>
      <c r="AD227" s="3"/>
      <c r="AE227" s="4"/>
      <c r="AF227" s="8"/>
      <c r="AG227" s="1"/>
      <c r="AH227" s="6"/>
      <c r="AI227" s="6"/>
      <c r="AJ227" s="6"/>
      <c r="AK227" s="6"/>
      <c r="AL227" s="6"/>
      <c r="AM227" s="6"/>
      <c r="AN227" s="6"/>
      <c r="AO227" s="1"/>
      <c r="AP227" s="9"/>
      <c r="AQ227" s="2"/>
      <c r="AR227" s="3"/>
      <c r="AS227" s="10"/>
      <c r="AT227" s="1"/>
      <c r="AU227" s="1"/>
      <c r="AV227" s="1"/>
      <c r="AW227" s="1"/>
      <c r="AX227" s="1"/>
      <c r="AY227" s="1"/>
      <c r="AZ227" s="1"/>
      <c r="BA227" s="1"/>
      <c r="BB227" s="1"/>
      <c r="BC227" s="1"/>
      <c r="BD227" s="1"/>
      <c r="BE227" s="1"/>
      <c r="BF227" s="1"/>
      <c r="BG227" s="1"/>
      <c r="BH227" s="1"/>
    </row>
    <row x14ac:dyDescent="0.25" r="228" customHeight="1" ht="14.5">
      <c r="A228" s="1"/>
      <c r="B228" s="1"/>
      <c r="C228" s="1"/>
      <c r="D228" s="1"/>
      <c r="E228" s="2"/>
      <c r="F228" s="2"/>
      <c r="G228" s="90">
        <f>(S228&amp;RIGHT(R228,1))*1</f>
      </c>
      <c r="H228" s="1"/>
      <c r="I228" s="111"/>
      <c r="J228" s="126">
        <f>Planning!Q30</f>
      </c>
      <c r="K228" s="93">
        <f>VLOOKUP(J228,AA$23:AE$88,5,FALSE)</f>
      </c>
      <c r="L228" s="122">
        <f>Planning!X30</f>
      </c>
      <c r="M228" s="95">
        <f>IF(Planning!AE30=0,0,IFERROR($AD30*AK$22,0))</f>
      </c>
      <c r="N228" s="171">
        <f>IF(Planning!AE30=0,0,IFERROR($AD30*AK$22*K228,0))</f>
      </c>
      <c r="O228" s="96">
        <f>IF(ISTEXT(Planning!X30),0,AK30)</f>
      </c>
      <c r="P228" s="94">
        <f>Planning!AE30</f>
      </c>
      <c r="Q228" s="121">
        <f>Progress!X30</f>
      </c>
      <c r="R228" s="95">
        <f>IF(Q228=0,0,IF(ISNUMBER(Q228),IF(S228&gt;=$G$21,$F$21,"Q17"),Q228))</f>
      </c>
      <c r="S228" s="122">
        <f>Progress!Y30</f>
      </c>
      <c r="T228" s="97"/>
      <c r="U228" s="96">
        <f>V228/$N$419</f>
      </c>
      <c r="V228" s="176">
        <f>IF(L228&lt;$E$20,0,IF(ISTEXT(L228),0,IF(AND(G228+1&gt;=$E$19+1,L228&gt;0),IF(ISNUMBER(Q228),Q228*$AD30*AK$22*K228,$AD30*AK$22*K228),0)))</f>
      </c>
      <c r="W228" s="95">
        <f>IF(AND(L228&gt;0,S228&gt;0),IF(ISNUMBER(Q228),Q228*$AD30*AK$22*K228,$AD30*AK$22*K228),0)</f>
      </c>
      <c r="X228" s="17"/>
      <c r="Y228" s="11"/>
      <c r="Z228" s="11"/>
      <c r="AA228" s="3"/>
      <c r="AB228" s="3"/>
      <c r="AC228" s="3"/>
      <c r="AD228" s="3"/>
      <c r="AE228" s="4"/>
      <c r="AF228" s="8"/>
      <c r="AG228" s="1"/>
      <c r="AH228" s="6"/>
      <c r="AI228" s="6"/>
      <c r="AJ228" s="6"/>
      <c r="AK228" s="6"/>
      <c r="AL228" s="6"/>
      <c r="AM228" s="6"/>
      <c r="AN228" s="6"/>
      <c r="AO228" s="1"/>
      <c r="AP228" s="9"/>
      <c r="AQ228" s="2"/>
      <c r="AR228" s="3"/>
      <c r="AS228" s="10"/>
      <c r="AT228" s="1"/>
      <c r="AU228" s="1"/>
      <c r="AV228" s="1"/>
      <c r="AW228" s="1"/>
      <c r="AX228" s="1"/>
      <c r="AY228" s="1"/>
      <c r="AZ228" s="1"/>
      <c r="BA228" s="1"/>
      <c r="BB228" s="1"/>
      <c r="BC228" s="1"/>
      <c r="BD228" s="1"/>
      <c r="BE228" s="1"/>
      <c r="BF228" s="1"/>
      <c r="BG228" s="1"/>
      <c r="BH228" s="1"/>
    </row>
    <row x14ac:dyDescent="0.25" r="229" customHeight="1" ht="14.5">
      <c r="A229" s="1"/>
      <c r="B229" s="1"/>
      <c r="C229" s="1"/>
      <c r="D229" s="1"/>
      <c r="E229" s="2"/>
      <c r="F229" s="2"/>
      <c r="G229" s="90">
        <f>(S229&amp;RIGHT(R229,1))*1</f>
      </c>
      <c r="H229" s="1"/>
      <c r="I229" s="111"/>
      <c r="J229" s="126">
        <f>Planning!Q31</f>
      </c>
      <c r="K229" s="93">
        <f>VLOOKUP(J229,AA$23:AE$88,5,FALSE)</f>
      </c>
      <c r="L229" s="122">
        <f>Planning!X31</f>
      </c>
      <c r="M229" s="95">
        <f>IF(Planning!AE31=0,0,IFERROR($AD31*AK$22,0))</f>
      </c>
      <c r="N229" s="171">
        <f>IF(Planning!AE31=0,0,IFERROR($AD31*AK$22*K229,0))</f>
      </c>
      <c r="O229" s="96">
        <f>IF(ISTEXT(Planning!X31),0,AK31)</f>
      </c>
      <c r="P229" s="94">
        <f>Planning!AE31</f>
      </c>
      <c r="Q229" s="121">
        <f>Progress!X31</f>
      </c>
      <c r="R229" s="95">
        <f>IF(Q229=0,0,IF(ISNUMBER(Q229),IF(S229&gt;=$G$21,$F$21,"Q18"),Q229))</f>
      </c>
      <c r="S229" s="122">
        <f>Progress!Y31</f>
      </c>
      <c r="T229" s="97"/>
      <c r="U229" s="96">
        <f>V229/$N$419</f>
      </c>
      <c r="V229" s="176">
        <f>IF(L229&lt;$E$20,0,IF(ISTEXT(L229),0,IF(AND(G229+1&gt;=$E$19+1,L229&gt;0),IF(ISNUMBER(Q229),Q229*$AD31*AK$22*K229,$AD31*AK$22*K229),0)))</f>
      </c>
      <c r="W229" s="95">
        <f>IF(AND(L229&gt;0,S229&gt;0),IF(ISNUMBER(Q229),Q229*$AD31*AK$22*K229,$AD31*AK$22*K229),0)</f>
      </c>
      <c r="X229" s="17"/>
      <c r="Y229" s="11"/>
      <c r="Z229" s="11"/>
      <c r="AA229" s="3"/>
      <c r="AB229" s="3"/>
      <c r="AC229" s="3"/>
      <c r="AD229" s="3"/>
      <c r="AE229" s="4"/>
      <c r="AF229" s="8"/>
      <c r="AG229" s="1"/>
      <c r="AH229" s="6"/>
      <c r="AI229" s="6"/>
      <c r="AJ229" s="6"/>
      <c r="AK229" s="6"/>
      <c r="AL229" s="6"/>
      <c r="AM229" s="6"/>
      <c r="AN229" s="6"/>
      <c r="AO229" s="1"/>
      <c r="AP229" s="9"/>
      <c r="AQ229" s="2"/>
      <c r="AR229" s="3"/>
      <c r="AS229" s="10"/>
      <c r="AT229" s="1"/>
      <c r="AU229" s="1"/>
      <c r="AV229" s="1"/>
      <c r="AW229" s="1"/>
      <c r="AX229" s="1"/>
      <c r="AY229" s="1"/>
      <c r="AZ229" s="1"/>
      <c r="BA229" s="1"/>
      <c r="BB229" s="1"/>
      <c r="BC229" s="1"/>
      <c r="BD229" s="1"/>
      <c r="BE229" s="1"/>
      <c r="BF229" s="1"/>
      <c r="BG229" s="1"/>
      <c r="BH229" s="1"/>
    </row>
    <row x14ac:dyDescent="0.25" r="230" customHeight="1" ht="14.5">
      <c r="A230" s="1"/>
      <c r="B230" s="1"/>
      <c r="C230" s="1"/>
      <c r="D230" s="1"/>
      <c r="E230" s="2"/>
      <c r="F230" s="2"/>
      <c r="G230" s="90">
        <f>(S230&amp;RIGHT(R230,1))*1</f>
      </c>
      <c r="H230" s="1"/>
      <c r="I230" s="111"/>
      <c r="J230" s="126">
        <f>Planning!Q32</f>
      </c>
      <c r="K230" s="93">
        <f>VLOOKUP(J230,AA$23:AE$88,5,FALSE)</f>
      </c>
      <c r="L230" s="122">
        <f>Planning!X32</f>
      </c>
      <c r="M230" s="95">
        <f>IF(Planning!AE32=0,0,IFERROR($AD32*AK$22,0))</f>
      </c>
      <c r="N230" s="171">
        <f>IF(Planning!AE32=0,0,IFERROR($AD32*AK$22*K230,0))</f>
      </c>
      <c r="O230" s="96">
        <f>IF(ISTEXT(Planning!X32),0,AK32)</f>
      </c>
      <c r="P230" s="94">
        <f>Planning!AE32</f>
      </c>
      <c r="Q230" s="121">
        <f>Progress!X32</f>
      </c>
      <c r="R230" s="95">
        <f>IF(Q230=0,0,IF(ISNUMBER(Q230),IF(S230&gt;=$G$21,$F$21,"Q19"),Q230))</f>
      </c>
      <c r="S230" s="122">
        <f>Progress!Y32</f>
      </c>
      <c r="T230" s="97"/>
      <c r="U230" s="96">
        <f>V230/$N$419</f>
      </c>
      <c r="V230" s="176">
        <f>IF(L230&lt;$E$20,0,IF(ISTEXT(L230),0,IF(AND(G230+1&gt;=$E$19+1,L230&gt;0),IF(ISNUMBER(Q230),Q230*$AD32*AK$22*K230,$AD32*AK$22*K230),0)))</f>
      </c>
      <c r="W230" s="95">
        <f>IF(AND(L230&gt;0,S230&gt;0),IF(ISNUMBER(Q230),Q230*$AD32*AK$22*K230,$AD32*AK$22*K230),0)</f>
      </c>
      <c r="X230" s="17"/>
      <c r="Y230" s="11"/>
      <c r="Z230" s="11"/>
      <c r="AA230" s="3"/>
      <c r="AB230" s="3"/>
      <c r="AC230" s="3"/>
      <c r="AD230" s="3"/>
      <c r="AE230" s="4"/>
      <c r="AF230" s="8"/>
      <c r="AG230" s="1"/>
      <c r="AH230" s="6"/>
      <c r="AI230" s="6"/>
      <c r="AJ230" s="6"/>
      <c r="AK230" s="6"/>
      <c r="AL230" s="6"/>
      <c r="AM230" s="6"/>
      <c r="AN230" s="6"/>
      <c r="AO230" s="1"/>
      <c r="AP230" s="9"/>
      <c r="AQ230" s="2"/>
      <c r="AR230" s="3"/>
      <c r="AS230" s="10"/>
      <c r="AT230" s="1"/>
      <c r="AU230" s="1"/>
      <c r="AV230" s="1"/>
      <c r="AW230" s="1"/>
      <c r="AX230" s="1"/>
      <c r="AY230" s="1"/>
      <c r="AZ230" s="1"/>
      <c r="BA230" s="1"/>
      <c r="BB230" s="1"/>
      <c r="BC230" s="1"/>
      <c r="BD230" s="1"/>
      <c r="BE230" s="1"/>
      <c r="BF230" s="1"/>
      <c r="BG230" s="1"/>
      <c r="BH230" s="1"/>
    </row>
    <row x14ac:dyDescent="0.25" r="231" customHeight="1" ht="14.5">
      <c r="A231" s="1"/>
      <c r="B231" s="1"/>
      <c r="C231" s="1"/>
      <c r="D231" s="1"/>
      <c r="E231" s="2"/>
      <c r="F231" s="2"/>
      <c r="G231" s="90">
        <f>(S231&amp;RIGHT(R231,1))*1</f>
      </c>
      <c r="H231" s="1"/>
      <c r="I231" s="111"/>
      <c r="J231" s="126">
        <f>Planning!Q33</f>
      </c>
      <c r="K231" s="93">
        <f>VLOOKUP(J231,AA$23:AE$88,5,FALSE)</f>
      </c>
      <c r="L231" s="122">
        <f>Planning!X33</f>
      </c>
      <c r="M231" s="95">
        <f>IF(Planning!AE33=0,0,IFERROR($AD33*AK$22,0))</f>
      </c>
      <c r="N231" s="171">
        <f>IF(Planning!AE33=0,0,IFERROR($AD33*AK$22*K231,0))</f>
      </c>
      <c r="O231" s="96">
        <f>IF(ISTEXT(Planning!X33),0,AK33)</f>
      </c>
      <c r="P231" s="94">
        <f>Planning!AE33</f>
      </c>
      <c r="Q231" s="121">
        <f>Progress!X33</f>
      </c>
      <c r="R231" s="95">
        <f>IF(Q231=0,0,IF(ISNUMBER(Q231),IF(S231&gt;=$G$21,$F$21,"Q20"),Q231))</f>
      </c>
      <c r="S231" s="122">
        <f>Progress!Y33</f>
      </c>
      <c r="T231" s="97"/>
      <c r="U231" s="96">
        <f>V231/$N$419</f>
      </c>
      <c r="V231" s="176">
        <f>IF(L231&lt;$E$20,0,IF(ISTEXT(L231),0,IF(AND(G231+1&gt;=$E$19+1,L231&gt;0),IF(ISNUMBER(Q231),Q231*$AD33*AK$22*K231,$AD33*AK$22*K231),0)))</f>
      </c>
      <c r="W231" s="95">
        <f>IF(AND(L231&gt;0,S231&gt;0),IF(ISNUMBER(Q231),Q231*$AD33*AK$22*K231,$AD33*AK$22*K231),0)</f>
      </c>
      <c r="X231" s="17"/>
      <c r="Y231" s="11"/>
      <c r="Z231" s="11"/>
      <c r="AA231" s="3"/>
      <c r="AB231" s="3"/>
      <c r="AC231" s="3"/>
      <c r="AD231" s="3"/>
      <c r="AE231" s="4"/>
      <c r="AF231" s="8"/>
      <c r="AG231" s="1"/>
      <c r="AH231" s="6"/>
      <c r="AI231" s="6"/>
      <c r="AJ231" s="6"/>
      <c r="AK231" s="6"/>
      <c r="AL231" s="6"/>
      <c r="AM231" s="6"/>
      <c r="AN231" s="6"/>
      <c r="AO231" s="1"/>
      <c r="AP231" s="9"/>
      <c r="AQ231" s="2"/>
      <c r="AR231" s="3"/>
      <c r="AS231" s="10"/>
      <c r="AT231" s="1"/>
      <c r="AU231" s="1"/>
      <c r="AV231" s="1"/>
      <c r="AW231" s="1"/>
      <c r="AX231" s="1"/>
      <c r="AY231" s="1"/>
      <c r="AZ231" s="1"/>
      <c r="BA231" s="1"/>
      <c r="BB231" s="1"/>
      <c r="BC231" s="1"/>
      <c r="BD231" s="1"/>
      <c r="BE231" s="1"/>
      <c r="BF231" s="1"/>
      <c r="BG231" s="1"/>
      <c r="BH231" s="1"/>
    </row>
    <row x14ac:dyDescent="0.25" r="232" customHeight="1" ht="14.5">
      <c r="A232" s="1"/>
      <c r="B232" s="1"/>
      <c r="C232" s="1"/>
      <c r="D232" s="1"/>
      <c r="E232" s="2"/>
      <c r="F232" s="2"/>
      <c r="G232" s="90">
        <f>(S232&amp;RIGHT(R232,1))*1</f>
      </c>
      <c r="H232" s="1"/>
      <c r="I232" s="111"/>
      <c r="J232" s="126">
        <f>Planning!Q34</f>
      </c>
      <c r="K232" s="93">
        <f>VLOOKUP(J232,AA$23:AE$88,5,FALSE)</f>
      </c>
      <c r="L232" s="122">
        <f>Planning!X34</f>
      </c>
      <c r="M232" s="95">
        <f>IF(Planning!AE34=0,0,IFERROR($AD34*AK$22,0))</f>
      </c>
      <c r="N232" s="171">
        <f>IF(Planning!AE34=0,0,IFERROR($AD34*AK$22*K232,0))</f>
      </c>
      <c r="O232" s="96">
        <f>IF(ISTEXT(Planning!X34),0,AK34)</f>
      </c>
      <c r="P232" s="94">
        <f>Planning!AE34</f>
      </c>
      <c r="Q232" s="121">
        <f>Progress!X34</f>
      </c>
      <c r="R232" s="95">
        <f>IF(Q232=0,0,IF(ISNUMBER(Q232),IF(S232&gt;=$G$21,$F$21,"Q21"),Q232))</f>
      </c>
      <c r="S232" s="122">
        <f>Progress!Y34</f>
      </c>
      <c r="T232" s="97"/>
      <c r="U232" s="96">
        <f>V232/$N$419</f>
      </c>
      <c r="V232" s="176">
        <f>IF(L232&lt;$E$20,0,IF(ISTEXT(L232),0,IF(AND(G232+1&gt;=$E$19+1,L232&gt;0),IF(ISNUMBER(Q232),Q232*$AD34*AK$22*K232,$AD34*AK$22*K232),0)))</f>
      </c>
      <c r="W232" s="95">
        <f>IF(AND(L232&gt;0,S232&gt;0),IF(ISNUMBER(Q232),Q232*$AD34*AK$22*K232,$AD34*AK$22*K232),0)</f>
      </c>
      <c r="X232" s="17"/>
      <c r="Y232" s="11"/>
      <c r="Z232" s="11"/>
      <c r="AA232" s="3"/>
      <c r="AB232" s="3"/>
      <c r="AC232" s="3"/>
      <c r="AD232" s="3"/>
      <c r="AE232" s="4"/>
      <c r="AF232" s="8"/>
      <c r="AG232" s="1"/>
      <c r="AH232" s="6"/>
      <c r="AI232" s="6"/>
      <c r="AJ232" s="6"/>
      <c r="AK232" s="6"/>
      <c r="AL232" s="6"/>
      <c r="AM232" s="6"/>
      <c r="AN232" s="6"/>
      <c r="AO232" s="1"/>
      <c r="AP232" s="9"/>
      <c r="AQ232" s="2"/>
      <c r="AR232" s="3"/>
      <c r="AS232" s="10"/>
      <c r="AT232" s="1"/>
      <c r="AU232" s="1"/>
      <c r="AV232" s="1"/>
      <c r="AW232" s="1"/>
      <c r="AX232" s="1"/>
      <c r="AY232" s="1"/>
      <c r="AZ232" s="1"/>
      <c r="BA232" s="1"/>
      <c r="BB232" s="1"/>
      <c r="BC232" s="1"/>
      <c r="BD232" s="1"/>
      <c r="BE232" s="1"/>
      <c r="BF232" s="1"/>
      <c r="BG232" s="1"/>
      <c r="BH232" s="1"/>
    </row>
    <row x14ac:dyDescent="0.25" r="233" customHeight="1" ht="14.5">
      <c r="A233" s="1"/>
      <c r="B233" s="1"/>
      <c r="C233" s="1"/>
      <c r="D233" s="1"/>
      <c r="E233" s="2"/>
      <c r="F233" s="2"/>
      <c r="G233" s="90">
        <f>(S233&amp;RIGHT(R233,1))*1</f>
      </c>
      <c r="H233" s="1"/>
      <c r="I233" s="111"/>
      <c r="J233" s="126">
        <f>Planning!Q35</f>
      </c>
      <c r="K233" s="93">
        <f>VLOOKUP(J233,AA$23:AE$88,5,FALSE)</f>
      </c>
      <c r="L233" s="122">
        <f>Planning!X35</f>
      </c>
      <c r="M233" s="95">
        <f>IF(Planning!AE35=0,0,IFERROR($AD35*AK$22,0))</f>
      </c>
      <c r="N233" s="171">
        <f>IF(Planning!AE35=0,0,IFERROR($AD35*AK$22*K233,0))</f>
      </c>
      <c r="O233" s="96">
        <f>IF(ISTEXT(Planning!X35),0,AK35)</f>
      </c>
      <c r="P233" s="94">
        <f>Planning!AE35</f>
      </c>
      <c r="Q233" s="121">
        <f>Progress!X35</f>
      </c>
      <c r="R233" s="95">
        <f>IF(Q233=0,0,IF(ISNUMBER(Q233),IF(S233&gt;=$G$21,$F$21,"Q22"),Q233))</f>
      </c>
      <c r="S233" s="122">
        <f>Progress!Y35</f>
      </c>
      <c r="T233" s="97"/>
      <c r="U233" s="96">
        <f>V233/$N$419</f>
      </c>
      <c r="V233" s="176">
        <f>IF(L233&lt;$E$20,0,IF(ISTEXT(L233),0,IF(AND(G233+1&gt;=$E$19+1,L233&gt;0),IF(ISNUMBER(Q233),Q233*$AD35*AK$22*K233,$AD35*AK$22*K233),0)))</f>
      </c>
      <c r="W233" s="95">
        <f>IF(AND(L233&gt;0,S233&gt;0),IF(ISNUMBER(Q233),Q233*$AD35*AK$22*K233,$AD35*AK$22*K233),0)</f>
      </c>
      <c r="X233" s="17"/>
      <c r="Y233" s="11"/>
      <c r="Z233" s="11"/>
      <c r="AA233" s="3"/>
      <c r="AB233" s="3"/>
      <c r="AC233" s="3"/>
      <c r="AD233" s="3"/>
      <c r="AE233" s="4"/>
      <c r="AF233" s="8"/>
      <c r="AG233" s="1"/>
      <c r="AH233" s="6"/>
      <c r="AI233" s="6"/>
      <c r="AJ233" s="6"/>
      <c r="AK233" s="6"/>
      <c r="AL233" s="6"/>
      <c r="AM233" s="6"/>
      <c r="AN233" s="6"/>
      <c r="AO233" s="1"/>
      <c r="AP233" s="9"/>
      <c r="AQ233" s="2"/>
      <c r="AR233" s="3"/>
      <c r="AS233" s="10"/>
      <c r="AT233" s="1"/>
      <c r="AU233" s="1"/>
      <c r="AV233" s="1"/>
      <c r="AW233" s="1"/>
      <c r="AX233" s="1"/>
      <c r="AY233" s="1"/>
      <c r="AZ233" s="1"/>
      <c r="BA233" s="1"/>
      <c r="BB233" s="1"/>
      <c r="BC233" s="1"/>
      <c r="BD233" s="1"/>
      <c r="BE233" s="1"/>
      <c r="BF233" s="1"/>
      <c r="BG233" s="1"/>
      <c r="BH233" s="1"/>
    </row>
    <row x14ac:dyDescent="0.25" r="234" customHeight="1" ht="14.5">
      <c r="A234" s="1"/>
      <c r="B234" s="1"/>
      <c r="C234" s="1"/>
      <c r="D234" s="1"/>
      <c r="E234" s="2"/>
      <c r="F234" s="2"/>
      <c r="G234" s="90">
        <f>(S234&amp;RIGHT(R234,1))*1</f>
      </c>
      <c r="H234" s="1"/>
      <c r="I234" s="111"/>
      <c r="J234" s="126">
        <f>Planning!Q36</f>
      </c>
      <c r="K234" s="93">
        <f>VLOOKUP(J234,AA$23:AE$88,5,FALSE)</f>
      </c>
      <c r="L234" s="122">
        <f>Planning!X36</f>
      </c>
      <c r="M234" s="95">
        <f>IF(Planning!AE36=0,0,IFERROR($AD36*AK$22,0))</f>
      </c>
      <c r="N234" s="171">
        <f>IF(Planning!AE36=0,0,IFERROR($AD36*AK$22*K234,0))</f>
      </c>
      <c r="O234" s="96">
        <f>IF(ISTEXT(Planning!X36),0,AK36)</f>
      </c>
      <c r="P234" s="94">
        <f>Planning!AE36</f>
      </c>
      <c r="Q234" s="121">
        <f>Progress!X36</f>
      </c>
      <c r="R234" s="95">
        <f>IF(Q234=0,0,IF(ISNUMBER(Q234),IF(S234&gt;=$G$21,$F$21,"Q23"),Q234))</f>
      </c>
      <c r="S234" s="122">
        <f>Progress!Y36</f>
      </c>
      <c r="T234" s="97"/>
      <c r="U234" s="96">
        <f>V234/$N$419</f>
      </c>
      <c r="V234" s="176">
        <f>IF(L234&lt;$E$20,0,IF(ISTEXT(L234),0,IF(AND(G234+1&gt;=$E$19+1,L234&gt;0),IF(ISNUMBER(Q234),Q234*$AD36*AK$22*K234,$AD36*AK$22*K234),0)))</f>
      </c>
      <c r="W234" s="95">
        <f>IF(AND(L234&gt;0,S234&gt;0),IF(ISNUMBER(Q234),Q234*$AD36*AK$22*K234,$AD36*AK$22*K234),0)</f>
      </c>
      <c r="X234" s="17"/>
      <c r="Y234" s="11"/>
      <c r="Z234" s="11"/>
      <c r="AA234" s="3"/>
      <c r="AB234" s="3"/>
      <c r="AC234" s="3"/>
      <c r="AD234" s="3"/>
      <c r="AE234" s="4"/>
      <c r="AF234" s="8"/>
      <c r="AG234" s="1"/>
      <c r="AH234" s="6"/>
      <c r="AI234" s="6"/>
      <c r="AJ234" s="6"/>
      <c r="AK234" s="6"/>
      <c r="AL234" s="6"/>
      <c r="AM234" s="6"/>
      <c r="AN234" s="6"/>
      <c r="AO234" s="1"/>
      <c r="AP234" s="9"/>
      <c r="AQ234" s="2"/>
      <c r="AR234" s="3"/>
      <c r="AS234" s="10"/>
      <c r="AT234" s="1"/>
      <c r="AU234" s="1"/>
      <c r="AV234" s="1"/>
      <c r="AW234" s="1"/>
      <c r="AX234" s="1"/>
      <c r="AY234" s="1"/>
      <c r="AZ234" s="1"/>
      <c r="BA234" s="1"/>
      <c r="BB234" s="1"/>
      <c r="BC234" s="1"/>
      <c r="BD234" s="1"/>
      <c r="BE234" s="1"/>
      <c r="BF234" s="1"/>
      <c r="BG234" s="1"/>
      <c r="BH234" s="1"/>
    </row>
    <row x14ac:dyDescent="0.25" r="235" customHeight="1" ht="14.5">
      <c r="A235" s="1"/>
      <c r="B235" s="1"/>
      <c r="C235" s="1"/>
      <c r="D235" s="1"/>
      <c r="E235" s="2"/>
      <c r="F235" s="2"/>
      <c r="G235" s="90">
        <f>(S235&amp;RIGHT(R235,1))*1</f>
      </c>
      <c r="H235" s="1"/>
      <c r="I235" s="111"/>
      <c r="J235" s="126">
        <f>Planning!Q37</f>
      </c>
      <c r="K235" s="93">
        <f>VLOOKUP(J235,AA$23:AE$88,5,FALSE)</f>
      </c>
      <c r="L235" s="122">
        <f>Planning!X37</f>
      </c>
      <c r="M235" s="95">
        <f>IF(Planning!AE37=0,0,IFERROR($AD37*AK$22,0))</f>
      </c>
      <c r="N235" s="171">
        <f>IF(Planning!AE37=0,0,IFERROR($AD37*AK$22*K235,0))</f>
      </c>
      <c r="O235" s="96">
        <f>IF(ISTEXT(Planning!X37),0,AK37)</f>
      </c>
      <c r="P235" s="94">
        <f>Planning!AE37</f>
      </c>
      <c r="Q235" s="121">
        <f>Progress!X37</f>
      </c>
      <c r="R235" s="95">
        <f>IF(Q235=0,0,IF(ISNUMBER(Q235),IF(S235&gt;=$G$21,$F$21,"Q24"),Q235))</f>
      </c>
      <c r="S235" s="122">
        <f>Progress!Y37</f>
      </c>
      <c r="T235" s="97"/>
      <c r="U235" s="96">
        <f>V235/$N$419</f>
      </c>
      <c r="V235" s="176">
        <f>IF(L235&lt;$E$20,0,IF(ISTEXT(L235),0,IF(AND(G235+1&gt;=$E$19+1,L235&gt;0),IF(ISNUMBER(Q235),Q235*$AD37*AK$22*K235,$AD37*AK$22*K235),0)))</f>
      </c>
      <c r="W235" s="95">
        <f>IF(AND(L235&gt;0,S235&gt;0),IF(ISNUMBER(Q235),Q235*$AD37*AK$22*K235,$AD37*AK$22*K235),0)</f>
      </c>
      <c r="X235" s="17"/>
      <c r="Y235" s="11"/>
      <c r="Z235" s="11"/>
      <c r="AA235" s="3"/>
      <c r="AB235" s="3"/>
      <c r="AC235" s="3"/>
      <c r="AD235" s="3"/>
      <c r="AE235" s="4"/>
      <c r="AF235" s="8"/>
      <c r="AG235" s="1"/>
      <c r="AH235" s="6"/>
      <c r="AI235" s="6"/>
      <c r="AJ235" s="6"/>
      <c r="AK235" s="6"/>
      <c r="AL235" s="6"/>
      <c r="AM235" s="6"/>
      <c r="AN235" s="6"/>
      <c r="AO235" s="1"/>
      <c r="AP235" s="9"/>
      <c r="AQ235" s="2"/>
      <c r="AR235" s="3"/>
      <c r="AS235" s="10"/>
      <c r="AT235" s="1"/>
      <c r="AU235" s="1"/>
      <c r="AV235" s="1"/>
      <c r="AW235" s="1"/>
      <c r="AX235" s="1"/>
      <c r="AY235" s="1"/>
      <c r="AZ235" s="1"/>
      <c r="BA235" s="1"/>
      <c r="BB235" s="1"/>
      <c r="BC235" s="1"/>
      <c r="BD235" s="1"/>
      <c r="BE235" s="1"/>
      <c r="BF235" s="1"/>
      <c r="BG235" s="1"/>
      <c r="BH235" s="1"/>
    </row>
    <row x14ac:dyDescent="0.25" r="236" customHeight="1" ht="14.5">
      <c r="A236" s="1"/>
      <c r="B236" s="1"/>
      <c r="C236" s="1"/>
      <c r="D236" s="1"/>
      <c r="E236" s="2"/>
      <c r="F236" s="2"/>
      <c r="G236" s="90">
        <f>(S236&amp;RIGHT(R236,1))*1</f>
      </c>
      <c r="H236" s="1"/>
      <c r="I236" s="111"/>
      <c r="J236" s="126">
        <f>Planning!Q38</f>
      </c>
      <c r="K236" s="93">
        <f>VLOOKUP(J236,AA$23:AE$88,5,FALSE)</f>
      </c>
      <c r="L236" s="122">
        <f>Planning!X38</f>
      </c>
      <c r="M236" s="95">
        <f>IF(Planning!AE38=0,0,IFERROR($AD38*AK$22,0))</f>
      </c>
      <c r="N236" s="171">
        <f>IF(Planning!AE38=0,0,IFERROR($AD38*AK$22*K236,0))</f>
      </c>
      <c r="O236" s="96">
        <f>IF(ISTEXT(Planning!X38),0,AK38)</f>
      </c>
      <c r="P236" s="94">
        <f>Planning!AE38</f>
      </c>
      <c r="Q236" s="121">
        <f>Progress!X38</f>
      </c>
      <c r="R236" s="95">
        <f>IF(Q236=0,0,IF(ISNUMBER(Q236),IF(S236&gt;=$G$21,$F$21,"Q25"),Q236))</f>
      </c>
      <c r="S236" s="122">
        <f>Progress!Y38</f>
      </c>
      <c r="T236" s="97"/>
      <c r="U236" s="96">
        <f>V236/$N$419</f>
      </c>
      <c r="V236" s="176">
        <f>IF(L236&lt;$E$20,0,IF(ISTEXT(L236),0,IF(AND(G236+1&gt;=$E$19+1,L236&gt;0),IF(ISNUMBER(Q236),Q236*$AD38*AK$22*K236,$AD38*AK$22*K236),0)))</f>
      </c>
      <c r="W236" s="95">
        <f>IF(AND(L236&gt;0,S236&gt;0),IF(ISNUMBER(Q236),Q236*$AD38*AK$22*K236,$AD38*AK$22*K236),0)</f>
      </c>
      <c r="X236" s="17"/>
      <c r="Y236" s="11"/>
      <c r="Z236" s="11"/>
      <c r="AA236" s="3"/>
      <c r="AB236" s="3"/>
      <c r="AC236" s="3"/>
      <c r="AD236" s="3"/>
      <c r="AE236" s="4"/>
      <c r="AF236" s="8"/>
      <c r="AG236" s="1"/>
      <c r="AH236" s="6"/>
      <c r="AI236" s="6"/>
      <c r="AJ236" s="6"/>
      <c r="AK236" s="6"/>
      <c r="AL236" s="6"/>
      <c r="AM236" s="6"/>
      <c r="AN236" s="6"/>
      <c r="AO236" s="1"/>
      <c r="AP236" s="9"/>
      <c r="AQ236" s="2"/>
      <c r="AR236" s="3"/>
      <c r="AS236" s="10"/>
      <c r="AT236" s="1"/>
      <c r="AU236" s="1"/>
      <c r="AV236" s="1"/>
      <c r="AW236" s="1"/>
      <c r="AX236" s="1"/>
      <c r="AY236" s="1"/>
      <c r="AZ236" s="1"/>
      <c r="BA236" s="1"/>
      <c r="BB236" s="1"/>
      <c r="BC236" s="1"/>
      <c r="BD236" s="1"/>
      <c r="BE236" s="1"/>
      <c r="BF236" s="1"/>
      <c r="BG236" s="1"/>
      <c r="BH236" s="1"/>
    </row>
    <row x14ac:dyDescent="0.25" r="237" customHeight="1" ht="14.5">
      <c r="A237" s="1"/>
      <c r="B237" s="1"/>
      <c r="C237" s="1"/>
      <c r="D237" s="1"/>
      <c r="E237" s="2"/>
      <c r="F237" s="2"/>
      <c r="G237" s="90">
        <f>(S237&amp;RIGHT(R237,1))*1</f>
      </c>
      <c r="H237" s="1"/>
      <c r="I237" s="111"/>
      <c r="J237" s="126">
        <f>Planning!Q39</f>
      </c>
      <c r="K237" s="93">
        <f>VLOOKUP(J237,AA$23:AE$88,5,FALSE)</f>
      </c>
      <c r="L237" s="122">
        <f>Planning!X39</f>
      </c>
      <c r="M237" s="95">
        <f>IF(Planning!AE39=0,0,IFERROR($AD39*AK$22,0))</f>
      </c>
      <c r="N237" s="171">
        <f>IF(Planning!AE39=0,0,IFERROR($AD39*AK$22*K237,0))</f>
      </c>
      <c r="O237" s="96">
        <f>IF(ISTEXT(Planning!X39),0,AK39)</f>
      </c>
      <c r="P237" s="94">
        <f>Planning!AE39</f>
      </c>
      <c r="Q237" s="121">
        <f>Progress!X39</f>
      </c>
      <c r="R237" s="95">
        <f>IF(Q237=0,0,IF(ISNUMBER(Q237),IF(S237&gt;=$G$21,$F$21,"Q26"),Q237))</f>
      </c>
      <c r="S237" s="122">
        <f>Progress!Y39</f>
      </c>
      <c r="T237" s="97"/>
      <c r="U237" s="96">
        <f>V237/$N$419</f>
      </c>
      <c r="V237" s="176">
        <f>IF(L237&lt;$E$20,0,IF(ISTEXT(L237),0,IF(AND(G237+1&gt;=$E$19+1,L237&gt;0),IF(ISNUMBER(Q237),Q237*$AD39*AK$22*K237,$AD39*AK$22*K237),0)))</f>
      </c>
      <c r="W237" s="95">
        <f>IF(AND(L237&gt;0,S237&gt;0),IF(ISNUMBER(Q237),Q237*$AD39*AK$22*K237,$AD39*AK$22*K237),0)</f>
      </c>
      <c r="X237" s="17"/>
      <c r="Y237" s="11"/>
      <c r="Z237" s="11"/>
      <c r="AA237" s="3"/>
      <c r="AB237" s="3"/>
      <c r="AC237" s="3"/>
      <c r="AD237" s="3"/>
      <c r="AE237" s="4"/>
      <c r="AF237" s="8"/>
      <c r="AG237" s="1"/>
      <c r="AH237" s="6"/>
      <c r="AI237" s="6"/>
      <c r="AJ237" s="6"/>
      <c r="AK237" s="6"/>
      <c r="AL237" s="6"/>
      <c r="AM237" s="6"/>
      <c r="AN237" s="6"/>
      <c r="AO237" s="1"/>
      <c r="AP237" s="9"/>
      <c r="AQ237" s="2"/>
      <c r="AR237" s="3"/>
      <c r="AS237" s="10"/>
      <c r="AT237" s="1"/>
      <c r="AU237" s="1"/>
      <c r="AV237" s="1"/>
      <c r="AW237" s="1"/>
      <c r="AX237" s="1"/>
      <c r="AY237" s="1"/>
      <c r="AZ237" s="1"/>
      <c r="BA237" s="1"/>
      <c r="BB237" s="1"/>
      <c r="BC237" s="1"/>
      <c r="BD237" s="1"/>
      <c r="BE237" s="1"/>
      <c r="BF237" s="1"/>
      <c r="BG237" s="1"/>
      <c r="BH237" s="1"/>
    </row>
    <row x14ac:dyDescent="0.25" r="238" customHeight="1" ht="14.5">
      <c r="A238" s="1"/>
      <c r="B238" s="1"/>
      <c r="C238" s="1"/>
      <c r="D238" s="1"/>
      <c r="E238" s="2"/>
      <c r="F238" s="2"/>
      <c r="G238" s="90">
        <f>(S238&amp;RIGHT(R238,1))*1</f>
      </c>
      <c r="H238" s="1"/>
      <c r="I238" s="111"/>
      <c r="J238" s="126">
        <f>Planning!Q40</f>
      </c>
      <c r="K238" s="93">
        <f>VLOOKUP(J238,AA$23:AE$88,5,FALSE)</f>
      </c>
      <c r="L238" s="122">
        <f>Planning!X40</f>
      </c>
      <c r="M238" s="95">
        <f>IF(Planning!AE40=0,0,IFERROR($AD40*AK$22,0))</f>
      </c>
      <c r="N238" s="171">
        <f>IF(Planning!AE40=0,0,IFERROR($AD40*AK$22*K238,0))</f>
      </c>
      <c r="O238" s="96">
        <f>IF(ISTEXT(Planning!X40),0,AK40)</f>
      </c>
      <c r="P238" s="94">
        <f>Planning!AE40</f>
      </c>
      <c r="Q238" s="121">
        <f>Progress!X40</f>
      </c>
      <c r="R238" s="95">
        <f>IF(Q238=0,0,IF(ISNUMBER(Q238),IF(S238&gt;=$G$21,$F$21,"Q27"),Q238))</f>
      </c>
      <c r="S238" s="122">
        <f>Progress!Y40</f>
      </c>
      <c r="T238" s="97"/>
      <c r="U238" s="96">
        <f>V238/$N$419</f>
      </c>
      <c r="V238" s="176">
        <f>IF(L238&lt;$E$20,0,IF(ISTEXT(L238),0,IF(AND(G238+1&gt;=$E$19+1,L238&gt;0),IF(ISNUMBER(Q238),Q238*$AD40*AK$22*K238,$AD40*AK$22*K238),0)))</f>
      </c>
      <c r="W238" s="95">
        <f>IF(AND(L238&gt;0,S238&gt;0),IF(ISNUMBER(Q238),Q238*$AD40*AK$22*K238,$AD40*AK$22*K238),0)</f>
      </c>
      <c r="X238" s="17"/>
      <c r="Y238" s="11"/>
      <c r="Z238" s="11"/>
      <c r="AA238" s="3"/>
      <c r="AB238" s="3"/>
      <c r="AC238" s="3"/>
      <c r="AD238" s="3"/>
      <c r="AE238" s="4"/>
      <c r="AF238" s="8"/>
      <c r="AG238" s="1"/>
      <c r="AH238" s="6"/>
      <c r="AI238" s="6"/>
      <c r="AJ238" s="6"/>
      <c r="AK238" s="6"/>
      <c r="AL238" s="6"/>
      <c r="AM238" s="6"/>
      <c r="AN238" s="6"/>
      <c r="AO238" s="1"/>
      <c r="AP238" s="9"/>
      <c r="AQ238" s="2"/>
      <c r="AR238" s="3"/>
      <c r="AS238" s="10"/>
      <c r="AT238" s="1"/>
      <c r="AU238" s="1"/>
      <c r="AV238" s="1"/>
      <c r="AW238" s="1"/>
      <c r="AX238" s="1"/>
      <c r="AY238" s="1"/>
      <c r="AZ238" s="1"/>
      <c r="BA238" s="1"/>
      <c r="BB238" s="1"/>
      <c r="BC238" s="1"/>
      <c r="BD238" s="1"/>
      <c r="BE238" s="1"/>
      <c r="BF238" s="1"/>
      <c r="BG238" s="1"/>
      <c r="BH238" s="1"/>
    </row>
    <row x14ac:dyDescent="0.25" r="239" customHeight="1" ht="14.5">
      <c r="A239" s="1"/>
      <c r="B239" s="1"/>
      <c r="C239" s="1"/>
      <c r="D239" s="1"/>
      <c r="E239" s="2"/>
      <c r="F239" s="2"/>
      <c r="G239" s="90">
        <f>(S239&amp;RIGHT(R239,1))*1</f>
      </c>
      <c r="H239" s="1"/>
      <c r="I239" s="111"/>
      <c r="J239" s="126">
        <f>Planning!Q41</f>
      </c>
      <c r="K239" s="93">
        <f>VLOOKUP(J239,AA$23:AE$88,5,FALSE)</f>
      </c>
      <c r="L239" s="122">
        <f>Planning!X41</f>
      </c>
      <c r="M239" s="95">
        <f>IF(Planning!AE41=0,0,IFERROR($AD41*AK$22,0))</f>
      </c>
      <c r="N239" s="171">
        <f>IF(Planning!AE41=0,0,IFERROR($AD41*AK$22*K239,0))</f>
      </c>
      <c r="O239" s="96">
        <f>IF(ISTEXT(Planning!X41),0,AK41)</f>
      </c>
      <c r="P239" s="94">
        <f>Planning!AE41</f>
      </c>
      <c r="Q239" s="121">
        <f>Progress!X41</f>
      </c>
      <c r="R239" s="95">
        <f>IF(Q239=0,0,IF(ISNUMBER(Q239),IF(S239&gt;=$G$21,$F$21,"Q28"),Q239))</f>
      </c>
      <c r="S239" s="122">
        <f>Progress!Y41</f>
      </c>
      <c r="T239" s="97"/>
      <c r="U239" s="96">
        <f>V239/$N$419</f>
      </c>
      <c r="V239" s="176">
        <f>IF(L239&lt;$E$20,0,IF(ISTEXT(L239),0,IF(AND(G239+1&gt;=$E$19+1,L239&gt;0),IF(ISNUMBER(Q239),Q239*$AD41*AK$22*K239,$AD41*AK$22*K239),0)))</f>
      </c>
      <c r="W239" s="95">
        <f>IF(AND(L239&gt;0,S239&gt;0),IF(ISNUMBER(Q239),Q239*$AD41*AK$22*K239,$AD41*AK$22*K239),0)</f>
      </c>
      <c r="X239" s="17"/>
      <c r="Y239" s="11"/>
      <c r="Z239" s="11"/>
      <c r="AA239" s="3"/>
      <c r="AB239" s="3"/>
      <c r="AC239" s="3"/>
      <c r="AD239" s="3"/>
      <c r="AE239" s="4"/>
      <c r="AF239" s="8"/>
      <c r="AG239" s="1"/>
      <c r="AH239" s="6"/>
      <c r="AI239" s="6"/>
      <c r="AJ239" s="6"/>
      <c r="AK239" s="6"/>
      <c r="AL239" s="6"/>
      <c r="AM239" s="6"/>
      <c r="AN239" s="6"/>
      <c r="AO239" s="1"/>
      <c r="AP239" s="9"/>
      <c r="AQ239" s="2"/>
      <c r="AR239" s="3"/>
      <c r="AS239" s="10"/>
      <c r="AT239" s="1"/>
      <c r="AU239" s="1"/>
      <c r="AV239" s="1"/>
      <c r="AW239" s="1"/>
      <c r="AX239" s="1"/>
      <c r="AY239" s="1"/>
      <c r="AZ239" s="1"/>
      <c r="BA239" s="1"/>
      <c r="BB239" s="1"/>
      <c r="BC239" s="1"/>
      <c r="BD239" s="1"/>
      <c r="BE239" s="1"/>
      <c r="BF239" s="1"/>
      <c r="BG239" s="1"/>
      <c r="BH239" s="1"/>
    </row>
    <row x14ac:dyDescent="0.25" r="240" customHeight="1" ht="14.5">
      <c r="A240" s="1"/>
      <c r="B240" s="1"/>
      <c r="C240" s="1"/>
      <c r="D240" s="1"/>
      <c r="E240" s="2"/>
      <c r="F240" s="2"/>
      <c r="G240" s="90">
        <f>(S240&amp;RIGHT(R240,1))*1</f>
      </c>
      <c r="H240" s="1"/>
      <c r="I240" s="111"/>
      <c r="J240" s="126">
        <f>Planning!Q42</f>
      </c>
      <c r="K240" s="93">
        <f>VLOOKUP(J240,AA$23:AE$88,5,FALSE)</f>
      </c>
      <c r="L240" s="122">
        <f>Planning!X42</f>
      </c>
      <c r="M240" s="95">
        <f>IF(Planning!AE42=0,0,IFERROR($AD42*AK$22,0))</f>
      </c>
      <c r="N240" s="171">
        <f>IF(Planning!AE42=0,0,IFERROR($AD42*AK$22*K240,0))</f>
      </c>
      <c r="O240" s="96">
        <f>IF(ISTEXT(Planning!X42),0,AK42)</f>
      </c>
      <c r="P240" s="94">
        <f>Planning!AE42</f>
      </c>
      <c r="Q240" s="121">
        <f>Progress!X42</f>
      </c>
      <c r="R240" s="95">
        <f>IF(Q240=0,0,IF(ISNUMBER(Q240),IF(S240&gt;=$G$21,$F$21,"Q29"),Q240))</f>
      </c>
      <c r="S240" s="122">
        <f>Progress!Y42</f>
      </c>
      <c r="T240" s="97"/>
      <c r="U240" s="96">
        <f>V240/$N$419</f>
      </c>
      <c r="V240" s="176">
        <f>IF(L240&lt;$E$20,0,IF(ISTEXT(L240),0,IF(AND(G240+1&gt;=$E$19+1,L240&gt;0),IF(ISNUMBER(Q240),Q240*$AD42*AK$22*K240,$AD42*AK$22*K240),0)))</f>
      </c>
      <c r="W240" s="95">
        <f>IF(AND(L240&gt;0,S240&gt;0),IF(ISNUMBER(Q240),Q240*$AD42*AK$22*K240,$AD42*AK$22*K240),0)</f>
      </c>
      <c r="X240" s="17"/>
      <c r="Y240" s="11"/>
      <c r="Z240" s="11"/>
      <c r="AA240" s="3"/>
      <c r="AB240" s="3"/>
      <c r="AC240" s="3"/>
      <c r="AD240" s="3"/>
      <c r="AE240" s="4"/>
      <c r="AF240" s="8"/>
      <c r="AG240" s="1"/>
      <c r="AH240" s="6"/>
      <c r="AI240" s="6"/>
      <c r="AJ240" s="6"/>
      <c r="AK240" s="6"/>
      <c r="AL240" s="6"/>
      <c r="AM240" s="6"/>
      <c r="AN240" s="6"/>
      <c r="AO240" s="1"/>
      <c r="AP240" s="9"/>
      <c r="AQ240" s="2"/>
      <c r="AR240" s="3"/>
      <c r="AS240" s="10"/>
      <c r="AT240" s="1"/>
      <c r="AU240" s="1"/>
      <c r="AV240" s="1"/>
      <c r="AW240" s="1"/>
      <c r="AX240" s="1"/>
      <c r="AY240" s="1"/>
      <c r="AZ240" s="1"/>
      <c r="BA240" s="1"/>
      <c r="BB240" s="1"/>
      <c r="BC240" s="1"/>
      <c r="BD240" s="1"/>
      <c r="BE240" s="1"/>
      <c r="BF240" s="1"/>
      <c r="BG240" s="1"/>
      <c r="BH240" s="1"/>
    </row>
    <row x14ac:dyDescent="0.25" r="241" customHeight="1" ht="14.5">
      <c r="A241" s="1"/>
      <c r="B241" s="1"/>
      <c r="C241" s="1"/>
      <c r="D241" s="1"/>
      <c r="E241" s="2"/>
      <c r="F241" s="2"/>
      <c r="G241" s="90">
        <f>(S241&amp;RIGHT(R241,1))*1</f>
      </c>
      <c r="H241" s="1"/>
      <c r="I241" s="111"/>
      <c r="J241" s="126">
        <f>Planning!Q43</f>
      </c>
      <c r="K241" s="93">
        <f>VLOOKUP(J241,AA$23:AE$88,5,FALSE)</f>
      </c>
      <c r="L241" s="122">
        <f>Planning!X43</f>
      </c>
      <c r="M241" s="95">
        <f>IF(Planning!AE43=0,0,IFERROR($AD43*AK$22,0))</f>
      </c>
      <c r="N241" s="171">
        <f>IF(Planning!AE43=0,0,IFERROR($AD43*AK$22*K241,0))</f>
      </c>
      <c r="O241" s="96">
        <f>IF(ISTEXT(Planning!X43),0,AK43)</f>
      </c>
      <c r="P241" s="94">
        <f>Planning!AE43</f>
      </c>
      <c r="Q241" s="121">
        <f>Progress!X43</f>
      </c>
      <c r="R241" s="95">
        <f>IF(Q241=0,0,IF(ISNUMBER(Q241),IF(S241&gt;=$G$21,$F$21,"Q30"),Q241))</f>
      </c>
      <c r="S241" s="122">
        <f>Progress!Y43</f>
      </c>
      <c r="T241" s="97"/>
      <c r="U241" s="96">
        <f>V241/$N$419</f>
      </c>
      <c r="V241" s="176">
        <f>IF(L241&lt;$E$20,0,IF(ISTEXT(L241),0,IF(AND(G241+1&gt;=$E$19+1,L241&gt;0),IF(ISNUMBER(Q241),Q241*$AD43*AK$22*K241,$AD43*AK$22*K241),0)))</f>
      </c>
      <c r="W241" s="95">
        <f>IF(AND(L241&gt;0,S241&gt;0),IF(ISNUMBER(Q241),Q241*$AD43*AK$22*K241,$AD43*AK$22*K241),0)</f>
      </c>
      <c r="X241" s="17"/>
      <c r="Y241" s="11"/>
      <c r="Z241" s="11"/>
      <c r="AA241" s="3"/>
      <c r="AB241" s="3"/>
      <c r="AC241" s="3"/>
      <c r="AD241" s="3"/>
      <c r="AE241" s="4"/>
      <c r="AF241" s="8"/>
      <c r="AG241" s="1"/>
      <c r="AH241" s="6"/>
      <c r="AI241" s="6"/>
      <c r="AJ241" s="6"/>
      <c r="AK241" s="6"/>
      <c r="AL241" s="6"/>
      <c r="AM241" s="6"/>
      <c r="AN241" s="6"/>
      <c r="AO241" s="1"/>
      <c r="AP241" s="9"/>
      <c r="AQ241" s="2"/>
      <c r="AR241" s="3"/>
      <c r="AS241" s="10"/>
      <c r="AT241" s="1"/>
      <c r="AU241" s="1"/>
      <c r="AV241" s="1"/>
      <c r="AW241" s="1"/>
      <c r="AX241" s="1"/>
      <c r="AY241" s="1"/>
      <c r="AZ241" s="1"/>
      <c r="BA241" s="1"/>
      <c r="BB241" s="1"/>
      <c r="BC241" s="1"/>
      <c r="BD241" s="1"/>
      <c r="BE241" s="1"/>
      <c r="BF241" s="1"/>
      <c r="BG241" s="1"/>
      <c r="BH241" s="1"/>
    </row>
    <row x14ac:dyDescent="0.25" r="242" customHeight="1" ht="14.5">
      <c r="A242" s="1"/>
      <c r="B242" s="1"/>
      <c r="C242" s="1"/>
      <c r="D242" s="1"/>
      <c r="E242" s="2"/>
      <c r="F242" s="2"/>
      <c r="G242" s="90">
        <f>(S242&amp;RIGHT(R242,1))*1</f>
      </c>
      <c r="H242" s="1"/>
      <c r="I242" s="111"/>
      <c r="J242" s="126">
        <f>Planning!Q44</f>
      </c>
      <c r="K242" s="93">
        <f>VLOOKUP(J242,AA$23:AE$88,5,FALSE)</f>
      </c>
      <c r="L242" s="122">
        <f>Planning!X44</f>
      </c>
      <c r="M242" s="95">
        <f>IF(Planning!AE44=0,0,IFERROR($AD44*AK$22,0))</f>
      </c>
      <c r="N242" s="171">
        <f>IF(Planning!AE44=0,0,IFERROR($AD44*AK$22*K242,0))</f>
      </c>
      <c r="O242" s="96">
        <f>IF(ISTEXT(Planning!X44),0,AK44)</f>
      </c>
      <c r="P242" s="94">
        <f>Planning!AE44</f>
      </c>
      <c r="Q242" s="121">
        <f>Progress!X44</f>
      </c>
      <c r="R242" s="95">
        <f>IF(Q242=0,0,IF(ISNUMBER(Q242),IF(S242&gt;=$G$21,$F$21,"Q31"),Q242))</f>
      </c>
      <c r="S242" s="122">
        <f>Progress!Y44</f>
      </c>
      <c r="T242" s="97"/>
      <c r="U242" s="96">
        <f>V242/$N$419</f>
      </c>
      <c r="V242" s="176">
        <f>IF(L242&lt;$E$20,0,IF(ISTEXT(L242),0,IF(AND(G242+1&gt;=$E$19+1,L242&gt;0),IF(ISNUMBER(Q242),Q242*$AD44*AK$22*K242,$AD44*AK$22*K242),0)))</f>
      </c>
      <c r="W242" s="95">
        <f>IF(AND(L242&gt;0,S242&gt;0),IF(ISNUMBER(Q242),Q242*$AD44*AK$22*K242,$AD44*AK$22*K242),0)</f>
      </c>
      <c r="X242" s="17"/>
      <c r="Y242" s="11"/>
      <c r="Z242" s="11"/>
      <c r="AA242" s="3"/>
      <c r="AB242" s="3"/>
      <c r="AC242" s="3"/>
      <c r="AD242" s="3"/>
      <c r="AE242" s="4"/>
      <c r="AF242" s="8"/>
      <c r="AG242" s="1"/>
      <c r="AH242" s="6"/>
      <c r="AI242" s="6"/>
      <c r="AJ242" s="6"/>
      <c r="AK242" s="6"/>
      <c r="AL242" s="6"/>
      <c r="AM242" s="6"/>
      <c r="AN242" s="6"/>
      <c r="AO242" s="1"/>
      <c r="AP242" s="9"/>
      <c r="AQ242" s="2"/>
      <c r="AR242" s="3"/>
      <c r="AS242" s="10"/>
      <c r="AT242" s="1"/>
      <c r="AU242" s="1"/>
      <c r="AV242" s="1"/>
      <c r="AW242" s="1"/>
      <c r="AX242" s="1"/>
      <c r="AY242" s="1"/>
      <c r="AZ242" s="1"/>
      <c r="BA242" s="1"/>
      <c r="BB242" s="1"/>
      <c r="BC242" s="1"/>
      <c r="BD242" s="1"/>
      <c r="BE242" s="1"/>
      <c r="BF242" s="1"/>
      <c r="BG242" s="1"/>
      <c r="BH242" s="1"/>
    </row>
    <row x14ac:dyDescent="0.25" r="243" customHeight="1" ht="14.5">
      <c r="A243" s="1"/>
      <c r="B243" s="1"/>
      <c r="C243" s="1"/>
      <c r="D243" s="1"/>
      <c r="E243" s="2"/>
      <c r="F243" s="2"/>
      <c r="G243" s="90">
        <f>(S243&amp;RIGHT(R243,1))*1</f>
      </c>
      <c r="H243" s="1"/>
      <c r="I243" s="111"/>
      <c r="J243" s="126">
        <f>Planning!Q45</f>
      </c>
      <c r="K243" s="93">
        <f>VLOOKUP(J243,AA$23:AE$88,5,FALSE)</f>
      </c>
      <c r="L243" s="122">
        <f>Planning!X45</f>
      </c>
      <c r="M243" s="95">
        <f>IF(Planning!AE45=0,0,IFERROR($AD45*AK$22,0))</f>
      </c>
      <c r="N243" s="171">
        <f>IF(Planning!AE45=0,0,IFERROR($AD45*AK$22*K243,0))</f>
      </c>
      <c r="O243" s="96">
        <f>IF(ISTEXT(Planning!X45),0,AK45)</f>
      </c>
      <c r="P243" s="94">
        <f>Planning!AE45</f>
      </c>
      <c r="Q243" s="121">
        <f>Progress!X45</f>
      </c>
      <c r="R243" s="95">
        <f>IF(Q243=0,0,IF(ISNUMBER(Q243),IF(S243&gt;=$G$21,$F$21,"Q32"),Q243))</f>
      </c>
      <c r="S243" s="122">
        <f>Progress!Y45</f>
      </c>
      <c r="T243" s="97"/>
      <c r="U243" s="96">
        <f>V243/$N$419</f>
      </c>
      <c r="V243" s="176">
        <f>IF(L243&lt;$E$20,0,IF(ISTEXT(L243),0,IF(AND(G243+1&gt;=$E$19+1,L243&gt;0),IF(ISNUMBER(Q243),Q243*$AD45*AK$22*K243,$AD45*AK$22*K243),0)))</f>
      </c>
      <c r="W243" s="95">
        <f>IF(AND(L243&gt;0,S243&gt;0),IF(ISNUMBER(Q243),Q243*$AD45*AK$22*K243,$AD45*AK$22*K243),0)</f>
      </c>
      <c r="X243" s="17"/>
      <c r="Y243" s="11"/>
      <c r="Z243" s="11"/>
      <c r="AA243" s="3"/>
      <c r="AB243" s="3"/>
      <c r="AC243" s="3"/>
      <c r="AD243" s="3"/>
      <c r="AE243" s="4"/>
      <c r="AF243" s="8"/>
      <c r="AG243" s="1"/>
      <c r="AH243" s="6"/>
      <c r="AI243" s="6"/>
      <c r="AJ243" s="6"/>
      <c r="AK243" s="6"/>
      <c r="AL243" s="6"/>
      <c r="AM243" s="6"/>
      <c r="AN243" s="6"/>
      <c r="AO243" s="1"/>
      <c r="AP243" s="9"/>
      <c r="AQ243" s="2"/>
      <c r="AR243" s="3"/>
      <c r="AS243" s="10"/>
      <c r="AT243" s="1"/>
      <c r="AU243" s="1"/>
      <c r="AV243" s="1"/>
      <c r="AW243" s="1"/>
      <c r="AX243" s="1"/>
      <c r="AY243" s="1"/>
      <c r="AZ243" s="1"/>
      <c r="BA243" s="1"/>
      <c r="BB243" s="1"/>
      <c r="BC243" s="1"/>
      <c r="BD243" s="1"/>
      <c r="BE243" s="1"/>
      <c r="BF243" s="1"/>
      <c r="BG243" s="1"/>
      <c r="BH243" s="1"/>
    </row>
    <row x14ac:dyDescent="0.25" r="244" customHeight="1" ht="14.5">
      <c r="A244" s="1"/>
      <c r="B244" s="1"/>
      <c r="C244" s="1"/>
      <c r="D244" s="1"/>
      <c r="E244" s="2"/>
      <c r="F244" s="2"/>
      <c r="G244" s="90">
        <f>(S244&amp;RIGHT(R244,1))*1</f>
      </c>
      <c r="H244" s="1"/>
      <c r="I244" s="111"/>
      <c r="J244" s="126">
        <f>Planning!Q46</f>
      </c>
      <c r="K244" s="93">
        <f>VLOOKUP(J244,AA$23:AE$88,5,FALSE)</f>
      </c>
      <c r="L244" s="122">
        <f>Planning!X46</f>
      </c>
      <c r="M244" s="95">
        <f>IF(Planning!AE46=0,0,IFERROR($AD46*AK$22,0))</f>
      </c>
      <c r="N244" s="171">
        <f>IF(Planning!AE46=0,0,IFERROR($AD46*AK$22*K244,0))</f>
      </c>
      <c r="O244" s="96">
        <f>IF(ISTEXT(Planning!X46),0,AK46)</f>
      </c>
      <c r="P244" s="94">
        <f>Planning!AE46</f>
      </c>
      <c r="Q244" s="121">
        <f>Progress!X46</f>
      </c>
      <c r="R244" s="95">
        <f>IF(Q244=0,0,IF(ISNUMBER(Q244),IF(S244&gt;=$G$21,$F$21,"Q33"),Q244))</f>
      </c>
      <c r="S244" s="122">
        <f>Progress!Y46</f>
      </c>
      <c r="T244" s="97"/>
      <c r="U244" s="96">
        <f>V244/$N$419</f>
      </c>
      <c r="V244" s="176">
        <f>IF(L244&lt;$E$20,0,IF(ISTEXT(L244),0,IF(AND(G244+1&gt;=$E$19+1,L244&gt;0),IF(ISNUMBER(Q244),Q244*$AD46*AK$22*K244,$AD46*AK$22*K244),0)))</f>
      </c>
      <c r="W244" s="95">
        <f>IF(AND(L244&gt;0,S244&gt;0),IF(ISNUMBER(Q244),Q244*$AD46*AK$22*K244,$AD46*AK$22*K244),0)</f>
      </c>
      <c r="X244" s="17"/>
      <c r="Y244" s="11"/>
      <c r="Z244" s="11"/>
      <c r="AA244" s="3"/>
      <c r="AB244" s="3"/>
      <c r="AC244" s="3"/>
      <c r="AD244" s="3"/>
      <c r="AE244" s="4"/>
      <c r="AF244" s="8"/>
      <c r="AG244" s="1"/>
      <c r="AH244" s="6"/>
      <c r="AI244" s="6"/>
      <c r="AJ244" s="6"/>
      <c r="AK244" s="6"/>
      <c r="AL244" s="6"/>
      <c r="AM244" s="6"/>
      <c r="AN244" s="6"/>
      <c r="AO244" s="1"/>
      <c r="AP244" s="9"/>
      <c r="AQ244" s="2"/>
      <c r="AR244" s="3"/>
      <c r="AS244" s="10"/>
      <c r="AT244" s="1"/>
      <c r="AU244" s="1"/>
      <c r="AV244" s="1"/>
      <c r="AW244" s="1"/>
      <c r="AX244" s="1"/>
      <c r="AY244" s="1"/>
      <c r="AZ244" s="1"/>
      <c r="BA244" s="1"/>
      <c r="BB244" s="1"/>
      <c r="BC244" s="1"/>
      <c r="BD244" s="1"/>
      <c r="BE244" s="1"/>
      <c r="BF244" s="1"/>
      <c r="BG244" s="1"/>
      <c r="BH244" s="1"/>
    </row>
    <row x14ac:dyDescent="0.25" r="245" customHeight="1" ht="14.5">
      <c r="A245" s="1"/>
      <c r="B245" s="1"/>
      <c r="C245" s="1"/>
      <c r="D245" s="1"/>
      <c r="E245" s="2"/>
      <c r="F245" s="2"/>
      <c r="G245" s="90">
        <f>(S245&amp;RIGHT(R245,1))*1</f>
      </c>
      <c r="H245" s="1"/>
      <c r="I245" s="111"/>
      <c r="J245" s="126">
        <f>Planning!Q47</f>
      </c>
      <c r="K245" s="93">
        <f>VLOOKUP(J245,AA$23:AE$88,5,FALSE)</f>
      </c>
      <c r="L245" s="122">
        <f>Planning!X47</f>
      </c>
      <c r="M245" s="95">
        <f>IF(Planning!AE47=0,0,IFERROR($AD47*AK$22,0))</f>
      </c>
      <c r="N245" s="171">
        <f>IF(Planning!AE47=0,0,IFERROR($AD47*AK$22*K245,0))</f>
      </c>
      <c r="O245" s="96">
        <f>IF(ISTEXT(Planning!X47),0,AK47)</f>
      </c>
      <c r="P245" s="94">
        <f>Planning!AE47</f>
      </c>
      <c r="Q245" s="121">
        <f>Progress!X47</f>
      </c>
      <c r="R245" s="95">
        <f>IF(Q245=0,0,IF(ISNUMBER(Q245),IF(S245&gt;=$G$21,$F$21,"Q34"),Q245))</f>
      </c>
      <c r="S245" s="122">
        <f>Progress!Y47</f>
      </c>
      <c r="T245" s="97"/>
      <c r="U245" s="96">
        <f>V245/$N$419</f>
      </c>
      <c r="V245" s="176">
        <f>IF(L245&lt;$E$20,0,IF(ISTEXT(L245),0,IF(AND(G245+1&gt;=$E$19+1,L245&gt;0),IF(ISNUMBER(Q245),Q245*$AD47*AK$22*K245,$AD47*AK$22*K245),0)))</f>
      </c>
      <c r="W245" s="95">
        <f>IF(AND(L245&gt;0,S245&gt;0),IF(ISNUMBER(Q245),Q245*$AD47*AK$22*K245,$AD47*AK$22*K245),0)</f>
      </c>
      <c r="X245" s="17"/>
      <c r="Y245" s="11"/>
      <c r="Z245" s="11"/>
      <c r="AA245" s="3"/>
      <c r="AB245" s="3"/>
      <c r="AC245" s="3"/>
      <c r="AD245" s="3"/>
      <c r="AE245" s="4"/>
      <c r="AF245" s="8"/>
      <c r="AG245" s="1"/>
      <c r="AH245" s="6"/>
      <c r="AI245" s="6"/>
      <c r="AJ245" s="6"/>
      <c r="AK245" s="6"/>
      <c r="AL245" s="6"/>
      <c r="AM245" s="6"/>
      <c r="AN245" s="6"/>
      <c r="AO245" s="1"/>
      <c r="AP245" s="9"/>
      <c r="AQ245" s="2"/>
      <c r="AR245" s="3"/>
      <c r="AS245" s="10"/>
      <c r="AT245" s="1"/>
      <c r="AU245" s="1"/>
      <c r="AV245" s="1"/>
      <c r="AW245" s="1"/>
      <c r="AX245" s="1"/>
      <c r="AY245" s="1"/>
      <c r="AZ245" s="1"/>
      <c r="BA245" s="1"/>
      <c r="BB245" s="1"/>
      <c r="BC245" s="1"/>
      <c r="BD245" s="1"/>
      <c r="BE245" s="1"/>
      <c r="BF245" s="1"/>
      <c r="BG245" s="1"/>
      <c r="BH245" s="1"/>
    </row>
    <row x14ac:dyDescent="0.25" r="246" customHeight="1" ht="14.5">
      <c r="A246" s="1"/>
      <c r="B246" s="1"/>
      <c r="C246" s="1"/>
      <c r="D246" s="1"/>
      <c r="E246" s="2"/>
      <c r="F246" s="2"/>
      <c r="G246" s="90">
        <f>(S246&amp;RIGHT(R246,1))*1</f>
      </c>
      <c r="H246" s="1"/>
      <c r="I246" s="111"/>
      <c r="J246" s="126">
        <f>Planning!Q48</f>
      </c>
      <c r="K246" s="93">
        <f>VLOOKUP(J246,AA$23:AE$88,5,FALSE)</f>
      </c>
      <c r="L246" s="122">
        <f>Planning!X48</f>
      </c>
      <c r="M246" s="95">
        <f>IF(Planning!AE48=0,0,IFERROR($AD48*AK$22,0))</f>
      </c>
      <c r="N246" s="171">
        <f>IF(Planning!AE48=0,0,IFERROR($AD48*AK$22*K246,0))</f>
      </c>
      <c r="O246" s="96">
        <f>IF(ISTEXT(Planning!X48),0,AK48)</f>
      </c>
      <c r="P246" s="94">
        <f>Planning!AE48</f>
      </c>
      <c r="Q246" s="121">
        <f>Progress!X48</f>
      </c>
      <c r="R246" s="95">
        <f>IF(Q246=0,0,IF(ISNUMBER(Q246),IF(S246&gt;=$G$21,$F$21,"Q35"),Q246))</f>
      </c>
      <c r="S246" s="122">
        <f>Progress!Y48</f>
      </c>
      <c r="T246" s="97"/>
      <c r="U246" s="96">
        <f>V246/$N$419</f>
      </c>
      <c r="V246" s="176">
        <f>IF(L246&lt;$E$20,0,IF(ISTEXT(L246),0,IF(AND(G246+1&gt;=$E$19+1,L246&gt;0),IF(ISNUMBER(Q246),Q246*$AD48*AK$22*K246,$AD48*AK$22*K246),0)))</f>
      </c>
      <c r="W246" s="95">
        <f>IF(AND(L246&gt;0,S246&gt;0),IF(ISNUMBER(Q246),Q246*$AD48*AK$22*K246,$AD48*AK$22*K246),0)</f>
      </c>
      <c r="X246" s="17"/>
      <c r="Y246" s="11"/>
      <c r="Z246" s="11"/>
      <c r="AA246" s="3"/>
      <c r="AB246" s="3"/>
      <c r="AC246" s="3"/>
      <c r="AD246" s="3"/>
      <c r="AE246" s="4"/>
      <c r="AF246" s="8"/>
      <c r="AG246" s="1"/>
      <c r="AH246" s="6"/>
      <c r="AI246" s="6"/>
      <c r="AJ246" s="6"/>
      <c r="AK246" s="6"/>
      <c r="AL246" s="6"/>
      <c r="AM246" s="6"/>
      <c r="AN246" s="6"/>
      <c r="AO246" s="1"/>
      <c r="AP246" s="9"/>
      <c r="AQ246" s="2"/>
      <c r="AR246" s="3"/>
      <c r="AS246" s="10"/>
      <c r="AT246" s="1"/>
      <c r="AU246" s="1"/>
      <c r="AV246" s="1"/>
      <c r="AW246" s="1"/>
      <c r="AX246" s="1"/>
      <c r="AY246" s="1"/>
      <c r="AZ246" s="1"/>
      <c r="BA246" s="1"/>
      <c r="BB246" s="1"/>
      <c r="BC246" s="1"/>
      <c r="BD246" s="1"/>
      <c r="BE246" s="1"/>
      <c r="BF246" s="1"/>
      <c r="BG246" s="1"/>
      <c r="BH246" s="1"/>
    </row>
    <row x14ac:dyDescent="0.25" r="247" customHeight="1" ht="14.5">
      <c r="A247" s="1"/>
      <c r="B247" s="1"/>
      <c r="C247" s="1"/>
      <c r="D247" s="1"/>
      <c r="E247" s="2"/>
      <c r="F247" s="2"/>
      <c r="G247" s="90">
        <f>(S247&amp;RIGHT(R247,1))*1</f>
      </c>
      <c r="H247" s="1"/>
      <c r="I247" s="111"/>
      <c r="J247" s="126">
        <f>Planning!Q49</f>
      </c>
      <c r="K247" s="93">
        <f>VLOOKUP(J247,AA$23:AE$88,5,FALSE)</f>
      </c>
      <c r="L247" s="122">
        <f>Planning!X49</f>
      </c>
      <c r="M247" s="95">
        <f>IF(Planning!AE49=0,0,IFERROR($AD49*AK$22,0))</f>
      </c>
      <c r="N247" s="171">
        <f>IF(Planning!AE49=0,0,IFERROR($AD49*AK$22*K247,0))</f>
      </c>
      <c r="O247" s="96">
        <f>IF(ISTEXT(Planning!X49),0,AK49)</f>
      </c>
      <c r="P247" s="94">
        <f>Planning!AE49</f>
      </c>
      <c r="Q247" s="121">
        <f>Progress!X49</f>
      </c>
      <c r="R247" s="95">
        <f>IF(Q247=0,0,IF(ISNUMBER(Q247),IF(S247&gt;=$G$21,$F$21,"Q36"),Q247))</f>
      </c>
      <c r="S247" s="122">
        <f>Progress!Y49</f>
      </c>
      <c r="T247" s="97"/>
      <c r="U247" s="96">
        <f>V247/$N$419</f>
      </c>
      <c r="V247" s="176">
        <f>IF(L247&lt;$E$20,0,IF(ISTEXT(L247),0,IF(AND(G247+1&gt;=$E$19+1,L247&gt;0),IF(ISNUMBER(Q247),Q247*$AD49*AK$22*K247,$AD49*AK$22*K247),0)))</f>
      </c>
      <c r="W247" s="95">
        <f>IF(AND(L247&gt;0,S247&gt;0),IF(ISNUMBER(Q247),Q247*$AD49*AK$22*K247,$AD49*AK$22*K247),0)</f>
      </c>
      <c r="X247" s="17"/>
      <c r="Y247" s="11"/>
      <c r="Z247" s="11"/>
      <c r="AA247" s="3"/>
      <c r="AB247" s="3"/>
      <c r="AC247" s="3"/>
      <c r="AD247" s="3"/>
      <c r="AE247" s="4"/>
      <c r="AF247" s="8"/>
      <c r="AG247" s="1"/>
      <c r="AH247" s="6"/>
      <c r="AI247" s="6"/>
      <c r="AJ247" s="6"/>
      <c r="AK247" s="6"/>
      <c r="AL247" s="6"/>
      <c r="AM247" s="6"/>
      <c r="AN247" s="6"/>
      <c r="AO247" s="1"/>
      <c r="AP247" s="9"/>
      <c r="AQ247" s="2"/>
      <c r="AR247" s="3"/>
      <c r="AS247" s="10"/>
      <c r="AT247" s="1"/>
      <c r="AU247" s="1"/>
      <c r="AV247" s="1"/>
      <c r="AW247" s="1"/>
      <c r="AX247" s="1"/>
      <c r="AY247" s="1"/>
      <c r="AZ247" s="1"/>
      <c r="BA247" s="1"/>
      <c r="BB247" s="1"/>
      <c r="BC247" s="1"/>
      <c r="BD247" s="1"/>
      <c r="BE247" s="1"/>
      <c r="BF247" s="1"/>
      <c r="BG247" s="1"/>
      <c r="BH247" s="1"/>
    </row>
    <row x14ac:dyDescent="0.25" r="248" customHeight="1" ht="14.5">
      <c r="A248" s="1"/>
      <c r="B248" s="1"/>
      <c r="C248" s="1"/>
      <c r="D248" s="1"/>
      <c r="E248" s="2"/>
      <c r="F248" s="2"/>
      <c r="G248" s="90">
        <f>(S248&amp;RIGHT(R248,1))*1</f>
      </c>
      <c r="H248" s="1"/>
      <c r="I248" s="111"/>
      <c r="J248" s="126">
        <f>Planning!Q50</f>
      </c>
      <c r="K248" s="93">
        <f>VLOOKUP(J248,AA$23:AE$88,5,FALSE)</f>
      </c>
      <c r="L248" s="122">
        <f>Planning!X50</f>
      </c>
      <c r="M248" s="95">
        <f>IF(Planning!AE50=0,0,IFERROR($AD50*AK$22,0))</f>
      </c>
      <c r="N248" s="171">
        <f>IF(Planning!AE50=0,0,IFERROR($AD50*AK$22*K248,0))</f>
      </c>
      <c r="O248" s="96">
        <f>IF(ISTEXT(Planning!X50),0,AK50)</f>
      </c>
      <c r="P248" s="94">
        <f>Planning!AE50</f>
      </c>
      <c r="Q248" s="121">
        <f>Progress!X50</f>
      </c>
      <c r="R248" s="95">
        <f>IF(Q248=0,0,IF(ISNUMBER(Q248),IF(S248&gt;=$G$21,$F$21,"Q37"),Q248))</f>
      </c>
      <c r="S248" s="122">
        <f>Progress!Y50</f>
      </c>
      <c r="T248" s="97"/>
      <c r="U248" s="96">
        <f>V248/$N$419</f>
      </c>
      <c r="V248" s="176">
        <f>IF(L248&lt;$E$20,0,IF(ISTEXT(L248),0,IF(AND(G248+1&gt;=$E$19+1,L248&gt;0),IF(ISNUMBER(Q248),Q248*$AD50*AK$22*K248,$AD50*AK$22*K248),0)))</f>
      </c>
      <c r="W248" s="95">
        <f>IF(AND(L248&gt;0,S248&gt;0),IF(ISNUMBER(Q248),Q248*$AD50*AK$22*K248,$AD50*AK$22*K248),0)</f>
      </c>
      <c r="X248" s="17"/>
      <c r="Y248" s="11"/>
      <c r="Z248" s="11"/>
      <c r="AA248" s="3"/>
      <c r="AB248" s="3"/>
      <c r="AC248" s="3"/>
      <c r="AD248" s="3"/>
      <c r="AE248" s="4"/>
      <c r="AF248" s="8"/>
      <c r="AG248" s="1"/>
      <c r="AH248" s="6"/>
      <c r="AI248" s="6"/>
      <c r="AJ248" s="6"/>
      <c r="AK248" s="6"/>
      <c r="AL248" s="6"/>
      <c r="AM248" s="6"/>
      <c r="AN248" s="6"/>
      <c r="AO248" s="1"/>
      <c r="AP248" s="9"/>
      <c r="AQ248" s="2"/>
      <c r="AR248" s="3"/>
      <c r="AS248" s="10"/>
      <c r="AT248" s="1"/>
      <c r="AU248" s="1"/>
      <c r="AV248" s="1"/>
      <c r="AW248" s="1"/>
      <c r="AX248" s="1"/>
      <c r="AY248" s="1"/>
      <c r="AZ248" s="1"/>
      <c r="BA248" s="1"/>
      <c r="BB248" s="1"/>
      <c r="BC248" s="1"/>
      <c r="BD248" s="1"/>
      <c r="BE248" s="1"/>
      <c r="BF248" s="1"/>
      <c r="BG248" s="1"/>
      <c r="BH248" s="1"/>
    </row>
    <row x14ac:dyDescent="0.25" r="249" customHeight="1" ht="14.5">
      <c r="A249" s="1"/>
      <c r="B249" s="1"/>
      <c r="C249" s="1"/>
      <c r="D249" s="1"/>
      <c r="E249" s="2"/>
      <c r="F249" s="2"/>
      <c r="G249" s="90">
        <f>(S249&amp;RIGHT(R249,1))*1</f>
      </c>
      <c r="H249" s="1"/>
      <c r="I249" s="111"/>
      <c r="J249" s="126">
        <f>Planning!Q51</f>
      </c>
      <c r="K249" s="93">
        <f>VLOOKUP(J249,AA$23:AE$88,5,FALSE)</f>
      </c>
      <c r="L249" s="122">
        <f>Planning!X51</f>
      </c>
      <c r="M249" s="95">
        <f>IF(Planning!AE51=0,0,IFERROR($AD51*AK$22,0))</f>
      </c>
      <c r="N249" s="171">
        <f>IF(Planning!AE51=0,0,IFERROR($AD51*AK$22*K249,0))</f>
      </c>
      <c r="O249" s="96">
        <f>IF(ISTEXT(Planning!X51),0,AK51)</f>
      </c>
      <c r="P249" s="94">
        <f>Planning!AE51</f>
      </c>
      <c r="Q249" s="121">
        <f>Progress!X51</f>
      </c>
      <c r="R249" s="95">
        <f>IF(Q249=0,0,IF(ISNUMBER(Q249),IF(S249&gt;=$G$21,$F$21,"Q38"),Q249))</f>
      </c>
      <c r="S249" s="122">
        <f>Progress!Y51</f>
      </c>
      <c r="T249" s="97"/>
      <c r="U249" s="96">
        <f>V249/$N$419</f>
      </c>
      <c r="V249" s="176">
        <f>IF(L249&lt;$E$20,0,IF(ISTEXT(L249),0,IF(AND(G249+1&gt;=$E$19+1,L249&gt;0),IF(ISNUMBER(Q249),Q249*$AD51*AK$22*K249,$AD51*AK$22*K249),0)))</f>
      </c>
      <c r="W249" s="95">
        <f>IF(AND(L249&gt;0,S249&gt;0),IF(ISNUMBER(Q249),Q249*$AD51*AK$22*K249,$AD51*AK$22*K249),0)</f>
      </c>
      <c r="X249" s="17"/>
      <c r="Y249" s="11"/>
      <c r="Z249" s="11"/>
      <c r="AA249" s="3"/>
      <c r="AB249" s="3"/>
      <c r="AC249" s="3"/>
      <c r="AD249" s="3"/>
      <c r="AE249" s="4"/>
      <c r="AF249" s="8"/>
      <c r="AG249" s="1"/>
      <c r="AH249" s="6"/>
      <c r="AI249" s="6"/>
      <c r="AJ249" s="6"/>
      <c r="AK249" s="6"/>
      <c r="AL249" s="6"/>
      <c r="AM249" s="6"/>
      <c r="AN249" s="6"/>
      <c r="AO249" s="1"/>
      <c r="AP249" s="9"/>
      <c r="AQ249" s="2"/>
      <c r="AR249" s="3"/>
      <c r="AS249" s="10"/>
      <c r="AT249" s="1"/>
      <c r="AU249" s="1"/>
      <c r="AV249" s="1"/>
      <c r="AW249" s="1"/>
      <c r="AX249" s="1"/>
      <c r="AY249" s="1"/>
      <c r="AZ249" s="1"/>
      <c r="BA249" s="1"/>
      <c r="BB249" s="1"/>
      <c r="BC249" s="1"/>
      <c r="BD249" s="1"/>
      <c r="BE249" s="1"/>
      <c r="BF249" s="1"/>
      <c r="BG249" s="1"/>
      <c r="BH249" s="1"/>
    </row>
    <row x14ac:dyDescent="0.25" r="250" customHeight="1" ht="14.5">
      <c r="A250" s="1"/>
      <c r="B250" s="1"/>
      <c r="C250" s="1"/>
      <c r="D250" s="1"/>
      <c r="E250" s="2"/>
      <c r="F250" s="2"/>
      <c r="G250" s="90">
        <f>(S250&amp;RIGHT(R250,1))*1</f>
      </c>
      <c r="H250" s="1"/>
      <c r="I250" s="111"/>
      <c r="J250" s="126">
        <f>Planning!Q52</f>
      </c>
      <c r="K250" s="93">
        <f>VLOOKUP(J250,AA$23:AE$88,5,FALSE)</f>
      </c>
      <c r="L250" s="122">
        <f>Planning!X52</f>
      </c>
      <c r="M250" s="95">
        <f>IF(Planning!AE52=0,0,IFERROR($AD52*AK$22,0))</f>
      </c>
      <c r="N250" s="171">
        <f>IF(Planning!AE52=0,0,IFERROR($AD52*AK$22*K250,0))</f>
      </c>
      <c r="O250" s="96">
        <f>IF(ISTEXT(Planning!X52),0,AK52)</f>
      </c>
      <c r="P250" s="94">
        <f>Planning!AE52</f>
      </c>
      <c r="Q250" s="121">
        <f>Progress!X52</f>
      </c>
      <c r="R250" s="95">
        <f>IF(Q250=0,0,IF(ISNUMBER(Q250),IF(S250&gt;=$G$21,$F$21,"Q39"),Q250))</f>
      </c>
      <c r="S250" s="122">
        <f>Progress!Y52</f>
      </c>
      <c r="T250" s="97"/>
      <c r="U250" s="96">
        <f>V250/$N$419</f>
      </c>
      <c r="V250" s="176">
        <f>IF(L250&lt;$E$20,0,IF(ISTEXT(L250),0,IF(AND(G250+1&gt;=$E$19+1,L250&gt;0),IF(ISNUMBER(Q250),Q250*$AD52*AK$22*K250,$AD52*AK$22*K250),0)))</f>
      </c>
      <c r="W250" s="95">
        <f>IF(AND(L250&gt;0,S250&gt;0),IF(ISNUMBER(Q250),Q250*$AD52*AK$22*K250,$AD52*AK$22*K250),0)</f>
      </c>
      <c r="X250" s="17"/>
      <c r="Y250" s="11"/>
      <c r="Z250" s="11"/>
      <c r="AA250" s="3"/>
      <c r="AB250" s="3"/>
      <c r="AC250" s="3"/>
      <c r="AD250" s="3"/>
      <c r="AE250" s="4"/>
      <c r="AF250" s="8"/>
      <c r="AG250" s="1"/>
      <c r="AH250" s="6"/>
      <c r="AI250" s="6"/>
      <c r="AJ250" s="6"/>
      <c r="AK250" s="6"/>
      <c r="AL250" s="6"/>
      <c r="AM250" s="6"/>
      <c r="AN250" s="6"/>
      <c r="AO250" s="1"/>
      <c r="AP250" s="9"/>
      <c r="AQ250" s="2"/>
      <c r="AR250" s="3"/>
      <c r="AS250" s="10"/>
      <c r="AT250" s="1"/>
      <c r="AU250" s="1"/>
      <c r="AV250" s="1"/>
      <c r="AW250" s="1"/>
      <c r="AX250" s="1"/>
      <c r="AY250" s="1"/>
      <c r="AZ250" s="1"/>
      <c r="BA250" s="1"/>
      <c r="BB250" s="1"/>
      <c r="BC250" s="1"/>
      <c r="BD250" s="1"/>
      <c r="BE250" s="1"/>
      <c r="BF250" s="1"/>
      <c r="BG250" s="1"/>
      <c r="BH250" s="1"/>
    </row>
    <row x14ac:dyDescent="0.25" r="251" customHeight="1" ht="14.5">
      <c r="A251" s="1"/>
      <c r="B251" s="1"/>
      <c r="C251" s="1"/>
      <c r="D251" s="1"/>
      <c r="E251" s="2"/>
      <c r="F251" s="2"/>
      <c r="G251" s="90">
        <f>(S251&amp;RIGHT(R251,1))*1</f>
      </c>
      <c r="H251" s="1"/>
      <c r="I251" s="111"/>
      <c r="J251" s="126">
        <f>Planning!Q53</f>
      </c>
      <c r="K251" s="93">
        <f>VLOOKUP(J251,AA$23:AE$88,5,FALSE)</f>
      </c>
      <c r="L251" s="122">
        <f>Planning!X53</f>
      </c>
      <c r="M251" s="95">
        <f>IF(Planning!AE53=0,0,IFERROR($AD53*AK$22,0))</f>
      </c>
      <c r="N251" s="171">
        <f>IF(Planning!AE53=0,0,IFERROR($AD53*AK$22*K251,0))</f>
      </c>
      <c r="O251" s="96">
        <f>IF(ISTEXT(Planning!X53),0,AK53)</f>
      </c>
      <c r="P251" s="94">
        <f>Planning!AE53</f>
      </c>
      <c r="Q251" s="121">
        <f>Progress!X53</f>
      </c>
      <c r="R251" s="95">
        <f>IF(Q251=0,0,IF(ISNUMBER(Q251),IF(S251&gt;=$G$21,$F$21,"Q40"),Q251))</f>
      </c>
      <c r="S251" s="122">
        <f>Progress!Y53</f>
      </c>
      <c r="T251" s="97"/>
      <c r="U251" s="96">
        <f>V251/$N$419</f>
      </c>
      <c r="V251" s="176">
        <f>IF(L251&lt;$E$20,0,IF(ISTEXT(L251),0,IF(AND(G251+1&gt;=$E$19+1,L251&gt;0),IF(ISNUMBER(Q251),Q251*$AD53*AK$22*K251,$AD53*AK$22*K251),0)))</f>
      </c>
      <c r="W251" s="95">
        <f>IF(AND(L251&gt;0,S251&gt;0),IF(ISNUMBER(Q251),Q251*$AD53*AK$22*K251,$AD53*AK$22*K251),0)</f>
      </c>
      <c r="X251" s="17"/>
      <c r="Y251" s="11"/>
      <c r="Z251" s="11"/>
      <c r="AA251" s="3"/>
      <c r="AB251" s="3"/>
      <c r="AC251" s="3"/>
      <c r="AD251" s="3"/>
      <c r="AE251" s="4"/>
      <c r="AF251" s="8"/>
      <c r="AG251" s="1"/>
      <c r="AH251" s="6"/>
      <c r="AI251" s="6"/>
      <c r="AJ251" s="6"/>
      <c r="AK251" s="6"/>
      <c r="AL251" s="6"/>
      <c r="AM251" s="6"/>
      <c r="AN251" s="6"/>
      <c r="AO251" s="1"/>
      <c r="AP251" s="9"/>
      <c r="AQ251" s="2"/>
      <c r="AR251" s="3"/>
      <c r="AS251" s="10"/>
      <c r="AT251" s="1"/>
      <c r="AU251" s="1"/>
      <c r="AV251" s="1"/>
      <c r="AW251" s="1"/>
      <c r="AX251" s="1"/>
      <c r="AY251" s="1"/>
      <c r="AZ251" s="1"/>
      <c r="BA251" s="1"/>
      <c r="BB251" s="1"/>
      <c r="BC251" s="1"/>
      <c r="BD251" s="1"/>
      <c r="BE251" s="1"/>
      <c r="BF251" s="1"/>
      <c r="BG251" s="1"/>
      <c r="BH251" s="1"/>
    </row>
    <row x14ac:dyDescent="0.25" r="252" customHeight="1" ht="14.5">
      <c r="A252" s="1"/>
      <c r="B252" s="1"/>
      <c r="C252" s="1"/>
      <c r="D252" s="1"/>
      <c r="E252" s="2"/>
      <c r="F252" s="2"/>
      <c r="G252" s="90">
        <f>(S252&amp;RIGHT(R252,1))*1</f>
      </c>
      <c r="H252" s="1"/>
      <c r="I252" s="111"/>
      <c r="J252" s="126">
        <f>Planning!Q54</f>
      </c>
      <c r="K252" s="93">
        <f>VLOOKUP(J252,AA$23:AE$88,5,FALSE)</f>
      </c>
      <c r="L252" s="122">
        <f>Planning!X54</f>
      </c>
      <c r="M252" s="95">
        <f>IF(Planning!AE54=0,0,IFERROR($AD54*AK$22,0))</f>
      </c>
      <c r="N252" s="171">
        <f>IF(Planning!AE54=0,0,IFERROR($AD54*AK$22*K252,0))</f>
      </c>
      <c r="O252" s="96">
        <f>IF(ISTEXT(Planning!X54),0,AK54)</f>
      </c>
      <c r="P252" s="94">
        <f>Planning!AE54</f>
      </c>
      <c r="Q252" s="121">
        <f>Progress!X54</f>
      </c>
      <c r="R252" s="95">
        <f>IF(Q252=0,0,IF(ISNUMBER(Q252),IF(S252&gt;=$G$21,$F$21,"Q41"),Q252))</f>
      </c>
      <c r="S252" s="122">
        <f>Progress!Y54</f>
      </c>
      <c r="T252" s="97"/>
      <c r="U252" s="96">
        <f>V252/$N$419</f>
      </c>
      <c r="V252" s="176">
        <f>IF(L252&lt;$E$20,0,IF(ISTEXT(L252),0,IF(AND(G252+1&gt;=$E$19+1,L252&gt;0),IF(ISNUMBER(Q252),Q252*$AD54*AK$22*K252,$AD54*AK$22*K252),0)))</f>
      </c>
      <c r="W252" s="95">
        <f>IF(AND(L252&gt;0,S252&gt;0),IF(ISNUMBER(Q252),Q252*$AD54*AK$22*K252,$AD54*AK$22*K252),0)</f>
      </c>
      <c r="X252" s="17"/>
      <c r="Y252" s="11"/>
      <c r="Z252" s="11"/>
      <c r="AA252" s="3"/>
      <c r="AB252" s="3"/>
      <c r="AC252" s="3"/>
      <c r="AD252" s="3"/>
      <c r="AE252" s="4"/>
      <c r="AF252" s="8"/>
      <c r="AG252" s="1"/>
      <c r="AH252" s="6"/>
      <c r="AI252" s="6"/>
      <c r="AJ252" s="6"/>
      <c r="AK252" s="6"/>
      <c r="AL252" s="6"/>
      <c r="AM252" s="6"/>
      <c r="AN252" s="6"/>
      <c r="AO252" s="1"/>
      <c r="AP252" s="9"/>
      <c r="AQ252" s="2"/>
      <c r="AR252" s="3"/>
      <c r="AS252" s="10"/>
      <c r="AT252" s="1"/>
      <c r="AU252" s="1"/>
      <c r="AV252" s="1"/>
      <c r="AW252" s="1"/>
      <c r="AX252" s="1"/>
      <c r="AY252" s="1"/>
      <c r="AZ252" s="1"/>
      <c r="BA252" s="1"/>
      <c r="BB252" s="1"/>
      <c r="BC252" s="1"/>
      <c r="BD252" s="1"/>
      <c r="BE252" s="1"/>
      <c r="BF252" s="1"/>
      <c r="BG252" s="1"/>
      <c r="BH252" s="1"/>
    </row>
    <row x14ac:dyDescent="0.25" r="253" customHeight="1" ht="14.5">
      <c r="A253" s="1"/>
      <c r="B253" s="1"/>
      <c r="C253" s="1"/>
      <c r="D253" s="1"/>
      <c r="E253" s="2"/>
      <c r="F253" s="2"/>
      <c r="G253" s="90">
        <f>(S253&amp;RIGHT(R253,1))*1</f>
      </c>
      <c r="H253" s="1"/>
      <c r="I253" s="111"/>
      <c r="J253" s="126">
        <f>Planning!Q55</f>
      </c>
      <c r="K253" s="93">
        <f>VLOOKUP(J253,AA$23:AE$88,5,FALSE)</f>
      </c>
      <c r="L253" s="122">
        <f>Planning!X55</f>
      </c>
      <c r="M253" s="95">
        <f>IF(Planning!AE55=0,0,IFERROR($AD55*AK$22,0))</f>
      </c>
      <c r="N253" s="171">
        <f>IF(Planning!AE55=0,0,IFERROR($AD55*AK$22*K253,0))</f>
      </c>
      <c r="O253" s="96">
        <f>IF(ISTEXT(Planning!X55),0,AK55)</f>
      </c>
      <c r="P253" s="94">
        <f>Planning!AE55</f>
      </c>
      <c r="Q253" s="121">
        <f>Progress!X55</f>
      </c>
      <c r="R253" s="95">
        <f>IF(Q253=0,0,IF(ISNUMBER(Q253),IF(S253&gt;=$G$21,$F$21,"Q42"),Q253))</f>
      </c>
      <c r="S253" s="122">
        <f>Progress!Y55</f>
      </c>
      <c r="T253" s="97"/>
      <c r="U253" s="96">
        <f>V253/$N$419</f>
      </c>
      <c r="V253" s="176">
        <f>IF(L253&lt;$E$20,0,IF(ISTEXT(L253),0,IF(AND(G253+1&gt;=$E$19+1,L253&gt;0),IF(ISNUMBER(Q253),Q253*$AD55*AK$22*K253,$AD55*AK$22*K253),0)))</f>
      </c>
      <c r="W253" s="95">
        <f>IF(AND(L253&gt;0,S253&gt;0),IF(ISNUMBER(Q253),Q253*$AD55*AK$22*K253,$AD55*AK$22*K253),0)</f>
      </c>
      <c r="X253" s="17"/>
      <c r="Y253" s="11"/>
      <c r="Z253" s="11"/>
      <c r="AA253" s="3"/>
      <c r="AB253" s="3"/>
      <c r="AC253" s="3"/>
      <c r="AD253" s="3"/>
      <c r="AE253" s="4"/>
      <c r="AF253" s="8"/>
      <c r="AG253" s="1"/>
      <c r="AH253" s="6"/>
      <c r="AI253" s="6"/>
      <c r="AJ253" s="6"/>
      <c r="AK253" s="6"/>
      <c r="AL253" s="6"/>
      <c r="AM253" s="6"/>
      <c r="AN253" s="6"/>
      <c r="AO253" s="1"/>
      <c r="AP253" s="9"/>
      <c r="AQ253" s="2"/>
      <c r="AR253" s="3"/>
      <c r="AS253" s="10"/>
      <c r="AT253" s="1"/>
      <c r="AU253" s="1"/>
      <c r="AV253" s="1"/>
      <c r="AW253" s="1"/>
      <c r="AX253" s="1"/>
      <c r="AY253" s="1"/>
      <c r="AZ253" s="1"/>
      <c r="BA253" s="1"/>
      <c r="BB253" s="1"/>
      <c r="BC253" s="1"/>
      <c r="BD253" s="1"/>
      <c r="BE253" s="1"/>
      <c r="BF253" s="1"/>
      <c r="BG253" s="1"/>
      <c r="BH253" s="1"/>
    </row>
    <row x14ac:dyDescent="0.25" r="254" customHeight="1" ht="14.5">
      <c r="A254" s="1"/>
      <c r="B254" s="1"/>
      <c r="C254" s="1"/>
      <c r="D254" s="1"/>
      <c r="E254" s="2"/>
      <c r="F254" s="2"/>
      <c r="G254" s="90">
        <f>(S254&amp;RIGHT(R254,1))*1</f>
      </c>
      <c r="H254" s="1"/>
      <c r="I254" s="111"/>
      <c r="J254" s="126">
        <f>Planning!Q56</f>
      </c>
      <c r="K254" s="93">
        <f>VLOOKUP(J254,AA$23:AE$88,5,FALSE)</f>
      </c>
      <c r="L254" s="122">
        <f>Planning!X56</f>
      </c>
      <c r="M254" s="95">
        <f>IF(Planning!AE56=0,0,IFERROR($AD56*AK$22,0))</f>
      </c>
      <c r="N254" s="171">
        <f>IF(Planning!AE56=0,0,IFERROR($AD56*AK$22*K254,0))</f>
      </c>
      <c r="O254" s="96">
        <f>IF(ISTEXT(Planning!X56),0,AK56)</f>
      </c>
      <c r="P254" s="94">
        <f>Planning!AE56</f>
      </c>
      <c r="Q254" s="121">
        <f>Progress!X56</f>
      </c>
      <c r="R254" s="95">
        <f>IF(Q254=0,0,IF(ISNUMBER(Q254),IF(S254&gt;=$G$21,$F$21,"Q43"),Q254))</f>
      </c>
      <c r="S254" s="122">
        <f>Progress!Y56</f>
      </c>
      <c r="T254" s="97"/>
      <c r="U254" s="96">
        <f>V254/$N$419</f>
      </c>
      <c r="V254" s="176">
        <f>IF(L254&lt;$E$20,0,IF(ISTEXT(L254),0,IF(AND(G254+1&gt;=$E$19+1,L254&gt;0),IF(ISNUMBER(Q254),Q254*$AD56*AK$22*K254,$AD56*AK$22*K254),0)))</f>
      </c>
      <c r="W254" s="95">
        <f>IF(AND(L254&gt;0,S254&gt;0),IF(ISNUMBER(Q254),Q254*$AD56*AK$22*K254,$AD56*AK$22*K254),0)</f>
      </c>
      <c r="X254" s="17"/>
      <c r="Y254" s="11"/>
      <c r="Z254" s="11"/>
      <c r="AA254" s="3"/>
      <c r="AB254" s="3"/>
      <c r="AC254" s="3"/>
      <c r="AD254" s="3"/>
      <c r="AE254" s="4"/>
      <c r="AF254" s="8"/>
      <c r="AG254" s="1"/>
      <c r="AH254" s="6"/>
      <c r="AI254" s="6"/>
      <c r="AJ254" s="6"/>
      <c r="AK254" s="6"/>
      <c r="AL254" s="6"/>
      <c r="AM254" s="6"/>
      <c r="AN254" s="6"/>
      <c r="AO254" s="1"/>
      <c r="AP254" s="9"/>
      <c r="AQ254" s="2"/>
      <c r="AR254" s="3"/>
      <c r="AS254" s="10"/>
      <c r="AT254" s="1"/>
      <c r="AU254" s="1"/>
      <c r="AV254" s="1"/>
      <c r="AW254" s="1"/>
      <c r="AX254" s="1"/>
      <c r="AY254" s="1"/>
      <c r="AZ254" s="1"/>
      <c r="BA254" s="1"/>
      <c r="BB254" s="1"/>
      <c r="BC254" s="1"/>
      <c r="BD254" s="1"/>
      <c r="BE254" s="1"/>
      <c r="BF254" s="1"/>
      <c r="BG254" s="1"/>
      <c r="BH254" s="1"/>
    </row>
    <row x14ac:dyDescent="0.25" r="255" customHeight="1" ht="14.5">
      <c r="A255" s="1"/>
      <c r="B255" s="1"/>
      <c r="C255" s="1"/>
      <c r="D255" s="1"/>
      <c r="E255" s="2"/>
      <c r="F255" s="2"/>
      <c r="G255" s="90">
        <f>(S255&amp;RIGHT(R255,1))*1</f>
      </c>
      <c r="H255" s="1"/>
      <c r="I255" s="111"/>
      <c r="J255" s="126">
        <f>Planning!Q57</f>
      </c>
      <c r="K255" s="93">
        <f>VLOOKUP(J255,AA$23:AE$88,5,FALSE)</f>
      </c>
      <c r="L255" s="122">
        <f>Planning!X57</f>
      </c>
      <c r="M255" s="95">
        <f>IF(Planning!AE57=0,0,IFERROR($AD57*AK$22,0))</f>
      </c>
      <c r="N255" s="171">
        <f>IF(Planning!AE57=0,0,IFERROR($AD57*AK$22*K255,0))</f>
      </c>
      <c r="O255" s="96">
        <f>IF(ISTEXT(Planning!X57),0,AK57)</f>
      </c>
      <c r="P255" s="94">
        <f>Planning!AE57</f>
      </c>
      <c r="Q255" s="121">
        <f>Progress!X57</f>
      </c>
      <c r="R255" s="95">
        <f>IF(Q255=0,0,IF(ISNUMBER(Q255),IF(S255&gt;=$G$21,$F$21,"Q44"),Q255))</f>
      </c>
      <c r="S255" s="122">
        <f>Progress!Y57</f>
      </c>
      <c r="T255" s="97"/>
      <c r="U255" s="96">
        <f>V255/$N$419</f>
      </c>
      <c r="V255" s="176">
        <f>IF(L255&lt;$E$20,0,IF(ISTEXT(L255),0,IF(AND(G255+1&gt;=$E$19+1,L255&gt;0),IF(ISNUMBER(Q255),Q255*$AD57*AK$22*K255,$AD57*AK$22*K255),0)))</f>
      </c>
      <c r="W255" s="95">
        <f>IF(AND(L255&gt;0,S255&gt;0),IF(ISNUMBER(Q255),Q255*$AD57*AK$22*K255,$AD57*AK$22*K255),0)</f>
      </c>
      <c r="X255" s="17"/>
      <c r="Y255" s="11"/>
      <c r="Z255" s="11"/>
      <c r="AA255" s="3"/>
      <c r="AB255" s="3"/>
      <c r="AC255" s="3"/>
      <c r="AD255" s="3"/>
      <c r="AE255" s="4"/>
      <c r="AF255" s="8"/>
      <c r="AG255" s="1"/>
      <c r="AH255" s="6"/>
      <c r="AI255" s="6"/>
      <c r="AJ255" s="6"/>
      <c r="AK255" s="6"/>
      <c r="AL255" s="6"/>
      <c r="AM255" s="6"/>
      <c r="AN255" s="6"/>
      <c r="AO255" s="1"/>
      <c r="AP255" s="9"/>
      <c r="AQ255" s="2"/>
      <c r="AR255" s="3"/>
      <c r="AS255" s="10"/>
      <c r="AT255" s="1"/>
      <c r="AU255" s="1"/>
      <c r="AV255" s="1"/>
      <c r="AW255" s="1"/>
      <c r="AX255" s="1"/>
      <c r="AY255" s="1"/>
      <c r="AZ255" s="1"/>
      <c r="BA255" s="1"/>
      <c r="BB255" s="1"/>
      <c r="BC255" s="1"/>
      <c r="BD255" s="1"/>
      <c r="BE255" s="1"/>
      <c r="BF255" s="1"/>
      <c r="BG255" s="1"/>
      <c r="BH255" s="1"/>
    </row>
    <row x14ac:dyDescent="0.25" r="256" customHeight="1" ht="14.5">
      <c r="A256" s="1"/>
      <c r="B256" s="1"/>
      <c r="C256" s="1"/>
      <c r="D256" s="1"/>
      <c r="E256" s="2"/>
      <c r="F256" s="2"/>
      <c r="G256" s="90">
        <f>(S256&amp;RIGHT(R256,1))*1</f>
      </c>
      <c r="H256" s="1"/>
      <c r="I256" s="111"/>
      <c r="J256" s="126">
        <f>Planning!Q58</f>
      </c>
      <c r="K256" s="93">
        <f>VLOOKUP(J256,AA$23:AE$88,5,FALSE)</f>
      </c>
      <c r="L256" s="122">
        <f>Planning!X58</f>
      </c>
      <c r="M256" s="95">
        <f>IF(Planning!AE58=0,0,IFERROR($AD58*AK$22,0))</f>
      </c>
      <c r="N256" s="171">
        <f>IF(Planning!AE58=0,0,IFERROR($AD58*AK$22*K256,0))</f>
      </c>
      <c r="O256" s="96">
        <f>IF(ISTEXT(Planning!X58),0,AK58)</f>
      </c>
      <c r="P256" s="94">
        <f>Planning!AE58</f>
      </c>
      <c r="Q256" s="121">
        <f>Progress!X58</f>
      </c>
      <c r="R256" s="95">
        <f>IF(Q256=0,0,IF(ISNUMBER(Q256),IF(S256&gt;=$G$21,$F$21,"Q45"),Q256))</f>
      </c>
      <c r="S256" s="122">
        <f>Progress!Y58</f>
      </c>
      <c r="T256" s="97"/>
      <c r="U256" s="96">
        <f>V256/$N$419</f>
      </c>
      <c r="V256" s="176">
        <f>IF(L256&lt;$E$20,0,IF(ISTEXT(L256),0,IF(AND(G256+1&gt;=$E$19+1,L256&gt;0),IF(ISNUMBER(Q256),Q256*$AD58*AK$22*K256,$AD58*AK$22*K256),0)))</f>
      </c>
      <c r="W256" s="95">
        <f>IF(AND(L256&gt;0,S256&gt;0),IF(ISNUMBER(Q256),Q256*$AD58*AK$22*K256,$AD58*AK$22*K256),0)</f>
      </c>
      <c r="X256" s="17"/>
      <c r="Y256" s="11"/>
      <c r="Z256" s="11"/>
      <c r="AA256" s="3"/>
      <c r="AB256" s="3"/>
      <c r="AC256" s="3"/>
      <c r="AD256" s="3"/>
      <c r="AE256" s="4"/>
      <c r="AF256" s="8"/>
      <c r="AG256" s="1"/>
      <c r="AH256" s="6"/>
      <c r="AI256" s="6"/>
      <c r="AJ256" s="6"/>
      <c r="AK256" s="6"/>
      <c r="AL256" s="6"/>
      <c r="AM256" s="6"/>
      <c r="AN256" s="6"/>
      <c r="AO256" s="1"/>
      <c r="AP256" s="9"/>
      <c r="AQ256" s="2"/>
      <c r="AR256" s="3"/>
      <c r="AS256" s="10"/>
      <c r="AT256" s="1"/>
      <c r="AU256" s="1"/>
      <c r="AV256" s="1"/>
      <c r="AW256" s="1"/>
      <c r="AX256" s="1"/>
      <c r="AY256" s="1"/>
      <c r="AZ256" s="1"/>
      <c r="BA256" s="1"/>
      <c r="BB256" s="1"/>
      <c r="BC256" s="1"/>
      <c r="BD256" s="1"/>
      <c r="BE256" s="1"/>
      <c r="BF256" s="1"/>
      <c r="BG256" s="1"/>
      <c r="BH256" s="1"/>
    </row>
    <row x14ac:dyDescent="0.25" r="257" customHeight="1" ht="14.5">
      <c r="A257" s="1"/>
      <c r="B257" s="1"/>
      <c r="C257" s="1"/>
      <c r="D257" s="1"/>
      <c r="E257" s="2"/>
      <c r="F257" s="2"/>
      <c r="G257" s="90">
        <f>(S257&amp;RIGHT(R257,1))*1</f>
      </c>
      <c r="H257" s="1"/>
      <c r="I257" s="111"/>
      <c r="J257" s="126">
        <f>Planning!Q59</f>
      </c>
      <c r="K257" s="93">
        <f>VLOOKUP(J257,AA$23:AE$88,5,FALSE)</f>
      </c>
      <c r="L257" s="122">
        <f>Planning!X59</f>
      </c>
      <c r="M257" s="95">
        <f>IF(Planning!AE59=0,0,IFERROR($AD59*AK$22,0))</f>
      </c>
      <c r="N257" s="171">
        <f>IF(Planning!AE59=0,0,IFERROR($AD59*AK$22*K257,0))</f>
      </c>
      <c r="O257" s="96">
        <f>IF(ISTEXT(Planning!X59),0,AK59)</f>
      </c>
      <c r="P257" s="94">
        <f>Planning!AE59</f>
      </c>
      <c r="Q257" s="121">
        <f>Progress!X59</f>
      </c>
      <c r="R257" s="95">
        <f>IF(Q257=0,0,IF(ISNUMBER(Q257),IF(S257&gt;=$G$21,$F$21,"Q46"),Q257))</f>
      </c>
      <c r="S257" s="122">
        <f>Progress!Y59</f>
      </c>
      <c r="T257" s="97"/>
      <c r="U257" s="96">
        <f>V257/$N$419</f>
      </c>
      <c r="V257" s="176">
        <f>IF(L257&lt;$E$20,0,IF(ISTEXT(L257),0,IF(AND(G257+1&gt;=$E$19+1,L257&gt;0),IF(ISNUMBER(Q257),Q257*$AD59*AK$22*K257,$AD59*AK$22*K257),0)))</f>
      </c>
      <c r="W257" s="95">
        <f>IF(AND(L257&gt;0,S257&gt;0),IF(ISNUMBER(Q257),Q257*$AD59*AK$22*K257,$AD59*AK$22*K257),0)</f>
      </c>
      <c r="X257" s="17"/>
      <c r="Y257" s="11"/>
      <c r="Z257" s="11"/>
      <c r="AA257" s="3"/>
      <c r="AB257" s="3"/>
      <c r="AC257" s="3"/>
      <c r="AD257" s="3"/>
      <c r="AE257" s="4"/>
      <c r="AF257" s="8"/>
      <c r="AG257" s="1"/>
      <c r="AH257" s="6"/>
      <c r="AI257" s="6"/>
      <c r="AJ257" s="6"/>
      <c r="AK257" s="6"/>
      <c r="AL257" s="6"/>
      <c r="AM257" s="6"/>
      <c r="AN257" s="6"/>
      <c r="AO257" s="1"/>
      <c r="AP257" s="9"/>
      <c r="AQ257" s="2"/>
      <c r="AR257" s="3"/>
      <c r="AS257" s="10"/>
      <c r="AT257" s="1"/>
      <c r="AU257" s="1"/>
      <c r="AV257" s="1"/>
      <c r="AW257" s="1"/>
      <c r="AX257" s="1"/>
      <c r="AY257" s="1"/>
      <c r="AZ257" s="1"/>
      <c r="BA257" s="1"/>
      <c r="BB257" s="1"/>
      <c r="BC257" s="1"/>
      <c r="BD257" s="1"/>
      <c r="BE257" s="1"/>
      <c r="BF257" s="1"/>
      <c r="BG257" s="1"/>
      <c r="BH257" s="1"/>
    </row>
    <row x14ac:dyDescent="0.25" r="258" customHeight="1" ht="14.5">
      <c r="A258" s="1"/>
      <c r="B258" s="1"/>
      <c r="C258" s="1"/>
      <c r="D258" s="1"/>
      <c r="E258" s="2"/>
      <c r="F258" s="2"/>
      <c r="G258" s="90">
        <f>(S258&amp;RIGHT(R258,1))*1</f>
      </c>
      <c r="H258" s="1"/>
      <c r="I258" s="111"/>
      <c r="J258" s="126">
        <f>Planning!Q60</f>
      </c>
      <c r="K258" s="93">
        <f>VLOOKUP(J258,AA$23:AE$88,5,FALSE)</f>
      </c>
      <c r="L258" s="122">
        <f>Planning!X60</f>
      </c>
      <c r="M258" s="95">
        <f>IF(Planning!AE60=0,0,IFERROR($AD60*AK$22,0))</f>
      </c>
      <c r="N258" s="171">
        <f>IF(Planning!AE60=0,0,IFERROR($AD60*AK$22*K258,0))</f>
      </c>
      <c r="O258" s="96">
        <f>IF(ISTEXT(Planning!X60),0,AK60)</f>
      </c>
      <c r="P258" s="94">
        <f>Planning!AE60</f>
      </c>
      <c r="Q258" s="121">
        <f>Progress!X60</f>
      </c>
      <c r="R258" s="95">
        <f>IF(Q258=0,0,IF(ISNUMBER(Q258),IF(S258&gt;=$G$21,$F$21,"Q47"),Q258))</f>
      </c>
      <c r="S258" s="122">
        <f>Progress!Y60</f>
      </c>
      <c r="T258" s="97"/>
      <c r="U258" s="96">
        <f>V258/$N$419</f>
      </c>
      <c r="V258" s="176">
        <f>IF(L258&lt;$E$20,0,IF(ISTEXT(L258),0,IF(AND(G258+1&gt;=$E$19+1,L258&gt;0),IF(ISNUMBER(Q258),Q258*$AD60*AK$22*K258,$AD60*AK$22*K258),0)))</f>
      </c>
      <c r="W258" s="95">
        <f>IF(AND(L258&gt;0,S258&gt;0),IF(ISNUMBER(Q258),Q258*$AD60*AK$22*K258,$AD60*AK$22*K258),0)</f>
      </c>
      <c r="X258" s="17"/>
      <c r="Y258" s="11"/>
      <c r="Z258" s="11"/>
      <c r="AA258" s="3"/>
      <c r="AB258" s="3"/>
      <c r="AC258" s="3"/>
      <c r="AD258" s="3"/>
      <c r="AE258" s="4"/>
      <c r="AF258" s="8"/>
      <c r="AG258" s="1"/>
      <c r="AH258" s="6"/>
      <c r="AI258" s="6"/>
      <c r="AJ258" s="6"/>
      <c r="AK258" s="6"/>
      <c r="AL258" s="6"/>
      <c r="AM258" s="6"/>
      <c r="AN258" s="6"/>
      <c r="AO258" s="1"/>
      <c r="AP258" s="9"/>
      <c r="AQ258" s="2"/>
      <c r="AR258" s="3"/>
      <c r="AS258" s="10"/>
      <c r="AT258" s="1"/>
      <c r="AU258" s="1"/>
      <c r="AV258" s="1"/>
      <c r="AW258" s="1"/>
      <c r="AX258" s="1"/>
      <c r="AY258" s="1"/>
      <c r="AZ258" s="1"/>
      <c r="BA258" s="1"/>
      <c r="BB258" s="1"/>
      <c r="BC258" s="1"/>
      <c r="BD258" s="1"/>
      <c r="BE258" s="1"/>
      <c r="BF258" s="1"/>
      <c r="BG258" s="1"/>
      <c r="BH258" s="1"/>
    </row>
    <row x14ac:dyDescent="0.25" r="259" customHeight="1" ht="14.5">
      <c r="A259" s="1"/>
      <c r="B259" s="1"/>
      <c r="C259" s="1"/>
      <c r="D259" s="1"/>
      <c r="E259" s="2"/>
      <c r="F259" s="2"/>
      <c r="G259" s="90">
        <f>(S259&amp;RIGHT(R259,1))*1</f>
      </c>
      <c r="H259" s="1"/>
      <c r="I259" s="111"/>
      <c r="J259" s="126">
        <f>Planning!Q61</f>
      </c>
      <c r="K259" s="93">
        <f>VLOOKUP(J259,AA$23:AE$88,5,FALSE)</f>
      </c>
      <c r="L259" s="122">
        <f>Planning!X61</f>
      </c>
      <c r="M259" s="95">
        <f>IF(Planning!AE61=0,0,IFERROR($AD61*AK$22,0))</f>
      </c>
      <c r="N259" s="171">
        <f>IF(Planning!AE61=0,0,IFERROR($AD61*AK$22*K259,0))</f>
      </c>
      <c r="O259" s="96">
        <f>IF(ISTEXT(Planning!X61),0,AK61)</f>
      </c>
      <c r="P259" s="94">
        <f>Planning!AE61</f>
      </c>
      <c r="Q259" s="121">
        <f>Progress!X61</f>
      </c>
      <c r="R259" s="95">
        <f>IF(Q259=0,0,IF(ISNUMBER(Q259),IF(S259&gt;=$G$21,$F$21,"Q48"),Q259))</f>
      </c>
      <c r="S259" s="122">
        <f>Progress!Y61</f>
      </c>
      <c r="T259" s="97"/>
      <c r="U259" s="96">
        <f>V259/$N$419</f>
      </c>
      <c r="V259" s="176">
        <f>IF(L259&lt;$E$20,0,IF(ISTEXT(L259),0,IF(AND(G259+1&gt;=$E$19+1,L259&gt;0),IF(ISNUMBER(Q259),Q259*$AD61*AK$22*K259,$AD61*AK$22*K259),0)))</f>
      </c>
      <c r="W259" s="95">
        <f>IF(AND(L259&gt;0,S259&gt;0),IF(ISNUMBER(Q259),Q259*$AD61*AK$22*K259,$AD61*AK$22*K259),0)</f>
      </c>
      <c r="X259" s="17"/>
      <c r="Y259" s="11"/>
      <c r="Z259" s="11"/>
      <c r="AA259" s="3"/>
      <c r="AB259" s="3"/>
      <c r="AC259" s="3"/>
      <c r="AD259" s="3"/>
      <c r="AE259" s="4"/>
      <c r="AF259" s="8"/>
      <c r="AG259" s="1"/>
      <c r="AH259" s="6"/>
      <c r="AI259" s="6"/>
      <c r="AJ259" s="6"/>
      <c r="AK259" s="6"/>
      <c r="AL259" s="6"/>
      <c r="AM259" s="6"/>
      <c r="AN259" s="6"/>
      <c r="AO259" s="1"/>
      <c r="AP259" s="9"/>
      <c r="AQ259" s="2"/>
      <c r="AR259" s="3"/>
      <c r="AS259" s="10"/>
      <c r="AT259" s="1"/>
      <c r="AU259" s="1"/>
      <c r="AV259" s="1"/>
      <c r="AW259" s="1"/>
      <c r="AX259" s="1"/>
      <c r="AY259" s="1"/>
      <c r="AZ259" s="1"/>
      <c r="BA259" s="1"/>
      <c r="BB259" s="1"/>
      <c r="BC259" s="1"/>
      <c r="BD259" s="1"/>
      <c r="BE259" s="1"/>
      <c r="BF259" s="1"/>
      <c r="BG259" s="1"/>
      <c r="BH259" s="1"/>
    </row>
    <row x14ac:dyDescent="0.25" r="260" customHeight="1" ht="14.5">
      <c r="A260" s="1"/>
      <c r="B260" s="1"/>
      <c r="C260" s="1"/>
      <c r="D260" s="1"/>
      <c r="E260" s="2"/>
      <c r="F260" s="2"/>
      <c r="G260" s="90">
        <f>(S260&amp;RIGHT(R260,1))*1</f>
      </c>
      <c r="H260" s="1"/>
      <c r="I260" s="111"/>
      <c r="J260" s="126">
        <f>Planning!Q62</f>
      </c>
      <c r="K260" s="93">
        <f>VLOOKUP(J260,AA$23:AE$88,5,FALSE)</f>
      </c>
      <c r="L260" s="122">
        <f>Planning!X62</f>
      </c>
      <c r="M260" s="95">
        <f>IF(Planning!AE62=0,0,IFERROR($AD62*AK$22,0))</f>
      </c>
      <c r="N260" s="171">
        <f>IF(Planning!AE62=0,0,IFERROR($AD62*AK$22*K260,0))</f>
      </c>
      <c r="O260" s="96">
        <f>IF(ISTEXT(Planning!X62),0,AK62)</f>
      </c>
      <c r="P260" s="94">
        <f>Planning!AE62</f>
      </c>
      <c r="Q260" s="121">
        <f>Progress!X62</f>
      </c>
      <c r="R260" s="95">
        <f>IF(Q260=0,0,IF(ISNUMBER(Q260),IF(S260&gt;=$G$21,$F$21,"Q49"),Q260))</f>
      </c>
      <c r="S260" s="122">
        <f>Progress!Y62</f>
      </c>
      <c r="T260" s="97"/>
      <c r="U260" s="96">
        <f>V260/$N$419</f>
      </c>
      <c r="V260" s="176">
        <f>IF(L260&lt;$E$20,0,IF(ISTEXT(L260),0,IF(AND(G260+1&gt;=$E$19+1,L260&gt;0),IF(ISNUMBER(Q260),Q260*$AD62*AK$22*K260,$AD62*AK$22*K260),0)))</f>
      </c>
      <c r="W260" s="95">
        <f>IF(AND(L260&gt;0,S260&gt;0),IF(ISNUMBER(Q260),Q260*$AD62*AK$22*K260,$AD62*AK$22*K260),0)</f>
      </c>
      <c r="X260" s="17"/>
      <c r="Y260" s="11"/>
      <c r="Z260" s="11"/>
      <c r="AA260" s="3"/>
      <c r="AB260" s="3"/>
      <c r="AC260" s="3"/>
      <c r="AD260" s="3"/>
      <c r="AE260" s="4"/>
      <c r="AF260" s="8"/>
      <c r="AG260" s="1"/>
      <c r="AH260" s="6"/>
      <c r="AI260" s="6"/>
      <c r="AJ260" s="6"/>
      <c r="AK260" s="6"/>
      <c r="AL260" s="6"/>
      <c r="AM260" s="6"/>
      <c r="AN260" s="6"/>
      <c r="AO260" s="1"/>
      <c r="AP260" s="9"/>
      <c r="AQ260" s="2"/>
      <c r="AR260" s="3"/>
      <c r="AS260" s="10"/>
      <c r="AT260" s="1"/>
      <c r="AU260" s="1"/>
      <c r="AV260" s="1"/>
      <c r="AW260" s="1"/>
      <c r="AX260" s="1"/>
      <c r="AY260" s="1"/>
      <c r="AZ260" s="1"/>
      <c r="BA260" s="1"/>
      <c r="BB260" s="1"/>
      <c r="BC260" s="1"/>
      <c r="BD260" s="1"/>
      <c r="BE260" s="1"/>
      <c r="BF260" s="1"/>
      <c r="BG260" s="1"/>
      <c r="BH260" s="1"/>
    </row>
    <row x14ac:dyDescent="0.25" r="261" customHeight="1" ht="14.5">
      <c r="A261" s="1"/>
      <c r="B261" s="1"/>
      <c r="C261" s="1"/>
      <c r="D261" s="1"/>
      <c r="E261" s="2"/>
      <c r="F261" s="2"/>
      <c r="G261" s="90">
        <f>(S261&amp;RIGHT(R261,1))*1</f>
      </c>
      <c r="H261" s="1"/>
      <c r="I261" s="111"/>
      <c r="J261" s="126">
        <f>Planning!Q63</f>
      </c>
      <c r="K261" s="93">
        <f>VLOOKUP(J261,AA$23:AE$88,5,FALSE)</f>
      </c>
      <c r="L261" s="122">
        <f>Planning!X63</f>
      </c>
      <c r="M261" s="95">
        <f>IF(Planning!AE63=0,0,IFERROR($AD63*AK$22,0))</f>
      </c>
      <c r="N261" s="171">
        <f>IF(Planning!AE63=0,0,IFERROR($AD63*AK$22*K261,0))</f>
      </c>
      <c r="O261" s="96">
        <f>IF(ISTEXT(Planning!X63),0,AK63)</f>
      </c>
      <c r="P261" s="94">
        <f>Planning!AE63</f>
      </c>
      <c r="Q261" s="121">
        <f>Progress!X63</f>
      </c>
      <c r="R261" s="95">
        <f>IF(Q261=0,0,IF(ISNUMBER(Q261),IF(S261&gt;=$G$21,$F$21,"Q50"),Q261))</f>
      </c>
      <c r="S261" s="122">
        <f>Progress!Y63</f>
      </c>
      <c r="T261" s="97"/>
      <c r="U261" s="96">
        <f>V261/$N$419</f>
      </c>
      <c r="V261" s="176">
        <f>IF(L261&lt;$E$20,0,IF(ISTEXT(L261),0,IF(AND(G261+1&gt;=$E$19+1,L261&gt;0),IF(ISNUMBER(Q261),Q261*$AD63*AK$22*K261,$AD63*AK$22*K261),0)))</f>
      </c>
      <c r="W261" s="95">
        <f>IF(AND(L261&gt;0,S261&gt;0),IF(ISNUMBER(Q261),Q261*$AD63*AK$22*K261,$AD63*AK$22*K261),0)</f>
      </c>
      <c r="X261" s="17"/>
      <c r="Y261" s="11"/>
      <c r="Z261" s="11"/>
      <c r="AA261" s="3"/>
      <c r="AB261" s="3"/>
      <c r="AC261" s="3"/>
      <c r="AD261" s="3"/>
      <c r="AE261" s="4"/>
      <c r="AF261" s="8"/>
      <c r="AG261" s="1"/>
      <c r="AH261" s="6"/>
      <c r="AI261" s="6"/>
      <c r="AJ261" s="6"/>
      <c r="AK261" s="6"/>
      <c r="AL261" s="6"/>
      <c r="AM261" s="6"/>
      <c r="AN261" s="6"/>
      <c r="AO261" s="1"/>
      <c r="AP261" s="9"/>
      <c r="AQ261" s="2"/>
      <c r="AR261" s="3"/>
      <c r="AS261" s="10"/>
      <c r="AT261" s="1"/>
      <c r="AU261" s="1"/>
      <c r="AV261" s="1"/>
      <c r="AW261" s="1"/>
      <c r="AX261" s="1"/>
      <c r="AY261" s="1"/>
      <c r="AZ261" s="1"/>
      <c r="BA261" s="1"/>
      <c r="BB261" s="1"/>
      <c r="BC261" s="1"/>
      <c r="BD261" s="1"/>
      <c r="BE261" s="1"/>
      <c r="BF261" s="1"/>
      <c r="BG261" s="1"/>
      <c r="BH261" s="1"/>
    </row>
    <row x14ac:dyDescent="0.25" r="262" customHeight="1" ht="14.5">
      <c r="A262" s="1"/>
      <c r="B262" s="1"/>
      <c r="C262" s="1"/>
      <c r="D262" s="1"/>
      <c r="E262" s="2"/>
      <c r="F262" s="2"/>
      <c r="G262" s="90">
        <f>(S262&amp;RIGHT(R262,1))*1</f>
      </c>
      <c r="H262" s="1"/>
      <c r="I262" s="111"/>
      <c r="J262" s="126">
        <f>Planning!Q64</f>
      </c>
      <c r="K262" s="93">
        <f>VLOOKUP(J262,AA$23:AE$88,5,FALSE)</f>
      </c>
      <c r="L262" s="122">
        <f>Planning!X64</f>
      </c>
      <c r="M262" s="95">
        <f>IF(Planning!AE64=0,0,IFERROR($AD64*AK$22,0))</f>
      </c>
      <c r="N262" s="171">
        <f>IF(Planning!AE64=0,0,IFERROR($AD64*AK$22*K262,0))</f>
      </c>
      <c r="O262" s="96">
        <f>IF(ISTEXT(Planning!X64),0,AK64)</f>
      </c>
      <c r="P262" s="94">
        <f>Planning!AE64</f>
      </c>
      <c r="Q262" s="121">
        <f>Progress!X64</f>
      </c>
      <c r="R262" s="95">
        <f>IF(Q262=0,0,IF(ISNUMBER(Q262),IF(S262&gt;=$G$21,$F$21,"Q51"),Q262))</f>
      </c>
      <c r="S262" s="122">
        <f>Progress!Y64</f>
      </c>
      <c r="T262" s="97"/>
      <c r="U262" s="96">
        <f>V262/$N$419</f>
      </c>
      <c r="V262" s="176">
        <f>IF(L262&lt;$E$20,0,IF(ISTEXT(L262),0,IF(AND(G262+1&gt;=$E$19+1,L262&gt;0),IF(ISNUMBER(Q262),Q262*$AD64*AK$22*K262,$AD64*AK$22*K262),0)))</f>
      </c>
      <c r="W262" s="95">
        <f>IF(AND(L262&gt;0,S262&gt;0),IF(ISNUMBER(Q262),Q262*$AD64*AK$22*K262,$AD64*AK$22*K262),0)</f>
      </c>
      <c r="X262" s="17"/>
      <c r="Y262" s="11"/>
      <c r="Z262" s="11"/>
      <c r="AA262" s="3"/>
      <c r="AB262" s="3"/>
      <c r="AC262" s="3"/>
      <c r="AD262" s="3"/>
      <c r="AE262" s="4"/>
      <c r="AF262" s="8"/>
      <c r="AG262" s="1"/>
      <c r="AH262" s="6"/>
      <c r="AI262" s="6"/>
      <c r="AJ262" s="6"/>
      <c r="AK262" s="6"/>
      <c r="AL262" s="6"/>
      <c r="AM262" s="6"/>
      <c r="AN262" s="6"/>
      <c r="AO262" s="1"/>
      <c r="AP262" s="9"/>
      <c r="AQ262" s="2"/>
      <c r="AR262" s="3"/>
      <c r="AS262" s="10"/>
      <c r="AT262" s="1"/>
      <c r="AU262" s="1"/>
      <c r="AV262" s="1"/>
      <c r="AW262" s="1"/>
      <c r="AX262" s="1"/>
      <c r="AY262" s="1"/>
      <c r="AZ262" s="1"/>
      <c r="BA262" s="1"/>
      <c r="BB262" s="1"/>
      <c r="BC262" s="1"/>
      <c r="BD262" s="1"/>
      <c r="BE262" s="1"/>
      <c r="BF262" s="1"/>
      <c r="BG262" s="1"/>
      <c r="BH262" s="1"/>
    </row>
    <row x14ac:dyDescent="0.25" r="263" customHeight="1" ht="14.5">
      <c r="A263" s="1"/>
      <c r="B263" s="1"/>
      <c r="C263" s="1"/>
      <c r="D263" s="1"/>
      <c r="E263" s="2"/>
      <c r="F263" s="2"/>
      <c r="G263" s="90">
        <f>(S263&amp;RIGHT(R263,1))*1</f>
      </c>
      <c r="H263" s="1"/>
      <c r="I263" s="111"/>
      <c r="J263" s="126">
        <f>Planning!Q65</f>
      </c>
      <c r="K263" s="93">
        <f>VLOOKUP(J263,AA$23:AE$88,5,FALSE)</f>
      </c>
      <c r="L263" s="122">
        <f>Planning!X65</f>
      </c>
      <c r="M263" s="95">
        <f>IF(Planning!AE65=0,0,IFERROR($AD65*AK$22,0))</f>
      </c>
      <c r="N263" s="171">
        <f>IF(Planning!AE65=0,0,IFERROR($AD65*AK$22*K263,0))</f>
      </c>
      <c r="O263" s="96">
        <f>IF(ISTEXT(Planning!X65),0,AK65)</f>
      </c>
      <c r="P263" s="94">
        <f>Planning!AE65</f>
      </c>
      <c r="Q263" s="121">
        <f>Progress!X65</f>
      </c>
      <c r="R263" s="95">
        <f>IF(Q263=0,0,IF(ISNUMBER(Q263),IF(S263&gt;=$G$21,$F$21,"Q52"),Q263))</f>
      </c>
      <c r="S263" s="122">
        <f>Progress!Y65</f>
      </c>
      <c r="T263" s="97"/>
      <c r="U263" s="96">
        <f>V263/$N$419</f>
      </c>
      <c r="V263" s="176">
        <f>IF(L263&lt;$E$20,0,IF(ISTEXT(L263),0,IF(AND(G263+1&gt;=$E$19+1,L263&gt;0),IF(ISNUMBER(Q263),Q263*$AD65*AK$22*K263,$AD65*AK$22*K263),0)))</f>
      </c>
      <c r="W263" s="95">
        <f>IF(AND(L263&gt;0,S263&gt;0),IF(ISNUMBER(Q263),Q263*$AD65*AK$22*K263,$AD65*AK$22*K263),0)</f>
      </c>
      <c r="X263" s="17"/>
      <c r="Y263" s="11"/>
      <c r="Z263" s="11"/>
      <c r="AA263" s="3"/>
      <c r="AB263" s="3"/>
      <c r="AC263" s="3"/>
      <c r="AD263" s="3"/>
      <c r="AE263" s="4"/>
      <c r="AF263" s="8"/>
      <c r="AG263" s="1"/>
      <c r="AH263" s="6"/>
      <c r="AI263" s="6"/>
      <c r="AJ263" s="6"/>
      <c r="AK263" s="6"/>
      <c r="AL263" s="6"/>
      <c r="AM263" s="6"/>
      <c r="AN263" s="6"/>
      <c r="AO263" s="1"/>
      <c r="AP263" s="9"/>
      <c r="AQ263" s="2"/>
      <c r="AR263" s="3"/>
      <c r="AS263" s="10"/>
      <c r="AT263" s="1"/>
      <c r="AU263" s="1"/>
      <c r="AV263" s="1"/>
      <c r="AW263" s="1"/>
      <c r="AX263" s="1"/>
      <c r="AY263" s="1"/>
      <c r="AZ263" s="1"/>
      <c r="BA263" s="1"/>
      <c r="BB263" s="1"/>
      <c r="BC263" s="1"/>
      <c r="BD263" s="1"/>
      <c r="BE263" s="1"/>
      <c r="BF263" s="1"/>
      <c r="BG263" s="1"/>
      <c r="BH263" s="1"/>
    </row>
    <row x14ac:dyDescent="0.25" r="264" customHeight="1" ht="14.5">
      <c r="A264" s="1"/>
      <c r="B264" s="1"/>
      <c r="C264" s="1"/>
      <c r="D264" s="1"/>
      <c r="E264" s="2"/>
      <c r="F264" s="2"/>
      <c r="G264" s="90">
        <f>(S264&amp;RIGHT(R264,1))*1</f>
      </c>
      <c r="H264" s="1"/>
      <c r="I264" s="111"/>
      <c r="J264" s="126">
        <f>Planning!Q66</f>
      </c>
      <c r="K264" s="93">
        <f>VLOOKUP(J264,AA$23:AE$88,5,FALSE)</f>
      </c>
      <c r="L264" s="122">
        <f>Planning!X66</f>
      </c>
      <c r="M264" s="95">
        <f>IF(Planning!AE66=0,0,IFERROR($AD66*AK$22,0))</f>
      </c>
      <c r="N264" s="171">
        <f>IF(Planning!AE66=0,0,IFERROR($AD66*AK$22*K264,0))</f>
      </c>
      <c r="O264" s="96">
        <f>IF(ISTEXT(Planning!X66),0,AK66)</f>
      </c>
      <c r="P264" s="94">
        <f>Planning!AE66</f>
      </c>
      <c r="Q264" s="121">
        <f>Progress!X66</f>
      </c>
      <c r="R264" s="95">
        <f>IF(Q264=0,0,IF(ISNUMBER(Q264),IF(S264&gt;=$G$21,$F$21,"Q53"),Q264))</f>
      </c>
      <c r="S264" s="122">
        <f>Progress!Y66</f>
      </c>
      <c r="T264" s="97"/>
      <c r="U264" s="96">
        <f>V264/$N$419</f>
      </c>
      <c r="V264" s="176">
        <f>IF(L264&lt;$E$20,0,IF(ISTEXT(L264),0,IF(AND(G264+1&gt;=$E$19+1,L264&gt;0),IF(ISNUMBER(Q264),Q264*$AD66*AK$22*K264,$AD66*AK$22*K264),0)))</f>
      </c>
      <c r="W264" s="95">
        <f>IF(AND(L264&gt;0,S264&gt;0),IF(ISNUMBER(Q264),Q264*$AD66*AK$22*K264,$AD66*AK$22*K264),0)</f>
      </c>
      <c r="X264" s="17"/>
      <c r="Y264" s="11"/>
      <c r="Z264" s="11"/>
      <c r="AA264" s="3"/>
      <c r="AB264" s="3"/>
      <c r="AC264" s="3"/>
      <c r="AD264" s="3"/>
      <c r="AE264" s="4"/>
      <c r="AF264" s="8"/>
      <c r="AG264" s="1"/>
      <c r="AH264" s="6"/>
      <c r="AI264" s="6"/>
      <c r="AJ264" s="6"/>
      <c r="AK264" s="6"/>
      <c r="AL264" s="6"/>
      <c r="AM264" s="6"/>
      <c r="AN264" s="6"/>
      <c r="AO264" s="1"/>
      <c r="AP264" s="9"/>
      <c r="AQ264" s="2"/>
      <c r="AR264" s="3"/>
      <c r="AS264" s="10"/>
      <c r="AT264" s="1"/>
      <c r="AU264" s="1"/>
      <c r="AV264" s="1"/>
      <c r="AW264" s="1"/>
      <c r="AX264" s="1"/>
      <c r="AY264" s="1"/>
      <c r="AZ264" s="1"/>
      <c r="BA264" s="1"/>
      <c r="BB264" s="1"/>
      <c r="BC264" s="1"/>
      <c r="BD264" s="1"/>
      <c r="BE264" s="1"/>
      <c r="BF264" s="1"/>
      <c r="BG264" s="1"/>
      <c r="BH264" s="1"/>
    </row>
    <row x14ac:dyDescent="0.25" r="265" customHeight="1" ht="14.5">
      <c r="A265" s="1"/>
      <c r="B265" s="1"/>
      <c r="C265" s="1"/>
      <c r="D265" s="1"/>
      <c r="E265" s="2"/>
      <c r="F265" s="2"/>
      <c r="G265" s="90">
        <f>(S265&amp;RIGHT(R265,1))*1</f>
      </c>
      <c r="H265" s="1"/>
      <c r="I265" s="111"/>
      <c r="J265" s="126">
        <f>Planning!Q67</f>
      </c>
      <c r="K265" s="93">
        <f>VLOOKUP(J265,AA$23:AE$88,5,FALSE)</f>
      </c>
      <c r="L265" s="122">
        <f>Planning!X67</f>
      </c>
      <c r="M265" s="95">
        <f>IF(Planning!AE67=0,0,IFERROR($AD67*AK$22,0))</f>
      </c>
      <c r="N265" s="171">
        <f>IF(Planning!AE67=0,0,IFERROR($AD67*AK$22*K265,0))</f>
      </c>
      <c r="O265" s="96">
        <f>IF(ISTEXT(Planning!X67),0,AK67)</f>
      </c>
      <c r="P265" s="94">
        <f>Planning!AE67</f>
      </c>
      <c r="Q265" s="121">
        <f>Progress!X67</f>
      </c>
      <c r="R265" s="95">
        <f>IF(Q265=0,0,IF(ISNUMBER(Q265),IF(S265&gt;=$G$21,$F$21,"Q54"),Q265))</f>
      </c>
      <c r="S265" s="122">
        <f>Progress!Y67</f>
      </c>
      <c r="T265" s="97"/>
      <c r="U265" s="96">
        <f>V265/$N$419</f>
      </c>
      <c r="V265" s="176">
        <f>IF(L265&lt;$E$20,0,IF(ISTEXT(L265),0,IF(AND(G265+1&gt;=$E$19+1,L265&gt;0),IF(ISNUMBER(Q265),Q265*$AD67*AK$22*K265,$AD67*AK$22*K265),0)))</f>
      </c>
      <c r="W265" s="95">
        <f>IF(AND(L265&gt;0,S265&gt;0),IF(ISNUMBER(Q265),Q265*$AD67*AK$22*K265,$AD67*AK$22*K265),0)</f>
      </c>
      <c r="X265" s="17"/>
      <c r="Y265" s="11"/>
      <c r="Z265" s="11"/>
      <c r="AA265" s="3"/>
      <c r="AB265" s="3"/>
      <c r="AC265" s="3"/>
      <c r="AD265" s="3"/>
      <c r="AE265" s="4"/>
      <c r="AF265" s="8"/>
      <c r="AG265" s="1"/>
      <c r="AH265" s="6"/>
      <c r="AI265" s="6"/>
      <c r="AJ265" s="6"/>
      <c r="AK265" s="6"/>
      <c r="AL265" s="6"/>
      <c r="AM265" s="6"/>
      <c r="AN265" s="6"/>
      <c r="AO265" s="1"/>
      <c r="AP265" s="9"/>
      <c r="AQ265" s="2"/>
      <c r="AR265" s="3"/>
      <c r="AS265" s="10"/>
      <c r="AT265" s="1"/>
      <c r="AU265" s="1"/>
      <c r="AV265" s="1"/>
      <c r="AW265" s="1"/>
      <c r="AX265" s="1"/>
      <c r="AY265" s="1"/>
      <c r="AZ265" s="1"/>
      <c r="BA265" s="1"/>
      <c r="BB265" s="1"/>
      <c r="BC265" s="1"/>
      <c r="BD265" s="1"/>
      <c r="BE265" s="1"/>
      <c r="BF265" s="1"/>
      <c r="BG265" s="1"/>
      <c r="BH265" s="1"/>
    </row>
    <row x14ac:dyDescent="0.25" r="266" customHeight="1" ht="14.5">
      <c r="A266" s="1"/>
      <c r="B266" s="1"/>
      <c r="C266" s="1"/>
      <c r="D266" s="1"/>
      <c r="E266" s="2"/>
      <c r="F266" s="2"/>
      <c r="G266" s="90">
        <f>(S266&amp;RIGHT(R266,1))*1</f>
      </c>
      <c r="H266" s="1"/>
      <c r="I266" s="111"/>
      <c r="J266" s="126">
        <f>Planning!Q68</f>
      </c>
      <c r="K266" s="93">
        <f>VLOOKUP(J266,AA$23:AE$88,5,FALSE)</f>
      </c>
      <c r="L266" s="122">
        <f>Planning!X68</f>
      </c>
      <c r="M266" s="95">
        <f>IF(Planning!AE68=0,0,IFERROR($AD68*AK$22,0))</f>
      </c>
      <c r="N266" s="171">
        <f>IF(Planning!AE68=0,0,IFERROR($AD68*AK$22*K266,0))</f>
      </c>
      <c r="O266" s="96">
        <f>IF(ISTEXT(Planning!X68),0,AK68)</f>
      </c>
      <c r="P266" s="94">
        <f>Planning!AE68</f>
      </c>
      <c r="Q266" s="121">
        <f>Progress!X68</f>
      </c>
      <c r="R266" s="95">
        <f>IF(Q266=0,0,IF(ISNUMBER(Q266),IF(S266&gt;=$G$21,$F$21,"Q55"),Q266))</f>
      </c>
      <c r="S266" s="122">
        <f>Progress!Y68</f>
      </c>
      <c r="T266" s="97"/>
      <c r="U266" s="96">
        <f>V266/$N$419</f>
      </c>
      <c r="V266" s="176">
        <f>IF(L266&lt;$E$20,0,IF(ISTEXT(L266),0,IF(AND(G266+1&gt;=$E$19+1,L266&gt;0),IF(ISNUMBER(Q266),Q266*$AD68*AK$22*K266,$AD68*AK$22*K266),0)))</f>
      </c>
      <c r="W266" s="95">
        <f>IF(AND(L266&gt;0,S266&gt;0),IF(ISNUMBER(Q266),Q266*$AD68*AK$22*K266,$AD68*AK$22*K266),0)</f>
      </c>
      <c r="X266" s="17"/>
      <c r="Y266" s="11"/>
      <c r="Z266" s="11"/>
      <c r="AA266" s="3"/>
      <c r="AB266" s="3"/>
      <c r="AC266" s="3"/>
      <c r="AD266" s="3"/>
      <c r="AE266" s="4"/>
      <c r="AF266" s="8"/>
      <c r="AG266" s="1"/>
      <c r="AH266" s="6"/>
      <c r="AI266" s="6"/>
      <c r="AJ266" s="6"/>
      <c r="AK266" s="6"/>
      <c r="AL266" s="6"/>
      <c r="AM266" s="6"/>
      <c r="AN266" s="6"/>
      <c r="AO266" s="1"/>
      <c r="AP266" s="9"/>
      <c r="AQ266" s="2"/>
      <c r="AR266" s="3"/>
      <c r="AS266" s="10"/>
      <c r="AT266" s="1"/>
      <c r="AU266" s="1"/>
      <c r="AV266" s="1"/>
      <c r="AW266" s="1"/>
      <c r="AX266" s="1"/>
      <c r="AY266" s="1"/>
      <c r="AZ266" s="1"/>
      <c r="BA266" s="1"/>
      <c r="BB266" s="1"/>
      <c r="BC266" s="1"/>
      <c r="BD266" s="1"/>
      <c r="BE266" s="1"/>
      <c r="BF266" s="1"/>
      <c r="BG266" s="1"/>
      <c r="BH266" s="1"/>
    </row>
    <row x14ac:dyDescent="0.25" r="267" customHeight="1" ht="14.5">
      <c r="A267" s="1"/>
      <c r="B267" s="1"/>
      <c r="C267" s="1"/>
      <c r="D267" s="1"/>
      <c r="E267" s="2"/>
      <c r="F267" s="2"/>
      <c r="G267" s="90">
        <f>(S267&amp;RIGHT(R267,1))*1</f>
      </c>
      <c r="H267" s="1"/>
      <c r="I267" s="111"/>
      <c r="J267" s="126">
        <f>Planning!Q69</f>
      </c>
      <c r="K267" s="93">
        <f>VLOOKUP(J267,AA$23:AE$88,5,FALSE)</f>
      </c>
      <c r="L267" s="122">
        <f>Planning!X69</f>
      </c>
      <c r="M267" s="95">
        <f>IF(Planning!AE69=0,0,IFERROR($AD69*AK$22,0))</f>
      </c>
      <c r="N267" s="171">
        <f>IF(Planning!AE69=0,0,IFERROR($AD69*AK$22*K267,0))</f>
      </c>
      <c r="O267" s="96">
        <f>IF(ISTEXT(Planning!X69),0,AK69)</f>
      </c>
      <c r="P267" s="94">
        <f>Planning!AE69</f>
      </c>
      <c r="Q267" s="121">
        <f>Progress!X69</f>
      </c>
      <c r="R267" s="95">
        <f>IF(Q267=0,0,IF(ISNUMBER(Q267),IF(S267&gt;=$G$21,$F$21,"Q56"),Q267))</f>
      </c>
      <c r="S267" s="122">
        <f>Progress!Y69</f>
      </c>
      <c r="T267" s="97"/>
      <c r="U267" s="96">
        <f>V267/$N$419</f>
      </c>
      <c r="V267" s="176">
        <f>IF(L267&lt;$E$20,0,IF(ISTEXT(L267),0,IF(AND(G267+1&gt;=$E$19+1,L267&gt;0),IF(ISNUMBER(Q267),Q267*$AD69*AK$22*K267,$AD69*AK$22*K267),0)))</f>
      </c>
      <c r="W267" s="95">
        <f>IF(AND(L267&gt;0,S267&gt;0),IF(ISNUMBER(Q267),Q267*$AD69*AK$22*K267,$AD69*AK$22*K267),0)</f>
      </c>
      <c r="X267" s="17"/>
      <c r="Y267" s="11"/>
      <c r="Z267" s="11"/>
      <c r="AA267" s="3"/>
      <c r="AB267" s="3"/>
      <c r="AC267" s="3"/>
      <c r="AD267" s="3"/>
      <c r="AE267" s="4"/>
      <c r="AF267" s="8"/>
      <c r="AG267" s="1"/>
      <c r="AH267" s="6"/>
      <c r="AI267" s="6"/>
      <c r="AJ267" s="6"/>
      <c r="AK267" s="6"/>
      <c r="AL267" s="6"/>
      <c r="AM267" s="6"/>
      <c r="AN267" s="6"/>
      <c r="AO267" s="1"/>
      <c r="AP267" s="9"/>
      <c r="AQ267" s="2"/>
      <c r="AR267" s="3"/>
      <c r="AS267" s="10"/>
      <c r="AT267" s="1"/>
      <c r="AU267" s="1"/>
      <c r="AV267" s="1"/>
      <c r="AW267" s="1"/>
      <c r="AX267" s="1"/>
      <c r="AY267" s="1"/>
      <c r="AZ267" s="1"/>
      <c r="BA267" s="1"/>
      <c r="BB267" s="1"/>
      <c r="BC267" s="1"/>
      <c r="BD267" s="1"/>
      <c r="BE267" s="1"/>
      <c r="BF267" s="1"/>
      <c r="BG267" s="1"/>
      <c r="BH267" s="1"/>
    </row>
    <row x14ac:dyDescent="0.25" r="268" customHeight="1" ht="14.5">
      <c r="A268" s="1"/>
      <c r="B268" s="1"/>
      <c r="C268" s="1"/>
      <c r="D268" s="1"/>
      <c r="E268" s="2"/>
      <c r="F268" s="2"/>
      <c r="G268" s="90">
        <f>(S268&amp;RIGHT(R268,1))*1</f>
      </c>
      <c r="H268" s="1"/>
      <c r="I268" s="111"/>
      <c r="J268" s="126">
        <f>Planning!Q70</f>
      </c>
      <c r="K268" s="93">
        <f>VLOOKUP(J268,AA$23:AE$88,5,FALSE)</f>
      </c>
      <c r="L268" s="122">
        <f>Planning!X70</f>
      </c>
      <c r="M268" s="95">
        <f>IF(Planning!AE70=0,0,IFERROR($AD70*AK$22,0))</f>
      </c>
      <c r="N268" s="171">
        <f>IF(Planning!AE70=0,0,IFERROR($AD70*AK$22*K268,0))</f>
      </c>
      <c r="O268" s="96">
        <f>IF(ISTEXT(Planning!X70),0,AK70)</f>
      </c>
      <c r="P268" s="94">
        <f>Planning!AE70</f>
      </c>
      <c r="Q268" s="121">
        <f>Progress!X70</f>
      </c>
      <c r="R268" s="95">
        <f>IF(Q268=0,0,IF(ISNUMBER(Q268),IF(S268&gt;=$G$21,$F$21,"Q57"),Q268))</f>
      </c>
      <c r="S268" s="122">
        <f>Progress!Y70</f>
      </c>
      <c r="T268" s="97"/>
      <c r="U268" s="96">
        <f>V268/$N$419</f>
      </c>
      <c r="V268" s="176">
        <f>IF(L268&lt;$E$20,0,IF(ISTEXT(L268),0,IF(AND(G268+1&gt;=$E$19+1,L268&gt;0),IF(ISNUMBER(Q268),Q268*$AD70*AK$22*K268,$AD70*AK$22*K268),0)))</f>
      </c>
      <c r="W268" s="95">
        <f>IF(AND(L268&gt;0,S268&gt;0),IF(ISNUMBER(Q268),Q268*$AD70*AK$22*K268,$AD70*AK$22*K268),0)</f>
      </c>
      <c r="X268" s="17"/>
      <c r="Y268" s="11"/>
      <c r="Z268" s="11"/>
      <c r="AA268" s="3"/>
      <c r="AB268" s="3"/>
      <c r="AC268" s="3"/>
      <c r="AD268" s="3"/>
      <c r="AE268" s="4"/>
      <c r="AF268" s="8"/>
      <c r="AG268" s="1"/>
      <c r="AH268" s="6"/>
      <c r="AI268" s="6"/>
      <c r="AJ268" s="6"/>
      <c r="AK268" s="6"/>
      <c r="AL268" s="6"/>
      <c r="AM268" s="6"/>
      <c r="AN268" s="6"/>
      <c r="AO268" s="1"/>
      <c r="AP268" s="9"/>
      <c r="AQ268" s="2"/>
      <c r="AR268" s="3"/>
      <c r="AS268" s="10"/>
      <c r="AT268" s="1"/>
      <c r="AU268" s="1"/>
      <c r="AV268" s="1"/>
      <c r="AW268" s="1"/>
      <c r="AX268" s="1"/>
      <c r="AY268" s="1"/>
      <c r="AZ268" s="1"/>
      <c r="BA268" s="1"/>
      <c r="BB268" s="1"/>
      <c r="BC268" s="1"/>
      <c r="BD268" s="1"/>
      <c r="BE268" s="1"/>
      <c r="BF268" s="1"/>
      <c r="BG268" s="1"/>
      <c r="BH268" s="1"/>
    </row>
    <row x14ac:dyDescent="0.25" r="269" customHeight="1" ht="14.5">
      <c r="A269" s="1"/>
      <c r="B269" s="1"/>
      <c r="C269" s="1"/>
      <c r="D269" s="1"/>
      <c r="E269" s="2"/>
      <c r="F269" s="2"/>
      <c r="G269" s="90">
        <f>(S269&amp;RIGHT(R269,1))*1</f>
      </c>
      <c r="H269" s="1"/>
      <c r="I269" s="111"/>
      <c r="J269" s="126">
        <f>Planning!Q71</f>
      </c>
      <c r="K269" s="93">
        <f>VLOOKUP(J269,AA$23:AE$88,5,FALSE)</f>
      </c>
      <c r="L269" s="122">
        <f>Planning!X71</f>
      </c>
      <c r="M269" s="95">
        <f>IF(Planning!AE71=0,0,IFERROR($AD71*AK$22,0))</f>
      </c>
      <c r="N269" s="171">
        <f>IF(Planning!AE71=0,0,IFERROR($AD71*AK$22*K269,0))</f>
      </c>
      <c r="O269" s="96">
        <f>IF(ISTEXT(Planning!X71),0,AK71)</f>
      </c>
      <c r="P269" s="94">
        <f>Planning!AE71</f>
      </c>
      <c r="Q269" s="121">
        <f>Progress!X71</f>
      </c>
      <c r="R269" s="95">
        <f>IF(Q269=0,0,IF(ISNUMBER(Q269),IF(S269&gt;=$G$21,$F$21,"Q58"),Q269))</f>
      </c>
      <c r="S269" s="122">
        <f>Progress!Y71</f>
      </c>
      <c r="T269" s="97"/>
      <c r="U269" s="96">
        <f>V269/$N$419</f>
      </c>
      <c r="V269" s="176">
        <f>IF(L269&lt;$E$20,0,IF(ISTEXT(L269),0,IF(AND(G269+1&gt;=$E$19+1,L269&gt;0),IF(ISNUMBER(Q269),Q269*$AD71*AK$22*K269,$AD71*AK$22*K269),0)))</f>
      </c>
      <c r="W269" s="95">
        <f>IF(AND(L269&gt;0,S269&gt;0),IF(ISNUMBER(Q269),Q269*$AD71*AK$22*K269,$AD71*AK$22*K269),0)</f>
      </c>
      <c r="X269" s="17"/>
      <c r="Y269" s="11"/>
      <c r="Z269" s="11"/>
      <c r="AA269" s="3"/>
      <c r="AB269" s="3"/>
      <c r="AC269" s="3"/>
      <c r="AD269" s="3"/>
      <c r="AE269" s="4"/>
      <c r="AF269" s="8"/>
      <c r="AG269" s="1"/>
      <c r="AH269" s="6"/>
      <c r="AI269" s="6"/>
      <c r="AJ269" s="6"/>
      <c r="AK269" s="6"/>
      <c r="AL269" s="6"/>
      <c r="AM269" s="6"/>
      <c r="AN269" s="6"/>
      <c r="AO269" s="1"/>
      <c r="AP269" s="9"/>
      <c r="AQ269" s="2"/>
      <c r="AR269" s="3"/>
      <c r="AS269" s="10"/>
      <c r="AT269" s="1"/>
      <c r="AU269" s="1"/>
      <c r="AV269" s="1"/>
      <c r="AW269" s="1"/>
      <c r="AX269" s="1"/>
      <c r="AY269" s="1"/>
      <c r="AZ269" s="1"/>
      <c r="BA269" s="1"/>
      <c r="BB269" s="1"/>
      <c r="BC269" s="1"/>
      <c r="BD269" s="1"/>
      <c r="BE269" s="1"/>
      <c r="BF269" s="1"/>
      <c r="BG269" s="1"/>
      <c r="BH269" s="1"/>
    </row>
    <row x14ac:dyDescent="0.25" r="270" customHeight="1" ht="14.5">
      <c r="A270" s="1"/>
      <c r="B270" s="1"/>
      <c r="C270" s="1"/>
      <c r="D270" s="1"/>
      <c r="E270" s="2"/>
      <c r="F270" s="2"/>
      <c r="G270" s="90">
        <f>(S270&amp;RIGHT(R270,1))*1</f>
      </c>
      <c r="H270" s="1"/>
      <c r="I270" s="111"/>
      <c r="J270" s="126">
        <f>Planning!Q72</f>
      </c>
      <c r="K270" s="93">
        <f>VLOOKUP(J270,AA$23:AE$88,5,FALSE)</f>
      </c>
      <c r="L270" s="122">
        <f>Planning!X72</f>
      </c>
      <c r="M270" s="95">
        <f>IF(Planning!AE72=0,0,IFERROR($AD72*AK$22,0))</f>
      </c>
      <c r="N270" s="171">
        <f>IF(Planning!AE72=0,0,IFERROR($AD72*AK$22*K270,0))</f>
      </c>
      <c r="O270" s="96">
        <f>IF(ISTEXT(Planning!X72),0,AK72)</f>
      </c>
      <c r="P270" s="94">
        <f>Planning!AE72</f>
      </c>
      <c r="Q270" s="121">
        <f>Progress!X72</f>
      </c>
      <c r="R270" s="95">
        <f>IF(Q270=0,0,IF(ISNUMBER(Q270),IF(S270&gt;=$G$21,$F$21,"Q59"),Q270))</f>
      </c>
      <c r="S270" s="122">
        <f>Progress!Y72</f>
      </c>
      <c r="T270" s="97"/>
      <c r="U270" s="96">
        <f>V270/$N$419</f>
      </c>
      <c r="V270" s="176">
        <f>IF(L270&lt;$E$20,0,IF(ISTEXT(L270),0,IF(AND(G270+1&gt;=$E$19+1,L270&gt;0),IF(ISNUMBER(Q270),Q270*$AD72*AK$22*K270,$AD72*AK$22*K270),0)))</f>
      </c>
      <c r="W270" s="95">
        <f>IF(AND(L270&gt;0,S270&gt;0),IF(ISNUMBER(Q270),Q270*$AD72*AK$22*K270,$AD72*AK$22*K270),0)</f>
      </c>
      <c r="X270" s="17"/>
      <c r="Y270" s="11"/>
      <c r="Z270" s="11"/>
      <c r="AA270" s="3"/>
      <c r="AB270" s="3"/>
      <c r="AC270" s="3"/>
      <c r="AD270" s="3"/>
      <c r="AE270" s="4"/>
      <c r="AF270" s="8"/>
      <c r="AG270" s="1"/>
      <c r="AH270" s="6"/>
      <c r="AI270" s="6"/>
      <c r="AJ270" s="6"/>
      <c r="AK270" s="6"/>
      <c r="AL270" s="6"/>
      <c r="AM270" s="6"/>
      <c r="AN270" s="6"/>
      <c r="AO270" s="1"/>
      <c r="AP270" s="9"/>
      <c r="AQ270" s="2"/>
      <c r="AR270" s="3"/>
      <c r="AS270" s="10"/>
      <c r="AT270" s="1"/>
      <c r="AU270" s="1"/>
      <c r="AV270" s="1"/>
      <c r="AW270" s="1"/>
      <c r="AX270" s="1"/>
      <c r="AY270" s="1"/>
      <c r="AZ270" s="1"/>
      <c r="BA270" s="1"/>
      <c r="BB270" s="1"/>
      <c r="BC270" s="1"/>
      <c r="BD270" s="1"/>
      <c r="BE270" s="1"/>
      <c r="BF270" s="1"/>
      <c r="BG270" s="1"/>
      <c r="BH270" s="1"/>
    </row>
    <row x14ac:dyDescent="0.25" r="271" customHeight="1" ht="14.5">
      <c r="A271" s="1"/>
      <c r="B271" s="1"/>
      <c r="C271" s="1"/>
      <c r="D271" s="1"/>
      <c r="E271" s="2"/>
      <c r="F271" s="2"/>
      <c r="G271" s="90">
        <f>(S271&amp;RIGHT(R271,1))*1</f>
      </c>
      <c r="H271" s="1"/>
      <c r="I271" s="111"/>
      <c r="J271" s="126">
        <f>Planning!Q73</f>
      </c>
      <c r="K271" s="93">
        <f>VLOOKUP(J271,AA$23:AE$88,5,FALSE)</f>
      </c>
      <c r="L271" s="122">
        <f>Planning!X73</f>
      </c>
      <c r="M271" s="95">
        <f>IF(Planning!AE73=0,0,IFERROR($AD73*AK$22,0))</f>
      </c>
      <c r="N271" s="171">
        <f>IF(Planning!AE73=0,0,IFERROR($AD73*AK$22*K271,0))</f>
      </c>
      <c r="O271" s="96">
        <f>IF(ISTEXT(Planning!X73),0,AK73)</f>
      </c>
      <c r="P271" s="94">
        <f>Planning!AE73</f>
      </c>
      <c r="Q271" s="121">
        <f>Progress!X73</f>
      </c>
      <c r="R271" s="95">
        <f>IF(Q271=0,0,IF(ISNUMBER(Q271),IF(S271&gt;=$G$21,$F$21,"Q60"),Q271))</f>
      </c>
      <c r="S271" s="122">
        <f>Progress!Y73</f>
      </c>
      <c r="T271" s="97"/>
      <c r="U271" s="96">
        <f>V271/$N$419</f>
      </c>
      <c r="V271" s="176">
        <f>IF(L271&lt;$E$20,0,IF(ISTEXT(L271),0,IF(AND(G271+1&gt;=$E$19+1,L271&gt;0),IF(ISNUMBER(Q271),Q271*$AD73*AK$22*K271,$AD73*AK$22*K271),0)))</f>
      </c>
      <c r="W271" s="95">
        <f>IF(AND(L271&gt;0,S271&gt;0),IF(ISNUMBER(Q271),Q271*$AD73*AK$22*K271,$AD73*AK$22*K271),0)</f>
      </c>
      <c r="X271" s="17"/>
      <c r="Y271" s="11"/>
      <c r="Z271" s="11"/>
      <c r="AA271" s="3"/>
      <c r="AB271" s="3"/>
      <c r="AC271" s="3"/>
      <c r="AD271" s="3"/>
      <c r="AE271" s="4"/>
      <c r="AF271" s="8"/>
      <c r="AG271" s="1"/>
      <c r="AH271" s="6"/>
      <c r="AI271" s="6"/>
      <c r="AJ271" s="6"/>
      <c r="AK271" s="6"/>
      <c r="AL271" s="6"/>
      <c r="AM271" s="6"/>
      <c r="AN271" s="6"/>
      <c r="AO271" s="1"/>
      <c r="AP271" s="9"/>
      <c r="AQ271" s="2"/>
      <c r="AR271" s="3"/>
      <c r="AS271" s="10"/>
      <c r="AT271" s="1"/>
      <c r="AU271" s="1"/>
      <c r="AV271" s="1"/>
      <c r="AW271" s="1"/>
      <c r="AX271" s="1"/>
      <c r="AY271" s="1"/>
      <c r="AZ271" s="1"/>
      <c r="BA271" s="1"/>
      <c r="BB271" s="1"/>
      <c r="BC271" s="1"/>
      <c r="BD271" s="1"/>
      <c r="BE271" s="1"/>
      <c r="BF271" s="1"/>
      <c r="BG271" s="1"/>
      <c r="BH271" s="1"/>
    </row>
    <row x14ac:dyDescent="0.25" r="272" customHeight="1" ht="14.5">
      <c r="A272" s="1"/>
      <c r="B272" s="1"/>
      <c r="C272" s="1"/>
      <c r="D272" s="1"/>
      <c r="E272" s="2"/>
      <c r="F272" s="2"/>
      <c r="G272" s="90">
        <f>(S272&amp;RIGHT(R272,1))*1</f>
      </c>
      <c r="H272" s="1"/>
      <c r="I272" s="111"/>
      <c r="J272" s="126">
        <f>Planning!Q74</f>
      </c>
      <c r="K272" s="93">
        <f>VLOOKUP(J272,AA$23:AE$88,5,FALSE)</f>
      </c>
      <c r="L272" s="122">
        <f>Planning!X74</f>
      </c>
      <c r="M272" s="95">
        <f>IF(Planning!AE74=0,0,IFERROR($AD74*AK$22,0))</f>
      </c>
      <c r="N272" s="171">
        <f>IF(Planning!AE74=0,0,IFERROR($AD74*AK$22*K272,0))</f>
      </c>
      <c r="O272" s="96">
        <f>IF(ISTEXT(Planning!X74),0,AK74)</f>
      </c>
      <c r="P272" s="94">
        <f>Planning!AE74</f>
      </c>
      <c r="Q272" s="121">
        <f>Progress!X74</f>
      </c>
      <c r="R272" s="95">
        <f>IF(Q272=0,0,IF(ISNUMBER(Q272),IF(S272&gt;=$G$21,$F$21,"Q61"),Q272))</f>
      </c>
      <c r="S272" s="122">
        <f>Progress!Y74</f>
      </c>
      <c r="T272" s="97"/>
      <c r="U272" s="96">
        <f>V272/$N$419</f>
      </c>
      <c r="V272" s="176">
        <f>IF(L272&lt;$E$20,0,IF(ISTEXT(L272),0,IF(AND(G272+1&gt;=$E$19+1,L272&gt;0),IF(ISNUMBER(Q272),Q272*$AD74*AK$22*K272,$AD74*AK$22*K272),0)))</f>
      </c>
      <c r="W272" s="95">
        <f>IF(AND(L272&gt;0,S272&gt;0),IF(ISNUMBER(Q272),Q272*$AD74*AK$22*K272,$AD74*AK$22*K272),0)</f>
      </c>
      <c r="X272" s="17"/>
      <c r="Y272" s="11"/>
      <c r="Z272" s="11"/>
      <c r="AA272" s="3"/>
      <c r="AB272" s="3"/>
      <c r="AC272" s="3"/>
      <c r="AD272" s="3"/>
      <c r="AE272" s="4"/>
      <c r="AF272" s="8"/>
      <c r="AG272" s="1"/>
      <c r="AH272" s="6"/>
      <c r="AI272" s="6"/>
      <c r="AJ272" s="6"/>
      <c r="AK272" s="6"/>
      <c r="AL272" s="6"/>
      <c r="AM272" s="6"/>
      <c r="AN272" s="6"/>
      <c r="AO272" s="1"/>
      <c r="AP272" s="9"/>
      <c r="AQ272" s="2"/>
      <c r="AR272" s="3"/>
      <c r="AS272" s="10"/>
      <c r="AT272" s="1"/>
      <c r="AU272" s="1"/>
      <c r="AV272" s="1"/>
      <c r="AW272" s="1"/>
      <c r="AX272" s="1"/>
      <c r="AY272" s="1"/>
      <c r="AZ272" s="1"/>
      <c r="BA272" s="1"/>
      <c r="BB272" s="1"/>
      <c r="BC272" s="1"/>
      <c r="BD272" s="1"/>
      <c r="BE272" s="1"/>
      <c r="BF272" s="1"/>
      <c r="BG272" s="1"/>
      <c r="BH272" s="1"/>
    </row>
    <row x14ac:dyDescent="0.25" r="273" customHeight="1" ht="14.5">
      <c r="A273" s="1"/>
      <c r="B273" s="1"/>
      <c r="C273" s="1"/>
      <c r="D273" s="1"/>
      <c r="E273" s="2"/>
      <c r="F273" s="2"/>
      <c r="G273" s="90">
        <f>(S273&amp;RIGHT(R273,1))*1</f>
      </c>
      <c r="H273" s="1"/>
      <c r="I273" s="111"/>
      <c r="J273" s="126">
        <f>Planning!Q75</f>
      </c>
      <c r="K273" s="93">
        <f>VLOOKUP(J273,AA$23:AE$88,5,FALSE)</f>
      </c>
      <c r="L273" s="122">
        <f>Planning!X75</f>
      </c>
      <c r="M273" s="95">
        <f>IF(Planning!AE75=0,0,IFERROR($AD75*AK$22,0))</f>
      </c>
      <c r="N273" s="171">
        <f>IF(Planning!AE75=0,0,IFERROR($AD75*AK$22*K273,0))</f>
      </c>
      <c r="O273" s="96">
        <f>IF(ISTEXT(Planning!X75),0,AK75)</f>
      </c>
      <c r="P273" s="94">
        <f>Planning!AE75</f>
      </c>
      <c r="Q273" s="121">
        <f>Progress!X75</f>
      </c>
      <c r="R273" s="95">
        <f>IF(Q273=0,0,IF(ISNUMBER(Q273),IF(S273&gt;=$G$21,$F$21,"Q62"),Q273))</f>
      </c>
      <c r="S273" s="122">
        <f>Progress!Y75</f>
      </c>
      <c r="T273" s="97"/>
      <c r="U273" s="96">
        <f>V273/$N$419</f>
      </c>
      <c r="V273" s="176">
        <f>IF(L273&lt;$E$20,0,IF(ISTEXT(L273),0,IF(AND(G273+1&gt;=$E$19+1,L273&gt;0),IF(ISNUMBER(Q273),Q273*$AD75*AK$22*K273,$AD75*AK$22*K273),0)))</f>
      </c>
      <c r="W273" s="95">
        <f>IF(AND(L273&gt;0,S273&gt;0),IF(ISNUMBER(Q273),Q273*$AD75*AK$22*K273,$AD75*AK$22*K273),0)</f>
      </c>
      <c r="X273" s="17"/>
      <c r="Y273" s="11"/>
      <c r="Z273" s="11"/>
      <c r="AA273" s="3"/>
      <c r="AB273" s="3"/>
      <c r="AC273" s="3"/>
      <c r="AD273" s="3"/>
      <c r="AE273" s="4"/>
      <c r="AF273" s="8"/>
      <c r="AG273" s="1"/>
      <c r="AH273" s="6"/>
      <c r="AI273" s="6"/>
      <c r="AJ273" s="6"/>
      <c r="AK273" s="6"/>
      <c r="AL273" s="6"/>
      <c r="AM273" s="6"/>
      <c r="AN273" s="6"/>
      <c r="AO273" s="1"/>
      <c r="AP273" s="9"/>
      <c r="AQ273" s="2"/>
      <c r="AR273" s="3"/>
      <c r="AS273" s="10"/>
      <c r="AT273" s="1"/>
      <c r="AU273" s="1"/>
      <c r="AV273" s="1"/>
      <c r="AW273" s="1"/>
      <c r="AX273" s="1"/>
      <c r="AY273" s="1"/>
      <c r="AZ273" s="1"/>
      <c r="BA273" s="1"/>
      <c r="BB273" s="1"/>
      <c r="BC273" s="1"/>
      <c r="BD273" s="1"/>
      <c r="BE273" s="1"/>
      <c r="BF273" s="1"/>
      <c r="BG273" s="1"/>
      <c r="BH273" s="1"/>
    </row>
    <row x14ac:dyDescent="0.25" r="274" customHeight="1" ht="14.5">
      <c r="A274" s="1"/>
      <c r="B274" s="1"/>
      <c r="C274" s="1"/>
      <c r="D274" s="1"/>
      <c r="E274" s="2"/>
      <c r="F274" s="2"/>
      <c r="G274" s="90">
        <f>(S274&amp;RIGHT(R274,1))*1</f>
      </c>
      <c r="H274" s="1"/>
      <c r="I274" s="111"/>
      <c r="J274" s="126">
        <f>Planning!Q76</f>
      </c>
      <c r="K274" s="93">
        <f>VLOOKUP(J274,AA$23:AE$88,5,FALSE)</f>
      </c>
      <c r="L274" s="122">
        <f>Planning!X76</f>
      </c>
      <c r="M274" s="95">
        <f>IF(Planning!AE76=0,0,IFERROR($AD76*AK$22,0))</f>
      </c>
      <c r="N274" s="171">
        <f>IF(Planning!AE76=0,0,IFERROR($AD76*AK$22*K274,0))</f>
      </c>
      <c r="O274" s="96">
        <f>IF(ISTEXT(Planning!X76),0,AK76)</f>
      </c>
      <c r="P274" s="94">
        <f>Planning!AE76</f>
      </c>
      <c r="Q274" s="121">
        <f>Progress!X76</f>
      </c>
      <c r="R274" s="95">
        <f>IF(Q274=0,0,IF(ISNUMBER(Q274),IF(S274&gt;=$G$21,$F$21,"Q63"),Q274))</f>
      </c>
      <c r="S274" s="122">
        <f>Progress!Y76</f>
      </c>
      <c r="T274" s="97"/>
      <c r="U274" s="96">
        <f>V274/$N$419</f>
      </c>
      <c r="V274" s="176">
        <f>IF(L274&lt;$E$20,0,IF(ISTEXT(L274),0,IF(AND(G274+1&gt;=$E$19+1,L274&gt;0),IF(ISNUMBER(Q274),Q274*$AD76*AK$22*K274,$AD76*AK$22*K274),0)))</f>
      </c>
      <c r="W274" s="95">
        <f>IF(AND(L274&gt;0,S274&gt;0),IF(ISNUMBER(Q274),Q274*$AD76*AK$22*K274,$AD76*AK$22*K274),0)</f>
      </c>
      <c r="X274" s="17"/>
      <c r="Y274" s="11"/>
      <c r="Z274" s="11"/>
      <c r="AA274" s="3"/>
      <c r="AB274" s="3"/>
      <c r="AC274" s="3"/>
      <c r="AD274" s="3"/>
      <c r="AE274" s="4"/>
      <c r="AF274" s="8"/>
      <c r="AG274" s="1"/>
      <c r="AH274" s="6"/>
      <c r="AI274" s="6"/>
      <c r="AJ274" s="6"/>
      <c r="AK274" s="6"/>
      <c r="AL274" s="6"/>
      <c r="AM274" s="6"/>
      <c r="AN274" s="6"/>
      <c r="AO274" s="1"/>
      <c r="AP274" s="9"/>
      <c r="AQ274" s="2"/>
      <c r="AR274" s="3"/>
      <c r="AS274" s="10"/>
      <c r="AT274" s="1"/>
      <c r="AU274" s="1"/>
      <c r="AV274" s="1"/>
      <c r="AW274" s="1"/>
      <c r="AX274" s="1"/>
      <c r="AY274" s="1"/>
      <c r="AZ274" s="1"/>
      <c r="BA274" s="1"/>
      <c r="BB274" s="1"/>
      <c r="BC274" s="1"/>
      <c r="BD274" s="1"/>
      <c r="BE274" s="1"/>
      <c r="BF274" s="1"/>
      <c r="BG274" s="1"/>
      <c r="BH274" s="1"/>
    </row>
    <row x14ac:dyDescent="0.25" r="275" customHeight="1" ht="14.5">
      <c r="A275" s="1"/>
      <c r="B275" s="1"/>
      <c r="C275" s="1"/>
      <c r="D275" s="1"/>
      <c r="E275" s="2"/>
      <c r="F275" s="2"/>
      <c r="G275" s="90">
        <f>(S275&amp;RIGHT(R275,1))*1</f>
      </c>
      <c r="H275" s="1"/>
      <c r="I275" s="111"/>
      <c r="J275" s="126">
        <f>Planning!Q77</f>
      </c>
      <c r="K275" s="93">
        <f>VLOOKUP(J275,AA$23:AE$88,5,FALSE)</f>
      </c>
      <c r="L275" s="122">
        <f>Planning!X77</f>
      </c>
      <c r="M275" s="95">
        <f>IF(Planning!AE77=0,0,IFERROR($AD77*AK$22,0))</f>
      </c>
      <c r="N275" s="171">
        <f>IF(Planning!AE77=0,0,IFERROR($AD77*AK$22*K275,0))</f>
      </c>
      <c r="O275" s="96">
        <f>IF(ISTEXT(Planning!X77),0,AK77)</f>
      </c>
      <c r="P275" s="94">
        <f>Planning!AE77</f>
      </c>
      <c r="Q275" s="121">
        <f>Progress!X77</f>
      </c>
      <c r="R275" s="95">
        <f>IF(Q275=0,0,IF(ISNUMBER(Q275),IF(S275&gt;=$G$21,$F$21,"Q64"),Q275))</f>
      </c>
      <c r="S275" s="122">
        <f>Progress!Y77</f>
      </c>
      <c r="T275" s="97"/>
      <c r="U275" s="96">
        <f>V275/$N$419</f>
      </c>
      <c r="V275" s="176">
        <f>IF(L275&lt;$E$20,0,IF(ISTEXT(L275),0,IF(AND(G275+1&gt;=$E$19+1,L275&gt;0),IF(ISNUMBER(Q275),Q275*$AD77*AK$22*K275,$AD77*AK$22*K275),0)))</f>
      </c>
      <c r="W275" s="95">
        <f>IF(AND(L275&gt;0,S275&gt;0),IF(ISNUMBER(Q275),Q275*$AD77*AK$22*K275,$AD77*AK$22*K275),0)</f>
      </c>
      <c r="X275" s="17"/>
      <c r="Y275" s="11"/>
      <c r="Z275" s="11"/>
      <c r="AA275" s="3"/>
      <c r="AB275" s="3"/>
      <c r="AC275" s="3"/>
      <c r="AD275" s="3"/>
      <c r="AE275" s="4"/>
      <c r="AF275" s="8"/>
      <c r="AG275" s="1"/>
      <c r="AH275" s="6"/>
      <c r="AI275" s="6"/>
      <c r="AJ275" s="6"/>
      <c r="AK275" s="6"/>
      <c r="AL275" s="6"/>
      <c r="AM275" s="6"/>
      <c r="AN275" s="6"/>
      <c r="AO275" s="1"/>
      <c r="AP275" s="9"/>
      <c r="AQ275" s="2"/>
      <c r="AR275" s="3"/>
      <c r="AS275" s="10"/>
      <c r="AT275" s="1"/>
      <c r="AU275" s="1"/>
      <c r="AV275" s="1"/>
      <c r="AW275" s="1"/>
      <c r="AX275" s="1"/>
      <c r="AY275" s="1"/>
      <c r="AZ275" s="1"/>
      <c r="BA275" s="1"/>
      <c r="BB275" s="1"/>
      <c r="BC275" s="1"/>
      <c r="BD275" s="1"/>
      <c r="BE275" s="1"/>
      <c r="BF275" s="1"/>
      <c r="BG275" s="1"/>
      <c r="BH275" s="1"/>
    </row>
    <row x14ac:dyDescent="0.25" r="276" customHeight="1" ht="14.5">
      <c r="A276" s="1"/>
      <c r="B276" s="1"/>
      <c r="C276" s="1"/>
      <c r="D276" s="1"/>
      <c r="E276" s="2"/>
      <c r="F276" s="2"/>
      <c r="G276" s="90">
        <f>(S276&amp;RIGHT(R276,1))*1</f>
      </c>
      <c r="H276" s="1"/>
      <c r="I276" s="111"/>
      <c r="J276" s="126">
        <f>Planning!Q78</f>
      </c>
      <c r="K276" s="93">
        <f>VLOOKUP(J276,AA$23:AE$88,5,FALSE)</f>
      </c>
      <c r="L276" s="122">
        <f>Planning!X78</f>
      </c>
      <c r="M276" s="95">
        <f>IF(Planning!AE78=0,0,IFERROR($AD78*AK$22,0))</f>
      </c>
      <c r="N276" s="171">
        <f>IF(Planning!AE78=0,0,IFERROR($AD78*AK$22*K276,0))</f>
      </c>
      <c r="O276" s="96">
        <f>IF(ISTEXT(Planning!X78),0,AK78)</f>
      </c>
      <c r="P276" s="94">
        <f>Planning!AE78</f>
      </c>
      <c r="Q276" s="121">
        <f>Progress!X78</f>
      </c>
      <c r="R276" s="95">
        <f>IF(Q276=0,0,IF(ISNUMBER(Q276),IF(S276&gt;=$G$21,$F$21,"Q65"),Q276))</f>
      </c>
      <c r="S276" s="122">
        <f>Progress!Y78</f>
      </c>
      <c r="T276" s="97"/>
      <c r="U276" s="96">
        <f>V276/$N$419</f>
      </c>
      <c r="V276" s="176">
        <f>IF(L276&lt;$E$20,0,IF(ISTEXT(L276),0,IF(AND(G276+1&gt;=$E$19+1,L276&gt;0),IF(ISNUMBER(Q276),Q276*$AD78*AK$22*K276,$AD78*AK$22*K276),0)))</f>
      </c>
      <c r="W276" s="95">
        <f>IF(AND(L276&gt;0,S276&gt;0),IF(ISNUMBER(Q276),Q276*$AD78*AK$22*K276,$AD78*AK$22*K276),0)</f>
      </c>
      <c r="X276" s="17"/>
      <c r="Y276" s="11"/>
      <c r="Z276" s="11"/>
      <c r="AA276" s="3"/>
      <c r="AB276" s="3"/>
      <c r="AC276" s="3"/>
      <c r="AD276" s="3"/>
      <c r="AE276" s="4"/>
      <c r="AF276" s="8"/>
      <c r="AG276" s="1"/>
      <c r="AH276" s="6"/>
      <c r="AI276" s="6"/>
      <c r="AJ276" s="6"/>
      <c r="AK276" s="6"/>
      <c r="AL276" s="6"/>
      <c r="AM276" s="6"/>
      <c r="AN276" s="6"/>
      <c r="AO276" s="1"/>
      <c r="AP276" s="9"/>
      <c r="AQ276" s="2"/>
      <c r="AR276" s="3"/>
      <c r="AS276" s="10"/>
      <c r="AT276" s="1"/>
      <c r="AU276" s="1"/>
      <c r="AV276" s="1"/>
      <c r="AW276" s="1"/>
      <c r="AX276" s="1"/>
      <c r="AY276" s="1"/>
      <c r="AZ276" s="1"/>
      <c r="BA276" s="1"/>
      <c r="BB276" s="1"/>
      <c r="BC276" s="1"/>
      <c r="BD276" s="1"/>
      <c r="BE276" s="1"/>
      <c r="BF276" s="1"/>
      <c r="BG276" s="1"/>
      <c r="BH276" s="1"/>
    </row>
    <row x14ac:dyDescent="0.25" r="277" customHeight="1" ht="14.5">
      <c r="A277" s="1"/>
      <c r="B277" s="1"/>
      <c r="C277" s="1"/>
      <c r="D277" s="1"/>
      <c r="E277" s="2"/>
      <c r="F277" s="2"/>
      <c r="G277" s="90">
        <f>(S277&amp;RIGHT(R277,1))*1</f>
      </c>
      <c r="H277" s="1"/>
      <c r="I277" s="111"/>
      <c r="J277" s="126">
        <f>Planning!Q79</f>
      </c>
      <c r="K277" s="93">
        <f>VLOOKUP(J277,AA$23:AE$88,5,FALSE)</f>
      </c>
      <c r="L277" s="122">
        <f>Planning!X79</f>
      </c>
      <c r="M277" s="95">
        <f>IF(Planning!AE79=0,0,IFERROR($AD79*AK$22,0))</f>
      </c>
      <c r="N277" s="171">
        <f>IF(Planning!AE79=0,0,IFERROR($AD79*AK$22*K277,0))</f>
      </c>
      <c r="O277" s="96">
        <f>IF(ISTEXT(Planning!X79),0,AK79)</f>
      </c>
      <c r="P277" s="94">
        <f>Planning!AE79</f>
      </c>
      <c r="Q277" s="121">
        <f>Progress!X79</f>
      </c>
      <c r="R277" s="95">
        <f>IF(Q277=0,0,IF(ISNUMBER(Q277),IF(S277&gt;=$G$21,$F$21,"Q66"),Q277))</f>
      </c>
      <c r="S277" s="122">
        <f>Progress!Y79</f>
      </c>
      <c r="T277" s="97"/>
      <c r="U277" s="96">
        <f>V277/$N$419</f>
      </c>
      <c r="V277" s="176">
        <f>IF(L277&lt;$E$20,0,IF(ISTEXT(L277),0,IF(AND(G277+1&gt;=$E$19+1,L277&gt;0),IF(ISNUMBER(Q277),Q277*$AD79*AK$22*K277,$AD79*AK$22*K277),0)))</f>
      </c>
      <c r="W277" s="95">
        <f>IF(AND(L277&gt;0,S277&gt;0),IF(ISNUMBER(Q277),Q277*$AD79*AK$22*K277,$AD79*AK$22*K277),0)</f>
      </c>
      <c r="X277" s="17"/>
      <c r="Y277" s="11"/>
      <c r="Z277" s="11"/>
      <c r="AA277" s="3"/>
      <c r="AB277" s="3"/>
      <c r="AC277" s="3"/>
      <c r="AD277" s="3"/>
      <c r="AE277" s="4"/>
      <c r="AF277" s="8"/>
      <c r="AG277" s="1"/>
      <c r="AH277" s="6"/>
      <c r="AI277" s="6"/>
      <c r="AJ277" s="6"/>
      <c r="AK277" s="6"/>
      <c r="AL277" s="6"/>
      <c r="AM277" s="6"/>
      <c r="AN277" s="6"/>
      <c r="AO277" s="1"/>
      <c r="AP277" s="9"/>
      <c r="AQ277" s="2"/>
      <c r="AR277" s="3"/>
      <c r="AS277" s="10"/>
      <c r="AT277" s="1"/>
      <c r="AU277" s="1"/>
      <c r="AV277" s="1"/>
      <c r="AW277" s="1"/>
      <c r="AX277" s="1"/>
      <c r="AY277" s="1"/>
      <c r="AZ277" s="1"/>
      <c r="BA277" s="1"/>
      <c r="BB277" s="1"/>
      <c r="BC277" s="1"/>
      <c r="BD277" s="1"/>
      <c r="BE277" s="1"/>
      <c r="BF277" s="1"/>
      <c r="BG277" s="1"/>
      <c r="BH277" s="1"/>
    </row>
    <row x14ac:dyDescent="0.25" r="278" customHeight="1" ht="14.5">
      <c r="A278" s="1"/>
      <c r="B278" s="1"/>
      <c r="C278" s="1"/>
      <c r="D278" s="1"/>
      <c r="E278" s="2"/>
      <c r="F278" s="2"/>
      <c r="G278" s="90">
        <f>(S278&amp;RIGHT(R278,1))*1</f>
      </c>
      <c r="H278" s="1"/>
      <c r="I278" s="111"/>
      <c r="J278" s="126">
        <f>Planning!Q80</f>
      </c>
      <c r="K278" s="93">
        <f>VLOOKUP(J278,AA$23:AE$88,5,FALSE)</f>
      </c>
      <c r="L278" s="122">
        <f>Planning!X80</f>
      </c>
      <c r="M278" s="95">
        <f>IF(Planning!AE80=0,0,IFERROR($AD80*AK$22,0))</f>
      </c>
      <c r="N278" s="171">
        <f>IF(Planning!AE80=0,0,IFERROR($AD80*AK$22*K278,0))</f>
      </c>
      <c r="O278" s="96">
        <f>IF(ISTEXT(Planning!X80),0,AK80)</f>
      </c>
      <c r="P278" s="94">
        <f>Planning!AE80</f>
      </c>
      <c r="Q278" s="121">
        <f>Progress!X80</f>
      </c>
      <c r="R278" s="95">
        <f>IF(Q278=0,0,IF(ISNUMBER(Q278),IF(S278&gt;=$G$21,$F$21,"Q67"),Q278))</f>
      </c>
      <c r="S278" s="122">
        <f>Progress!Y80</f>
      </c>
      <c r="T278" s="97"/>
      <c r="U278" s="96">
        <f>V278/$N$419</f>
      </c>
      <c r="V278" s="176">
        <f>IF(L278&lt;$E$20,0,IF(ISTEXT(L278),0,IF(AND(G278+1&gt;=$E$19+1,L278&gt;0),IF(ISNUMBER(Q278),Q278*$AD80*AK$22*K278,$AD80*AK$22*K278),0)))</f>
      </c>
      <c r="W278" s="95">
        <f>IF(AND(L278&gt;0,S278&gt;0),IF(ISNUMBER(Q278),Q278*$AD80*AK$22*K278,$AD80*AK$22*K278),0)</f>
      </c>
      <c r="X278" s="17"/>
      <c r="Y278" s="11"/>
      <c r="Z278" s="11"/>
      <c r="AA278" s="3"/>
      <c r="AB278" s="3"/>
      <c r="AC278" s="3"/>
      <c r="AD278" s="3"/>
      <c r="AE278" s="4"/>
      <c r="AF278" s="8"/>
      <c r="AG278" s="1"/>
      <c r="AH278" s="6"/>
      <c r="AI278" s="6"/>
      <c r="AJ278" s="6"/>
      <c r="AK278" s="6"/>
      <c r="AL278" s="6"/>
      <c r="AM278" s="6"/>
      <c r="AN278" s="6"/>
      <c r="AO278" s="1"/>
      <c r="AP278" s="9"/>
      <c r="AQ278" s="2"/>
      <c r="AR278" s="3"/>
      <c r="AS278" s="10"/>
      <c r="AT278" s="1"/>
      <c r="AU278" s="1"/>
      <c r="AV278" s="1"/>
      <c r="AW278" s="1"/>
      <c r="AX278" s="1"/>
      <c r="AY278" s="1"/>
      <c r="AZ278" s="1"/>
      <c r="BA278" s="1"/>
      <c r="BB278" s="1"/>
      <c r="BC278" s="1"/>
      <c r="BD278" s="1"/>
      <c r="BE278" s="1"/>
      <c r="BF278" s="1"/>
      <c r="BG278" s="1"/>
      <c r="BH278" s="1"/>
    </row>
    <row x14ac:dyDescent="0.25" r="279" customHeight="1" ht="14.5">
      <c r="A279" s="1"/>
      <c r="B279" s="1"/>
      <c r="C279" s="1"/>
      <c r="D279" s="1"/>
      <c r="E279" s="2"/>
      <c r="F279" s="2"/>
      <c r="G279" s="90">
        <f>(S279&amp;RIGHT(R279,1))*1</f>
      </c>
      <c r="H279" s="1"/>
      <c r="I279" s="111"/>
      <c r="J279" s="126">
        <f>Planning!Q81</f>
      </c>
      <c r="K279" s="93">
        <f>VLOOKUP(J279,AA$23:AE$88,5,FALSE)</f>
      </c>
      <c r="L279" s="122">
        <f>Planning!X81</f>
      </c>
      <c r="M279" s="95">
        <f>IF(Planning!AE81=0,0,IFERROR($AD81*AK$22,0))</f>
      </c>
      <c r="N279" s="171">
        <f>IF(Planning!AE81=0,0,IFERROR($AD81*AK$22*K279,0))</f>
      </c>
      <c r="O279" s="96">
        <f>IF(ISTEXT(Planning!X81),0,AK81)</f>
      </c>
      <c r="P279" s="94">
        <f>Planning!AE81</f>
      </c>
      <c r="Q279" s="121">
        <f>Progress!X81</f>
      </c>
      <c r="R279" s="95">
        <f>IF(Q279=0,0,IF(ISNUMBER(Q279),IF(S279&gt;=$G$21,$F$21,"Q4"),Q279))</f>
      </c>
      <c r="S279" s="122">
        <f>Progress!Y81</f>
      </c>
      <c r="T279" s="97"/>
      <c r="U279" s="96">
        <f>V279/$N$419</f>
      </c>
      <c r="V279" s="176">
        <f>IF(L279&lt;$E$20,0,IF(ISTEXT(L279),0,IF(AND(G279+1&gt;=$E$19+1,L279&gt;0),IF(ISNUMBER(Q279),Q279*$AD81*AK$22*K279,$AD81*AK$22*K279),0)))</f>
      </c>
      <c r="W279" s="95">
        <f>IF(AND(L279&gt;0,S279&gt;0),IF(ISNUMBER(Q279),Q279*$AD81*AK$22*K279,$AD81*AK$22*K279),0)</f>
      </c>
      <c r="X279" s="17"/>
      <c r="Y279" s="11"/>
      <c r="Z279" s="11"/>
      <c r="AA279" s="3"/>
      <c r="AB279" s="3"/>
      <c r="AC279" s="3"/>
      <c r="AD279" s="3"/>
      <c r="AE279" s="4"/>
      <c r="AF279" s="8"/>
      <c r="AG279" s="1"/>
      <c r="AH279" s="6"/>
      <c r="AI279" s="6"/>
      <c r="AJ279" s="6"/>
      <c r="AK279" s="6"/>
      <c r="AL279" s="6"/>
      <c r="AM279" s="6"/>
      <c r="AN279" s="6"/>
      <c r="AO279" s="1"/>
      <c r="AP279" s="9"/>
      <c r="AQ279" s="2"/>
      <c r="AR279" s="3"/>
      <c r="AS279" s="10"/>
      <c r="AT279" s="1"/>
      <c r="AU279" s="1"/>
      <c r="AV279" s="1"/>
      <c r="AW279" s="1"/>
      <c r="AX279" s="1"/>
      <c r="AY279" s="1"/>
      <c r="AZ279" s="1"/>
      <c r="BA279" s="1"/>
      <c r="BB279" s="1"/>
      <c r="BC279" s="1"/>
      <c r="BD279" s="1"/>
      <c r="BE279" s="1"/>
      <c r="BF279" s="1"/>
      <c r="BG279" s="1"/>
      <c r="BH279" s="1"/>
    </row>
    <row x14ac:dyDescent="0.25" r="280" customHeight="1" ht="14.5">
      <c r="A280" s="1"/>
      <c r="B280" s="1"/>
      <c r="C280" s="1"/>
      <c r="D280" s="1"/>
      <c r="E280" s="2"/>
      <c r="F280" s="2"/>
      <c r="G280" s="90">
        <f>(S280&amp;RIGHT(R280,1))*1</f>
      </c>
      <c r="H280" s="1"/>
      <c r="I280" s="111"/>
      <c r="J280" s="126">
        <f>Planning!Q82</f>
      </c>
      <c r="K280" s="93">
        <f>VLOOKUP(J280,AA$23:AE$88,5,FALSE)</f>
      </c>
      <c r="L280" s="122">
        <f>Planning!X82</f>
      </c>
      <c r="M280" s="95">
        <f>IF(Planning!AE82=0,0,IFERROR($AD82*AK$22,0))</f>
      </c>
      <c r="N280" s="171">
        <f>IF(Planning!AE82=0,0,IFERROR($AD82*AK$22*K280,0))</f>
      </c>
      <c r="O280" s="96">
        <f>IF(ISTEXT(Planning!X82),0,AK82)</f>
      </c>
      <c r="P280" s="94">
        <f>Planning!AE82</f>
      </c>
      <c r="Q280" s="121">
        <f>Progress!X82</f>
      </c>
      <c r="R280" s="95">
        <f>IF(Q280=0,0,IF(ISNUMBER(Q280),IF(S280&gt;=$G$21,$F$21,"Q5"),Q280))</f>
      </c>
      <c r="S280" s="122">
        <f>Progress!Y82</f>
      </c>
      <c r="T280" s="97"/>
      <c r="U280" s="96">
        <f>V280/$N$419</f>
      </c>
      <c r="V280" s="176">
        <f>IF(L280&lt;$E$20,0,IF(ISTEXT(L280),0,IF(AND(G280+1&gt;=$E$19+1,L280&gt;0),IF(ISNUMBER(Q280),Q280*$AD82*AK$22*K280,$AD82*AK$22*K280),0)))</f>
      </c>
      <c r="W280" s="95">
        <f>IF(AND(L280&gt;0,S280&gt;0),IF(ISNUMBER(Q280),Q280*$AD82*AK$22*K280,$AD82*AK$22*K280),0)</f>
      </c>
      <c r="X280" s="17"/>
      <c r="Y280" s="11"/>
      <c r="Z280" s="11"/>
      <c r="AA280" s="3"/>
      <c r="AB280" s="3"/>
      <c r="AC280" s="3"/>
      <c r="AD280" s="3"/>
      <c r="AE280" s="4"/>
      <c r="AF280" s="8"/>
      <c r="AG280" s="1"/>
      <c r="AH280" s="6"/>
      <c r="AI280" s="6"/>
      <c r="AJ280" s="6"/>
      <c r="AK280" s="6"/>
      <c r="AL280" s="6"/>
      <c r="AM280" s="6"/>
      <c r="AN280" s="6"/>
      <c r="AO280" s="1"/>
      <c r="AP280" s="9"/>
      <c r="AQ280" s="2"/>
      <c r="AR280" s="3"/>
      <c r="AS280" s="10"/>
      <c r="AT280" s="1"/>
      <c r="AU280" s="1"/>
      <c r="AV280" s="1"/>
      <c r="AW280" s="1"/>
      <c r="AX280" s="1"/>
      <c r="AY280" s="1"/>
      <c r="AZ280" s="1"/>
      <c r="BA280" s="1"/>
      <c r="BB280" s="1"/>
      <c r="BC280" s="1"/>
      <c r="BD280" s="1"/>
      <c r="BE280" s="1"/>
      <c r="BF280" s="1"/>
      <c r="BG280" s="1"/>
      <c r="BH280" s="1"/>
    </row>
    <row x14ac:dyDescent="0.25" r="281" customHeight="1" ht="14.5">
      <c r="A281" s="1"/>
      <c r="B281" s="1"/>
      <c r="C281" s="1"/>
      <c r="D281" s="1"/>
      <c r="E281" s="2"/>
      <c r="F281" s="2"/>
      <c r="G281" s="90">
        <f>(S281&amp;RIGHT(R281,1))*1</f>
      </c>
      <c r="H281" s="1"/>
      <c r="I281" s="111"/>
      <c r="J281" s="126">
        <f>Planning!Q83</f>
      </c>
      <c r="K281" s="93">
        <f>VLOOKUP(J281,AA$23:AE$88,5,FALSE)</f>
      </c>
      <c r="L281" s="122">
        <f>Planning!X83</f>
      </c>
      <c r="M281" s="95">
        <f>IF(Planning!AE83=0,0,IFERROR($AD83*AK$22,0))</f>
      </c>
      <c r="N281" s="171">
        <f>IF(Planning!AE83=0,0,IFERROR($AD83*AK$22*K281,0))</f>
      </c>
      <c r="O281" s="96">
        <f>IF(ISTEXT(Planning!X83),0,AK83)</f>
      </c>
      <c r="P281" s="94">
        <f>Planning!AE83</f>
      </c>
      <c r="Q281" s="121">
        <f>Progress!X83</f>
      </c>
      <c r="R281" s="95">
        <f>IF(Q281=0,0,IF(ISNUMBER(Q281),IF(S281&gt;=$G$21,$F$21,"Q6"),Q281))</f>
      </c>
      <c r="S281" s="122">
        <f>Progress!Y83</f>
      </c>
      <c r="T281" s="97"/>
      <c r="U281" s="96">
        <f>V281/$N$419</f>
      </c>
      <c r="V281" s="176">
        <f>IF(L281&lt;$E$20,0,IF(ISTEXT(L281),0,IF(AND(G281+1&gt;=$E$19+1,L281&gt;0),IF(ISNUMBER(Q281),Q281*$AD83*AK$22*K281,$AD83*AK$22*K281),0)))</f>
      </c>
      <c r="W281" s="95">
        <f>IF(AND(L281&gt;0,S281&gt;0),IF(ISNUMBER(Q281),Q281*$AD83*AK$22*K281,$AD83*AK$22*K281),0)</f>
      </c>
      <c r="X281" s="17"/>
      <c r="Y281" s="11"/>
      <c r="Z281" s="11"/>
      <c r="AA281" s="3"/>
      <c r="AB281" s="3"/>
      <c r="AC281" s="3"/>
      <c r="AD281" s="3"/>
      <c r="AE281" s="4"/>
      <c r="AF281" s="8"/>
      <c r="AG281" s="1"/>
      <c r="AH281" s="6"/>
      <c r="AI281" s="6"/>
      <c r="AJ281" s="6"/>
      <c r="AK281" s="6"/>
      <c r="AL281" s="6"/>
      <c r="AM281" s="6"/>
      <c r="AN281" s="6"/>
      <c r="AO281" s="1"/>
      <c r="AP281" s="9"/>
      <c r="AQ281" s="2"/>
      <c r="AR281" s="3"/>
      <c r="AS281" s="10"/>
      <c r="AT281" s="1"/>
      <c r="AU281" s="1"/>
      <c r="AV281" s="1"/>
      <c r="AW281" s="1"/>
      <c r="AX281" s="1"/>
      <c r="AY281" s="1"/>
      <c r="AZ281" s="1"/>
      <c r="BA281" s="1"/>
      <c r="BB281" s="1"/>
      <c r="BC281" s="1"/>
      <c r="BD281" s="1"/>
      <c r="BE281" s="1"/>
      <c r="BF281" s="1"/>
      <c r="BG281" s="1"/>
      <c r="BH281" s="1"/>
    </row>
    <row x14ac:dyDescent="0.25" r="282" customHeight="1" ht="14.5">
      <c r="A282" s="1"/>
      <c r="B282" s="1"/>
      <c r="C282" s="1"/>
      <c r="D282" s="1"/>
      <c r="E282" s="2"/>
      <c r="F282" s="2"/>
      <c r="G282" s="90">
        <f>(S282&amp;RIGHT(R282,1))*1</f>
      </c>
      <c r="H282" s="1"/>
      <c r="I282" s="111"/>
      <c r="J282" s="126">
        <f>Planning!Q84</f>
      </c>
      <c r="K282" s="93">
        <f>VLOOKUP(J282,AA$23:AE$88,5,FALSE)</f>
      </c>
      <c r="L282" s="122">
        <f>Planning!X84</f>
      </c>
      <c r="M282" s="95">
        <f>IF(Planning!AE84=0,0,IFERROR($AD84*AK$22,0))</f>
      </c>
      <c r="N282" s="171">
        <f>IF(Planning!AE84=0,0,IFERROR($AD84*AK$22*K282,0))</f>
      </c>
      <c r="O282" s="96">
        <f>IF(ISTEXT(Planning!X84),0,AK84)</f>
      </c>
      <c r="P282" s="94">
        <f>Planning!AE84</f>
      </c>
      <c r="Q282" s="121">
        <f>Progress!X84</f>
      </c>
      <c r="R282" s="95">
        <f>IF(Q282=0,0,IF(ISNUMBER(Q282),IF(S282&gt;=$G$21,$F$21,"Q7"),Q282))</f>
      </c>
      <c r="S282" s="122">
        <f>Progress!Y84</f>
      </c>
      <c r="T282" s="97"/>
      <c r="U282" s="96">
        <f>V282/$N$419</f>
      </c>
      <c r="V282" s="176">
        <f>IF(L282&lt;$E$20,0,IF(ISTEXT(L282),0,IF(AND(G282+1&gt;=$E$19+1,L282&gt;0),IF(ISNUMBER(Q282),Q282*$AD84*AK$22*K282,$AD84*AK$22*K282),0)))</f>
      </c>
      <c r="W282" s="95">
        <f>IF(AND(L282&gt;0,S282&gt;0),IF(ISNUMBER(Q282),Q282*$AD84*AK$22*K282,$AD84*AK$22*K282),0)</f>
      </c>
      <c r="X282" s="17"/>
      <c r="Y282" s="11"/>
      <c r="Z282" s="11"/>
      <c r="AA282" s="3"/>
      <c r="AB282" s="3"/>
      <c r="AC282" s="3"/>
      <c r="AD282" s="3"/>
      <c r="AE282" s="4"/>
      <c r="AF282" s="8"/>
      <c r="AG282" s="1"/>
      <c r="AH282" s="6"/>
      <c r="AI282" s="6"/>
      <c r="AJ282" s="6"/>
      <c r="AK282" s="6"/>
      <c r="AL282" s="6"/>
      <c r="AM282" s="6"/>
      <c r="AN282" s="6"/>
      <c r="AO282" s="1"/>
      <c r="AP282" s="9"/>
      <c r="AQ282" s="2"/>
      <c r="AR282" s="3"/>
      <c r="AS282" s="10"/>
      <c r="AT282" s="1"/>
      <c r="AU282" s="1"/>
      <c r="AV282" s="1"/>
      <c r="AW282" s="1"/>
      <c r="AX282" s="1"/>
      <c r="AY282" s="1"/>
      <c r="AZ282" s="1"/>
      <c r="BA282" s="1"/>
      <c r="BB282" s="1"/>
      <c r="BC282" s="1"/>
      <c r="BD282" s="1"/>
      <c r="BE282" s="1"/>
      <c r="BF282" s="1"/>
      <c r="BG282" s="1"/>
      <c r="BH282" s="1"/>
    </row>
    <row x14ac:dyDescent="0.25" r="283" customHeight="1" ht="14.5">
      <c r="A283" s="1"/>
      <c r="B283" s="1"/>
      <c r="C283" s="1"/>
      <c r="D283" s="1"/>
      <c r="E283" s="2"/>
      <c r="F283" s="2"/>
      <c r="G283" s="90">
        <f>(S283&amp;RIGHT(R283,1))*1</f>
      </c>
      <c r="H283" s="1"/>
      <c r="I283" s="111"/>
      <c r="J283" s="126">
        <f>Planning!Q85</f>
      </c>
      <c r="K283" s="93">
        <f>VLOOKUP(J283,AA$23:AE$88,5,FALSE)</f>
      </c>
      <c r="L283" s="122">
        <f>Planning!X85</f>
      </c>
      <c r="M283" s="95">
        <f>IF(Planning!AE85=0,0,IFERROR($AD85*AK$22,0))</f>
      </c>
      <c r="N283" s="171">
        <f>IF(Planning!AE85=0,0,IFERROR($AD85*AK$22*K283,0))</f>
      </c>
      <c r="O283" s="96">
        <f>IF(ISTEXT(Planning!X85),0,AK85)</f>
      </c>
      <c r="P283" s="94">
        <f>Planning!AE85</f>
      </c>
      <c r="Q283" s="121">
        <f>Progress!X85</f>
      </c>
      <c r="R283" s="95">
        <f>IF(Q283=0,0,IF(ISNUMBER(Q283),IF(S283&gt;=$G$21,$F$21,"Q8"),Q283))</f>
      </c>
      <c r="S283" s="122">
        <f>Progress!Y85</f>
      </c>
      <c r="T283" s="97"/>
      <c r="U283" s="96">
        <f>V283/$N$419</f>
      </c>
      <c r="V283" s="176">
        <f>IF(L283&lt;$E$20,0,IF(ISTEXT(L283),0,IF(AND(G283+1&gt;=$E$19+1,L283&gt;0),IF(ISNUMBER(Q283),Q283*$AD85*AK$22*K283,$AD85*AK$22*K283),0)))</f>
      </c>
      <c r="W283" s="95">
        <f>IF(AND(L283&gt;0,S283&gt;0),IF(ISNUMBER(Q283),Q283*$AD85*AK$22*K283,$AD85*AK$22*K283),0)</f>
      </c>
      <c r="X283" s="17"/>
      <c r="Y283" s="11"/>
      <c r="Z283" s="11"/>
      <c r="AA283" s="3"/>
      <c r="AB283" s="3"/>
      <c r="AC283" s="3"/>
      <c r="AD283" s="3"/>
      <c r="AE283" s="4"/>
      <c r="AF283" s="8"/>
      <c r="AG283" s="1"/>
      <c r="AH283" s="6"/>
      <c r="AI283" s="6"/>
      <c r="AJ283" s="6"/>
      <c r="AK283" s="6"/>
      <c r="AL283" s="6"/>
      <c r="AM283" s="6"/>
      <c r="AN283" s="6"/>
      <c r="AO283" s="1"/>
      <c r="AP283" s="9"/>
      <c r="AQ283" s="2"/>
      <c r="AR283" s="3"/>
      <c r="AS283" s="10"/>
      <c r="AT283" s="1"/>
      <c r="AU283" s="1"/>
      <c r="AV283" s="1"/>
      <c r="AW283" s="1"/>
      <c r="AX283" s="1"/>
      <c r="AY283" s="1"/>
      <c r="AZ283" s="1"/>
      <c r="BA283" s="1"/>
      <c r="BB283" s="1"/>
      <c r="BC283" s="1"/>
      <c r="BD283" s="1"/>
      <c r="BE283" s="1"/>
      <c r="BF283" s="1"/>
      <c r="BG283" s="1"/>
      <c r="BH283" s="1"/>
    </row>
    <row x14ac:dyDescent="0.25" r="284" customHeight="1" ht="14.5">
      <c r="A284" s="1"/>
      <c r="B284" s="1"/>
      <c r="C284" s="1"/>
      <c r="D284" s="1"/>
      <c r="E284" s="2"/>
      <c r="F284" s="2"/>
      <c r="G284" s="90">
        <f>(S284&amp;RIGHT(R284,1))*1</f>
      </c>
      <c r="H284" s="1"/>
      <c r="I284" s="111"/>
      <c r="J284" s="126">
        <f>Planning!Q86</f>
      </c>
      <c r="K284" s="93">
        <f>VLOOKUP(J284,AA$23:AE$88,5,FALSE)</f>
      </c>
      <c r="L284" s="122">
        <f>Planning!X86</f>
      </c>
      <c r="M284" s="95">
        <f>IF(Planning!AE86=0,0,IFERROR($AD86*AK$22,0))</f>
      </c>
      <c r="N284" s="171">
        <f>IF(Planning!AE86=0,0,IFERROR($AD86*AK$22*K284,0))</f>
      </c>
      <c r="O284" s="96">
        <f>IF(ISTEXT(Planning!X86),0,AK86)</f>
      </c>
      <c r="P284" s="94">
        <f>Planning!AE86</f>
      </c>
      <c r="Q284" s="121">
        <f>Progress!X86</f>
      </c>
      <c r="R284" s="95">
        <f>IF(Q284=0,0,IF(ISNUMBER(Q284),IF(S284&gt;=$G$21,$F$21,"Q9"),Q284))</f>
      </c>
      <c r="S284" s="122">
        <f>Progress!Y86</f>
      </c>
      <c r="T284" s="97"/>
      <c r="U284" s="96">
        <f>V284/$N$419</f>
      </c>
      <c r="V284" s="176">
        <f>IF(L284&lt;$E$20,0,IF(ISTEXT(L284),0,IF(AND(G284+1&gt;=$E$19+1,L284&gt;0),IF(ISNUMBER(Q284),Q284*$AD86*AK$22*K284,$AD86*AK$22*K284),0)))</f>
      </c>
      <c r="W284" s="95">
        <f>IF(AND(L284&gt;0,S284&gt;0),IF(ISNUMBER(Q284),Q284*$AD86*AK$22*K284,$AD86*AK$22*K284),0)</f>
      </c>
      <c r="X284" s="17"/>
      <c r="Y284" s="11"/>
      <c r="Z284" s="11"/>
      <c r="AA284" s="3"/>
      <c r="AB284" s="3"/>
      <c r="AC284" s="3"/>
      <c r="AD284" s="3"/>
      <c r="AE284" s="4"/>
      <c r="AF284" s="8"/>
      <c r="AG284" s="1"/>
      <c r="AH284" s="6"/>
      <c r="AI284" s="6"/>
      <c r="AJ284" s="6"/>
      <c r="AK284" s="6"/>
      <c r="AL284" s="6"/>
      <c r="AM284" s="6"/>
      <c r="AN284" s="6"/>
      <c r="AO284" s="1"/>
      <c r="AP284" s="9"/>
      <c r="AQ284" s="2"/>
      <c r="AR284" s="3"/>
      <c r="AS284" s="10"/>
      <c r="AT284" s="1"/>
      <c r="AU284" s="1"/>
      <c r="AV284" s="1"/>
      <c r="AW284" s="1"/>
      <c r="AX284" s="1"/>
      <c r="AY284" s="1"/>
      <c r="AZ284" s="1"/>
      <c r="BA284" s="1"/>
      <c r="BB284" s="1"/>
      <c r="BC284" s="1"/>
      <c r="BD284" s="1"/>
      <c r="BE284" s="1"/>
      <c r="BF284" s="1"/>
      <c r="BG284" s="1"/>
      <c r="BH284" s="1"/>
    </row>
    <row x14ac:dyDescent="0.25" r="285" customHeight="1" ht="14.5">
      <c r="A285" s="1"/>
      <c r="B285" s="1"/>
      <c r="C285" s="1"/>
      <c r="D285" s="1"/>
      <c r="E285" s="2"/>
      <c r="F285" s="2"/>
      <c r="G285" s="90">
        <f>(S285&amp;RIGHT(R285,1))*1</f>
      </c>
      <c r="H285" s="1"/>
      <c r="I285" s="111"/>
      <c r="J285" s="126">
        <f>Planning!Q87</f>
      </c>
      <c r="K285" s="93">
        <f>VLOOKUP(J285,AA$23:AE$88,5,FALSE)</f>
      </c>
      <c r="L285" s="122">
        <f>Planning!X87</f>
      </c>
      <c r="M285" s="95">
        <f>IF(Planning!AE87=0,0,IFERROR($AD87*AK$22,0))</f>
      </c>
      <c r="N285" s="171">
        <f>IF(Planning!AE87=0,0,IFERROR($AD87*AK$22*K285,0))</f>
      </c>
      <c r="O285" s="96">
        <f>IF(ISTEXT(Planning!X87),0,AK87)</f>
      </c>
      <c r="P285" s="94">
        <f>Planning!AE87</f>
      </c>
      <c r="Q285" s="121">
        <f>Progress!X87</f>
      </c>
      <c r="R285" s="95">
        <f>IF(Q285=0,0,IF(ISNUMBER(Q285),IF(S285&gt;=$G$21,$F$21,"Q10"),Q285))</f>
      </c>
      <c r="S285" s="122">
        <f>Progress!Y87</f>
      </c>
      <c r="T285" s="97"/>
      <c r="U285" s="96">
        <f>V285/$N$419</f>
      </c>
      <c r="V285" s="176">
        <f>IF(L285&lt;$E$20,0,IF(ISTEXT(L285),0,IF(AND(G285+1&gt;=$E$19+1,L285&gt;0),IF(ISNUMBER(Q285),Q285*$AD87*AK$22*K285,$AD87*AK$22*K285),0)))</f>
      </c>
      <c r="W285" s="95">
        <f>IF(AND(L285&gt;0,S285&gt;0),IF(ISNUMBER(Q285),Q285*$AD87*AK$22*K285,$AD87*AK$22*K285),0)</f>
      </c>
      <c r="X285" s="17"/>
      <c r="Y285" s="11"/>
      <c r="Z285" s="11"/>
      <c r="AA285" s="3"/>
      <c r="AB285" s="3"/>
      <c r="AC285" s="3"/>
      <c r="AD285" s="3"/>
      <c r="AE285" s="4"/>
      <c r="AF285" s="8"/>
      <c r="AG285" s="1"/>
      <c r="AH285" s="6"/>
      <c r="AI285" s="6"/>
      <c r="AJ285" s="6"/>
      <c r="AK285" s="6"/>
      <c r="AL285" s="6"/>
      <c r="AM285" s="6"/>
      <c r="AN285" s="6"/>
      <c r="AO285" s="1"/>
      <c r="AP285" s="9"/>
      <c r="AQ285" s="2"/>
      <c r="AR285" s="3"/>
      <c r="AS285" s="10"/>
      <c r="AT285" s="1"/>
      <c r="AU285" s="1"/>
      <c r="AV285" s="1"/>
      <c r="AW285" s="1"/>
      <c r="AX285" s="1"/>
      <c r="AY285" s="1"/>
      <c r="AZ285" s="1"/>
      <c r="BA285" s="1"/>
      <c r="BB285" s="1"/>
      <c r="BC285" s="1"/>
      <c r="BD285" s="1"/>
      <c r="BE285" s="1"/>
      <c r="BF285" s="1"/>
      <c r="BG285" s="1"/>
      <c r="BH285" s="1"/>
    </row>
    <row x14ac:dyDescent="0.25" r="286" customHeight="1" ht="15">
      <c r="A286" s="1"/>
      <c r="B286" s="1"/>
      <c r="C286" s="1"/>
      <c r="D286" s="1"/>
      <c r="E286" s="2"/>
      <c r="F286" s="2"/>
      <c r="G286" s="90">
        <f>(S286&amp;RIGHT(R286,1))*1</f>
      </c>
      <c r="H286" s="1"/>
      <c r="I286" s="153"/>
      <c r="J286" s="154">
        <f>Planning!Q88</f>
      </c>
      <c r="K286" s="124">
        <f>VLOOKUP(J286,AA$23:AE$88,5,FALSE)</f>
      </c>
      <c r="L286" s="155">
        <f>Planning!X88</f>
      </c>
      <c r="M286" s="156">
        <f>IF(Planning!AE88=0,0,IFERROR($AD88*AK$22,0))</f>
      </c>
      <c r="N286" s="157">
        <f>IF(Planning!AE88=0,0,IFERROR($AD88*AK$22*K286,0))</f>
      </c>
      <c r="O286" s="158">
        <f>IF(ISTEXT(Planning!X88),0,AK88)</f>
      </c>
      <c r="P286" s="155">
        <f>Planning!AE88</f>
      </c>
      <c r="Q286" s="156">
        <f>Progress!X88</f>
      </c>
      <c r="R286" s="156">
        <f>IF(Q286=0,0,IF(ISNUMBER(Q286),IF(S286&gt;=$G$21,$F$21,"Q11"),Q286))</f>
      </c>
      <c r="S286" s="155">
        <f>Progress!Y88</f>
      </c>
      <c r="T286" s="160"/>
      <c r="U286" s="158">
        <f>V286/$N$419</f>
      </c>
      <c r="V286" s="161">
        <f>IF(L286&lt;$E$20,0,IF(ISTEXT(L286),0,IF(AND(G286+1&gt;=$E$19+1,L286&gt;0),IF(ISNUMBER(Q286),Q286*$AD88*AK$22*K286,$AD88*AK$22*K286),0)))</f>
      </c>
      <c r="W286" s="156">
        <f>IF(AND(L286&gt;0,S286&gt;0),IF(ISNUMBER(Q286),Q286*$AD88*AK$22*K286,$AD88*AK$22*K286),0)</f>
      </c>
      <c r="X286" s="17"/>
      <c r="Y286" s="11"/>
      <c r="Z286" s="11"/>
      <c r="AA286" s="3"/>
      <c r="AB286" s="3"/>
      <c r="AC286" s="3"/>
      <c r="AD286" s="3"/>
      <c r="AE286" s="4"/>
      <c r="AF286" s="8"/>
      <c r="AG286" s="1"/>
      <c r="AH286" s="6"/>
      <c r="AI286" s="6"/>
      <c r="AJ286" s="6"/>
      <c r="AK286" s="6"/>
      <c r="AL286" s="6"/>
      <c r="AM286" s="6"/>
      <c r="AN286" s="6"/>
      <c r="AO286" s="1"/>
      <c r="AP286" s="9"/>
      <c r="AQ286" s="2"/>
      <c r="AR286" s="3"/>
      <c r="AS286" s="10"/>
      <c r="AT286" s="1"/>
      <c r="AU286" s="1"/>
      <c r="AV286" s="1"/>
      <c r="AW286" s="1"/>
      <c r="AX286" s="1"/>
      <c r="AY286" s="1"/>
      <c r="AZ286" s="1"/>
      <c r="BA286" s="1"/>
      <c r="BB286" s="1"/>
      <c r="BC286" s="1"/>
      <c r="BD286" s="1"/>
      <c r="BE286" s="1"/>
      <c r="BF286" s="1"/>
      <c r="BG286" s="1"/>
      <c r="BH286" s="1"/>
    </row>
    <row x14ac:dyDescent="0.25" r="287" customHeight="1" ht="12.75">
      <c r="A287" s="1"/>
      <c r="B287" s="1"/>
      <c r="C287" s="1"/>
      <c r="D287" s="1"/>
      <c r="E287" s="2"/>
      <c r="F287" s="2"/>
      <c r="G287" s="90">
        <f>(S287&amp;RIGHT(R287,1))*1</f>
      </c>
      <c r="H287" s="1"/>
      <c r="I287" s="91">
        <f>Planning!Y18</f>
      </c>
      <c r="J287" s="120">
        <f>Planning!Q23</f>
      </c>
      <c r="K287" s="150">
        <f>VLOOKUP(J287,AA$23:AE$88,5,FALSE)</f>
      </c>
      <c r="L287" s="122">
        <f>Planning!Y23</f>
      </c>
      <c r="M287" s="121">
        <f>IF(Planning!AF23=0,0,IFERROR($AD23*AL$22,0))</f>
      </c>
      <c r="N287" s="151">
        <f>IF(Planning!AF23=0,0,IFERROR($AD23*AL$22*K287,0))</f>
      </c>
      <c r="O287" s="163">
        <f>IF(ISTEXT(Planning!Y23),0,AL23)</f>
      </c>
      <c r="P287" s="122">
        <f>Planning!AF23</f>
      </c>
      <c r="Q287" s="121">
        <f>Progress!Z23</f>
      </c>
      <c r="R287" s="121">
        <f>IF(Q287=0,0,IF(ISNUMBER(Q287),IF(S287&gt;=$G$21,$F$21,"Q12"),Q287))</f>
      </c>
      <c r="S287" s="122">
        <f>Progress!AA23</f>
      </c>
      <c r="T287" s="164"/>
      <c r="U287" s="163">
        <f>V287/$N$419</f>
      </c>
      <c r="V287" s="152">
        <f>IF(L287&lt;$E$20,0,IF(ISTEXT(L287),0,IF(AND(G287+1&gt;=$E$19+1,L287&gt;0),IF(ISNUMBER(Q287),Q287*$AD23*AL$22*K287,$AD23*AL$22*K287),0)))</f>
      </c>
      <c r="W287" s="121">
        <f>IF(AND(L287&gt;0,S287&gt;0),IF(ISNUMBER(Q287),Q287*$AD23*AL$22*K287,$AD23*AL$22*K287),0)</f>
      </c>
      <c r="X287" s="17"/>
      <c r="Y287" s="11"/>
      <c r="Z287" s="11"/>
      <c r="AA287" s="3"/>
      <c r="AB287" s="3"/>
      <c r="AC287" s="3"/>
      <c r="AD287" s="3"/>
      <c r="AE287" s="4"/>
      <c r="AF287" s="8"/>
      <c r="AG287" s="1"/>
      <c r="AH287" s="6"/>
      <c r="AI287" s="6"/>
      <c r="AJ287" s="6"/>
      <c r="AK287" s="6"/>
      <c r="AL287" s="6"/>
      <c r="AM287" s="6"/>
      <c r="AN287" s="6"/>
      <c r="AO287" s="1"/>
      <c r="AP287" s="9"/>
      <c r="AQ287" s="2"/>
      <c r="AR287" s="3"/>
      <c r="AS287" s="10"/>
      <c r="AT287" s="1"/>
      <c r="AU287" s="1"/>
      <c r="AV287" s="1"/>
      <c r="AW287" s="1"/>
      <c r="AX287" s="1"/>
      <c r="AY287" s="1"/>
      <c r="AZ287" s="1"/>
      <c r="BA287" s="1"/>
      <c r="BB287" s="1"/>
      <c r="BC287" s="1"/>
      <c r="BD287" s="1"/>
      <c r="BE287" s="1"/>
      <c r="BF287" s="1"/>
      <c r="BG287" s="1"/>
      <c r="BH287" s="1"/>
    </row>
    <row x14ac:dyDescent="0.25" r="288" customHeight="1" ht="17.25">
      <c r="A288" s="1"/>
      <c r="B288" s="1"/>
      <c r="C288" s="1"/>
      <c r="D288" s="1"/>
      <c r="E288" s="2"/>
      <c r="F288" s="2"/>
      <c r="G288" s="90">
        <f>(S288&amp;RIGHT(R288,1))*1</f>
      </c>
      <c r="H288" s="1"/>
      <c r="I288" s="111"/>
      <c r="J288" s="120">
        <f>Planning!Q24</f>
      </c>
      <c r="K288" s="93">
        <f>VLOOKUP(J288,AA$23:AE$88,5,FALSE)</f>
      </c>
      <c r="L288" s="122">
        <f>Planning!Y24</f>
      </c>
      <c r="M288" s="95">
        <f>IF(Planning!AF24=0,0,IFERROR($AD24*AL$22,0))</f>
      </c>
      <c r="N288" s="171">
        <f>IF(Planning!AF24=0,0,IFERROR($AD24*AL$22*K288,0))</f>
      </c>
      <c r="O288" s="96">
        <f>IF(ISTEXT(Planning!Y24),0,AL24)</f>
      </c>
      <c r="P288" s="94">
        <f>Planning!AF24</f>
      </c>
      <c r="Q288" s="121">
        <f>Progress!Z24</f>
      </c>
      <c r="R288" s="95">
        <f>IF(Q288=0,0,IF(ISNUMBER(Q288),IF(S288&gt;=$G$21,$F$21,"Q13"),Q288))</f>
      </c>
      <c r="S288" s="122">
        <f>Progress!AA24</f>
      </c>
      <c r="T288" s="97"/>
      <c r="U288" s="96">
        <f>V288/$N$419</f>
      </c>
      <c r="V288" s="176">
        <f>IF(L288&lt;$E$20,0,IF(ISTEXT(L288),0,IF(AND(G288+1&gt;=$E$19+1,L288&gt;0),IF(ISNUMBER(Q288),Q288*$AD24*AL$22*K288,$AD24*AL$22*K288),0)))</f>
      </c>
      <c r="W288" s="95">
        <f>IF(AND(L288&gt;0,S288&gt;0),IF(ISNUMBER(Q288),Q288*$AD24*AL$22*K288,$AD24*AL$22*K288),0)</f>
      </c>
      <c r="X288" s="17"/>
      <c r="Y288" s="11"/>
      <c r="Z288" s="11"/>
      <c r="AA288" s="3"/>
      <c r="AB288" s="3"/>
      <c r="AC288" s="3"/>
      <c r="AD288" s="3"/>
      <c r="AE288" s="4"/>
      <c r="AF288" s="8"/>
      <c r="AG288" s="1"/>
      <c r="AH288" s="6"/>
      <c r="AI288" s="6"/>
      <c r="AJ288" s="6"/>
      <c r="AK288" s="6"/>
      <c r="AL288" s="6"/>
      <c r="AM288" s="6"/>
      <c r="AN288" s="6"/>
      <c r="AO288" s="1"/>
      <c r="AP288" s="9"/>
      <c r="AQ288" s="2"/>
      <c r="AR288" s="3"/>
      <c r="AS288" s="10"/>
      <c r="AT288" s="1"/>
      <c r="AU288" s="1"/>
      <c r="AV288" s="1"/>
      <c r="AW288" s="1"/>
      <c r="AX288" s="1"/>
      <c r="AY288" s="1"/>
      <c r="AZ288" s="1"/>
      <c r="BA288" s="1"/>
      <c r="BB288" s="1"/>
      <c r="BC288" s="1"/>
      <c r="BD288" s="1"/>
      <c r="BE288" s="1"/>
      <c r="BF288" s="1"/>
      <c r="BG288" s="1"/>
      <c r="BH288" s="1"/>
    </row>
    <row x14ac:dyDescent="0.25" r="289" customHeight="1" ht="17.25">
      <c r="A289" s="1"/>
      <c r="B289" s="1"/>
      <c r="C289" s="1"/>
      <c r="D289" s="1"/>
      <c r="E289" s="2"/>
      <c r="F289" s="2"/>
      <c r="G289" s="90">
        <f>(S289&amp;RIGHT(R289,1))*1</f>
      </c>
      <c r="H289" s="1"/>
      <c r="I289" s="111"/>
      <c r="J289" s="120">
        <f>Planning!Q25</f>
      </c>
      <c r="K289" s="93">
        <f>VLOOKUP(J289,AA$23:AE$88,5,FALSE)</f>
      </c>
      <c r="L289" s="122">
        <f>Planning!Y25</f>
      </c>
      <c r="M289" s="95">
        <f>IF(Planning!AF25=0,0,IFERROR($AD25*AL$22,0))</f>
      </c>
      <c r="N289" s="171">
        <f>IF(Planning!AF25=0,0,IFERROR($AD25*AL$22*K289,0))</f>
      </c>
      <c r="O289" s="96">
        <f>IF(ISTEXT(Planning!Y25),0,AL25)</f>
      </c>
      <c r="P289" s="94">
        <f>Planning!AF25</f>
      </c>
      <c r="Q289" s="121">
        <f>Progress!Z25</f>
      </c>
      <c r="R289" s="95">
        <f>IF(Q289=0,0,IF(ISNUMBER(Q289),IF(S289&gt;=$G$21,$F$21,"Q14"),Q289))</f>
      </c>
      <c r="S289" s="122">
        <f>Progress!AA25</f>
      </c>
      <c r="T289" s="97"/>
      <c r="U289" s="96">
        <f>V289/$N$419</f>
      </c>
      <c r="V289" s="176">
        <f>IF(L289&lt;$E$20,0,IF(ISTEXT(L289),0,IF(AND(G289+1&gt;=$E$19+1,L289&gt;0),IF(ISNUMBER(Q289),Q289*$AD25*AL$22*K289,$AD25*AL$22*K289),0)))</f>
      </c>
      <c r="W289" s="95">
        <f>IF(AND(L289&gt;0,S289&gt;0),IF(ISNUMBER(Q289),Q289*$AD25*AL$22*K289,$AD25*AL$22*K289),0)</f>
      </c>
      <c r="X289" s="17"/>
      <c r="Y289" s="11"/>
      <c r="Z289" s="11"/>
      <c r="AA289" s="3"/>
      <c r="AB289" s="3"/>
      <c r="AC289" s="3"/>
      <c r="AD289" s="3"/>
      <c r="AE289" s="4"/>
      <c r="AF289" s="8"/>
      <c r="AG289" s="1"/>
      <c r="AH289" s="6"/>
      <c r="AI289" s="6"/>
      <c r="AJ289" s="6"/>
      <c r="AK289" s="6"/>
      <c r="AL289" s="6"/>
      <c r="AM289" s="6"/>
      <c r="AN289" s="6"/>
      <c r="AO289" s="1"/>
      <c r="AP289" s="9"/>
      <c r="AQ289" s="2"/>
      <c r="AR289" s="3"/>
      <c r="AS289" s="10"/>
      <c r="AT289" s="1"/>
      <c r="AU289" s="1"/>
      <c r="AV289" s="1"/>
      <c r="AW289" s="1"/>
      <c r="AX289" s="1"/>
      <c r="AY289" s="1"/>
      <c r="AZ289" s="1"/>
      <c r="BA289" s="1"/>
      <c r="BB289" s="1"/>
      <c r="BC289" s="1"/>
      <c r="BD289" s="1"/>
      <c r="BE289" s="1"/>
      <c r="BF289" s="1"/>
      <c r="BG289" s="1"/>
      <c r="BH289" s="1"/>
    </row>
    <row x14ac:dyDescent="0.25" r="290" customHeight="1" ht="17.25">
      <c r="A290" s="1"/>
      <c r="B290" s="1"/>
      <c r="C290" s="1"/>
      <c r="D290" s="1"/>
      <c r="E290" s="2"/>
      <c r="F290" s="2"/>
      <c r="G290" s="90">
        <f>(S290&amp;RIGHT(R290,1))*1</f>
      </c>
      <c r="H290" s="1"/>
      <c r="I290" s="111"/>
      <c r="J290" s="120">
        <f>Planning!Q26</f>
      </c>
      <c r="K290" s="93">
        <f>VLOOKUP(J290,AA$23:AE$88,5,FALSE)</f>
      </c>
      <c r="L290" s="122">
        <f>Planning!Y26</f>
      </c>
      <c r="M290" s="95">
        <f>IF(Planning!AF26=0,0,IFERROR($AD26*AL$22,0))</f>
      </c>
      <c r="N290" s="171">
        <f>IF(Planning!AF26=0,0,IFERROR($AD26*AL$22*K290,0))</f>
      </c>
      <c r="O290" s="96">
        <f>IF(ISTEXT(Planning!Y26),0,AL26)</f>
      </c>
      <c r="P290" s="94">
        <f>Planning!AF26</f>
      </c>
      <c r="Q290" s="121">
        <f>Progress!Z26</f>
      </c>
      <c r="R290" s="95">
        <f>IF(Q290=0,0,IF(ISNUMBER(Q290),IF(S290&gt;=$G$21,$F$21,"Q15"),Q290))</f>
      </c>
      <c r="S290" s="122">
        <f>Progress!AA26</f>
      </c>
      <c r="T290" s="97"/>
      <c r="U290" s="96">
        <f>V290/$N$419</f>
      </c>
      <c r="V290" s="176">
        <f>IF(L290&lt;$E$20,0,IF(ISTEXT(L290),0,IF(AND(G290+1&gt;=$E$19+1,L290&gt;0),IF(ISNUMBER(Q290),Q290*$AD26*AL$22*K290,$AD26*AL$22*K290),0)))</f>
      </c>
      <c r="W290" s="95">
        <f>IF(AND(L290&gt;0,S290&gt;0),IF(ISNUMBER(Q290),Q290*$AD26*AL$22*K290,$AD26*AL$22*K290),0)</f>
      </c>
      <c r="X290" s="17"/>
      <c r="Y290" s="11"/>
      <c r="Z290" s="11"/>
      <c r="AA290" s="3"/>
      <c r="AB290" s="3"/>
      <c r="AC290" s="3"/>
      <c r="AD290" s="3"/>
      <c r="AE290" s="4"/>
      <c r="AF290" s="8"/>
      <c r="AG290" s="1"/>
      <c r="AH290" s="6"/>
      <c r="AI290" s="6"/>
      <c r="AJ290" s="6"/>
      <c r="AK290" s="6"/>
      <c r="AL290" s="6"/>
      <c r="AM290" s="6"/>
      <c r="AN290" s="6"/>
      <c r="AO290" s="1"/>
      <c r="AP290" s="9"/>
      <c r="AQ290" s="2"/>
      <c r="AR290" s="3"/>
      <c r="AS290" s="10"/>
      <c r="AT290" s="1"/>
      <c r="AU290" s="1"/>
      <c r="AV290" s="1"/>
      <c r="AW290" s="1"/>
      <c r="AX290" s="1"/>
      <c r="AY290" s="1"/>
      <c r="AZ290" s="1"/>
      <c r="BA290" s="1"/>
      <c r="BB290" s="1"/>
      <c r="BC290" s="1"/>
      <c r="BD290" s="1"/>
      <c r="BE290" s="1"/>
      <c r="BF290" s="1"/>
      <c r="BG290" s="1"/>
      <c r="BH290" s="1"/>
    </row>
    <row x14ac:dyDescent="0.25" r="291" customHeight="1" ht="17.25">
      <c r="A291" s="1"/>
      <c r="B291" s="1"/>
      <c r="C291" s="1"/>
      <c r="D291" s="1"/>
      <c r="E291" s="2"/>
      <c r="F291" s="2"/>
      <c r="G291" s="90">
        <f>(S291&amp;RIGHT(R291,1))*1</f>
      </c>
      <c r="H291" s="1"/>
      <c r="I291" s="111"/>
      <c r="J291" s="120">
        <f>Planning!Q27</f>
      </c>
      <c r="K291" s="93">
        <f>VLOOKUP(J291,AA$23:AE$88,5,FALSE)</f>
      </c>
      <c r="L291" s="122">
        <f>Planning!Y27</f>
      </c>
      <c r="M291" s="95">
        <f>IF(Planning!AF27=0,0,IFERROR($AD27*AL$22,0))</f>
      </c>
      <c r="N291" s="171">
        <f>IF(Planning!AF27=0,0,IFERROR($AD27*AL$22*K291,0))</f>
      </c>
      <c r="O291" s="96">
        <f>IF(ISTEXT(Planning!Y27),0,AL27)</f>
      </c>
      <c r="P291" s="94">
        <f>Planning!AF27</f>
      </c>
      <c r="Q291" s="121">
        <f>Progress!Z27</f>
      </c>
      <c r="R291" s="95">
        <f>IF(Q291=0,0,IF(ISNUMBER(Q291),IF(S291&gt;=$G$21,$F$21,"Q16"),Q291))</f>
      </c>
      <c r="S291" s="122">
        <f>Progress!AA27</f>
      </c>
      <c r="T291" s="97"/>
      <c r="U291" s="96">
        <f>V291/$N$419</f>
      </c>
      <c r="V291" s="176">
        <f>IF(L291&lt;$E$20,0,IF(ISTEXT(L291),0,IF(AND(G291+1&gt;=$E$19+1,L291&gt;0),IF(ISNUMBER(Q291),Q291*$AD27*AL$22*K291,$AD27*AL$22*K291),0)))</f>
      </c>
      <c r="W291" s="95">
        <f>IF(AND(L291&gt;0,S291&gt;0),IF(ISNUMBER(Q291),Q291*$AD27*AL$22*K291,$AD27*AL$22*K291),0)</f>
      </c>
      <c r="X291" s="17"/>
      <c r="Y291" s="11"/>
      <c r="Z291" s="11"/>
      <c r="AA291" s="3"/>
      <c r="AB291" s="3"/>
      <c r="AC291" s="3"/>
      <c r="AD291" s="3"/>
      <c r="AE291" s="4"/>
      <c r="AF291" s="8"/>
      <c r="AG291" s="1"/>
      <c r="AH291" s="6"/>
      <c r="AI291" s="6"/>
      <c r="AJ291" s="6"/>
      <c r="AK291" s="6"/>
      <c r="AL291" s="6"/>
      <c r="AM291" s="6"/>
      <c r="AN291" s="6"/>
      <c r="AO291" s="1"/>
      <c r="AP291" s="9"/>
      <c r="AQ291" s="2"/>
      <c r="AR291" s="3"/>
      <c r="AS291" s="10"/>
      <c r="AT291" s="1"/>
      <c r="AU291" s="1"/>
      <c r="AV291" s="1"/>
      <c r="AW291" s="1"/>
      <c r="AX291" s="1"/>
      <c r="AY291" s="1"/>
      <c r="AZ291" s="1"/>
      <c r="BA291" s="1"/>
      <c r="BB291" s="1"/>
      <c r="BC291" s="1"/>
      <c r="BD291" s="1"/>
      <c r="BE291" s="1"/>
      <c r="BF291" s="1"/>
      <c r="BG291" s="1"/>
      <c r="BH291" s="1"/>
    </row>
    <row x14ac:dyDescent="0.25" r="292" customHeight="1" ht="17.25">
      <c r="A292" s="1"/>
      <c r="B292" s="1"/>
      <c r="C292" s="1"/>
      <c r="D292" s="1"/>
      <c r="E292" s="2"/>
      <c r="F292" s="2"/>
      <c r="G292" s="90">
        <f>(S292&amp;RIGHT(R292,1))*1</f>
      </c>
      <c r="H292" s="1"/>
      <c r="I292" s="111"/>
      <c r="J292" s="126">
        <f>Planning!Q28</f>
      </c>
      <c r="K292" s="93">
        <f>VLOOKUP(J292,AA$23:AE$88,5,FALSE)</f>
      </c>
      <c r="L292" s="122">
        <f>Planning!Y28</f>
      </c>
      <c r="M292" s="95">
        <f>IF(Planning!AF28=0,0,IFERROR($AD28*AL$22,0))</f>
      </c>
      <c r="N292" s="171">
        <f>IF(Planning!AF28=0,0,IFERROR($AD28*AL$22*K292,0))</f>
      </c>
      <c r="O292" s="96">
        <f>IF(ISTEXT(Planning!Y28),0,AL28)</f>
      </c>
      <c r="P292" s="94">
        <f>Planning!AF28</f>
      </c>
      <c r="Q292" s="121">
        <f>Progress!Z28</f>
      </c>
      <c r="R292" s="95">
        <f>IF(Q292=0,0,IF(ISNUMBER(Q292),IF(S292&gt;=$G$21,$F$21,"Q17"),Q292))</f>
      </c>
      <c r="S292" s="122">
        <f>Progress!AA28</f>
      </c>
      <c r="T292" s="97"/>
      <c r="U292" s="96">
        <f>V292/$N$419</f>
      </c>
      <c r="V292" s="176">
        <f>IF(L292&lt;$E$20,0,IF(ISTEXT(L292),0,IF(AND(G292+1&gt;=$E$19+1,L292&gt;0),IF(ISNUMBER(Q292),Q292*$AD28*AL$22*K292,$AD28*AL$22*K292),0)))</f>
      </c>
      <c r="W292" s="95">
        <f>IF(AND(L292&gt;0,S292&gt;0),IF(ISNUMBER(Q292),Q292*$AD28*AL$22*K292,$AD28*AL$22*K292),0)</f>
      </c>
      <c r="X292" s="17"/>
      <c r="Y292" s="11"/>
      <c r="Z292" s="11"/>
      <c r="AA292" s="3"/>
      <c r="AB292" s="3"/>
      <c r="AC292" s="3"/>
      <c r="AD292" s="3"/>
      <c r="AE292" s="4"/>
      <c r="AF292" s="8"/>
      <c r="AG292" s="1"/>
      <c r="AH292" s="6"/>
      <c r="AI292" s="6"/>
      <c r="AJ292" s="6"/>
      <c r="AK292" s="6"/>
      <c r="AL292" s="6"/>
      <c r="AM292" s="6"/>
      <c r="AN292" s="6"/>
      <c r="AO292" s="1"/>
      <c r="AP292" s="9"/>
      <c r="AQ292" s="2"/>
      <c r="AR292" s="3"/>
      <c r="AS292" s="10"/>
      <c r="AT292" s="1"/>
      <c r="AU292" s="1"/>
      <c r="AV292" s="1"/>
      <c r="AW292" s="1"/>
      <c r="AX292" s="1"/>
      <c r="AY292" s="1"/>
      <c r="AZ292" s="1"/>
      <c r="BA292" s="1"/>
      <c r="BB292" s="1"/>
      <c r="BC292" s="1"/>
      <c r="BD292" s="1"/>
      <c r="BE292" s="1"/>
      <c r="BF292" s="1"/>
      <c r="BG292" s="1"/>
      <c r="BH292" s="1"/>
    </row>
    <row x14ac:dyDescent="0.25" r="293" customHeight="1" ht="17.25">
      <c r="A293" s="1"/>
      <c r="B293" s="1"/>
      <c r="C293" s="1"/>
      <c r="D293" s="1"/>
      <c r="E293" s="2"/>
      <c r="F293" s="2"/>
      <c r="G293" s="90">
        <f>(S293&amp;RIGHT(R293,1))*1</f>
      </c>
      <c r="H293" s="1"/>
      <c r="I293" s="111"/>
      <c r="J293" s="126">
        <f>Planning!Q29</f>
      </c>
      <c r="K293" s="93">
        <f>VLOOKUP(J293,AA$23:AE$88,5,FALSE)</f>
      </c>
      <c r="L293" s="122">
        <f>Planning!Y29</f>
      </c>
      <c r="M293" s="95">
        <f>IF(Planning!AF29=0,0,IFERROR($AD29*AL$22,0))</f>
      </c>
      <c r="N293" s="171">
        <f>IF(Planning!AF29=0,0,IFERROR($AD29*AL$22*K293,0))</f>
      </c>
      <c r="O293" s="96">
        <f>IF(ISTEXT(Planning!Y29),0,AL29)</f>
      </c>
      <c r="P293" s="94">
        <f>Planning!AF29</f>
      </c>
      <c r="Q293" s="121">
        <f>Progress!Z29</f>
      </c>
      <c r="R293" s="95">
        <f>IF(Q293=0,0,IF(ISNUMBER(Q293),IF(S293&gt;=$G$21,$F$21,"Q18"),Q293))</f>
      </c>
      <c r="S293" s="122">
        <f>Progress!AA29</f>
      </c>
      <c r="T293" s="97"/>
      <c r="U293" s="96">
        <f>V293/$N$419</f>
      </c>
      <c r="V293" s="176">
        <f>IF(L293&lt;$E$20,0,IF(ISTEXT(L293),0,IF(AND(G293+1&gt;=$E$19+1,L293&gt;0),IF(ISNUMBER(Q293),Q293*$AD29*AL$22*K293,$AD29*AL$22*K293),0)))</f>
      </c>
      <c r="W293" s="95">
        <f>IF(AND(L293&gt;0,S293&gt;0),IF(ISNUMBER(Q293),Q293*$AD29*AL$22*K293,$AD29*AL$22*K293),0)</f>
      </c>
      <c r="X293" s="17"/>
      <c r="Y293" s="11"/>
      <c r="Z293" s="11"/>
      <c r="AA293" s="3"/>
      <c r="AB293" s="3"/>
      <c r="AC293" s="3"/>
      <c r="AD293" s="3"/>
      <c r="AE293" s="4"/>
      <c r="AF293" s="8"/>
      <c r="AG293" s="1"/>
      <c r="AH293" s="6"/>
      <c r="AI293" s="6"/>
      <c r="AJ293" s="6"/>
      <c r="AK293" s="6"/>
      <c r="AL293" s="6"/>
      <c r="AM293" s="6"/>
      <c r="AN293" s="6"/>
      <c r="AO293" s="1"/>
      <c r="AP293" s="9"/>
      <c r="AQ293" s="2"/>
      <c r="AR293" s="3"/>
      <c r="AS293" s="10"/>
      <c r="AT293" s="1"/>
      <c r="AU293" s="1"/>
      <c r="AV293" s="1"/>
      <c r="AW293" s="1"/>
      <c r="AX293" s="1"/>
      <c r="AY293" s="1"/>
      <c r="AZ293" s="1"/>
      <c r="BA293" s="1"/>
      <c r="BB293" s="1"/>
      <c r="BC293" s="1"/>
      <c r="BD293" s="1"/>
      <c r="BE293" s="1"/>
      <c r="BF293" s="1"/>
      <c r="BG293" s="1"/>
      <c r="BH293" s="1"/>
    </row>
    <row x14ac:dyDescent="0.25" r="294" customHeight="1" ht="17.25">
      <c r="A294" s="1"/>
      <c r="B294" s="1"/>
      <c r="C294" s="1"/>
      <c r="D294" s="1"/>
      <c r="E294" s="2"/>
      <c r="F294" s="2"/>
      <c r="G294" s="90">
        <f>(S294&amp;RIGHT(R294,1))*1</f>
      </c>
      <c r="H294" s="1"/>
      <c r="I294" s="111"/>
      <c r="J294" s="126">
        <f>Planning!Q30</f>
      </c>
      <c r="K294" s="93">
        <f>VLOOKUP(J294,AA$23:AE$88,5,FALSE)</f>
      </c>
      <c r="L294" s="122">
        <f>Planning!Y30</f>
      </c>
      <c r="M294" s="95">
        <f>IF(Planning!AF30=0,0,IFERROR($AD30*AL$22,0))</f>
      </c>
      <c r="N294" s="171">
        <f>IF(Planning!AF30=0,0,IFERROR($AD30*AL$22*K294,0))</f>
      </c>
      <c r="O294" s="96">
        <f>IF(ISTEXT(Planning!Y30),0,AL30)</f>
      </c>
      <c r="P294" s="94">
        <f>Planning!AF30</f>
      </c>
      <c r="Q294" s="121">
        <f>Progress!Z30</f>
      </c>
      <c r="R294" s="95">
        <f>IF(Q294=0,0,IF(ISNUMBER(Q294),IF(S294&gt;=$G$21,$F$21,"Q19"),Q294))</f>
      </c>
      <c r="S294" s="122">
        <f>Progress!AA30</f>
      </c>
      <c r="T294" s="97"/>
      <c r="U294" s="96">
        <f>V294/$N$419</f>
      </c>
      <c r="V294" s="176">
        <f>IF(L294&lt;$E$20,0,IF(ISTEXT(L294),0,IF(AND(G294+1&gt;=$E$19+1,L294&gt;0),IF(ISNUMBER(Q294),Q294*$AD30*AL$22*K294,$AD30*AL$22*K294),0)))</f>
      </c>
      <c r="W294" s="95">
        <f>IF(AND(L294&gt;0,S294&gt;0),IF(ISNUMBER(Q294),Q294*$AD30*AL$22*K294,$AD30*AL$22*K294),0)</f>
      </c>
      <c r="X294" s="17"/>
      <c r="Y294" s="11"/>
      <c r="Z294" s="11"/>
      <c r="AA294" s="3"/>
      <c r="AB294" s="3"/>
      <c r="AC294" s="3"/>
      <c r="AD294" s="3"/>
      <c r="AE294" s="4"/>
      <c r="AF294" s="8"/>
      <c r="AG294" s="1"/>
      <c r="AH294" s="6"/>
      <c r="AI294" s="6"/>
      <c r="AJ294" s="6"/>
      <c r="AK294" s="6"/>
      <c r="AL294" s="6"/>
      <c r="AM294" s="6"/>
      <c r="AN294" s="6"/>
      <c r="AO294" s="1"/>
      <c r="AP294" s="9"/>
      <c r="AQ294" s="2"/>
      <c r="AR294" s="3"/>
      <c r="AS294" s="10"/>
      <c r="AT294" s="1"/>
      <c r="AU294" s="1"/>
      <c r="AV294" s="1"/>
      <c r="AW294" s="1"/>
      <c r="AX294" s="1"/>
      <c r="AY294" s="1"/>
      <c r="AZ294" s="1"/>
      <c r="BA294" s="1"/>
      <c r="BB294" s="1"/>
      <c r="BC294" s="1"/>
      <c r="BD294" s="1"/>
      <c r="BE294" s="1"/>
      <c r="BF294" s="1"/>
      <c r="BG294" s="1"/>
      <c r="BH294" s="1"/>
    </row>
    <row x14ac:dyDescent="0.25" r="295" customHeight="1" ht="17.25">
      <c r="A295" s="1"/>
      <c r="B295" s="1"/>
      <c r="C295" s="1"/>
      <c r="D295" s="1"/>
      <c r="E295" s="2"/>
      <c r="F295" s="2"/>
      <c r="G295" s="90">
        <f>(S295&amp;RIGHT(R295,1))*1</f>
      </c>
      <c r="H295" s="1"/>
      <c r="I295" s="111"/>
      <c r="J295" s="126">
        <f>Planning!Q31</f>
      </c>
      <c r="K295" s="93">
        <f>VLOOKUP(J295,AA$23:AE$88,5,FALSE)</f>
      </c>
      <c r="L295" s="122">
        <f>Planning!Y31</f>
      </c>
      <c r="M295" s="95">
        <f>IF(Planning!AF31=0,0,IFERROR($AD31*AL$22,0))</f>
      </c>
      <c r="N295" s="171">
        <f>IF(Planning!AF31=0,0,IFERROR($AD31*AL$22*K295,0))</f>
      </c>
      <c r="O295" s="96">
        <f>IF(ISTEXT(Planning!Y31),0,AL31)</f>
      </c>
      <c r="P295" s="94">
        <f>Planning!AF31</f>
      </c>
      <c r="Q295" s="121">
        <f>Progress!Z31</f>
      </c>
      <c r="R295" s="95">
        <f>IF(Q295=0,0,IF(ISNUMBER(Q295),IF(S295&gt;=$G$21,$F$21,"Q20"),Q295))</f>
      </c>
      <c r="S295" s="122">
        <f>Progress!AA31</f>
      </c>
      <c r="T295" s="97"/>
      <c r="U295" s="96">
        <f>V295/$N$419</f>
      </c>
      <c r="V295" s="176">
        <f>IF(L295&lt;$E$20,0,IF(ISTEXT(L295),0,IF(AND(G295+1&gt;=$E$19+1,L295&gt;0),IF(ISNUMBER(Q295),Q295*$AD31*AL$22*K295,$AD31*AL$22*K295),0)))</f>
      </c>
      <c r="W295" s="95">
        <f>IF(AND(L295&gt;0,S295&gt;0),IF(ISNUMBER(Q295),Q295*$AD31*AL$22*K295,$AD31*AL$22*K295),0)</f>
      </c>
      <c r="X295" s="17"/>
      <c r="Y295" s="11"/>
      <c r="Z295" s="11"/>
      <c r="AA295" s="3"/>
      <c r="AB295" s="3"/>
      <c r="AC295" s="3"/>
      <c r="AD295" s="3"/>
      <c r="AE295" s="4"/>
      <c r="AF295" s="8"/>
      <c r="AG295" s="1"/>
      <c r="AH295" s="6"/>
      <c r="AI295" s="6"/>
      <c r="AJ295" s="6"/>
      <c r="AK295" s="6"/>
      <c r="AL295" s="6"/>
      <c r="AM295" s="6"/>
      <c r="AN295" s="6"/>
      <c r="AO295" s="1"/>
      <c r="AP295" s="9"/>
      <c r="AQ295" s="2"/>
      <c r="AR295" s="3"/>
      <c r="AS295" s="10"/>
      <c r="AT295" s="1"/>
      <c r="AU295" s="1"/>
      <c r="AV295" s="1"/>
      <c r="AW295" s="1"/>
      <c r="AX295" s="1"/>
      <c r="AY295" s="1"/>
      <c r="AZ295" s="1"/>
      <c r="BA295" s="1"/>
      <c r="BB295" s="1"/>
      <c r="BC295" s="1"/>
      <c r="BD295" s="1"/>
      <c r="BE295" s="1"/>
      <c r="BF295" s="1"/>
      <c r="BG295" s="1"/>
      <c r="BH295" s="1"/>
    </row>
    <row x14ac:dyDescent="0.25" r="296" customHeight="1" ht="17.25">
      <c r="A296" s="1"/>
      <c r="B296" s="1"/>
      <c r="C296" s="1"/>
      <c r="D296" s="1"/>
      <c r="E296" s="2"/>
      <c r="F296" s="2"/>
      <c r="G296" s="90">
        <f>(S296&amp;RIGHT(R296,1))*1</f>
      </c>
      <c r="H296" s="1"/>
      <c r="I296" s="111"/>
      <c r="J296" s="126">
        <f>Planning!Q32</f>
      </c>
      <c r="K296" s="93">
        <f>VLOOKUP(J296,AA$23:AE$88,5,FALSE)</f>
      </c>
      <c r="L296" s="122">
        <f>Planning!Y32</f>
      </c>
      <c r="M296" s="95">
        <f>IF(Planning!AF32=0,0,IFERROR($AD32*AL$22,0))</f>
      </c>
      <c r="N296" s="171">
        <f>IF(Planning!AF32=0,0,IFERROR($AD32*AL$22*K296,0))</f>
      </c>
      <c r="O296" s="96">
        <f>IF(ISTEXT(Planning!Y32),0,AL32)</f>
      </c>
      <c r="P296" s="94">
        <f>Planning!AF32</f>
      </c>
      <c r="Q296" s="121">
        <f>Progress!Z32</f>
      </c>
      <c r="R296" s="95">
        <f>IF(Q296=0,0,IF(ISNUMBER(Q296),IF(S296&gt;=$G$21,$F$21,"Q21"),Q296))</f>
      </c>
      <c r="S296" s="122">
        <f>Progress!AA32</f>
      </c>
      <c r="T296" s="97"/>
      <c r="U296" s="96">
        <f>V296/$N$419</f>
      </c>
      <c r="V296" s="176">
        <f>IF(L296&lt;$E$20,0,IF(ISTEXT(L296),0,IF(AND(G296+1&gt;=$E$19+1,L296&gt;0),IF(ISNUMBER(Q296),Q296*$AD32*AL$22*K296,$AD32*AL$22*K296),0)))</f>
      </c>
      <c r="W296" s="95">
        <f>IF(AND(L296&gt;0,S296&gt;0),IF(ISNUMBER(Q296),Q296*$AD32*AL$22*K296,$AD32*AL$22*K296),0)</f>
      </c>
      <c r="X296" s="17"/>
      <c r="Y296" s="11"/>
      <c r="Z296" s="11"/>
      <c r="AA296" s="3"/>
      <c r="AB296" s="3"/>
      <c r="AC296" s="3"/>
      <c r="AD296" s="3"/>
      <c r="AE296" s="4"/>
      <c r="AF296" s="8"/>
      <c r="AG296" s="1"/>
      <c r="AH296" s="6"/>
      <c r="AI296" s="6"/>
      <c r="AJ296" s="6"/>
      <c r="AK296" s="6"/>
      <c r="AL296" s="6"/>
      <c r="AM296" s="6"/>
      <c r="AN296" s="6"/>
      <c r="AO296" s="1"/>
      <c r="AP296" s="9"/>
      <c r="AQ296" s="2"/>
      <c r="AR296" s="3"/>
      <c r="AS296" s="10"/>
      <c r="AT296" s="1"/>
      <c r="AU296" s="1"/>
      <c r="AV296" s="1"/>
      <c r="AW296" s="1"/>
      <c r="AX296" s="1"/>
      <c r="AY296" s="1"/>
      <c r="AZ296" s="1"/>
      <c r="BA296" s="1"/>
      <c r="BB296" s="1"/>
      <c r="BC296" s="1"/>
      <c r="BD296" s="1"/>
      <c r="BE296" s="1"/>
      <c r="BF296" s="1"/>
      <c r="BG296" s="1"/>
      <c r="BH296" s="1"/>
    </row>
    <row x14ac:dyDescent="0.25" r="297" customHeight="1" ht="17.25">
      <c r="A297" s="1"/>
      <c r="B297" s="1"/>
      <c r="C297" s="1"/>
      <c r="D297" s="1"/>
      <c r="E297" s="2"/>
      <c r="F297" s="2"/>
      <c r="G297" s="90">
        <f>(S297&amp;RIGHT(R297,1))*1</f>
      </c>
      <c r="H297" s="1"/>
      <c r="I297" s="111"/>
      <c r="J297" s="126">
        <f>Planning!Q33</f>
      </c>
      <c r="K297" s="93">
        <f>VLOOKUP(J297,AA$23:AE$88,5,FALSE)</f>
      </c>
      <c r="L297" s="122">
        <f>Planning!Y33</f>
      </c>
      <c r="M297" s="95">
        <f>IF(Planning!AF33=0,0,IFERROR($AD33*AL$22,0))</f>
      </c>
      <c r="N297" s="171">
        <f>IF(Planning!AF33=0,0,IFERROR($AD33*AL$22*K297,0))</f>
      </c>
      <c r="O297" s="96">
        <f>IF(ISTEXT(Planning!Y33),0,AL33)</f>
      </c>
      <c r="P297" s="94">
        <f>Planning!AF33</f>
      </c>
      <c r="Q297" s="121">
        <f>Progress!Z33</f>
      </c>
      <c r="R297" s="95">
        <f>IF(Q297=0,0,IF(ISNUMBER(Q297),IF(S297&gt;=$G$21,$F$21,"Q22"),Q297))</f>
      </c>
      <c r="S297" s="122">
        <f>Progress!AA33</f>
      </c>
      <c r="T297" s="97"/>
      <c r="U297" s="96">
        <f>V297/$N$419</f>
      </c>
      <c r="V297" s="176">
        <f>IF(L297&lt;$E$20,0,IF(ISTEXT(L297),0,IF(AND(G297+1&gt;=$E$19+1,L297&gt;0),IF(ISNUMBER(Q297),Q297*$AD33*AL$22*K297,$AD33*AL$22*K297),0)))</f>
      </c>
      <c r="W297" s="95">
        <f>IF(AND(L297&gt;0,S297&gt;0),IF(ISNUMBER(Q297),Q297*$AD33*AL$22*K297,$AD33*AL$22*K297),0)</f>
      </c>
      <c r="X297" s="17"/>
      <c r="Y297" s="11"/>
      <c r="Z297" s="11"/>
      <c r="AA297" s="3"/>
      <c r="AB297" s="3"/>
      <c r="AC297" s="3"/>
      <c r="AD297" s="3"/>
      <c r="AE297" s="4"/>
      <c r="AF297" s="8"/>
      <c r="AG297" s="1"/>
      <c r="AH297" s="6"/>
      <c r="AI297" s="6"/>
      <c r="AJ297" s="6"/>
      <c r="AK297" s="6"/>
      <c r="AL297" s="6"/>
      <c r="AM297" s="6"/>
      <c r="AN297" s="6"/>
      <c r="AO297" s="1"/>
      <c r="AP297" s="9"/>
      <c r="AQ297" s="2"/>
      <c r="AR297" s="3"/>
      <c r="AS297" s="10"/>
      <c r="AT297" s="1"/>
      <c r="AU297" s="1"/>
      <c r="AV297" s="1"/>
      <c r="AW297" s="1"/>
      <c r="AX297" s="1"/>
      <c r="AY297" s="1"/>
      <c r="AZ297" s="1"/>
      <c r="BA297" s="1"/>
      <c r="BB297" s="1"/>
      <c r="BC297" s="1"/>
      <c r="BD297" s="1"/>
      <c r="BE297" s="1"/>
      <c r="BF297" s="1"/>
      <c r="BG297" s="1"/>
      <c r="BH297" s="1"/>
    </row>
    <row x14ac:dyDescent="0.25" r="298" customHeight="1" ht="17.25">
      <c r="A298" s="1"/>
      <c r="B298" s="1"/>
      <c r="C298" s="1"/>
      <c r="D298" s="1"/>
      <c r="E298" s="2"/>
      <c r="F298" s="2"/>
      <c r="G298" s="90">
        <f>(S298&amp;RIGHT(R298,1))*1</f>
      </c>
      <c r="H298" s="1"/>
      <c r="I298" s="111"/>
      <c r="J298" s="126">
        <f>Planning!Q34</f>
      </c>
      <c r="K298" s="93">
        <f>VLOOKUP(J298,AA$23:AE$88,5,FALSE)</f>
      </c>
      <c r="L298" s="122">
        <f>Planning!Y34</f>
      </c>
      <c r="M298" s="95">
        <f>IF(Planning!AF34=0,0,IFERROR($AD34*AL$22,0))</f>
      </c>
      <c r="N298" s="171">
        <f>IF(Planning!AF34=0,0,IFERROR($AD34*AL$22*K298,0))</f>
      </c>
      <c r="O298" s="96">
        <f>IF(ISTEXT(Planning!Y34),0,AL34)</f>
      </c>
      <c r="P298" s="94">
        <f>Planning!AF34</f>
      </c>
      <c r="Q298" s="121">
        <f>Progress!Z34</f>
      </c>
      <c r="R298" s="95">
        <f>IF(Q298=0,0,IF(ISNUMBER(Q298),IF(S298&gt;=$G$21,$F$21,"Q23"),Q298))</f>
      </c>
      <c r="S298" s="122">
        <f>Progress!AA34</f>
      </c>
      <c r="T298" s="97"/>
      <c r="U298" s="96">
        <f>V298/$N$419</f>
      </c>
      <c r="V298" s="176">
        <f>IF(L298&lt;$E$20,0,IF(ISTEXT(L298),0,IF(AND(G298+1&gt;=$E$19+1,L298&gt;0),IF(ISNUMBER(Q298),Q298*$AD34*AL$22*K298,$AD34*AL$22*K298),0)))</f>
      </c>
      <c r="W298" s="95">
        <f>IF(AND(L298&gt;0,S298&gt;0),IF(ISNUMBER(Q298),Q298*$AD34*AL$22*K298,$AD34*AL$22*K298),0)</f>
      </c>
      <c r="X298" s="17"/>
      <c r="Y298" s="11"/>
      <c r="Z298" s="11"/>
      <c r="AA298" s="3"/>
      <c r="AB298" s="3"/>
      <c r="AC298" s="3"/>
      <c r="AD298" s="3"/>
      <c r="AE298" s="4"/>
      <c r="AF298" s="8"/>
      <c r="AG298" s="1"/>
      <c r="AH298" s="6"/>
      <c r="AI298" s="6"/>
      <c r="AJ298" s="6"/>
      <c r="AK298" s="6"/>
      <c r="AL298" s="6"/>
      <c r="AM298" s="6"/>
      <c r="AN298" s="6"/>
      <c r="AO298" s="1"/>
      <c r="AP298" s="9"/>
      <c r="AQ298" s="2"/>
      <c r="AR298" s="3"/>
      <c r="AS298" s="10"/>
      <c r="AT298" s="1"/>
      <c r="AU298" s="1"/>
      <c r="AV298" s="1"/>
      <c r="AW298" s="1"/>
      <c r="AX298" s="1"/>
      <c r="AY298" s="1"/>
      <c r="AZ298" s="1"/>
      <c r="BA298" s="1"/>
      <c r="BB298" s="1"/>
      <c r="BC298" s="1"/>
      <c r="BD298" s="1"/>
      <c r="BE298" s="1"/>
      <c r="BF298" s="1"/>
      <c r="BG298" s="1"/>
      <c r="BH298" s="1"/>
    </row>
    <row x14ac:dyDescent="0.25" r="299" customHeight="1" ht="17.25">
      <c r="A299" s="1"/>
      <c r="B299" s="1"/>
      <c r="C299" s="1"/>
      <c r="D299" s="1"/>
      <c r="E299" s="2"/>
      <c r="F299" s="2"/>
      <c r="G299" s="90">
        <f>(S299&amp;RIGHT(R299,1))*1</f>
      </c>
      <c r="H299" s="1"/>
      <c r="I299" s="111"/>
      <c r="J299" s="126">
        <f>Planning!Q35</f>
      </c>
      <c r="K299" s="93">
        <f>VLOOKUP(J299,AA$23:AE$88,5,FALSE)</f>
      </c>
      <c r="L299" s="122">
        <f>Planning!Y35</f>
      </c>
      <c r="M299" s="95">
        <f>IF(Planning!AF35=0,0,IFERROR($AD35*AL$22,0))</f>
      </c>
      <c r="N299" s="171">
        <f>IF(Planning!AF35=0,0,IFERROR($AD35*AL$22*K299,0))</f>
      </c>
      <c r="O299" s="96">
        <f>IF(ISTEXT(Planning!Y35),0,AL35)</f>
      </c>
      <c r="P299" s="94">
        <f>Planning!AF35</f>
      </c>
      <c r="Q299" s="121">
        <f>Progress!Z35</f>
      </c>
      <c r="R299" s="95">
        <f>IF(Q299=0,0,IF(ISNUMBER(Q299),IF(S299&gt;=$G$21,$F$21,"Q24"),Q299))</f>
      </c>
      <c r="S299" s="122">
        <f>Progress!AA35</f>
      </c>
      <c r="T299" s="97"/>
      <c r="U299" s="96">
        <f>V299/$N$419</f>
      </c>
      <c r="V299" s="176">
        <f>IF(L299&lt;$E$20,0,IF(ISTEXT(L299),0,IF(AND(G299+1&gt;=$E$19+1,L299&gt;0),IF(ISNUMBER(Q299),Q299*$AD35*AL$22*K299,$AD35*AL$22*K299),0)))</f>
      </c>
      <c r="W299" s="95">
        <f>IF(AND(L299&gt;0,S299&gt;0),IF(ISNUMBER(Q299),Q299*$AD35*AL$22*K299,$AD35*AL$22*K299),0)</f>
      </c>
      <c r="X299" s="17"/>
      <c r="Y299" s="11"/>
      <c r="Z299" s="11"/>
      <c r="AA299" s="3"/>
      <c r="AB299" s="3"/>
      <c r="AC299" s="3"/>
      <c r="AD299" s="3"/>
      <c r="AE299" s="4"/>
      <c r="AF299" s="8"/>
      <c r="AG299" s="1"/>
      <c r="AH299" s="6"/>
      <c r="AI299" s="6"/>
      <c r="AJ299" s="6"/>
      <c r="AK299" s="6"/>
      <c r="AL299" s="6"/>
      <c r="AM299" s="6"/>
      <c r="AN299" s="6"/>
      <c r="AO299" s="1"/>
      <c r="AP299" s="9"/>
      <c r="AQ299" s="2"/>
      <c r="AR299" s="3"/>
      <c r="AS299" s="10"/>
      <c r="AT299" s="1"/>
      <c r="AU299" s="1"/>
      <c r="AV299" s="1"/>
      <c r="AW299" s="1"/>
      <c r="AX299" s="1"/>
      <c r="AY299" s="1"/>
      <c r="AZ299" s="1"/>
      <c r="BA299" s="1"/>
      <c r="BB299" s="1"/>
      <c r="BC299" s="1"/>
      <c r="BD299" s="1"/>
      <c r="BE299" s="1"/>
      <c r="BF299" s="1"/>
      <c r="BG299" s="1"/>
      <c r="BH299" s="1"/>
    </row>
    <row x14ac:dyDescent="0.25" r="300" customHeight="1" ht="17.25">
      <c r="A300" s="1"/>
      <c r="B300" s="1"/>
      <c r="C300" s="1"/>
      <c r="D300" s="1"/>
      <c r="E300" s="2"/>
      <c r="F300" s="2"/>
      <c r="G300" s="90">
        <f>(S300&amp;RIGHT(R300,1))*1</f>
      </c>
      <c r="H300" s="1"/>
      <c r="I300" s="111"/>
      <c r="J300" s="126">
        <f>Planning!Q36</f>
      </c>
      <c r="K300" s="93">
        <f>VLOOKUP(J300,AA$23:AE$88,5,FALSE)</f>
      </c>
      <c r="L300" s="122">
        <f>Planning!Y36</f>
      </c>
      <c r="M300" s="95">
        <f>IF(Planning!AF36=0,0,IFERROR($AD36*AL$22,0))</f>
      </c>
      <c r="N300" s="171">
        <f>IF(Planning!AF36=0,0,IFERROR($AD36*AL$22*K300,0))</f>
      </c>
      <c r="O300" s="96">
        <f>IF(ISTEXT(Planning!Y36),0,AL36)</f>
      </c>
      <c r="P300" s="94">
        <f>Planning!AF36</f>
      </c>
      <c r="Q300" s="121">
        <f>Progress!Z36</f>
      </c>
      <c r="R300" s="95">
        <f>IF(Q300=0,0,IF(ISNUMBER(Q300),IF(S300&gt;=$G$21,$F$21,"Q25"),Q300))</f>
      </c>
      <c r="S300" s="122">
        <f>Progress!AA36</f>
      </c>
      <c r="T300" s="97"/>
      <c r="U300" s="96">
        <f>V300/$N$419</f>
      </c>
      <c r="V300" s="176">
        <f>IF(L300&lt;$E$20,0,IF(ISTEXT(L300),0,IF(AND(G300+1&gt;=$E$19+1,L300&gt;0),IF(ISNUMBER(Q300),Q300*$AD36*AL$22*K300,$AD36*AL$22*K300),0)))</f>
      </c>
      <c r="W300" s="95">
        <f>IF(AND(L300&gt;0,S300&gt;0),IF(ISNUMBER(Q300),Q300*$AD36*AL$22*K300,$AD36*AL$22*K300),0)</f>
      </c>
      <c r="X300" s="17"/>
      <c r="Y300" s="11"/>
      <c r="Z300" s="11"/>
      <c r="AA300" s="3"/>
      <c r="AB300" s="3"/>
      <c r="AC300" s="3"/>
      <c r="AD300" s="3"/>
      <c r="AE300" s="4"/>
      <c r="AF300" s="8"/>
      <c r="AG300" s="1"/>
      <c r="AH300" s="6"/>
      <c r="AI300" s="6"/>
      <c r="AJ300" s="6"/>
      <c r="AK300" s="6"/>
      <c r="AL300" s="6"/>
      <c r="AM300" s="6"/>
      <c r="AN300" s="6"/>
      <c r="AO300" s="1"/>
      <c r="AP300" s="9"/>
      <c r="AQ300" s="2"/>
      <c r="AR300" s="3"/>
      <c r="AS300" s="10"/>
      <c r="AT300" s="1"/>
      <c r="AU300" s="1"/>
      <c r="AV300" s="1"/>
      <c r="AW300" s="1"/>
      <c r="AX300" s="1"/>
      <c r="AY300" s="1"/>
      <c r="AZ300" s="1"/>
      <c r="BA300" s="1"/>
      <c r="BB300" s="1"/>
      <c r="BC300" s="1"/>
      <c r="BD300" s="1"/>
      <c r="BE300" s="1"/>
      <c r="BF300" s="1"/>
      <c r="BG300" s="1"/>
      <c r="BH300" s="1"/>
    </row>
    <row x14ac:dyDescent="0.25" r="301" customHeight="1" ht="17.25">
      <c r="A301" s="1"/>
      <c r="B301" s="1"/>
      <c r="C301" s="1"/>
      <c r="D301" s="1"/>
      <c r="E301" s="2"/>
      <c r="F301" s="2"/>
      <c r="G301" s="90">
        <f>(S301&amp;RIGHT(R301,1))*1</f>
      </c>
      <c r="H301" s="1"/>
      <c r="I301" s="111"/>
      <c r="J301" s="126">
        <f>Planning!Q37</f>
      </c>
      <c r="K301" s="93">
        <f>VLOOKUP(J301,AA$23:AE$88,5,FALSE)</f>
      </c>
      <c r="L301" s="122">
        <f>Planning!Y37</f>
      </c>
      <c r="M301" s="95">
        <f>IF(Planning!AF37=0,0,IFERROR($AD37*AL$22,0))</f>
      </c>
      <c r="N301" s="171">
        <f>IF(Planning!AF37=0,0,IFERROR($AD37*AL$22*K301,0))</f>
      </c>
      <c r="O301" s="96">
        <f>IF(ISTEXT(Planning!Y37),0,AL37)</f>
      </c>
      <c r="P301" s="94">
        <f>Planning!AF37</f>
      </c>
      <c r="Q301" s="121">
        <f>Progress!Z37</f>
      </c>
      <c r="R301" s="95">
        <f>IF(Q301=0,0,IF(ISNUMBER(Q301),IF(S301&gt;=$G$21,$F$21,"Q26"),Q301))</f>
      </c>
      <c r="S301" s="122">
        <f>Progress!AA37</f>
      </c>
      <c r="T301" s="97"/>
      <c r="U301" s="96">
        <f>V301/$N$419</f>
      </c>
      <c r="V301" s="176">
        <f>IF(L301&lt;$E$20,0,IF(ISTEXT(L301),0,IF(AND(G301+1&gt;=$E$19+1,L301&gt;0),IF(ISNUMBER(Q301),Q301*$AD37*AL$22*K301,$AD37*AL$22*K301),0)))</f>
      </c>
      <c r="W301" s="95">
        <f>IF(AND(L301&gt;0,S301&gt;0),IF(ISNUMBER(Q301),Q301*$AD37*AL$22*K301,$AD37*AL$22*K301),0)</f>
      </c>
      <c r="X301" s="17"/>
      <c r="Y301" s="11"/>
      <c r="Z301" s="11"/>
      <c r="AA301" s="3"/>
      <c r="AB301" s="3"/>
      <c r="AC301" s="3"/>
      <c r="AD301" s="3"/>
      <c r="AE301" s="4"/>
      <c r="AF301" s="8"/>
      <c r="AG301" s="1"/>
      <c r="AH301" s="6"/>
      <c r="AI301" s="6"/>
      <c r="AJ301" s="6"/>
      <c r="AK301" s="6"/>
      <c r="AL301" s="6"/>
      <c r="AM301" s="6"/>
      <c r="AN301" s="6"/>
      <c r="AO301" s="1"/>
      <c r="AP301" s="9"/>
      <c r="AQ301" s="2"/>
      <c r="AR301" s="3"/>
      <c r="AS301" s="10"/>
      <c r="AT301" s="1"/>
      <c r="AU301" s="1"/>
      <c r="AV301" s="1"/>
      <c r="AW301" s="1"/>
      <c r="AX301" s="1"/>
      <c r="AY301" s="1"/>
      <c r="AZ301" s="1"/>
      <c r="BA301" s="1"/>
      <c r="BB301" s="1"/>
      <c r="BC301" s="1"/>
      <c r="BD301" s="1"/>
      <c r="BE301" s="1"/>
      <c r="BF301" s="1"/>
      <c r="BG301" s="1"/>
      <c r="BH301" s="1"/>
    </row>
    <row x14ac:dyDescent="0.25" r="302" customHeight="1" ht="17.25">
      <c r="A302" s="1"/>
      <c r="B302" s="1"/>
      <c r="C302" s="1"/>
      <c r="D302" s="1"/>
      <c r="E302" s="2"/>
      <c r="F302" s="2"/>
      <c r="G302" s="90">
        <f>(S302&amp;RIGHT(R302,1))*1</f>
      </c>
      <c r="H302" s="1"/>
      <c r="I302" s="111"/>
      <c r="J302" s="126">
        <f>Planning!Q38</f>
      </c>
      <c r="K302" s="93">
        <f>VLOOKUP(J302,AA$23:AE$88,5,FALSE)</f>
      </c>
      <c r="L302" s="122">
        <f>Planning!Y38</f>
      </c>
      <c r="M302" s="95">
        <f>IF(Planning!AF38=0,0,IFERROR($AD38*AL$22,0))</f>
      </c>
      <c r="N302" s="171">
        <f>IF(Planning!AF38=0,0,IFERROR($AD38*AL$22*K302,0))</f>
      </c>
      <c r="O302" s="96">
        <f>IF(ISTEXT(Planning!Y38),0,AL38)</f>
      </c>
      <c r="P302" s="94">
        <f>Planning!AF38</f>
      </c>
      <c r="Q302" s="121">
        <f>Progress!Z38</f>
      </c>
      <c r="R302" s="95">
        <f>IF(Q302=0,0,IF(ISNUMBER(Q302),IF(S302&gt;=$G$21,$F$21,"Q27"),Q302))</f>
      </c>
      <c r="S302" s="122">
        <f>Progress!AA38</f>
      </c>
      <c r="T302" s="97"/>
      <c r="U302" s="96">
        <f>V302/$N$419</f>
      </c>
      <c r="V302" s="176">
        <f>IF(L302&lt;$E$20,0,IF(ISTEXT(L302),0,IF(AND(G302+1&gt;=$E$19+1,L302&gt;0),IF(ISNUMBER(Q302),Q302*$AD38*AL$22*K302,$AD38*AL$22*K302),0)))</f>
      </c>
      <c r="W302" s="95">
        <f>IF(AND(L302&gt;0,S302&gt;0),IF(ISNUMBER(Q302),Q302*$AD38*AL$22*K302,$AD38*AL$22*K302),0)</f>
      </c>
      <c r="X302" s="17"/>
      <c r="Y302" s="11"/>
      <c r="Z302" s="11"/>
      <c r="AA302" s="3"/>
      <c r="AB302" s="3"/>
      <c r="AC302" s="3"/>
      <c r="AD302" s="3"/>
      <c r="AE302" s="4"/>
      <c r="AF302" s="8"/>
      <c r="AG302" s="1"/>
      <c r="AH302" s="6"/>
      <c r="AI302" s="6"/>
      <c r="AJ302" s="6"/>
      <c r="AK302" s="6"/>
      <c r="AL302" s="6"/>
      <c r="AM302" s="6"/>
      <c r="AN302" s="6"/>
      <c r="AO302" s="1"/>
      <c r="AP302" s="9"/>
      <c r="AQ302" s="2"/>
      <c r="AR302" s="3"/>
      <c r="AS302" s="10"/>
      <c r="AT302" s="1"/>
      <c r="AU302" s="1"/>
      <c r="AV302" s="1"/>
      <c r="AW302" s="1"/>
      <c r="AX302" s="1"/>
      <c r="AY302" s="1"/>
      <c r="AZ302" s="1"/>
      <c r="BA302" s="1"/>
      <c r="BB302" s="1"/>
      <c r="BC302" s="1"/>
      <c r="BD302" s="1"/>
      <c r="BE302" s="1"/>
      <c r="BF302" s="1"/>
      <c r="BG302" s="1"/>
      <c r="BH302" s="1"/>
    </row>
    <row x14ac:dyDescent="0.25" r="303" customHeight="1" ht="17.25">
      <c r="A303" s="1"/>
      <c r="B303" s="1"/>
      <c r="C303" s="1"/>
      <c r="D303" s="1"/>
      <c r="E303" s="2"/>
      <c r="F303" s="2"/>
      <c r="G303" s="90">
        <f>(S303&amp;RIGHT(R303,1))*1</f>
      </c>
      <c r="H303" s="1"/>
      <c r="I303" s="111"/>
      <c r="J303" s="126">
        <f>Planning!Q39</f>
      </c>
      <c r="K303" s="93">
        <f>VLOOKUP(J303,AA$23:AE$88,5,FALSE)</f>
      </c>
      <c r="L303" s="122">
        <f>Planning!Y39</f>
      </c>
      <c r="M303" s="95">
        <f>IF(Planning!AF39=0,0,IFERROR($AD39*AL$22,0))</f>
      </c>
      <c r="N303" s="171">
        <f>IF(Planning!AF39=0,0,IFERROR($AD39*AL$22*K303,0))</f>
      </c>
      <c r="O303" s="96">
        <f>IF(ISTEXT(Planning!Y39),0,AL39)</f>
      </c>
      <c r="P303" s="94">
        <f>Planning!AF39</f>
      </c>
      <c r="Q303" s="121">
        <f>Progress!Z39</f>
      </c>
      <c r="R303" s="95">
        <f>IF(Q303=0,0,IF(ISNUMBER(Q303),IF(S303&gt;=$G$21,$F$21,"Q28"),Q303))</f>
      </c>
      <c r="S303" s="122">
        <f>Progress!AA39</f>
      </c>
      <c r="T303" s="97"/>
      <c r="U303" s="96">
        <f>V303/$N$419</f>
      </c>
      <c r="V303" s="176">
        <f>IF(L303&lt;$E$20,0,IF(ISTEXT(L303),0,IF(AND(G303+1&gt;=$E$19+1,L303&gt;0),IF(ISNUMBER(Q303),Q303*$AD39*AL$22*K303,$AD39*AL$22*K303),0)))</f>
      </c>
      <c r="W303" s="95">
        <f>IF(AND(L303&gt;0,S303&gt;0),IF(ISNUMBER(Q303),Q303*$AD39*AL$22*K303,$AD39*AL$22*K303),0)</f>
      </c>
      <c r="X303" s="17"/>
      <c r="Y303" s="11"/>
      <c r="Z303" s="11"/>
      <c r="AA303" s="3"/>
      <c r="AB303" s="3"/>
      <c r="AC303" s="3"/>
      <c r="AD303" s="3"/>
      <c r="AE303" s="4"/>
      <c r="AF303" s="8"/>
      <c r="AG303" s="1"/>
      <c r="AH303" s="6"/>
      <c r="AI303" s="6"/>
      <c r="AJ303" s="6"/>
      <c r="AK303" s="6"/>
      <c r="AL303" s="6"/>
      <c r="AM303" s="6"/>
      <c r="AN303" s="6"/>
      <c r="AO303" s="1"/>
      <c r="AP303" s="9"/>
      <c r="AQ303" s="2"/>
      <c r="AR303" s="3"/>
      <c r="AS303" s="10"/>
      <c r="AT303" s="1"/>
      <c r="AU303" s="1"/>
      <c r="AV303" s="1"/>
      <c r="AW303" s="1"/>
      <c r="AX303" s="1"/>
      <c r="AY303" s="1"/>
      <c r="AZ303" s="1"/>
      <c r="BA303" s="1"/>
      <c r="BB303" s="1"/>
      <c r="BC303" s="1"/>
      <c r="BD303" s="1"/>
      <c r="BE303" s="1"/>
      <c r="BF303" s="1"/>
      <c r="BG303" s="1"/>
      <c r="BH303" s="1"/>
    </row>
    <row x14ac:dyDescent="0.25" r="304" customHeight="1" ht="17.25">
      <c r="A304" s="1"/>
      <c r="B304" s="1"/>
      <c r="C304" s="1"/>
      <c r="D304" s="1"/>
      <c r="E304" s="2"/>
      <c r="F304" s="2"/>
      <c r="G304" s="90">
        <f>(S304&amp;RIGHT(R304,1))*1</f>
      </c>
      <c r="H304" s="1"/>
      <c r="I304" s="111"/>
      <c r="J304" s="126">
        <f>Planning!Q40</f>
      </c>
      <c r="K304" s="93">
        <f>VLOOKUP(J304,AA$23:AE$88,5,FALSE)</f>
      </c>
      <c r="L304" s="122">
        <f>Planning!Y40</f>
      </c>
      <c r="M304" s="95">
        <f>IF(Planning!AF40=0,0,IFERROR($AD40*AL$22,0))</f>
      </c>
      <c r="N304" s="171">
        <f>IF(Planning!AF40=0,0,IFERROR($AD40*AL$22*K304,0))</f>
      </c>
      <c r="O304" s="96">
        <f>IF(ISTEXT(Planning!Y40),0,AL40)</f>
      </c>
      <c r="P304" s="94">
        <f>Planning!AF40</f>
      </c>
      <c r="Q304" s="121">
        <f>Progress!Z40</f>
      </c>
      <c r="R304" s="95">
        <f>IF(Q304=0,0,IF(ISNUMBER(Q304),IF(S304&gt;=$G$21,$F$21,"Q29"),Q304))</f>
      </c>
      <c r="S304" s="122">
        <f>Progress!AA40</f>
      </c>
      <c r="T304" s="97"/>
      <c r="U304" s="96">
        <f>V304/$N$419</f>
      </c>
      <c r="V304" s="176">
        <f>IF(L304&lt;$E$20,0,IF(ISTEXT(L304),0,IF(AND(G304+1&gt;=$E$19+1,L304&gt;0),IF(ISNUMBER(Q304),Q304*$AD40*AL$22*K304,$AD40*AL$22*K304),0)))</f>
      </c>
      <c r="W304" s="95">
        <f>IF(AND(L304&gt;0,S304&gt;0),IF(ISNUMBER(Q304),Q304*$AD40*AL$22*K304,$AD40*AL$22*K304),0)</f>
      </c>
      <c r="X304" s="17"/>
      <c r="Y304" s="11"/>
      <c r="Z304" s="11"/>
      <c r="AA304" s="3"/>
      <c r="AB304" s="3"/>
      <c r="AC304" s="3"/>
      <c r="AD304" s="3"/>
      <c r="AE304" s="4"/>
      <c r="AF304" s="8"/>
      <c r="AG304" s="1"/>
      <c r="AH304" s="6"/>
      <c r="AI304" s="6"/>
      <c r="AJ304" s="6"/>
      <c r="AK304" s="6"/>
      <c r="AL304" s="6"/>
      <c r="AM304" s="6"/>
      <c r="AN304" s="6"/>
      <c r="AO304" s="1"/>
      <c r="AP304" s="9"/>
      <c r="AQ304" s="2"/>
      <c r="AR304" s="3"/>
      <c r="AS304" s="10"/>
      <c r="AT304" s="1"/>
      <c r="AU304" s="1"/>
      <c r="AV304" s="1"/>
      <c r="AW304" s="1"/>
      <c r="AX304" s="1"/>
      <c r="AY304" s="1"/>
      <c r="AZ304" s="1"/>
      <c r="BA304" s="1"/>
      <c r="BB304" s="1"/>
      <c r="BC304" s="1"/>
      <c r="BD304" s="1"/>
      <c r="BE304" s="1"/>
      <c r="BF304" s="1"/>
      <c r="BG304" s="1"/>
      <c r="BH304" s="1"/>
    </row>
    <row x14ac:dyDescent="0.25" r="305" customHeight="1" ht="17.25">
      <c r="A305" s="1"/>
      <c r="B305" s="1"/>
      <c r="C305" s="1"/>
      <c r="D305" s="1"/>
      <c r="E305" s="2"/>
      <c r="F305" s="2"/>
      <c r="G305" s="90">
        <f>(S305&amp;RIGHT(R305,1))*1</f>
      </c>
      <c r="H305" s="1"/>
      <c r="I305" s="111"/>
      <c r="J305" s="126">
        <f>Planning!Q41</f>
      </c>
      <c r="K305" s="93">
        <f>VLOOKUP(J305,AA$23:AE$88,5,FALSE)</f>
      </c>
      <c r="L305" s="122">
        <f>Planning!Y41</f>
      </c>
      <c r="M305" s="95">
        <f>IF(Planning!AF41=0,0,IFERROR($AD41*AL$22,0))</f>
      </c>
      <c r="N305" s="171">
        <f>IF(Planning!AF41=0,0,IFERROR($AD41*AL$22*K305,0))</f>
      </c>
      <c r="O305" s="96">
        <f>IF(ISTEXT(Planning!Y41),0,AL41)</f>
      </c>
      <c r="P305" s="94">
        <f>Planning!AF41</f>
      </c>
      <c r="Q305" s="121">
        <f>Progress!Z41</f>
      </c>
      <c r="R305" s="95">
        <f>IF(Q305=0,0,IF(ISNUMBER(Q305),IF(S305&gt;=$G$21,$F$21,"Q30"),Q305))</f>
      </c>
      <c r="S305" s="122">
        <f>Progress!AA41</f>
      </c>
      <c r="T305" s="97"/>
      <c r="U305" s="96">
        <f>V305/$N$419</f>
      </c>
      <c r="V305" s="176">
        <f>IF(L305&lt;$E$20,0,IF(ISTEXT(L305),0,IF(AND(G305+1&gt;=$E$19+1,L305&gt;0),IF(ISNUMBER(Q305),Q305*$AD41*AL$22*K305,$AD41*AL$22*K305),0)))</f>
      </c>
      <c r="W305" s="95">
        <f>IF(AND(L305&gt;0,S305&gt;0),IF(ISNUMBER(Q305),Q305*$AD41*AL$22*K305,$AD41*AL$22*K305),0)</f>
      </c>
      <c r="X305" s="17"/>
      <c r="Y305" s="11"/>
      <c r="Z305" s="11"/>
      <c r="AA305" s="3"/>
      <c r="AB305" s="3"/>
      <c r="AC305" s="3"/>
      <c r="AD305" s="3"/>
      <c r="AE305" s="4"/>
      <c r="AF305" s="8"/>
      <c r="AG305" s="1"/>
      <c r="AH305" s="6"/>
      <c r="AI305" s="6"/>
      <c r="AJ305" s="6"/>
      <c r="AK305" s="6"/>
      <c r="AL305" s="6"/>
      <c r="AM305" s="6"/>
      <c r="AN305" s="6"/>
      <c r="AO305" s="1"/>
      <c r="AP305" s="9"/>
      <c r="AQ305" s="2"/>
      <c r="AR305" s="3"/>
      <c r="AS305" s="10"/>
      <c r="AT305" s="1"/>
      <c r="AU305" s="1"/>
      <c r="AV305" s="1"/>
      <c r="AW305" s="1"/>
      <c r="AX305" s="1"/>
      <c r="AY305" s="1"/>
      <c r="AZ305" s="1"/>
      <c r="BA305" s="1"/>
      <c r="BB305" s="1"/>
      <c r="BC305" s="1"/>
      <c r="BD305" s="1"/>
      <c r="BE305" s="1"/>
      <c r="BF305" s="1"/>
      <c r="BG305" s="1"/>
      <c r="BH305" s="1"/>
    </row>
    <row x14ac:dyDescent="0.25" r="306" customHeight="1" ht="17.25">
      <c r="A306" s="1"/>
      <c r="B306" s="1"/>
      <c r="C306" s="1"/>
      <c r="D306" s="1"/>
      <c r="E306" s="2"/>
      <c r="F306" s="2"/>
      <c r="G306" s="90">
        <f>(S306&amp;RIGHT(R306,1))*1</f>
      </c>
      <c r="H306" s="1"/>
      <c r="I306" s="111"/>
      <c r="J306" s="126">
        <f>Planning!Q42</f>
      </c>
      <c r="K306" s="93">
        <f>VLOOKUP(J306,AA$23:AE$88,5,FALSE)</f>
      </c>
      <c r="L306" s="122">
        <f>Planning!Y42</f>
      </c>
      <c r="M306" s="95">
        <f>IF(Planning!AF42=0,0,IFERROR($AD42*AL$22,0))</f>
      </c>
      <c r="N306" s="171">
        <f>IF(Planning!AF42=0,0,IFERROR($AD42*AL$22*K306,0))</f>
      </c>
      <c r="O306" s="96">
        <f>IF(ISTEXT(Planning!Y42),0,AL42)</f>
      </c>
      <c r="P306" s="94">
        <f>Planning!AF42</f>
      </c>
      <c r="Q306" s="121">
        <f>Progress!Z42</f>
      </c>
      <c r="R306" s="95">
        <f>IF(Q306=0,0,IF(ISNUMBER(Q306),IF(S306&gt;=$G$21,$F$21,"Q31"),Q306))</f>
      </c>
      <c r="S306" s="122">
        <f>Progress!AA42</f>
      </c>
      <c r="T306" s="97"/>
      <c r="U306" s="96">
        <f>V306/$N$419</f>
      </c>
      <c r="V306" s="176">
        <f>IF(L306&lt;$E$20,0,IF(ISTEXT(L306),0,IF(AND(G306+1&gt;=$E$19+1,L306&gt;0),IF(ISNUMBER(Q306),Q306*$AD42*AL$22*K306,$AD42*AL$22*K306),0)))</f>
      </c>
      <c r="W306" s="95">
        <f>IF(AND(L306&gt;0,S306&gt;0),IF(ISNUMBER(Q306),Q306*$AD42*AL$22*K306,$AD42*AL$22*K306),0)</f>
      </c>
      <c r="X306" s="17"/>
      <c r="Y306" s="11"/>
      <c r="Z306" s="11"/>
      <c r="AA306" s="3"/>
      <c r="AB306" s="3"/>
      <c r="AC306" s="3"/>
      <c r="AD306" s="3"/>
      <c r="AE306" s="4"/>
      <c r="AF306" s="8"/>
      <c r="AG306" s="1"/>
      <c r="AH306" s="6"/>
      <c r="AI306" s="6"/>
      <c r="AJ306" s="6"/>
      <c r="AK306" s="6"/>
      <c r="AL306" s="6"/>
      <c r="AM306" s="6"/>
      <c r="AN306" s="6"/>
      <c r="AO306" s="1"/>
      <c r="AP306" s="9"/>
      <c r="AQ306" s="2"/>
      <c r="AR306" s="3"/>
      <c r="AS306" s="10"/>
      <c r="AT306" s="1"/>
      <c r="AU306" s="1"/>
      <c r="AV306" s="1"/>
      <c r="AW306" s="1"/>
      <c r="AX306" s="1"/>
      <c r="AY306" s="1"/>
      <c r="AZ306" s="1"/>
      <c r="BA306" s="1"/>
      <c r="BB306" s="1"/>
      <c r="BC306" s="1"/>
      <c r="BD306" s="1"/>
      <c r="BE306" s="1"/>
      <c r="BF306" s="1"/>
      <c r="BG306" s="1"/>
      <c r="BH306" s="1"/>
    </row>
    <row x14ac:dyDescent="0.25" r="307" customHeight="1" ht="17.25">
      <c r="A307" s="1"/>
      <c r="B307" s="1"/>
      <c r="C307" s="1"/>
      <c r="D307" s="1"/>
      <c r="E307" s="2"/>
      <c r="F307" s="2"/>
      <c r="G307" s="90">
        <f>(S307&amp;RIGHT(R307,1))*1</f>
      </c>
      <c r="H307" s="1"/>
      <c r="I307" s="111"/>
      <c r="J307" s="126">
        <f>Planning!Q43</f>
      </c>
      <c r="K307" s="93">
        <f>VLOOKUP(J307,AA$23:AE$88,5,FALSE)</f>
      </c>
      <c r="L307" s="122">
        <f>Planning!Y43</f>
      </c>
      <c r="M307" s="95">
        <f>IF(Planning!AF43=0,0,IFERROR($AD43*AL$22,0))</f>
      </c>
      <c r="N307" s="171">
        <f>IF(Planning!AF43=0,0,IFERROR($AD43*AL$22*K307,0))</f>
      </c>
      <c r="O307" s="96">
        <f>IF(ISTEXT(Planning!Y43),0,AL43)</f>
      </c>
      <c r="P307" s="94">
        <f>Planning!AF43</f>
      </c>
      <c r="Q307" s="121">
        <f>Progress!Z43</f>
      </c>
      <c r="R307" s="95">
        <f>IF(Q307=0,0,IF(ISNUMBER(Q307),IF(S307&gt;=$G$21,$F$21,"Q32"),Q307))</f>
      </c>
      <c r="S307" s="122">
        <f>Progress!AA43</f>
      </c>
      <c r="T307" s="97"/>
      <c r="U307" s="96">
        <f>V307/$N$419</f>
      </c>
      <c r="V307" s="176">
        <f>IF(L307&lt;$E$20,0,IF(ISTEXT(L307),0,IF(AND(G307+1&gt;=$E$19+1,L307&gt;0),IF(ISNUMBER(Q307),Q307*$AD43*AL$22*K307,$AD43*AL$22*K307),0)))</f>
      </c>
      <c r="W307" s="95">
        <f>IF(AND(L307&gt;0,S307&gt;0),IF(ISNUMBER(Q307),Q307*$AD43*AL$22*K307,$AD43*AL$22*K307),0)</f>
      </c>
      <c r="X307" s="17"/>
      <c r="Y307" s="11"/>
      <c r="Z307" s="11"/>
      <c r="AA307" s="3"/>
      <c r="AB307" s="3"/>
      <c r="AC307" s="3"/>
      <c r="AD307" s="3"/>
      <c r="AE307" s="4"/>
      <c r="AF307" s="8"/>
      <c r="AG307" s="1"/>
      <c r="AH307" s="6"/>
      <c r="AI307" s="6"/>
      <c r="AJ307" s="6"/>
      <c r="AK307" s="6"/>
      <c r="AL307" s="6"/>
      <c r="AM307" s="6"/>
      <c r="AN307" s="6"/>
      <c r="AO307" s="1"/>
      <c r="AP307" s="9"/>
      <c r="AQ307" s="2"/>
      <c r="AR307" s="3"/>
      <c r="AS307" s="10"/>
      <c r="AT307" s="1"/>
      <c r="AU307" s="1"/>
      <c r="AV307" s="1"/>
      <c r="AW307" s="1"/>
      <c r="AX307" s="1"/>
      <c r="AY307" s="1"/>
      <c r="AZ307" s="1"/>
      <c r="BA307" s="1"/>
      <c r="BB307" s="1"/>
      <c r="BC307" s="1"/>
      <c r="BD307" s="1"/>
      <c r="BE307" s="1"/>
      <c r="BF307" s="1"/>
      <c r="BG307" s="1"/>
      <c r="BH307" s="1"/>
    </row>
    <row x14ac:dyDescent="0.25" r="308" customHeight="1" ht="17.25">
      <c r="A308" s="1"/>
      <c r="B308" s="1"/>
      <c r="C308" s="1"/>
      <c r="D308" s="1"/>
      <c r="E308" s="2"/>
      <c r="F308" s="2"/>
      <c r="G308" s="90">
        <f>(S308&amp;RIGHT(R308,1))*1</f>
      </c>
      <c r="H308" s="1"/>
      <c r="I308" s="111"/>
      <c r="J308" s="126">
        <f>Planning!Q44</f>
      </c>
      <c r="K308" s="93">
        <f>VLOOKUP(J308,AA$23:AE$88,5,FALSE)</f>
      </c>
      <c r="L308" s="122">
        <f>Planning!Y44</f>
      </c>
      <c r="M308" s="95">
        <f>IF(Planning!AF44=0,0,IFERROR($AD44*AL$22,0))</f>
      </c>
      <c r="N308" s="171">
        <f>IF(Planning!AF44=0,0,IFERROR($AD44*AL$22*K308,0))</f>
      </c>
      <c r="O308" s="96">
        <f>IF(ISTEXT(Planning!Y44),0,AL44)</f>
      </c>
      <c r="P308" s="94">
        <f>Planning!AF44</f>
      </c>
      <c r="Q308" s="121">
        <f>Progress!Z44</f>
      </c>
      <c r="R308" s="95">
        <f>IF(Q308=0,0,IF(ISNUMBER(Q308),IF(S308&gt;=$G$21,$F$21,"Q33"),Q308))</f>
      </c>
      <c r="S308" s="122">
        <f>Progress!AA44</f>
      </c>
      <c r="T308" s="97"/>
      <c r="U308" s="96">
        <f>V308/$N$419</f>
      </c>
      <c r="V308" s="176">
        <f>IF(L308&lt;$E$20,0,IF(ISTEXT(L308),0,IF(AND(G308+1&gt;=$E$19+1,L308&gt;0),IF(ISNUMBER(Q308),Q308*$AD44*AL$22*K308,$AD44*AL$22*K308),0)))</f>
      </c>
      <c r="W308" s="95">
        <f>IF(AND(L308&gt;0,S308&gt;0),IF(ISNUMBER(Q308),Q308*$AD44*AL$22*K308,$AD44*AL$22*K308),0)</f>
      </c>
      <c r="X308" s="17"/>
      <c r="Y308" s="11"/>
      <c r="Z308" s="11"/>
      <c r="AA308" s="3"/>
      <c r="AB308" s="3"/>
      <c r="AC308" s="3"/>
      <c r="AD308" s="3"/>
      <c r="AE308" s="4"/>
      <c r="AF308" s="8"/>
      <c r="AG308" s="1"/>
      <c r="AH308" s="6"/>
      <c r="AI308" s="6"/>
      <c r="AJ308" s="6"/>
      <c r="AK308" s="6"/>
      <c r="AL308" s="6"/>
      <c r="AM308" s="6"/>
      <c r="AN308" s="6"/>
      <c r="AO308" s="1"/>
      <c r="AP308" s="9"/>
      <c r="AQ308" s="2"/>
      <c r="AR308" s="3"/>
      <c r="AS308" s="10"/>
      <c r="AT308" s="1"/>
      <c r="AU308" s="1"/>
      <c r="AV308" s="1"/>
      <c r="AW308" s="1"/>
      <c r="AX308" s="1"/>
      <c r="AY308" s="1"/>
      <c r="AZ308" s="1"/>
      <c r="BA308" s="1"/>
      <c r="BB308" s="1"/>
      <c r="BC308" s="1"/>
      <c r="BD308" s="1"/>
      <c r="BE308" s="1"/>
      <c r="BF308" s="1"/>
      <c r="BG308" s="1"/>
      <c r="BH308" s="1"/>
    </row>
    <row x14ac:dyDescent="0.25" r="309" customHeight="1" ht="17.25">
      <c r="A309" s="1"/>
      <c r="B309" s="1"/>
      <c r="C309" s="1"/>
      <c r="D309" s="1"/>
      <c r="E309" s="2"/>
      <c r="F309" s="2"/>
      <c r="G309" s="90">
        <f>(S309&amp;RIGHT(R309,1))*1</f>
      </c>
      <c r="H309" s="1"/>
      <c r="I309" s="111"/>
      <c r="J309" s="126">
        <f>Planning!Q45</f>
      </c>
      <c r="K309" s="93">
        <f>VLOOKUP(J309,AA$23:AE$88,5,FALSE)</f>
      </c>
      <c r="L309" s="122">
        <f>Planning!Y45</f>
      </c>
      <c r="M309" s="95">
        <f>IF(Planning!AF45=0,0,IFERROR($AD45*AL$22,0))</f>
      </c>
      <c r="N309" s="171">
        <f>IF(Planning!AF45=0,0,IFERROR($AD45*AL$22*K309,0))</f>
      </c>
      <c r="O309" s="96">
        <f>IF(ISTEXT(Planning!Y45),0,AL45)</f>
      </c>
      <c r="P309" s="94">
        <f>Planning!AF45</f>
      </c>
      <c r="Q309" s="121">
        <f>Progress!Z45</f>
      </c>
      <c r="R309" s="95">
        <f>IF(Q309=0,0,IF(ISNUMBER(Q309),IF(S309&gt;=$G$21,$F$21,"Q34"),Q309))</f>
      </c>
      <c r="S309" s="122">
        <f>Progress!AA45</f>
      </c>
      <c r="T309" s="97"/>
      <c r="U309" s="96">
        <f>V309/$N$419</f>
      </c>
      <c r="V309" s="176">
        <f>IF(L309&lt;$E$20,0,IF(ISTEXT(L309),0,IF(AND(G309+1&gt;=$E$19+1,L309&gt;0),IF(ISNUMBER(Q309),Q309*$AD45*AL$22*K309,$AD45*AL$22*K309),0)))</f>
      </c>
      <c r="W309" s="95">
        <f>IF(AND(L309&gt;0,S309&gt;0),IF(ISNUMBER(Q309),Q309*$AD45*AL$22*K309,$AD45*AL$22*K309),0)</f>
      </c>
      <c r="X309" s="17"/>
      <c r="Y309" s="11"/>
      <c r="Z309" s="11"/>
      <c r="AA309" s="3"/>
      <c r="AB309" s="3"/>
      <c r="AC309" s="3"/>
      <c r="AD309" s="3"/>
      <c r="AE309" s="4"/>
      <c r="AF309" s="8"/>
      <c r="AG309" s="1"/>
      <c r="AH309" s="6"/>
      <c r="AI309" s="6"/>
      <c r="AJ309" s="6"/>
      <c r="AK309" s="6"/>
      <c r="AL309" s="6"/>
      <c r="AM309" s="6"/>
      <c r="AN309" s="6"/>
      <c r="AO309" s="1"/>
      <c r="AP309" s="9"/>
      <c r="AQ309" s="2"/>
      <c r="AR309" s="3"/>
      <c r="AS309" s="10"/>
      <c r="AT309" s="1"/>
      <c r="AU309" s="1"/>
      <c r="AV309" s="1"/>
      <c r="AW309" s="1"/>
      <c r="AX309" s="1"/>
      <c r="AY309" s="1"/>
      <c r="AZ309" s="1"/>
      <c r="BA309" s="1"/>
      <c r="BB309" s="1"/>
      <c r="BC309" s="1"/>
      <c r="BD309" s="1"/>
      <c r="BE309" s="1"/>
      <c r="BF309" s="1"/>
      <c r="BG309" s="1"/>
      <c r="BH309" s="1"/>
    </row>
    <row x14ac:dyDescent="0.25" r="310" customHeight="1" ht="17.25">
      <c r="A310" s="1"/>
      <c r="B310" s="1"/>
      <c r="C310" s="1"/>
      <c r="D310" s="1"/>
      <c r="E310" s="2"/>
      <c r="F310" s="2"/>
      <c r="G310" s="90">
        <f>(S310&amp;RIGHT(R310,1))*1</f>
      </c>
      <c r="H310" s="1"/>
      <c r="I310" s="111"/>
      <c r="J310" s="126">
        <f>Planning!Q46</f>
      </c>
      <c r="K310" s="93">
        <f>VLOOKUP(J310,AA$23:AE$88,5,FALSE)</f>
      </c>
      <c r="L310" s="122">
        <f>Planning!Y46</f>
      </c>
      <c r="M310" s="95">
        <f>IF(Planning!AF46=0,0,IFERROR($AD46*AL$22,0))</f>
      </c>
      <c r="N310" s="171">
        <f>IF(Planning!AF46=0,0,IFERROR($AD46*AL$22*K310,0))</f>
      </c>
      <c r="O310" s="96">
        <f>IF(ISTEXT(Planning!Y46),0,AL46)</f>
      </c>
      <c r="P310" s="94">
        <f>Planning!AF46</f>
      </c>
      <c r="Q310" s="121">
        <f>Progress!Z46</f>
      </c>
      <c r="R310" s="95">
        <f>IF(Q310=0,0,IF(ISNUMBER(Q310),IF(S310&gt;=$G$21,$F$21,"Q35"),Q310))</f>
      </c>
      <c r="S310" s="122">
        <f>Progress!AA46</f>
      </c>
      <c r="T310" s="97"/>
      <c r="U310" s="96">
        <f>V310/$N$419</f>
      </c>
      <c r="V310" s="176">
        <f>IF(L310&lt;$E$20,0,IF(ISTEXT(L310),0,IF(AND(G310+1&gt;=$E$19+1,L310&gt;0),IF(ISNUMBER(Q310),Q310*$AD46*AL$22*K310,$AD46*AL$22*K310),0)))</f>
      </c>
      <c r="W310" s="95">
        <f>IF(AND(L310&gt;0,S310&gt;0),IF(ISNUMBER(Q310),Q310*$AD46*AL$22*K310,$AD46*AL$22*K310),0)</f>
      </c>
      <c r="X310" s="17"/>
      <c r="Y310" s="11"/>
      <c r="Z310" s="11"/>
      <c r="AA310" s="3"/>
      <c r="AB310" s="3"/>
      <c r="AC310" s="3"/>
      <c r="AD310" s="3"/>
      <c r="AE310" s="4"/>
      <c r="AF310" s="8"/>
      <c r="AG310" s="1"/>
      <c r="AH310" s="6"/>
      <c r="AI310" s="6"/>
      <c r="AJ310" s="6"/>
      <c r="AK310" s="6"/>
      <c r="AL310" s="6"/>
      <c r="AM310" s="6"/>
      <c r="AN310" s="6"/>
      <c r="AO310" s="1"/>
      <c r="AP310" s="9"/>
      <c r="AQ310" s="2"/>
      <c r="AR310" s="3"/>
      <c r="AS310" s="10"/>
      <c r="AT310" s="1"/>
      <c r="AU310" s="1"/>
      <c r="AV310" s="1"/>
      <c r="AW310" s="1"/>
      <c r="AX310" s="1"/>
      <c r="AY310" s="1"/>
      <c r="AZ310" s="1"/>
      <c r="BA310" s="1"/>
      <c r="BB310" s="1"/>
      <c r="BC310" s="1"/>
      <c r="BD310" s="1"/>
      <c r="BE310" s="1"/>
      <c r="BF310" s="1"/>
      <c r="BG310" s="1"/>
      <c r="BH310" s="1"/>
    </row>
    <row x14ac:dyDescent="0.25" r="311" customHeight="1" ht="17.25">
      <c r="A311" s="1"/>
      <c r="B311" s="1"/>
      <c r="C311" s="1"/>
      <c r="D311" s="1"/>
      <c r="E311" s="2"/>
      <c r="F311" s="2"/>
      <c r="G311" s="90">
        <f>(S311&amp;RIGHT(R311,1))*1</f>
      </c>
      <c r="H311" s="1"/>
      <c r="I311" s="111"/>
      <c r="J311" s="126">
        <f>Planning!Q47</f>
      </c>
      <c r="K311" s="93">
        <f>VLOOKUP(J311,AA$23:AE$88,5,FALSE)</f>
      </c>
      <c r="L311" s="122">
        <f>Planning!Y47</f>
      </c>
      <c r="M311" s="95">
        <f>IF(Planning!AF47=0,0,IFERROR($AD47*AL$22,0))</f>
      </c>
      <c r="N311" s="171">
        <f>IF(Planning!AF47=0,0,IFERROR($AD47*AL$22*K311,0))</f>
      </c>
      <c r="O311" s="96">
        <f>IF(ISTEXT(Planning!Y47),0,AL47)</f>
      </c>
      <c r="P311" s="94">
        <f>Planning!AF47</f>
      </c>
      <c r="Q311" s="121">
        <f>Progress!Z47</f>
      </c>
      <c r="R311" s="95">
        <f>IF(Q311=0,0,IF(ISNUMBER(Q311),IF(S311&gt;=$G$21,$F$21,"Q36"),Q311))</f>
      </c>
      <c r="S311" s="122">
        <f>Progress!AA47</f>
      </c>
      <c r="T311" s="97"/>
      <c r="U311" s="96">
        <f>V311/$N$419</f>
      </c>
      <c r="V311" s="176">
        <f>IF(L311&lt;$E$20,0,IF(ISTEXT(L311),0,IF(AND(G311+1&gt;=$E$19+1,L311&gt;0),IF(ISNUMBER(Q311),Q311*$AD47*AL$22*K311,$AD47*AL$22*K311),0)))</f>
      </c>
      <c r="W311" s="95">
        <f>IF(AND(L311&gt;0,S311&gt;0),IF(ISNUMBER(Q311),Q311*$AD47*AL$22*K311,$AD47*AL$22*K311),0)</f>
      </c>
      <c r="X311" s="17"/>
      <c r="Y311" s="11"/>
      <c r="Z311" s="11"/>
      <c r="AA311" s="3"/>
      <c r="AB311" s="3"/>
      <c r="AC311" s="3"/>
      <c r="AD311" s="3"/>
      <c r="AE311" s="4"/>
      <c r="AF311" s="8"/>
      <c r="AG311" s="1"/>
      <c r="AH311" s="6"/>
      <c r="AI311" s="6"/>
      <c r="AJ311" s="6"/>
      <c r="AK311" s="6"/>
      <c r="AL311" s="6"/>
      <c r="AM311" s="6"/>
      <c r="AN311" s="6"/>
      <c r="AO311" s="1"/>
      <c r="AP311" s="9"/>
      <c r="AQ311" s="2"/>
      <c r="AR311" s="3"/>
      <c r="AS311" s="10"/>
      <c r="AT311" s="1"/>
      <c r="AU311" s="1"/>
      <c r="AV311" s="1"/>
      <c r="AW311" s="1"/>
      <c r="AX311" s="1"/>
      <c r="AY311" s="1"/>
      <c r="AZ311" s="1"/>
      <c r="BA311" s="1"/>
      <c r="BB311" s="1"/>
      <c r="BC311" s="1"/>
      <c r="BD311" s="1"/>
      <c r="BE311" s="1"/>
      <c r="BF311" s="1"/>
      <c r="BG311" s="1"/>
      <c r="BH311" s="1"/>
    </row>
    <row x14ac:dyDescent="0.25" r="312" customHeight="1" ht="17.25">
      <c r="A312" s="1"/>
      <c r="B312" s="1"/>
      <c r="C312" s="1"/>
      <c r="D312" s="1"/>
      <c r="E312" s="2"/>
      <c r="F312" s="2"/>
      <c r="G312" s="90">
        <f>(S312&amp;RIGHT(R312,1))*1</f>
      </c>
      <c r="H312" s="1"/>
      <c r="I312" s="111"/>
      <c r="J312" s="126">
        <f>Planning!Q48</f>
      </c>
      <c r="K312" s="93">
        <f>VLOOKUP(J312,AA$23:AE$88,5,FALSE)</f>
      </c>
      <c r="L312" s="122">
        <f>Planning!Y48</f>
      </c>
      <c r="M312" s="95">
        <f>IF(Planning!AF48=0,0,IFERROR($AD48*AL$22,0))</f>
      </c>
      <c r="N312" s="171">
        <f>IF(Planning!AF48=0,0,IFERROR($AD48*AL$22*K312,0))</f>
      </c>
      <c r="O312" s="96">
        <f>IF(ISTEXT(Planning!Y48),0,AL48)</f>
      </c>
      <c r="P312" s="94">
        <f>Planning!AF48</f>
      </c>
      <c r="Q312" s="121">
        <f>Progress!Z48</f>
      </c>
      <c r="R312" s="95">
        <f>IF(Q312=0,0,IF(ISNUMBER(Q312),IF(S312&gt;=$G$21,$F$21,"Q37"),Q312))</f>
      </c>
      <c r="S312" s="122">
        <f>Progress!AA48</f>
      </c>
      <c r="T312" s="97"/>
      <c r="U312" s="96">
        <f>V312/$N$419</f>
      </c>
      <c r="V312" s="176">
        <f>IF(L312&lt;$E$20,0,IF(ISTEXT(L312),0,IF(AND(G312+1&gt;=$E$19+1,L312&gt;0),IF(ISNUMBER(Q312),Q312*$AD48*AL$22*K312,$AD48*AL$22*K312),0)))</f>
      </c>
      <c r="W312" s="95">
        <f>IF(AND(L312&gt;0,S312&gt;0),IF(ISNUMBER(Q312),Q312*$AD48*AL$22*K312,$AD48*AL$22*K312),0)</f>
      </c>
      <c r="X312" s="17"/>
      <c r="Y312" s="11"/>
      <c r="Z312" s="11"/>
      <c r="AA312" s="3"/>
      <c r="AB312" s="3"/>
      <c r="AC312" s="3"/>
      <c r="AD312" s="3"/>
      <c r="AE312" s="4"/>
      <c r="AF312" s="8"/>
      <c r="AG312" s="1"/>
      <c r="AH312" s="6"/>
      <c r="AI312" s="6"/>
      <c r="AJ312" s="6"/>
      <c r="AK312" s="6"/>
      <c r="AL312" s="6"/>
      <c r="AM312" s="6"/>
      <c r="AN312" s="6"/>
      <c r="AO312" s="1"/>
      <c r="AP312" s="9"/>
      <c r="AQ312" s="2"/>
      <c r="AR312" s="3"/>
      <c r="AS312" s="10"/>
      <c r="AT312" s="1"/>
      <c r="AU312" s="1"/>
      <c r="AV312" s="1"/>
      <c r="AW312" s="1"/>
      <c r="AX312" s="1"/>
      <c r="AY312" s="1"/>
      <c r="AZ312" s="1"/>
      <c r="BA312" s="1"/>
      <c r="BB312" s="1"/>
      <c r="BC312" s="1"/>
      <c r="BD312" s="1"/>
      <c r="BE312" s="1"/>
      <c r="BF312" s="1"/>
      <c r="BG312" s="1"/>
      <c r="BH312" s="1"/>
    </row>
    <row x14ac:dyDescent="0.25" r="313" customHeight="1" ht="17.25">
      <c r="A313" s="1"/>
      <c r="B313" s="1"/>
      <c r="C313" s="1"/>
      <c r="D313" s="1"/>
      <c r="E313" s="2"/>
      <c r="F313" s="2"/>
      <c r="G313" s="90">
        <f>(S313&amp;RIGHT(R313,1))*1</f>
      </c>
      <c r="H313" s="1"/>
      <c r="I313" s="111"/>
      <c r="J313" s="126">
        <f>Planning!Q49</f>
      </c>
      <c r="K313" s="93">
        <f>VLOOKUP(J313,AA$23:AE$88,5,FALSE)</f>
      </c>
      <c r="L313" s="122">
        <f>Planning!Y49</f>
      </c>
      <c r="M313" s="95">
        <f>IF(Planning!AF49=0,0,IFERROR($AD49*AL$22,0))</f>
      </c>
      <c r="N313" s="171">
        <f>IF(Planning!AF49=0,0,IFERROR($AD49*AL$22*K313,0))</f>
      </c>
      <c r="O313" s="96">
        <f>IF(ISTEXT(Planning!Y49),0,AL49)</f>
      </c>
      <c r="P313" s="94">
        <f>Planning!AF49</f>
      </c>
      <c r="Q313" s="121">
        <f>Progress!Z49</f>
      </c>
      <c r="R313" s="95">
        <f>IF(Q313=0,0,IF(ISNUMBER(Q313),IF(S313&gt;=$G$21,$F$21,"Q38"),Q313))</f>
      </c>
      <c r="S313" s="122">
        <f>Progress!AA49</f>
      </c>
      <c r="T313" s="97"/>
      <c r="U313" s="96">
        <f>V313/$N$419</f>
      </c>
      <c r="V313" s="176">
        <f>IF(L313&lt;$E$20,0,IF(ISTEXT(L313),0,IF(AND(G313+1&gt;=$E$19+1,L313&gt;0),IF(ISNUMBER(Q313),Q313*$AD49*AL$22*K313,$AD49*AL$22*K313),0)))</f>
      </c>
      <c r="W313" s="95">
        <f>IF(AND(L313&gt;0,S313&gt;0),IF(ISNUMBER(Q313),Q313*$AD49*AL$22*K313,$AD49*AL$22*K313),0)</f>
      </c>
      <c r="X313" s="17"/>
      <c r="Y313" s="11"/>
      <c r="Z313" s="11"/>
      <c r="AA313" s="3"/>
      <c r="AB313" s="3"/>
      <c r="AC313" s="3"/>
      <c r="AD313" s="3"/>
      <c r="AE313" s="4"/>
      <c r="AF313" s="8"/>
      <c r="AG313" s="1"/>
      <c r="AH313" s="6"/>
      <c r="AI313" s="6"/>
      <c r="AJ313" s="6"/>
      <c r="AK313" s="6"/>
      <c r="AL313" s="6"/>
      <c r="AM313" s="6"/>
      <c r="AN313" s="6"/>
      <c r="AO313" s="1"/>
      <c r="AP313" s="9"/>
      <c r="AQ313" s="2"/>
      <c r="AR313" s="3"/>
      <c r="AS313" s="10"/>
      <c r="AT313" s="1"/>
      <c r="AU313" s="1"/>
      <c r="AV313" s="1"/>
      <c r="AW313" s="1"/>
      <c r="AX313" s="1"/>
      <c r="AY313" s="1"/>
      <c r="AZ313" s="1"/>
      <c r="BA313" s="1"/>
      <c r="BB313" s="1"/>
      <c r="BC313" s="1"/>
      <c r="BD313" s="1"/>
      <c r="BE313" s="1"/>
      <c r="BF313" s="1"/>
      <c r="BG313" s="1"/>
      <c r="BH313" s="1"/>
    </row>
    <row x14ac:dyDescent="0.25" r="314" customHeight="1" ht="17.25">
      <c r="A314" s="1"/>
      <c r="B314" s="1"/>
      <c r="C314" s="1"/>
      <c r="D314" s="1"/>
      <c r="E314" s="2"/>
      <c r="F314" s="2"/>
      <c r="G314" s="90">
        <f>(S314&amp;RIGHT(R314,1))*1</f>
      </c>
      <c r="H314" s="1"/>
      <c r="I314" s="111"/>
      <c r="J314" s="126">
        <f>Planning!Q50</f>
      </c>
      <c r="K314" s="93">
        <f>VLOOKUP(J314,AA$23:AE$88,5,FALSE)</f>
      </c>
      <c r="L314" s="122">
        <f>Planning!Y50</f>
      </c>
      <c r="M314" s="95">
        <f>IF(Planning!AF50=0,0,IFERROR($AD50*AL$22,0))</f>
      </c>
      <c r="N314" s="171">
        <f>IF(Planning!AF50=0,0,IFERROR($AD50*AL$22*K314,0))</f>
      </c>
      <c r="O314" s="96">
        <f>IF(ISTEXT(Planning!Y50),0,AL50)</f>
      </c>
      <c r="P314" s="94">
        <f>Planning!AF50</f>
      </c>
      <c r="Q314" s="121">
        <f>Progress!Z50</f>
      </c>
      <c r="R314" s="95">
        <f>IF(Q314=0,0,IF(ISNUMBER(Q314),IF(S314&gt;=$G$21,$F$21,"Q39"),Q314))</f>
      </c>
      <c r="S314" s="122">
        <f>Progress!AA50</f>
      </c>
      <c r="T314" s="97"/>
      <c r="U314" s="96">
        <f>V314/$N$419</f>
      </c>
      <c r="V314" s="176">
        <f>IF(L314&lt;$E$20,0,IF(ISTEXT(L314),0,IF(AND(G314+1&gt;=$E$19+1,L314&gt;0),IF(ISNUMBER(Q314),Q314*$AD50*AL$22*K314,$AD50*AL$22*K314),0)))</f>
      </c>
      <c r="W314" s="95">
        <f>IF(AND(L314&gt;0,S314&gt;0),IF(ISNUMBER(Q314),Q314*$AD50*AL$22*K314,$AD50*AL$22*K314),0)</f>
      </c>
      <c r="X314" s="17"/>
      <c r="Y314" s="11"/>
      <c r="Z314" s="11"/>
      <c r="AA314" s="3"/>
      <c r="AB314" s="3"/>
      <c r="AC314" s="3"/>
      <c r="AD314" s="3"/>
      <c r="AE314" s="4"/>
      <c r="AF314" s="8"/>
      <c r="AG314" s="1"/>
      <c r="AH314" s="6"/>
      <c r="AI314" s="6"/>
      <c r="AJ314" s="6"/>
      <c r="AK314" s="6"/>
      <c r="AL314" s="6"/>
      <c r="AM314" s="6"/>
      <c r="AN314" s="6"/>
      <c r="AO314" s="1"/>
      <c r="AP314" s="9"/>
      <c r="AQ314" s="2"/>
      <c r="AR314" s="3"/>
      <c r="AS314" s="10"/>
      <c r="AT314" s="1"/>
      <c r="AU314" s="1"/>
      <c r="AV314" s="1"/>
      <c r="AW314" s="1"/>
      <c r="AX314" s="1"/>
      <c r="AY314" s="1"/>
      <c r="AZ314" s="1"/>
      <c r="BA314" s="1"/>
      <c r="BB314" s="1"/>
      <c r="BC314" s="1"/>
      <c r="BD314" s="1"/>
      <c r="BE314" s="1"/>
      <c r="BF314" s="1"/>
      <c r="BG314" s="1"/>
      <c r="BH314" s="1"/>
    </row>
    <row x14ac:dyDescent="0.25" r="315" customHeight="1" ht="17.25">
      <c r="A315" s="1"/>
      <c r="B315" s="1"/>
      <c r="C315" s="1"/>
      <c r="D315" s="1"/>
      <c r="E315" s="2"/>
      <c r="F315" s="2"/>
      <c r="G315" s="90">
        <f>(S315&amp;RIGHT(R315,1))*1</f>
      </c>
      <c r="H315" s="1"/>
      <c r="I315" s="111"/>
      <c r="J315" s="126">
        <f>Planning!Q51</f>
      </c>
      <c r="K315" s="93">
        <f>VLOOKUP(J315,AA$23:AE$88,5,FALSE)</f>
      </c>
      <c r="L315" s="122">
        <f>Planning!Y51</f>
      </c>
      <c r="M315" s="95">
        <f>IF(Planning!AF51=0,0,IFERROR($AD51*AL$22,0))</f>
      </c>
      <c r="N315" s="171">
        <f>IF(Planning!AF51=0,0,IFERROR($AD51*AL$22*K315,0))</f>
      </c>
      <c r="O315" s="96">
        <f>IF(ISTEXT(Planning!Y51),0,AL51)</f>
      </c>
      <c r="P315" s="94">
        <f>Planning!AF51</f>
      </c>
      <c r="Q315" s="121">
        <f>Progress!Z51</f>
      </c>
      <c r="R315" s="95">
        <f>IF(Q315=0,0,IF(ISNUMBER(Q315),IF(S315&gt;=$G$21,$F$21,"Q40"),Q315))</f>
      </c>
      <c r="S315" s="122">
        <f>Progress!AA51</f>
      </c>
      <c r="T315" s="97"/>
      <c r="U315" s="96">
        <f>V315/$N$419</f>
      </c>
      <c r="V315" s="176">
        <f>IF(L315&lt;$E$20,0,IF(ISTEXT(L315),0,IF(AND(G315+1&gt;=$E$19+1,L315&gt;0),IF(ISNUMBER(Q315),Q315*$AD51*AL$22*K315,$AD51*AL$22*K315),0)))</f>
      </c>
      <c r="W315" s="95">
        <f>IF(AND(L315&gt;0,S315&gt;0),IF(ISNUMBER(Q315),Q315*$AD51*AL$22*K315,$AD51*AL$22*K315),0)</f>
      </c>
      <c r="X315" s="17"/>
      <c r="Y315" s="11"/>
      <c r="Z315" s="11"/>
      <c r="AA315" s="3"/>
      <c r="AB315" s="3"/>
      <c r="AC315" s="3"/>
      <c r="AD315" s="3"/>
      <c r="AE315" s="4"/>
      <c r="AF315" s="8"/>
      <c r="AG315" s="1"/>
      <c r="AH315" s="6"/>
      <c r="AI315" s="6"/>
      <c r="AJ315" s="6"/>
      <c r="AK315" s="6"/>
      <c r="AL315" s="6"/>
      <c r="AM315" s="6"/>
      <c r="AN315" s="6"/>
      <c r="AO315" s="1"/>
      <c r="AP315" s="9"/>
      <c r="AQ315" s="2"/>
      <c r="AR315" s="3"/>
      <c r="AS315" s="10"/>
      <c r="AT315" s="1"/>
      <c r="AU315" s="1"/>
      <c r="AV315" s="1"/>
      <c r="AW315" s="1"/>
      <c r="AX315" s="1"/>
      <c r="AY315" s="1"/>
      <c r="AZ315" s="1"/>
      <c r="BA315" s="1"/>
      <c r="BB315" s="1"/>
      <c r="BC315" s="1"/>
      <c r="BD315" s="1"/>
      <c r="BE315" s="1"/>
      <c r="BF315" s="1"/>
      <c r="BG315" s="1"/>
      <c r="BH315" s="1"/>
    </row>
    <row x14ac:dyDescent="0.25" r="316" customHeight="1" ht="17.25">
      <c r="A316" s="1"/>
      <c r="B316" s="1"/>
      <c r="C316" s="1"/>
      <c r="D316" s="1"/>
      <c r="E316" s="2"/>
      <c r="F316" s="2"/>
      <c r="G316" s="90">
        <f>(S316&amp;RIGHT(R316,1))*1</f>
      </c>
      <c r="H316" s="1"/>
      <c r="I316" s="111"/>
      <c r="J316" s="126">
        <f>Planning!Q52</f>
      </c>
      <c r="K316" s="93">
        <f>VLOOKUP(J316,AA$23:AE$88,5,FALSE)</f>
      </c>
      <c r="L316" s="122">
        <f>Planning!Y52</f>
      </c>
      <c r="M316" s="95">
        <f>IF(Planning!AF52=0,0,IFERROR($AD52*AL$22,0))</f>
      </c>
      <c r="N316" s="171">
        <f>IF(Planning!AF52=0,0,IFERROR($AD52*AL$22*K316,0))</f>
      </c>
      <c r="O316" s="96">
        <f>IF(ISTEXT(Planning!Y52),0,AL52)</f>
      </c>
      <c r="P316" s="94">
        <f>Planning!AF52</f>
      </c>
      <c r="Q316" s="121">
        <f>Progress!Z52</f>
      </c>
      <c r="R316" s="95">
        <f>IF(Q316=0,0,IF(ISNUMBER(Q316),IF(S316&gt;=$G$21,$F$21,"Q41"),Q316))</f>
      </c>
      <c r="S316" s="122">
        <f>Progress!AA52</f>
      </c>
      <c r="T316" s="97"/>
      <c r="U316" s="96">
        <f>V316/$N$419</f>
      </c>
      <c r="V316" s="176">
        <f>IF(L316&lt;$E$20,0,IF(ISTEXT(L316),0,IF(AND(G316+1&gt;=$E$19+1,L316&gt;0),IF(ISNUMBER(Q316),Q316*$AD52*AL$22*K316,$AD52*AL$22*K316),0)))</f>
      </c>
      <c r="W316" s="95">
        <f>IF(AND(L316&gt;0,S316&gt;0),IF(ISNUMBER(Q316),Q316*$AD52*AL$22*K316,$AD52*AL$22*K316),0)</f>
      </c>
      <c r="X316" s="17"/>
      <c r="Y316" s="11"/>
      <c r="Z316" s="11"/>
      <c r="AA316" s="3"/>
      <c r="AB316" s="3"/>
      <c r="AC316" s="3"/>
      <c r="AD316" s="3"/>
      <c r="AE316" s="4"/>
      <c r="AF316" s="8"/>
      <c r="AG316" s="1"/>
      <c r="AH316" s="6"/>
      <c r="AI316" s="6"/>
      <c r="AJ316" s="6"/>
      <c r="AK316" s="6"/>
      <c r="AL316" s="6"/>
      <c r="AM316" s="6"/>
      <c r="AN316" s="6"/>
      <c r="AO316" s="1"/>
      <c r="AP316" s="9"/>
      <c r="AQ316" s="2"/>
      <c r="AR316" s="3"/>
      <c r="AS316" s="10"/>
      <c r="AT316" s="1"/>
      <c r="AU316" s="1"/>
      <c r="AV316" s="1"/>
      <c r="AW316" s="1"/>
      <c r="AX316" s="1"/>
      <c r="AY316" s="1"/>
      <c r="AZ316" s="1"/>
      <c r="BA316" s="1"/>
      <c r="BB316" s="1"/>
      <c r="BC316" s="1"/>
      <c r="BD316" s="1"/>
      <c r="BE316" s="1"/>
      <c r="BF316" s="1"/>
      <c r="BG316" s="1"/>
      <c r="BH316" s="1"/>
    </row>
    <row x14ac:dyDescent="0.25" r="317" customHeight="1" ht="17.25">
      <c r="A317" s="1"/>
      <c r="B317" s="1"/>
      <c r="C317" s="1"/>
      <c r="D317" s="1"/>
      <c r="E317" s="2"/>
      <c r="F317" s="2"/>
      <c r="G317" s="90">
        <f>(S317&amp;RIGHT(R317,1))*1</f>
      </c>
      <c r="H317" s="1"/>
      <c r="I317" s="111"/>
      <c r="J317" s="126">
        <f>Planning!Q53</f>
      </c>
      <c r="K317" s="93">
        <f>VLOOKUP(J317,AA$23:AE$88,5,FALSE)</f>
      </c>
      <c r="L317" s="122">
        <f>Planning!Y53</f>
      </c>
      <c r="M317" s="95">
        <f>IF(Planning!AF53=0,0,IFERROR($AD53*AL$22,0))</f>
      </c>
      <c r="N317" s="171">
        <f>IF(Planning!AF53=0,0,IFERROR($AD53*AL$22*K317,0))</f>
      </c>
      <c r="O317" s="96">
        <f>IF(ISTEXT(Planning!Y53),0,AL53)</f>
      </c>
      <c r="P317" s="94">
        <f>Planning!AF53</f>
      </c>
      <c r="Q317" s="121">
        <f>Progress!Z53</f>
      </c>
      <c r="R317" s="95">
        <f>IF(Q317=0,0,IF(ISNUMBER(Q317),IF(S317&gt;=$G$21,$F$21,"Q42"),Q317))</f>
      </c>
      <c r="S317" s="122">
        <f>Progress!AA53</f>
      </c>
      <c r="T317" s="97"/>
      <c r="U317" s="96">
        <f>V317/$N$419</f>
      </c>
      <c r="V317" s="176">
        <f>IF(L317&lt;$E$20,0,IF(ISTEXT(L317),0,IF(AND(G317+1&gt;=$E$19+1,L317&gt;0),IF(ISNUMBER(Q317),Q317*$AD53*AL$22*K317,$AD53*AL$22*K317),0)))</f>
      </c>
      <c r="W317" s="95">
        <f>IF(AND(L317&gt;0,S317&gt;0),IF(ISNUMBER(Q317),Q317*$AD53*AL$22*K317,$AD53*AL$22*K317),0)</f>
      </c>
      <c r="X317" s="17"/>
      <c r="Y317" s="11"/>
      <c r="Z317" s="11"/>
      <c r="AA317" s="3"/>
      <c r="AB317" s="3"/>
      <c r="AC317" s="3"/>
      <c r="AD317" s="3"/>
      <c r="AE317" s="4"/>
      <c r="AF317" s="8"/>
      <c r="AG317" s="1"/>
      <c r="AH317" s="6"/>
      <c r="AI317" s="6"/>
      <c r="AJ317" s="6"/>
      <c r="AK317" s="6"/>
      <c r="AL317" s="6"/>
      <c r="AM317" s="6"/>
      <c r="AN317" s="6"/>
      <c r="AO317" s="1"/>
      <c r="AP317" s="9"/>
      <c r="AQ317" s="2"/>
      <c r="AR317" s="3"/>
      <c r="AS317" s="10"/>
      <c r="AT317" s="1"/>
      <c r="AU317" s="1"/>
      <c r="AV317" s="1"/>
      <c r="AW317" s="1"/>
      <c r="AX317" s="1"/>
      <c r="AY317" s="1"/>
      <c r="AZ317" s="1"/>
      <c r="BA317" s="1"/>
      <c r="BB317" s="1"/>
      <c r="BC317" s="1"/>
      <c r="BD317" s="1"/>
      <c r="BE317" s="1"/>
      <c r="BF317" s="1"/>
      <c r="BG317" s="1"/>
      <c r="BH317" s="1"/>
    </row>
    <row x14ac:dyDescent="0.25" r="318" customHeight="1" ht="17.25">
      <c r="A318" s="1"/>
      <c r="B318" s="1"/>
      <c r="C318" s="1"/>
      <c r="D318" s="1"/>
      <c r="E318" s="2"/>
      <c r="F318" s="2"/>
      <c r="G318" s="90">
        <f>(S318&amp;RIGHT(R318,1))*1</f>
      </c>
      <c r="H318" s="1"/>
      <c r="I318" s="111"/>
      <c r="J318" s="126">
        <f>Planning!Q54</f>
      </c>
      <c r="K318" s="93">
        <f>VLOOKUP(J318,AA$23:AE$88,5,FALSE)</f>
      </c>
      <c r="L318" s="122">
        <f>Planning!Y54</f>
      </c>
      <c r="M318" s="95">
        <f>IF(Planning!AF54=0,0,IFERROR($AD54*AL$22,0))</f>
      </c>
      <c r="N318" s="171">
        <f>IF(Planning!AF54=0,0,IFERROR($AD54*AL$22*K318,0))</f>
      </c>
      <c r="O318" s="96">
        <f>IF(ISTEXT(Planning!Y54),0,AL54)</f>
      </c>
      <c r="P318" s="94">
        <f>Planning!AF54</f>
      </c>
      <c r="Q318" s="121">
        <f>Progress!Z54</f>
      </c>
      <c r="R318" s="95">
        <f>IF(Q318=0,0,IF(ISNUMBER(Q318),IF(S318&gt;=$G$21,$F$21,"Q43"),Q318))</f>
      </c>
      <c r="S318" s="122">
        <f>Progress!AA54</f>
      </c>
      <c r="T318" s="97"/>
      <c r="U318" s="96">
        <f>V318/$N$419</f>
      </c>
      <c r="V318" s="176">
        <f>IF(L318&lt;$E$20,0,IF(ISTEXT(L318),0,IF(AND(G318+1&gt;=$E$19+1,L318&gt;0),IF(ISNUMBER(Q318),Q318*$AD54*AL$22*K318,$AD54*AL$22*K318),0)))</f>
      </c>
      <c r="W318" s="95">
        <f>IF(AND(L318&gt;0,S318&gt;0),IF(ISNUMBER(Q318),Q318*$AD54*AL$22*K318,$AD54*AL$22*K318),0)</f>
      </c>
      <c r="X318" s="17"/>
      <c r="Y318" s="11"/>
      <c r="Z318" s="11"/>
      <c r="AA318" s="3"/>
      <c r="AB318" s="3"/>
      <c r="AC318" s="3"/>
      <c r="AD318" s="3"/>
      <c r="AE318" s="4"/>
      <c r="AF318" s="8"/>
      <c r="AG318" s="1"/>
      <c r="AH318" s="6"/>
      <c r="AI318" s="6"/>
      <c r="AJ318" s="6"/>
      <c r="AK318" s="6"/>
      <c r="AL318" s="6"/>
      <c r="AM318" s="6"/>
      <c r="AN318" s="6"/>
      <c r="AO318" s="1"/>
      <c r="AP318" s="9"/>
      <c r="AQ318" s="2"/>
      <c r="AR318" s="3"/>
      <c r="AS318" s="10"/>
      <c r="AT318" s="1"/>
      <c r="AU318" s="1"/>
      <c r="AV318" s="1"/>
      <c r="AW318" s="1"/>
      <c r="AX318" s="1"/>
      <c r="AY318" s="1"/>
      <c r="AZ318" s="1"/>
      <c r="BA318" s="1"/>
      <c r="BB318" s="1"/>
      <c r="BC318" s="1"/>
      <c r="BD318" s="1"/>
      <c r="BE318" s="1"/>
      <c r="BF318" s="1"/>
      <c r="BG318" s="1"/>
      <c r="BH318" s="1"/>
    </row>
    <row x14ac:dyDescent="0.25" r="319" customHeight="1" ht="17.25">
      <c r="A319" s="1"/>
      <c r="B319" s="1"/>
      <c r="C319" s="1"/>
      <c r="D319" s="1"/>
      <c r="E319" s="2"/>
      <c r="F319" s="2"/>
      <c r="G319" s="90">
        <f>(S319&amp;RIGHT(R319,1))*1</f>
      </c>
      <c r="H319" s="1"/>
      <c r="I319" s="111"/>
      <c r="J319" s="126">
        <f>Planning!Q55</f>
      </c>
      <c r="K319" s="93">
        <f>VLOOKUP(J319,AA$23:AE$88,5,FALSE)</f>
      </c>
      <c r="L319" s="122">
        <f>Planning!Y55</f>
      </c>
      <c r="M319" s="95">
        <f>IF(Planning!AF55=0,0,IFERROR($AD55*AL$22,0))</f>
      </c>
      <c r="N319" s="171">
        <f>IF(Planning!AF55=0,0,IFERROR($AD55*AL$22*K319,0))</f>
      </c>
      <c r="O319" s="96">
        <f>IF(ISTEXT(Planning!Y55),0,AL55)</f>
      </c>
      <c r="P319" s="94">
        <f>Planning!AF55</f>
      </c>
      <c r="Q319" s="121">
        <f>Progress!Z55</f>
      </c>
      <c r="R319" s="95">
        <f>IF(Q319=0,0,IF(ISNUMBER(Q319),IF(S319&gt;=$G$21,$F$21,"Q44"),Q319))</f>
      </c>
      <c r="S319" s="122">
        <f>Progress!AA55</f>
      </c>
      <c r="T319" s="97"/>
      <c r="U319" s="96">
        <f>V319/$N$419</f>
      </c>
      <c r="V319" s="176">
        <f>IF(L319&lt;$E$20,0,IF(ISTEXT(L319),0,IF(AND(G319+1&gt;=$E$19+1,L319&gt;0),IF(ISNUMBER(Q319),Q319*$AD55*AL$22*K319,$AD55*AL$22*K319),0)))</f>
      </c>
      <c r="W319" s="95">
        <f>IF(AND(L319&gt;0,S319&gt;0),IF(ISNUMBER(Q319),Q319*$AD55*AL$22*K319,$AD55*AL$22*K319),0)</f>
      </c>
      <c r="X319" s="17"/>
      <c r="Y319" s="11"/>
      <c r="Z319" s="11"/>
      <c r="AA319" s="3"/>
      <c r="AB319" s="3"/>
      <c r="AC319" s="3"/>
      <c r="AD319" s="3"/>
      <c r="AE319" s="4"/>
      <c r="AF319" s="8"/>
      <c r="AG319" s="1"/>
      <c r="AH319" s="6"/>
      <c r="AI319" s="6"/>
      <c r="AJ319" s="6"/>
      <c r="AK319" s="6"/>
      <c r="AL319" s="6"/>
      <c r="AM319" s="6"/>
      <c r="AN319" s="6"/>
      <c r="AO319" s="1"/>
      <c r="AP319" s="9"/>
      <c r="AQ319" s="2"/>
      <c r="AR319" s="3"/>
      <c r="AS319" s="10"/>
      <c r="AT319" s="1"/>
      <c r="AU319" s="1"/>
      <c r="AV319" s="1"/>
      <c r="AW319" s="1"/>
      <c r="AX319" s="1"/>
      <c r="AY319" s="1"/>
      <c r="AZ319" s="1"/>
      <c r="BA319" s="1"/>
      <c r="BB319" s="1"/>
      <c r="BC319" s="1"/>
      <c r="BD319" s="1"/>
      <c r="BE319" s="1"/>
      <c r="BF319" s="1"/>
      <c r="BG319" s="1"/>
      <c r="BH319" s="1"/>
    </row>
    <row x14ac:dyDescent="0.25" r="320" customHeight="1" ht="17.25">
      <c r="A320" s="1"/>
      <c r="B320" s="1"/>
      <c r="C320" s="1"/>
      <c r="D320" s="1"/>
      <c r="E320" s="2"/>
      <c r="F320" s="2"/>
      <c r="G320" s="90">
        <f>(S320&amp;RIGHT(R320,1))*1</f>
      </c>
      <c r="H320" s="1"/>
      <c r="I320" s="111"/>
      <c r="J320" s="126">
        <f>Planning!Q56</f>
      </c>
      <c r="K320" s="93">
        <f>VLOOKUP(J320,AA$23:AE$88,5,FALSE)</f>
      </c>
      <c r="L320" s="122">
        <f>Planning!Y56</f>
      </c>
      <c r="M320" s="95">
        <f>IF(Planning!AF56=0,0,IFERROR($AD56*AL$22,0))</f>
      </c>
      <c r="N320" s="171">
        <f>IF(Planning!AF56=0,0,IFERROR($AD56*AL$22*K320,0))</f>
      </c>
      <c r="O320" s="96">
        <f>IF(ISTEXT(Planning!Y56),0,AL56)</f>
      </c>
      <c r="P320" s="94">
        <f>Planning!AF56</f>
      </c>
      <c r="Q320" s="121">
        <f>Progress!Z56</f>
      </c>
      <c r="R320" s="95">
        <f>IF(Q320=0,0,IF(ISNUMBER(Q320),IF(S320&gt;=$G$21,$F$21,"Q45"),Q320))</f>
      </c>
      <c r="S320" s="122">
        <f>Progress!AA56</f>
      </c>
      <c r="T320" s="97"/>
      <c r="U320" s="96">
        <f>V320/$N$419</f>
      </c>
      <c r="V320" s="176">
        <f>IF(L320&lt;$E$20,0,IF(ISTEXT(L320),0,IF(AND(G320+1&gt;=$E$19+1,L320&gt;0),IF(ISNUMBER(Q320),Q320*$AD56*AL$22*K320,$AD56*AL$22*K320),0)))</f>
      </c>
      <c r="W320" s="95">
        <f>IF(AND(L320&gt;0,S320&gt;0),IF(ISNUMBER(Q320),Q320*$AD56*AL$22*K320,$AD56*AL$22*K320),0)</f>
      </c>
      <c r="X320" s="17"/>
      <c r="Y320" s="11"/>
      <c r="Z320" s="11"/>
      <c r="AA320" s="3"/>
      <c r="AB320" s="3"/>
      <c r="AC320" s="3"/>
      <c r="AD320" s="3"/>
      <c r="AE320" s="4"/>
      <c r="AF320" s="8"/>
      <c r="AG320" s="1"/>
      <c r="AH320" s="6"/>
      <c r="AI320" s="6"/>
      <c r="AJ320" s="6"/>
      <c r="AK320" s="6"/>
      <c r="AL320" s="6"/>
      <c r="AM320" s="6"/>
      <c r="AN320" s="6"/>
      <c r="AO320" s="1"/>
      <c r="AP320" s="9"/>
      <c r="AQ320" s="2"/>
      <c r="AR320" s="3"/>
      <c r="AS320" s="10"/>
      <c r="AT320" s="1"/>
      <c r="AU320" s="1"/>
      <c r="AV320" s="1"/>
      <c r="AW320" s="1"/>
      <c r="AX320" s="1"/>
      <c r="AY320" s="1"/>
      <c r="AZ320" s="1"/>
      <c r="BA320" s="1"/>
      <c r="BB320" s="1"/>
      <c r="BC320" s="1"/>
      <c r="BD320" s="1"/>
      <c r="BE320" s="1"/>
      <c r="BF320" s="1"/>
      <c r="BG320" s="1"/>
      <c r="BH320" s="1"/>
    </row>
    <row x14ac:dyDescent="0.25" r="321" customHeight="1" ht="17.25">
      <c r="A321" s="1"/>
      <c r="B321" s="1"/>
      <c r="C321" s="1"/>
      <c r="D321" s="1"/>
      <c r="E321" s="2"/>
      <c r="F321" s="2"/>
      <c r="G321" s="90">
        <f>(S321&amp;RIGHT(R321,1))*1</f>
      </c>
      <c r="H321" s="1"/>
      <c r="I321" s="111"/>
      <c r="J321" s="126">
        <f>Planning!Q57</f>
      </c>
      <c r="K321" s="93">
        <f>VLOOKUP(J321,AA$23:AE$88,5,FALSE)</f>
      </c>
      <c r="L321" s="122">
        <f>Planning!Y57</f>
      </c>
      <c r="M321" s="95">
        <f>IF(Planning!AF57=0,0,IFERROR($AD57*AL$22,0))</f>
      </c>
      <c r="N321" s="171">
        <f>IF(Planning!AF57=0,0,IFERROR($AD57*AL$22*K321,0))</f>
      </c>
      <c r="O321" s="96">
        <f>IF(ISTEXT(Planning!Y57),0,AL57)</f>
      </c>
      <c r="P321" s="94">
        <f>Planning!AF57</f>
      </c>
      <c r="Q321" s="121">
        <f>Progress!Z57</f>
      </c>
      <c r="R321" s="95">
        <f>IF(Q321=0,0,IF(ISNUMBER(Q321),IF(S321&gt;=$G$21,$F$21,"Q46"),Q321))</f>
      </c>
      <c r="S321" s="122">
        <f>Progress!AA57</f>
      </c>
      <c r="T321" s="97"/>
      <c r="U321" s="96">
        <f>V321/$N$419</f>
      </c>
      <c r="V321" s="176">
        <f>IF(L321&lt;$E$20,0,IF(ISTEXT(L321),0,IF(AND(G321+1&gt;=$E$19+1,L321&gt;0),IF(ISNUMBER(Q321),Q321*$AD57*AL$22*K321,$AD57*AL$22*K321),0)))</f>
      </c>
      <c r="W321" s="95">
        <f>IF(AND(L321&gt;0,S321&gt;0),IF(ISNUMBER(Q321),Q321*$AD57*AL$22*K321,$AD57*AL$22*K321),0)</f>
      </c>
      <c r="X321" s="17"/>
      <c r="Y321" s="11"/>
      <c r="Z321" s="11"/>
      <c r="AA321" s="3"/>
      <c r="AB321" s="3"/>
      <c r="AC321" s="3"/>
      <c r="AD321" s="3"/>
      <c r="AE321" s="4"/>
      <c r="AF321" s="8"/>
      <c r="AG321" s="1"/>
      <c r="AH321" s="6"/>
      <c r="AI321" s="6"/>
      <c r="AJ321" s="6"/>
      <c r="AK321" s="6"/>
      <c r="AL321" s="6"/>
      <c r="AM321" s="6"/>
      <c r="AN321" s="6"/>
      <c r="AO321" s="1"/>
      <c r="AP321" s="9"/>
      <c r="AQ321" s="2"/>
      <c r="AR321" s="3"/>
      <c r="AS321" s="10"/>
      <c r="AT321" s="1"/>
      <c r="AU321" s="1"/>
      <c r="AV321" s="1"/>
      <c r="AW321" s="1"/>
      <c r="AX321" s="1"/>
      <c r="AY321" s="1"/>
      <c r="AZ321" s="1"/>
      <c r="BA321" s="1"/>
      <c r="BB321" s="1"/>
      <c r="BC321" s="1"/>
      <c r="BD321" s="1"/>
      <c r="BE321" s="1"/>
      <c r="BF321" s="1"/>
      <c r="BG321" s="1"/>
      <c r="BH321" s="1"/>
    </row>
    <row x14ac:dyDescent="0.25" r="322" customHeight="1" ht="17.25">
      <c r="A322" s="1"/>
      <c r="B322" s="1"/>
      <c r="C322" s="1"/>
      <c r="D322" s="1"/>
      <c r="E322" s="2"/>
      <c r="F322" s="2"/>
      <c r="G322" s="90">
        <f>(S322&amp;RIGHT(R322,1))*1</f>
      </c>
      <c r="H322" s="1"/>
      <c r="I322" s="111"/>
      <c r="J322" s="126">
        <f>Planning!Q58</f>
      </c>
      <c r="K322" s="93">
        <f>VLOOKUP(J322,AA$23:AE$88,5,FALSE)</f>
      </c>
      <c r="L322" s="122">
        <f>Planning!Y58</f>
      </c>
      <c r="M322" s="95">
        <f>IF(Planning!AF58=0,0,IFERROR($AD58*AL$22,0))</f>
      </c>
      <c r="N322" s="171">
        <f>IF(Planning!AF58=0,0,IFERROR($AD58*AL$22*K322,0))</f>
      </c>
      <c r="O322" s="96">
        <f>IF(ISTEXT(Planning!Y58),0,AL58)</f>
      </c>
      <c r="P322" s="94">
        <f>Planning!AF58</f>
      </c>
      <c r="Q322" s="121">
        <f>Progress!Z58</f>
      </c>
      <c r="R322" s="95">
        <f>IF(Q322=0,0,IF(ISNUMBER(Q322),IF(S322&gt;=$G$21,$F$21,"Q47"),Q322))</f>
      </c>
      <c r="S322" s="122">
        <f>Progress!AA58</f>
      </c>
      <c r="T322" s="97"/>
      <c r="U322" s="96">
        <f>V322/$N$419</f>
      </c>
      <c r="V322" s="176">
        <f>IF(L322&lt;$E$20,0,IF(ISTEXT(L322),0,IF(AND(G322+1&gt;=$E$19+1,L322&gt;0),IF(ISNUMBER(Q322),Q322*$AD58*AL$22*K322,$AD58*AL$22*K322),0)))</f>
      </c>
      <c r="W322" s="95">
        <f>IF(AND(L322&gt;0,S322&gt;0),IF(ISNUMBER(Q322),Q322*$AD58*AL$22*K322,$AD58*AL$22*K322),0)</f>
      </c>
      <c r="X322" s="17"/>
      <c r="Y322" s="11"/>
      <c r="Z322" s="11"/>
      <c r="AA322" s="3"/>
      <c r="AB322" s="3"/>
      <c r="AC322" s="3"/>
      <c r="AD322" s="3"/>
      <c r="AE322" s="4"/>
      <c r="AF322" s="8"/>
      <c r="AG322" s="1"/>
      <c r="AH322" s="6"/>
      <c r="AI322" s="6"/>
      <c r="AJ322" s="6"/>
      <c r="AK322" s="6"/>
      <c r="AL322" s="6"/>
      <c r="AM322" s="6"/>
      <c r="AN322" s="6"/>
      <c r="AO322" s="1"/>
      <c r="AP322" s="9"/>
      <c r="AQ322" s="2"/>
      <c r="AR322" s="3"/>
      <c r="AS322" s="10"/>
      <c r="AT322" s="1"/>
      <c r="AU322" s="1"/>
      <c r="AV322" s="1"/>
      <c r="AW322" s="1"/>
      <c r="AX322" s="1"/>
      <c r="AY322" s="1"/>
      <c r="AZ322" s="1"/>
      <c r="BA322" s="1"/>
      <c r="BB322" s="1"/>
      <c r="BC322" s="1"/>
      <c r="BD322" s="1"/>
      <c r="BE322" s="1"/>
      <c r="BF322" s="1"/>
      <c r="BG322" s="1"/>
      <c r="BH322" s="1"/>
    </row>
    <row x14ac:dyDescent="0.25" r="323" customHeight="1" ht="17.25">
      <c r="A323" s="1"/>
      <c r="B323" s="1"/>
      <c r="C323" s="1"/>
      <c r="D323" s="1"/>
      <c r="E323" s="2"/>
      <c r="F323" s="2"/>
      <c r="G323" s="90">
        <f>(S323&amp;RIGHT(R323,1))*1</f>
      </c>
      <c r="H323" s="1"/>
      <c r="I323" s="111"/>
      <c r="J323" s="126">
        <f>Planning!Q59</f>
      </c>
      <c r="K323" s="93">
        <f>VLOOKUP(J323,AA$23:AE$88,5,FALSE)</f>
      </c>
      <c r="L323" s="122">
        <f>Planning!Y59</f>
      </c>
      <c r="M323" s="95">
        <f>IF(Planning!AF59=0,0,IFERROR($AD59*AL$22,0))</f>
      </c>
      <c r="N323" s="171">
        <f>IF(Planning!AF59=0,0,IFERROR($AD59*AL$22*K323,0))</f>
      </c>
      <c r="O323" s="96">
        <f>IF(ISTEXT(Planning!Y59),0,AL59)</f>
      </c>
      <c r="P323" s="94">
        <f>Planning!AF59</f>
      </c>
      <c r="Q323" s="121">
        <f>Progress!Z59</f>
      </c>
      <c r="R323" s="95">
        <f>IF(Q323=0,0,IF(ISNUMBER(Q323),IF(S323&gt;=$G$21,$F$21,"Q48"),Q323))</f>
      </c>
      <c r="S323" s="122">
        <f>Progress!AA59</f>
      </c>
      <c r="T323" s="97"/>
      <c r="U323" s="96">
        <f>V323/$N$419</f>
      </c>
      <c r="V323" s="176">
        <f>IF(L323&lt;$E$20,0,IF(ISTEXT(L323),0,IF(AND(G323+1&gt;=$E$19+1,L323&gt;0),IF(ISNUMBER(Q323),Q323*$AD59*AL$22*K323,$AD59*AL$22*K323),0)))</f>
      </c>
      <c r="W323" s="95">
        <f>IF(AND(L323&gt;0,S323&gt;0),IF(ISNUMBER(Q323),Q323*$AD59*AL$22*K323,$AD59*AL$22*K323),0)</f>
      </c>
      <c r="X323" s="17"/>
      <c r="Y323" s="11"/>
      <c r="Z323" s="11"/>
      <c r="AA323" s="3"/>
      <c r="AB323" s="3"/>
      <c r="AC323" s="3"/>
      <c r="AD323" s="3"/>
      <c r="AE323" s="4"/>
      <c r="AF323" s="8"/>
      <c r="AG323" s="1"/>
      <c r="AH323" s="6"/>
      <c r="AI323" s="6"/>
      <c r="AJ323" s="6"/>
      <c r="AK323" s="6"/>
      <c r="AL323" s="6"/>
      <c r="AM323" s="6"/>
      <c r="AN323" s="6"/>
      <c r="AO323" s="1"/>
      <c r="AP323" s="9"/>
      <c r="AQ323" s="2"/>
      <c r="AR323" s="3"/>
      <c r="AS323" s="10"/>
      <c r="AT323" s="1"/>
      <c r="AU323" s="1"/>
      <c r="AV323" s="1"/>
      <c r="AW323" s="1"/>
      <c r="AX323" s="1"/>
      <c r="AY323" s="1"/>
      <c r="AZ323" s="1"/>
      <c r="BA323" s="1"/>
      <c r="BB323" s="1"/>
      <c r="BC323" s="1"/>
      <c r="BD323" s="1"/>
      <c r="BE323" s="1"/>
      <c r="BF323" s="1"/>
      <c r="BG323" s="1"/>
      <c r="BH323" s="1"/>
    </row>
    <row x14ac:dyDescent="0.25" r="324" customHeight="1" ht="17.25">
      <c r="A324" s="1"/>
      <c r="B324" s="1"/>
      <c r="C324" s="1"/>
      <c r="D324" s="1"/>
      <c r="E324" s="2"/>
      <c r="F324" s="2"/>
      <c r="G324" s="90">
        <f>(S324&amp;RIGHT(R324,1))*1</f>
      </c>
      <c r="H324" s="1"/>
      <c r="I324" s="111"/>
      <c r="J324" s="126">
        <f>Planning!Q60</f>
      </c>
      <c r="K324" s="93">
        <f>VLOOKUP(J324,AA$23:AE$88,5,FALSE)</f>
      </c>
      <c r="L324" s="122">
        <f>Planning!Y60</f>
      </c>
      <c r="M324" s="95">
        <f>IF(Planning!AF60=0,0,IFERROR($AD60*AL$22,0))</f>
      </c>
      <c r="N324" s="171">
        <f>IF(Planning!AF60=0,0,IFERROR($AD60*AL$22*K324,0))</f>
      </c>
      <c r="O324" s="96">
        <f>IF(ISTEXT(Planning!Y60),0,AL60)</f>
      </c>
      <c r="P324" s="94">
        <f>Planning!AF60</f>
      </c>
      <c r="Q324" s="121">
        <f>Progress!Z60</f>
      </c>
      <c r="R324" s="95">
        <f>IF(Q324=0,0,IF(ISNUMBER(Q324),IF(S324&gt;=$G$21,$F$21,"Q49"),Q324))</f>
      </c>
      <c r="S324" s="122">
        <f>Progress!AA60</f>
      </c>
      <c r="T324" s="97"/>
      <c r="U324" s="96">
        <f>V324/$N$419</f>
      </c>
      <c r="V324" s="176">
        <f>IF(L324&lt;$E$20,0,IF(ISTEXT(L324),0,IF(AND(G324+1&gt;=$E$19+1,L324&gt;0),IF(ISNUMBER(Q324),Q324*$AD60*AL$22*K324,$AD60*AL$22*K324),0)))</f>
      </c>
      <c r="W324" s="95">
        <f>IF(AND(L324&gt;0,S324&gt;0),IF(ISNUMBER(Q324),Q324*$AD60*AL$22*K324,$AD60*AL$22*K324),0)</f>
      </c>
      <c r="X324" s="17"/>
      <c r="Y324" s="11"/>
      <c r="Z324" s="11"/>
      <c r="AA324" s="3"/>
      <c r="AB324" s="3"/>
      <c r="AC324" s="3"/>
      <c r="AD324" s="3"/>
      <c r="AE324" s="4"/>
      <c r="AF324" s="8"/>
      <c r="AG324" s="1"/>
      <c r="AH324" s="6"/>
      <c r="AI324" s="6"/>
      <c r="AJ324" s="6"/>
      <c r="AK324" s="6"/>
      <c r="AL324" s="6"/>
      <c r="AM324" s="6"/>
      <c r="AN324" s="6"/>
      <c r="AO324" s="1"/>
      <c r="AP324" s="9"/>
      <c r="AQ324" s="2"/>
      <c r="AR324" s="3"/>
      <c r="AS324" s="10"/>
      <c r="AT324" s="1"/>
      <c r="AU324" s="1"/>
      <c r="AV324" s="1"/>
      <c r="AW324" s="1"/>
      <c r="AX324" s="1"/>
      <c r="AY324" s="1"/>
      <c r="AZ324" s="1"/>
      <c r="BA324" s="1"/>
      <c r="BB324" s="1"/>
      <c r="BC324" s="1"/>
      <c r="BD324" s="1"/>
      <c r="BE324" s="1"/>
      <c r="BF324" s="1"/>
      <c r="BG324" s="1"/>
      <c r="BH324" s="1"/>
    </row>
    <row x14ac:dyDescent="0.25" r="325" customHeight="1" ht="17.25">
      <c r="A325" s="1"/>
      <c r="B325" s="1"/>
      <c r="C325" s="1"/>
      <c r="D325" s="1"/>
      <c r="E325" s="2"/>
      <c r="F325" s="2"/>
      <c r="G325" s="90">
        <f>(S325&amp;RIGHT(R325,1))*1</f>
      </c>
      <c r="H325" s="1"/>
      <c r="I325" s="111"/>
      <c r="J325" s="126">
        <f>Planning!Q61</f>
      </c>
      <c r="K325" s="93">
        <f>VLOOKUP(J325,AA$23:AE$88,5,FALSE)</f>
      </c>
      <c r="L325" s="122">
        <f>Planning!Y61</f>
      </c>
      <c r="M325" s="95">
        <f>IF(Planning!AF61=0,0,IFERROR($AD61*AL$22,0))</f>
      </c>
      <c r="N325" s="171">
        <f>IF(Planning!AF61=0,0,IFERROR($AD61*AL$22*K325,0))</f>
      </c>
      <c r="O325" s="96">
        <f>IF(ISTEXT(Planning!Y61),0,AL61)</f>
      </c>
      <c r="P325" s="94">
        <f>Planning!AF61</f>
      </c>
      <c r="Q325" s="121">
        <f>Progress!Z61</f>
      </c>
      <c r="R325" s="95">
        <f>IF(Q325=0,0,IF(ISNUMBER(Q325),IF(S325&gt;=$G$21,$F$21,"Q50"),Q325))</f>
      </c>
      <c r="S325" s="122">
        <f>Progress!AA61</f>
      </c>
      <c r="T325" s="97"/>
      <c r="U325" s="96">
        <f>V325/$N$419</f>
      </c>
      <c r="V325" s="176">
        <f>IF(L325&lt;$E$20,0,IF(ISTEXT(L325),0,IF(AND(G325+1&gt;=$E$19+1,L325&gt;0),IF(ISNUMBER(Q325),Q325*$AD61*AL$22*K325,$AD61*AL$22*K325),0)))</f>
      </c>
      <c r="W325" s="95">
        <f>IF(AND(L325&gt;0,S325&gt;0),IF(ISNUMBER(Q325),Q325*$AD61*AL$22*K325,$AD61*AL$22*K325),0)</f>
      </c>
      <c r="X325" s="17"/>
      <c r="Y325" s="11"/>
      <c r="Z325" s="11"/>
      <c r="AA325" s="3"/>
      <c r="AB325" s="3"/>
      <c r="AC325" s="3"/>
      <c r="AD325" s="3"/>
      <c r="AE325" s="4"/>
      <c r="AF325" s="8"/>
      <c r="AG325" s="1"/>
      <c r="AH325" s="6"/>
      <c r="AI325" s="6"/>
      <c r="AJ325" s="6"/>
      <c r="AK325" s="6"/>
      <c r="AL325" s="6"/>
      <c r="AM325" s="6"/>
      <c r="AN325" s="6"/>
      <c r="AO325" s="1"/>
      <c r="AP325" s="9"/>
      <c r="AQ325" s="2"/>
      <c r="AR325" s="3"/>
      <c r="AS325" s="10"/>
      <c r="AT325" s="1"/>
      <c r="AU325" s="1"/>
      <c r="AV325" s="1"/>
      <c r="AW325" s="1"/>
      <c r="AX325" s="1"/>
      <c r="AY325" s="1"/>
      <c r="AZ325" s="1"/>
      <c r="BA325" s="1"/>
      <c r="BB325" s="1"/>
      <c r="BC325" s="1"/>
      <c r="BD325" s="1"/>
      <c r="BE325" s="1"/>
      <c r="BF325" s="1"/>
      <c r="BG325" s="1"/>
      <c r="BH325" s="1"/>
    </row>
    <row x14ac:dyDescent="0.25" r="326" customHeight="1" ht="17.25">
      <c r="A326" s="1"/>
      <c r="B326" s="1"/>
      <c r="C326" s="1"/>
      <c r="D326" s="1"/>
      <c r="E326" s="2"/>
      <c r="F326" s="2"/>
      <c r="G326" s="90">
        <f>(S326&amp;RIGHT(R326,1))*1</f>
      </c>
      <c r="H326" s="1"/>
      <c r="I326" s="111"/>
      <c r="J326" s="126">
        <f>Planning!Q62</f>
      </c>
      <c r="K326" s="93">
        <f>VLOOKUP(J326,AA$23:AE$88,5,FALSE)</f>
      </c>
      <c r="L326" s="122">
        <f>Planning!Y62</f>
      </c>
      <c r="M326" s="95">
        <f>IF(Planning!AF62=0,0,IFERROR($AD62*AL$22,0))</f>
      </c>
      <c r="N326" s="171">
        <f>IF(Planning!AF62=0,0,IFERROR($AD62*AL$22*K326,0))</f>
      </c>
      <c r="O326" s="96">
        <f>IF(ISTEXT(Planning!Y62),0,AL62)</f>
      </c>
      <c r="P326" s="94">
        <f>Planning!AF62</f>
      </c>
      <c r="Q326" s="121">
        <f>Progress!Z62</f>
      </c>
      <c r="R326" s="95">
        <f>IF(Q326=0,0,IF(ISNUMBER(Q326),IF(S326&gt;=$G$21,$F$21,"Q51"),Q326))</f>
      </c>
      <c r="S326" s="122">
        <f>Progress!AA62</f>
      </c>
      <c r="T326" s="97"/>
      <c r="U326" s="96">
        <f>V326/$N$419</f>
      </c>
      <c r="V326" s="176">
        <f>IF(L326&lt;$E$20,0,IF(ISTEXT(L326),0,IF(AND(G326+1&gt;=$E$19+1,L326&gt;0),IF(ISNUMBER(Q326),Q326*$AD62*AL$22*K326,$AD62*AL$22*K326),0)))</f>
      </c>
      <c r="W326" s="95">
        <f>IF(AND(L326&gt;0,S326&gt;0),IF(ISNUMBER(Q326),Q326*$AD62*AL$22*K326,$AD62*AL$22*K326),0)</f>
      </c>
      <c r="X326" s="17"/>
      <c r="Y326" s="11"/>
      <c r="Z326" s="11"/>
      <c r="AA326" s="3"/>
      <c r="AB326" s="3"/>
      <c r="AC326" s="3"/>
      <c r="AD326" s="3"/>
      <c r="AE326" s="4"/>
      <c r="AF326" s="8"/>
      <c r="AG326" s="1"/>
      <c r="AH326" s="6"/>
      <c r="AI326" s="6"/>
      <c r="AJ326" s="6"/>
      <c r="AK326" s="6"/>
      <c r="AL326" s="6"/>
      <c r="AM326" s="6"/>
      <c r="AN326" s="6"/>
      <c r="AO326" s="1"/>
      <c r="AP326" s="9"/>
      <c r="AQ326" s="2"/>
      <c r="AR326" s="3"/>
      <c r="AS326" s="10"/>
      <c r="AT326" s="1"/>
      <c r="AU326" s="1"/>
      <c r="AV326" s="1"/>
      <c r="AW326" s="1"/>
      <c r="AX326" s="1"/>
      <c r="AY326" s="1"/>
      <c r="AZ326" s="1"/>
      <c r="BA326" s="1"/>
      <c r="BB326" s="1"/>
      <c r="BC326" s="1"/>
      <c r="BD326" s="1"/>
      <c r="BE326" s="1"/>
      <c r="BF326" s="1"/>
      <c r="BG326" s="1"/>
      <c r="BH326" s="1"/>
    </row>
    <row x14ac:dyDescent="0.25" r="327" customHeight="1" ht="17.25">
      <c r="A327" s="1"/>
      <c r="B327" s="1"/>
      <c r="C327" s="1"/>
      <c r="D327" s="1"/>
      <c r="E327" s="2"/>
      <c r="F327" s="2"/>
      <c r="G327" s="90">
        <f>(S327&amp;RIGHT(R327,1))*1</f>
      </c>
      <c r="H327" s="1"/>
      <c r="I327" s="111"/>
      <c r="J327" s="126">
        <f>Planning!Q63</f>
      </c>
      <c r="K327" s="93">
        <f>VLOOKUP(J327,AA$23:AE$88,5,FALSE)</f>
      </c>
      <c r="L327" s="122">
        <f>Planning!Y63</f>
      </c>
      <c r="M327" s="95">
        <f>IF(Planning!AF63=0,0,IFERROR($AD63*AL$22,0))</f>
      </c>
      <c r="N327" s="171">
        <f>IF(Planning!AF63=0,0,IFERROR($AD63*AL$22*K327,0))</f>
      </c>
      <c r="O327" s="96">
        <f>IF(ISTEXT(Planning!Y63),0,AL63)</f>
      </c>
      <c r="P327" s="94">
        <f>Planning!AF63</f>
      </c>
      <c r="Q327" s="121">
        <f>Progress!Z63</f>
      </c>
      <c r="R327" s="95">
        <f>IF(Q327=0,0,IF(ISNUMBER(Q327),IF(S327&gt;=$G$21,$F$21,"Q52"),Q327))</f>
      </c>
      <c r="S327" s="122">
        <f>Progress!AA63</f>
      </c>
      <c r="T327" s="97"/>
      <c r="U327" s="96">
        <f>V327/$N$419</f>
      </c>
      <c r="V327" s="176">
        <f>IF(L327&lt;$E$20,0,IF(ISTEXT(L327),0,IF(AND(G327+1&gt;=$E$19+1,L327&gt;0),IF(ISNUMBER(Q327),Q327*$AD63*AL$22*K327,$AD63*AL$22*K327),0)))</f>
      </c>
      <c r="W327" s="95">
        <f>IF(AND(L327&gt;0,S327&gt;0),IF(ISNUMBER(Q327),Q327*$AD63*AL$22*K327,$AD63*AL$22*K327),0)</f>
      </c>
      <c r="X327" s="17"/>
      <c r="Y327" s="11"/>
      <c r="Z327" s="11"/>
      <c r="AA327" s="3"/>
      <c r="AB327" s="3"/>
      <c r="AC327" s="3"/>
      <c r="AD327" s="3"/>
      <c r="AE327" s="4"/>
      <c r="AF327" s="8"/>
      <c r="AG327" s="1"/>
      <c r="AH327" s="6"/>
      <c r="AI327" s="6"/>
      <c r="AJ327" s="6"/>
      <c r="AK327" s="6"/>
      <c r="AL327" s="6"/>
      <c r="AM327" s="6"/>
      <c r="AN327" s="6"/>
      <c r="AO327" s="1"/>
      <c r="AP327" s="9"/>
      <c r="AQ327" s="2"/>
      <c r="AR327" s="3"/>
      <c r="AS327" s="10"/>
      <c r="AT327" s="1"/>
      <c r="AU327" s="1"/>
      <c r="AV327" s="1"/>
      <c r="AW327" s="1"/>
      <c r="AX327" s="1"/>
      <c r="AY327" s="1"/>
      <c r="AZ327" s="1"/>
      <c r="BA327" s="1"/>
      <c r="BB327" s="1"/>
      <c r="BC327" s="1"/>
      <c r="BD327" s="1"/>
      <c r="BE327" s="1"/>
      <c r="BF327" s="1"/>
      <c r="BG327" s="1"/>
      <c r="BH327" s="1"/>
    </row>
    <row x14ac:dyDescent="0.25" r="328" customHeight="1" ht="17.25">
      <c r="A328" s="1"/>
      <c r="B328" s="1"/>
      <c r="C328" s="1"/>
      <c r="D328" s="1"/>
      <c r="E328" s="2"/>
      <c r="F328" s="2"/>
      <c r="G328" s="90">
        <f>(S328&amp;RIGHT(R328,1))*1</f>
      </c>
      <c r="H328" s="1"/>
      <c r="I328" s="111"/>
      <c r="J328" s="126">
        <f>Planning!Q64</f>
      </c>
      <c r="K328" s="93">
        <f>VLOOKUP(J328,AA$23:AE$88,5,FALSE)</f>
      </c>
      <c r="L328" s="122">
        <f>Planning!Y64</f>
      </c>
      <c r="M328" s="95">
        <f>IF(Planning!AF64=0,0,IFERROR($AD64*AL$22,0))</f>
      </c>
      <c r="N328" s="171">
        <f>IF(Planning!AF64=0,0,IFERROR($AD64*AL$22*K328,0))</f>
      </c>
      <c r="O328" s="96">
        <f>IF(ISTEXT(Planning!Y64),0,AL64)</f>
      </c>
      <c r="P328" s="94">
        <f>Planning!AF64</f>
      </c>
      <c r="Q328" s="121">
        <f>Progress!Z64</f>
      </c>
      <c r="R328" s="95">
        <f>IF(Q328=0,0,IF(ISNUMBER(Q328),IF(S328&gt;=$G$21,$F$21,"Q53"),Q328))</f>
      </c>
      <c r="S328" s="122">
        <f>Progress!AA64</f>
      </c>
      <c r="T328" s="97"/>
      <c r="U328" s="96">
        <f>V328/$N$419</f>
      </c>
      <c r="V328" s="176">
        <f>IF(L328&lt;$E$20,0,IF(ISTEXT(L328),0,IF(AND(G328+1&gt;=$E$19+1,L328&gt;0),IF(ISNUMBER(Q328),Q328*$AD64*AL$22*K328,$AD64*AL$22*K328),0)))</f>
      </c>
      <c r="W328" s="95">
        <f>IF(AND(L328&gt;0,S328&gt;0),IF(ISNUMBER(Q328),Q328*$AD64*AL$22*K328,$AD64*AL$22*K328),0)</f>
      </c>
      <c r="X328" s="17"/>
      <c r="Y328" s="11"/>
      <c r="Z328" s="11"/>
      <c r="AA328" s="3"/>
      <c r="AB328" s="3"/>
      <c r="AC328" s="3"/>
      <c r="AD328" s="3"/>
      <c r="AE328" s="4"/>
      <c r="AF328" s="8"/>
      <c r="AG328" s="1"/>
      <c r="AH328" s="6"/>
      <c r="AI328" s="6"/>
      <c r="AJ328" s="6"/>
      <c r="AK328" s="6"/>
      <c r="AL328" s="6"/>
      <c r="AM328" s="6"/>
      <c r="AN328" s="6"/>
      <c r="AO328" s="1"/>
      <c r="AP328" s="9"/>
      <c r="AQ328" s="2"/>
      <c r="AR328" s="3"/>
      <c r="AS328" s="10"/>
      <c r="AT328" s="1"/>
      <c r="AU328" s="1"/>
      <c r="AV328" s="1"/>
      <c r="AW328" s="1"/>
      <c r="AX328" s="1"/>
      <c r="AY328" s="1"/>
      <c r="AZ328" s="1"/>
      <c r="BA328" s="1"/>
      <c r="BB328" s="1"/>
      <c r="BC328" s="1"/>
      <c r="BD328" s="1"/>
      <c r="BE328" s="1"/>
      <c r="BF328" s="1"/>
      <c r="BG328" s="1"/>
      <c r="BH328" s="1"/>
    </row>
    <row x14ac:dyDescent="0.25" r="329" customHeight="1" ht="17.25">
      <c r="A329" s="1"/>
      <c r="B329" s="1"/>
      <c r="C329" s="1"/>
      <c r="D329" s="1"/>
      <c r="E329" s="2"/>
      <c r="F329" s="2"/>
      <c r="G329" s="90">
        <f>(S329&amp;RIGHT(R329,1))*1</f>
      </c>
      <c r="H329" s="1"/>
      <c r="I329" s="111"/>
      <c r="J329" s="126">
        <f>Planning!Q65</f>
      </c>
      <c r="K329" s="93">
        <f>VLOOKUP(J329,AA$23:AE$88,5,FALSE)</f>
      </c>
      <c r="L329" s="122">
        <f>Planning!Y65</f>
      </c>
      <c r="M329" s="95">
        <f>IF(Planning!AF65=0,0,IFERROR($AD65*AL$22,0))</f>
      </c>
      <c r="N329" s="171">
        <f>IF(Planning!AF65=0,0,IFERROR($AD65*AL$22*K329,0))</f>
      </c>
      <c r="O329" s="96">
        <f>IF(ISTEXT(Planning!Y65),0,AL65)</f>
      </c>
      <c r="P329" s="94">
        <f>Planning!AF65</f>
      </c>
      <c r="Q329" s="121">
        <f>Progress!Z65</f>
      </c>
      <c r="R329" s="95">
        <f>IF(Q329=0,0,IF(ISNUMBER(Q329),IF(S329&gt;=$G$21,$F$21,"Q54"),Q329))</f>
      </c>
      <c r="S329" s="122">
        <f>Progress!AA65</f>
      </c>
      <c r="T329" s="97"/>
      <c r="U329" s="96">
        <f>V329/$N$419</f>
      </c>
      <c r="V329" s="176">
        <f>IF(L329&lt;$E$20,0,IF(ISTEXT(L329),0,IF(AND(G329+1&gt;=$E$19+1,L329&gt;0),IF(ISNUMBER(Q329),Q329*$AD65*AL$22*K329,$AD65*AL$22*K329),0)))</f>
      </c>
      <c r="W329" s="95">
        <f>IF(AND(L329&gt;0,S329&gt;0),IF(ISNUMBER(Q329),Q329*$AD65*AL$22*K329,$AD65*AL$22*K329),0)</f>
      </c>
      <c r="X329" s="17"/>
      <c r="Y329" s="1"/>
      <c r="Z329" s="1"/>
      <c r="AA329" s="3"/>
      <c r="AB329" s="3"/>
      <c r="AC329" s="3"/>
      <c r="AD329" s="3"/>
      <c r="AE329" s="4"/>
      <c r="AF329" s="8"/>
      <c r="AG329" s="1"/>
      <c r="AH329" s="6"/>
      <c r="AI329" s="6"/>
      <c r="AJ329" s="6"/>
      <c r="AK329" s="6"/>
      <c r="AL329" s="6"/>
      <c r="AM329" s="6"/>
      <c r="AN329" s="6"/>
      <c r="AO329" s="1"/>
      <c r="AP329" s="9"/>
      <c r="AQ329" s="2"/>
      <c r="AR329" s="3"/>
      <c r="AS329" s="10"/>
      <c r="AT329" s="1"/>
      <c r="AU329" s="1"/>
      <c r="AV329" s="1"/>
      <c r="AW329" s="1"/>
      <c r="AX329" s="1"/>
      <c r="AY329" s="1"/>
      <c r="AZ329" s="1"/>
      <c r="BA329" s="1"/>
      <c r="BB329" s="1"/>
      <c r="BC329" s="1"/>
      <c r="BD329" s="1"/>
      <c r="BE329" s="1"/>
      <c r="BF329" s="1"/>
      <c r="BG329" s="1"/>
      <c r="BH329" s="1"/>
    </row>
    <row x14ac:dyDescent="0.25" r="330" customHeight="1" ht="17.25">
      <c r="A330" s="1"/>
      <c r="B330" s="1"/>
      <c r="C330" s="1"/>
      <c r="D330" s="1"/>
      <c r="E330" s="2"/>
      <c r="F330" s="2"/>
      <c r="G330" s="90">
        <f>(S330&amp;RIGHT(R330,1))*1</f>
      </c>
      <c r="H330" s="1"/>
      <c r="I330" s="111"/>
      <c r="J330" s="126">
        <f>Planning!Q66</f>
      </c>
      <c r="K330" s="93">
        <f>VLOOKUP(J330,AA$23:AE$88,5,FALSE)</f>
      </c>
      <c r="L330" s="122">
        <f>Planning!Y66</f>
      </c>
      <c r="M330" s="95">
        <f>IF(Planning!AF66=0,0,IFERROR($AD66*AL$22,0))</f>
      </c>
      <c r="N330" s="171">
        <f>IF(Planning!AF66=0,0,IFERROR($AD66*AL$22*K330,0))</f>
      </c>
      <c r="O330" s="96">
        <f>IF(ISTEXT(Planning!Y66),0,AL66)</f>
      </c>
      <c r="P330" s="94">
        <f>Planning!AF66</f>
      </c>
      <c r="Q330" s="121">
        <f>Progress!Z66</f>
      </c>
      <c r="R330" s="95">
        <f>IF(Q330=0,0,IF(ISNUMBER(Q330),IF(S330&gt;=$G$21,$F$21,"Q55"),Q330))</f>
      </c>
      <c r="S330" s="122">
        <f>Progress!AA66</f>
      </c>
      <c r="T330" s="97"/>
      <c r="U330" s="96">
        <f>V330/$N$419</f>
      </c>
      <c r="V330" s="176">
        <f>IF(L330&lt;$E$20,0,IF(ISTEXT(L330),0,IF(AND(G330+1&gt;=$E$19+1,L330&gt;0),IF(ISNUMBER(Q330),Q330*$AD66*AL$22*K330,$AD66*AL$22*K330),0)))</f>
      </c>
      <c r="W330" s="95">
        <f>IF(AND(L330&gt;0,S330&gt;0),IF(ISNUMBER(Q330),Q330*$AD66*AL$22*K330,$AD66*AL$22*K330),0)</f>
      </c>
      <c r="X330" s="17"/>
      <c r="Y330" s="1"/>
      <c r="Z330" s="1"/>
      <c r="AA330" s="3"/>
      <c r="AB330" s="3"/>
      <c r="AC330" s="3"/>
      <c r="AD330" s="3"/>
      <c r="AE330" s="4"/>
      <c r="AF330" s="8"/>
      <c r="AG330" s="1"/>
      <c r="AH330" s="6"/>
      <c r="AI330" s="6"/>
      <c r="AJ330" s="6"/>
      <c r="AK330" s="6"/>
      <c r="AL330" s="6"/>
      <c r="AM330" s="6"/>
      <c r="AN330" s="6"/>
      <c r="AO330" s="1"/>
      <c r="AP330" s="9"/>
      <c r="AQ330" s="2"/>
      <c r="AR330" s="3"/>
      <c r="AS330" s="10"/>
      <c r="AT330" s="1"/>
      <c r="AU330" s="1"/>
      <c r="AV330" s="1"/>
      <c r="AW330" s="1"/>
      <c r="AX330" s="1"/>
      <c r="AY330" s="1"/>
      <c r="AZ330" s="1"/>
      <c r="BA330" s="1"/>
      <c r="BB330" s="1"/>
      <c r="BC330" s="1"/>
      <c r="BD330" s="1"/>
      <c r="BE330" s="1"/>
      <c r="BF330" s="1"/>
      <c r="BG330" s="1"/>
      <c r="BH330" s="1"/>
    </row>
    <row x14ac:dyDescent="0.25" r="331" customHeight="1" ht="17.25">
      <c r="A331" s="1"/>
      <c r="B331" s="1"/>
      <c r="C331" s="1"/>
      <c r="D331" s="1"/>
      <c r="E331" s="2"/>
      <c r="F331" s="2"/>
      <c r="G331" s="90">
        <f>(S331&amp;RIGHT(R331,1))*1</f>
      </c>
      <c r="H331" s="1"/>
      <c r="I331" s="111"/>
      <c r="J331" s="126">
        <f>Planning!Q67</f>
      </c>
      <c r="K331" s="93">
        <f>VLOOKUP(J331,AA$23:AE$88,5,FALSE)</f>
      </c>
      <c r="L331" s="122">
        <f>Planning!Y67</f>
      </c>
      <c r="M331" s="95">
        <f>IF(Planning!AF67=0,0,IFERROR($AD67*AL$22,0))</f>
      </c>
      <c r="N331" s="171">
        <f>IF(Planning!AF67=0,0,IFERROR($AD67*AL$22*K331,0))</f>
      </c>
      <c r="O331" s="96">
        <f>IF(ISTEXT(Planning!Y67),0,AL67)</f>
      </c>
      <c r="P331" s="94">
        <f>Planning!AF67</f>
      </c>
      <c r="Q331" s="121">
        <f>Progress!Z67</f>
      </c>
      <c r="R331" s="95">
        <f>IF(Q331=0,0,IF(ISNUMBER(Q331),IF(S331&gt;=$G$21,$F$21,"Q56"),Q331))</f>
      </c>
      <c r="S331" s="122">
        <f>Progress!AA67</f>
      </c>
      <c r="T331" s="97"/>
      <c r="U331" s="96">
        <f>V331/$N$419</f>
      </c>
      <c r="V331" s="176">
        <f>IF(L331&lt;$E$20,0,IF(ISTEXT(L331),0,IF(AND(G331+1&gt;=$E$19+1,L331&gt;0),IF(ISNUMBER(Q331),Q331*$AD67*AL$22*K331,$AD67*AL$22*K331),0)))</f>
      </c>
      <c r="W331" s="95">
        <f>IF(AND(L331&gt;0,S331&gt;0),IF(ISNUMBER(Q331),Q331*$AD67*AL$22*K331,$AD67*AL$22*K331),0)</f>
      </c>
      <c r="X331" s="17"/>
      <c r="Y331" s="1"/>
      <c r="Z331" s="1"/>
      <c r="AA331" s="3"/>
      <c r="AB331" s="3"/>
      <c r="AC331" s="3"/>
      <c r="AD331" s="3"/>
      <c r="AE331" s="4"/>
      <c r="AF331" s="8"/>
      <c r="AG331" s="1"/>
      <c r="AH331" s="6"/>
      <c r="AI331" s="6"/>
      <c r="AJ331" s="6"/>
      <c r="AK331" s="6"/>
      <c r="AL331" s="6"/>
      <c r="AM331" s="6"/>
      <c r="AN331" s="6"/>
      <c r="AO331" s="1"/>
      <c r="AP331" s="9"/>
      <c r="AQ331" s="2"/>
      <c r="AR331" s="3"/>
      <c r="AS331" s="10"/>
      <c r="AT331" s="1"/>
      <c r="AU331" s="1"/>
      <c r="AV331" s="1"/>
      <c r="AW331" s="1"/>
      <c r="AX331" s="1"/>
      <c r="AY331" s="1"/>
      <c r="AZ331" s="1"/>
      <c r="BA331" s="1"/>
      <c r="BB331" s="1"/>
      <c r="BC331" s="1"/>
      <c r="BD331" s="1"/>
      <c r="BE331" s="1"/>
      <c r="BF331" s="1"/>
      <c r="BG331" s="1"/>
      <c r="BH331" s="1"/>
    </row>
    <row x14ac:dyDescent="0.25" r="332" customHeight="1" ht="17.25">
      <c r="A332" s="1"/>
      <c r="B332" s="1"/>
      <c r="C332" s="1"/>
      <c r="D332" s="1"/>
      <c r="E332" s="2"/>
      <c r="F332" s="2"/>
      <c r="G332" s="90">
        <f>(S332&amp;RIGHT(R332,1))*1</f>
      </c>
      <c r="H332" s="1"/>
      <c r="I332" s="111"/>
      <c r="J332" s="126">
        <f>Planning!Q68</f>
      </c>
      <c r="K332" s="93">
        <f>VLOOKUP(J332,AA$23:AE$88,5,FALSE)</f>
      </c>
      <c r="L332" s="122">
        <f>Planning!Y68</f>
      </c>
      <c r="M332" s="95">
        <f>IF(Planning!AF68=0,0,IFERROR($AD68*AL$22,0))</f>
      </c>
      <c r="N332" s="171">
        <f>IF(Planning!AF68=0,0,IFERROR($AD68*AL$22*K332,0))</f>
      </c>
      <c r="O332" s="96">
        <f>IF(ISTEXT(Planning!Y68),0,AL68)</f>
      </c>
      <c r="P332" s="94">
        <f>Planning!AF68</f>
      </c>
      <c r="Q332" s="121">
        <f>Progress!Z68</f>
      </c>
      <c r="R332" s="95">
        <f>IF(Q332=0,0,IF(ISNUMBER(Q332),IF(S332&gt;=$G$21,$F$21,"Q57"),Q332))</f>
      </c>
      <c r="S332" s="122">
        <f>Progress!AA68</f>
      </c>
      <c r="T332" s="97"/>
      <c r="U332" s="96">
        <f>V332/$N$419</f>
      </c>
      <c r="V332" s="176">
        <f>IF(L332&lt;$E$20,0,IF(ISTEXT(L332),0,IF(AND(G332+1&gt;=$E$19+1,L332&gt;0),IF(ISNUMBER(Q332),Q332*$AD68*AL$22*K332,$AD68*AL$22*K332),0)))</f>
      </c>
      <c r="W332" s="95">
        <f>IF(AND(L332&gt;0,S332&gt;0),IF(ISNUMBER(Q332),Q332*$AD68*AL$22*K332,$AD68*AL$22*K332),0)</f>
      </c>
      <c r="X332" s="17"/>
      <c r="Y332" s="1"/>
      <c r="Z332" s="1"/>
      <c r="AA332" s="3"/>
      <c r="AB332" s="3"/>
      <c r="AC332" s="3"/>
      <c r="AD332" s="3"/>
      <c r="AE332" s="4"/>
      <c r="AF332" s="8"/>
      <c r="AG332" s="1"/>
      <c r="AH332" s="6"/>
      <c r="AI332" s="6"/>
      <c r="AJ332" s="6"/>
      <c r="AK332" s="6"/>
      <c r="AL332" s="6"/>
      <c r="AM332" s="6"/>
      <c r="AN332" s="6"/>
      <c r="AO332" s="1"/>
      <c r="AP332" s="9"/>
      <c r="AQ332" s="2"/>
      <c r="AR332" s="3"/>
      <c r="AS332" s="10"/>
      <c r="AT332" s="1"/>
      <c r="AU332" s="1"/>
      <c r="AV332" s="1"/>
      <c r="AW332" s="1"/>
      <c r="AX332" s="1"/>
      <c r="AY332" s="1"/>
      <c r="AZ332" s="1"/>
      <c r="BA332" s="1"/>
      <c r="BB332" s="1"/>
      <c r="BC332" s="1"/>
      <c r="BD332" s="1"/>
      <c r="BE332" s="1"/>
      <c r="BF332" s="1"/>
      <c r="BG332" s="1"/>
      <c r="BH332" s="1"/>
    </row>
    <row x14ac:dyDescent="0.25" r="333" customHeight="1" ht="17.25">
      <c r="A333" s="1"/>
      <c r="B333" s="1"/>
      <c r="C333" s="1"/>
      <c r="D333" s="1"/>
      <c r="E333" s="2"/>
      <c r="F333" s="2"/>
      <c r="G333" s="90">
        <f>(S333&amp;RIGHT(R333,1))*1</f>
      </c>
      <c r="H333" s="1"/>
      <c r="I333" s="111"/>
      <c r="J333" s="126">
        <f>Planning!Q69</f>
      </c>
      <c r="K333" s="93">
        <f>VLOOKUP(J333,AA$23:AE$88,5,FALSE)</f>
      </c>
      <c r="L333" s="122">
        <f>Planning!Y69</f>
      </c>
      <c r="M333" s="95">
        <f>IF(Planning!AF69=0,0,IFERROR($AD69*AL$22,0))</f>
      </c>
      <c r="N333" s="171">
        <f>IF(Planning!AF69=0,0,IFERROR($AD69*AL$22*K333,0))</f>
      </c>
      <c r="O333" s="96">
        <f>IF(ISTEXT(Planning!Y69),0,AL69)</f>
      </c>
      <c r="P333" s="94">
        <f>Planning!AF69</f>
      </c>
      <c r="Q333" s="121">
        <f>Progress!Z69</f>
      </c>
      <c r="R333" s="95">
        <f>IF(Q333=0,0,IF(ISNUMBER(Q333),IF(S333&gt;=$G$21,$F$21,"Q58"),Q333))</f>
      </c>
      <c r="S333" s="122">
        <f>Progress!AA69</f>
      </c>
      <c r="T333" s="97"/>
      <c r="U333" s="96">
        <f>V333/$N$419</f>
      </c>
      <c r="V333" s="176">
        <f>IF(L333&lt;$E$20,0,IF(ISTEXT(L333),0,IF(AND(G333+1&gt;=$E$19+1,L333&gt;0),IF(ISNUMBER(Q333),Q333*$AD69*AL$22*K333,$AD69*AL$22*K333),0)))</f>
      </c>
      <c r="W333" s="95">
        <f>IF(AND(L333&gt;0,S333&gt;0),IF(ISNUMBER(Q333),Q333*$AD69*AL$22*K333,$AD69*AL$22*K333),0)</f>
      </c>
      <c r="X333" s="17"/>
      <c r="Y333" s="1"/>
      <c r="Z333" s="1"/>
      <c r="AA333" s="3"/>
      <c r="AB333" s="3"/>
      <c r="AC333" s="3"/>
      <c r="AD333" s="3"/>
      <c r="AE333" s="4"/>
      <c r="AF333" s="8"/>
      <c r="AG333" s="1"/>
      <c r="AH333" s="6"/>
      <c r="AI333" s="6"/>
      <c r="AJ333" s="6"/>
      <c r="AK333" s="6"/>
      <c r="AL333" s="6"/>
      <c r="AM333" s="6"/>
      <c r="AN333" s="6"/>
      <c r="AO333" s="1"/>
      <c r="AP333" s="9"/>
      <c r="AQ333" s="2"/>
      <c r="AR333" s="3"/>
      <c r="AS333" s="10"/>
      <c r="AT333" s="1"/>
      <c r="AU333" s="1"/>
      <c r="AV333" s="1"/>
      <c r="AW333" s="1"/>
      <c r="AX333" s="1"/>
      <c r="AY333" s="1"/>
      <c r="AZ333" s="1"/>
      <c r="BA333" s="1"/>
      <c r="BB333" s="1"/>
      <c r="BC333" s="1"/>
      <c r="BD333" s="1"/>
      <c r="BE333" s="1"/>
      <c r="BF333" s="1"/>
      <c r="BG333" s="1"/>
      <c r="BH333" s="1"/>
    </row>
    <row x14ac:dyDescent="0.25" r="334" customHeight="1" ht="17.25">
      <c r="A334" s="1"/>
      <c r="B334" s="1"/>
      <c r="C334" s="1"/>
      <c r="D334" s="1"/>
      <c r="E334" s="2"/>
      <c r="F334" s="2"/>
      <c r="G334" s="90">
        <f>(S334&amp;RIGHT(R334,1))*1</f>
      </c>
      <c r="H334" s="1"/>
      <c r="I334" s="111"/>
      <c r="J334" s="126">
        <f>Planning!Q70</f>
      </c>
      <c r="K334" s="93">
        <f>VLOOKUP(J334,AA$23:AE$88,5,FALSE)</f>
      </c>
      <c r="L334" s="122">
        <f>Planning!Y70</f>
      </c>
      <c r="M334" s="95">
        <f>IF(Planning!AF70=0,0,IFERROR($AD70*AL$22,0))</f>
      </c>
      <c r="N334" s="171">
        <f>IF(Planning!AF70=0,0,IFERROR($AD70*AL$22*K334,0))</f>
      </c>
      <c r="O334" s="96">
        <f>IF(ISTEXT(Planning!Y70),0,AL70)</f>
      </c>
      <c r="P334" s="94">
        <f>Planning!AF70</f>
      </c>
      <c r="Q334" s="121">
        <f>Progress!Z70</f>
      </c>
      <c r="R334" s="95">
        <f>IF(Q334=0,0,IF(ISNUMBER(Q334),IF(S334&gt;=$G$21,$F$21,"Q59"),Q334))</f>
      </c>
      <c r="S334" s="122">
        <f>Progress!AA70</f>
      </c>
      <c r="T334" s="97"/>
      <c r="U334" s="96">
        <f>V334/$N$419</f>
      </c>
      <c r="V334" s="176">
        <f>IF(L334&lt;$E$20,0,IF(ISTEXT(L334),0,IF(AND(G334+1&gt;=$E$19+1,L334&gt;0),IF(ISNUMBER(Q334),Q334*$AD70*AL$22*K334,$AD70*AL$22*K334),0)))</f>
      </c>
      <c r="W334" s="95">
        <f>IF(AND(L334&gt;0,S334&gt;0),IF(ISNUMBER(Q334),Q334*$AD70*AL$22*K334,$AD70*AL$22*K334),0)</f>
      </c>
      <c r="X334" s="17"/>
      <c r="Y334" s="1"/>
      <c r="Z334" s="1"/>
      <c r="AA334" s="3"/>
      <c r="AB334" s="3"/>
      <c r="AC334" s="3"/>
      <c r="AD334" s="3"/>
      <c r="AE334" s="4"/>
      <c r="AF334" s="8"/>
      <c r="AG334" s="1"/>
      <c r="AH334" s="6"/>
      <c r="AI334" s="6"/>
      <c r="AJ334" s="6"/>
      <c r="AK334" s="6"/>
      <c r="AL334" s="6"/>
      <c r="AM334" s="6"/>
      <c r="AN334" s="6"/>
      <c r="AO334" s="1"/>
      <c r="AP334" s="9"/>
      <c r="AQ334" s="2"/>
      <c r="AR334" s="3"/>
      <c r="AS334" s="10"/>
      <c r="AT334" s="1"/>
      <c r="AU334" s="1"/>
      <c r="AV334" s="1"/>
      <c r="AW334" s="1"/>
      <c r="AX334" s="1"/>
      <c r="AY334" s="1"/>
      <c r="AZ334" s="1"/>
      <c r="BA334" s="1"/>
      <c r="BB334" s="1"/>
      <c r="BC334" s="1"/>
      <c r="BD334" s="1"/>
      <c r="BE334" s="1"/>
      <c r="BF334" s="1"/>
      <c r="BG334" s="1"/>
      <c r="BH334" s="1"/>
    </row>
    <row x14ac:dyDescent="0.25" r="335" customHeight="1" ht="17.25">
      <c r="A335" s="1"/>
      <c r="B335" s="1"/>
      <c r="C335" s="1"/>
      <c r="D335" s="1"/>
      <c r="E335" s="2"/>
      <c r="F335" s="2"/>
      <c r="G335" s="90">
        <f>(S335&amp;RIGHT(R335,1))*1</f>
      </c>
      <c r="H335" s="1"/>
      <c r="I335" s="111"/>
      <c r="J335" s="126">
        <f>Planning!Q71</f>
      </c>
      <c r="K335" s="93">
        <f>VLOOKUP(J335,AA$23:AE$88,5,FALSE)</f>
      </c>
      <c r="L335" s="122">
        <f>Planning!Y71</f>
      </c>
      <c r="M335" s="95">
        <f>IF(Planning!AF71=0,0,IFERROR($AD71*AL$22,0))</f>
      </c>
      <c r="N335" s="171">
        <f>IF(Planning!AF71=0,0,IFERROR($AD71*AL$22*K335,0))</f>
      </c>
      <c r="O335" s="96">
        <f>IF(ISTEXT(Planning!Y71),0,AL71)</f>
      </c>
      <c r="P335" s="94">
        <f>Planning!AF71</f>
      </c>
      <c r="Q335" s="121">
        <f>Progress!Z71</f>
      </c>
      <c r="R335" s="95">
        <f>IF(Q335=0,0,IF(ISNUMBER(Q335),IF(S335&gt;=$G$21,$F$21,"Q60"),Q335))</f>
      </c>
      <c r="S335" s="122">
        <f>Progress!AA71</f>
      </c>
      <c r="T335" s="97"/>
      <c r="U335" s="96">
        <f>V335/$N$419</f>
      </c>
      <c r="V335" s="176">
        <f>IF(L335&lt;$E$20,0,IF(ISTEXT(L335),0,IF(AND(G335+1&gt;=$E$19+1,L335&gt;0),IF(ISNUMBER(Q335),Q335*$AD71*AL$22*K335,$AD71*AL$22*K335),0)))</f>
      </c>
      <c r="W335" s="95">
        <f>IF(AND(L335&gt;0,S335&gt;0),IF(ISNUMBER(Q335),Q335*$AD71*AL$22*K335,$AD71*AL$22*K335),0)</f>
      </c>
      <c r="X335" s="17"/>
      <c r="Y335" s="1"/>
      <c r="Z335" s="1"/>
      <c r="AA335" s="3"/>
      <c r="AB335" s="3"/>
      <c r="AC335" s="3"/>
      <c r="AD335" s="3"/>
      <c r="AE335" s="4"/>
      <c r="AF335" s="8"/>
      <c r="AG335" s="1"/>
      <c r="AH335" s="6"/>
      <c r="AI335" s="6"/>
      <c r="AJ335" s="6"/>
      <c r="AK335" s="6"/>
      <c r="AL335" s="6"/>
      <c r="AM335" s="6"/>
      <c r="AN335" s="6"/>
      <c r="AO335" s="1"/>
      <c r="AP335" s="9"/>
      <c r="AQ335" s="2"/>
      <c r="AR335" s="3"/>
      <c r="AS335" s="10"/>
      <c r="AT335" s="1"/>
      <c r="AU335" s="1"/>
      <c r="AV335" s="1"/>
      <c r="AW335" s="1"/>
      <c r="AX335" s="1"/>
      <c r="AY335" s="1"/>
      <c r="AZ335" s="1"/>
      <c r="BA335" s="1"/>
      <c r="BB335" s="1"/>
      <c r="BC335" s="1"/>
      <c r="BD335" s="1"/>
      <c r="BE335" s="1"/>
      <c r="BF335" s="1"/>
      <c r="BG335" s="1"/>
      <c r="BH335" s="1"/>
    </row>
    <row x14ac:dyDescent="0.25" r="336" customHeight="1" ht="17.25">
      <c r="A336" s="1"/>
      <c r="B336" s="1"/>
      <c r="C336" s="1"/>
      <c r="D336" s="1"/>
      <c r="E336" s="2"/>
      <c r="F336" s="2"/>
      <c r="G336" s="90">
        <f>(S336&amp;RIGHT(R336,1))*1</f>
      </c>
      <c r="H336" s="1"/>
      <c r="I336" s="111"/>
      <c r="J336" s="126">
        <f>Planning!Q72</f>
      </c>
      <c r="K336" s="93">
        <f>VLOOKUP(J336,AA$23:AE$88,5,FALSE)</f>
      </c>
      <c r="L336" s="122">
        <f>Planning!Y72</f>
      </c>
      <c r="M336" s="95">
        <f>IF(Planning!AF72=0,0,IFERROR($AD72*AL$22,0))</f>
      </c>
      <c r="N336" s="171">
        <f>IF(Planning!AF72=0,0,IFERROR($AD72*AL$22*K336,0))</f>
      </c>
      <c r="O336" s="96">
        <f>IF(ISTEXT(Planning!Y72),0,AL72)</f>
      </c>
      <c r="P336" s="94">
        <f>Planning!AF72</f>
      </c>
      <c r="Q336" s="121">
        <f>Progress!Z72</f>
      </c>
      <c r="R336" s="95">
        <f>IF(Q336=0,0,IF(ISNUMBER(Q336),IF(S336&gt;=$G$21,$F$21,"Q61"),Q336))</f>
      </c>
      <c r="S336" s="122">
        <f>Progress!AA72</f>
      </c>
      <c r="T336" s="97"/>
      <c r="U336" s="96">
        <f>V336/$N$419</f>
      </c>
      <c r="V336" s="176">
        <f>IF(L336&lt;$E$20,0,IF(ISTEXT(L336),0,IF(AND(G336+1&gt;=$E$19+1,L336&gt;0),IF(ISNUMBER(Q336),Q336*$AD72*AL$22*K336,$AD72*AL$22*K336),0)))</f>
      </c>
      <c r="W336" s="95">
        <f>IF(AND(L336&gt;0,S336&gt;0),IF(ISNUMBER(Q336),Q336*$AD72*AL$22*K336,$AD72*AL$22*K336),0)</f>
      </c>
      <c r="X336" s="17"/>
      <c r="Y336" s="1"/>
      <c r="Z336" s="1"/>
      <c r="AA336" s="3"/>
      <c r="AB336" s="3"/>
      <c r="AC336" s="3"/>
      <c r="AD336" s="3"/>
      <c r="AE336" s="4"/>
      <c r="AF336" s="8"/>
      <c r="AG336" s="1"/>
      <c r="AH336" s="6"/>
      <c r="AI336" s="6"/>
      <c r="AJ336" s="6"/>
      <c r="AK336" s="6"/>
      <c r="AL336" s="6"/>
      <c r="AM336" s="6"/>
      <c r="AN336" s="6"/>
      <c r="AO336" s="1"/>
      <c r="AP336" s="9"/>
      <c r="AQ336" s="2"/>
      <c r="AR336" s="3"/>
      <c r="AS336" s="10"/>
      <c r="AT336" s="1"/>
      <c r="AU336" s="1"/>
      <c r="AV336" s="1"/>
      <c r="AW336" s="1"/>
      <c r="AX336" s="1"/>
      <c r="AY336" s="1"/>
      <c r="AZ336" s="1"/>
      <c r="BA336" s="1"/>
      <c r="BB336" s="1"/>
      <c r="BC336" s="1"/>
      <c r="BD336" s="1"/>
      <c r="BE336" s="1"/>
      <c r="BF336" s="1"/>
      <c r="BG336" s="1"/>
      <c r="BH336" s="1"/>
    </row>
    <row x14ac:dyDescent="0.25" r="337" customHeight="1" ht="17.25">
      <c r="A337" s="1"/>
      <c r="B337" s="1"/>
      <c r="C337" s="1"/>
      <c r="D337" s="1"/>
      <c r="E337" s="2"/>
      <c r="F337" s="2"/>
      <c r="G337" s="90">
        <f>(S337&amp;RIGHT(R337,1))*1</f>
      </c>
      <c r="H337" s="1"/>
      <c r="I337" s="111"/>
      <c r="J337" s="126">
        <f>Planning!Q73</f>
      </c>
      <c r="K337" s="93">
        <f>VLOOKUP(J337,AA$23:AE$88,5,FALSE)</f>
      </c>
      <c r="L337" s="122">
        <f>Planning!Y73</f>
      </c>
      <c r="M337" s="95">
        <f>IF(Planning!AF73=0,0,IFERROR($AD73*AL$22,0))</f>
      </c>
      <c r="N337" s="171">
        <f>IF(Planning!AF73=0,0,IFERROR($AD73*AL$22*K337,0))</f>
      </c>
      <c r="O337" s="96">
        <f>IF(ISTEXT(Planning!Y73),0,AL73)</f>
      </c>
      <c r="P337" s="94">
        <f>Planning!AF73</f>
      </c>
      <c r="Q337" s="121">
        <f>Progress!Z73</f>
      </c>
      <c r="R337" s="95">
        <f>IF(Q337=0,0,IF(ISNUMBER(Q337),IF(S337&gt;=$G$21,$F$21,"Q62"),Q337))</f>
      </c>
      <c r="S337" s="122">
        <f>Progress!AA73</f>
      </c>
      <c r="T337" s="97"/>
      <c r="U337" s="96">
        <f>V337/$N$419</f>
      </c>
      <c r="V337" s="176">
        <f>IF(L337&lt;$E$20,0,IF(ISTEXT(L337),0,IF(AND(G337+1&gt;=$E$19+1,L337&gt;0),IF(ISNUMBER(Q337),Q337*$AD73*AL$22*K337,$AD73*AL$22*K337),0)))</f>
      </c>
      <c r="W337" s="95">
        <f>IF(AND(L337&gt;0,S337&gt;0),IF(ISNUMBER(Q337),Q337*$AD73*AL$22*K337,$AD73*AL$22*K337),0)</f>
      </c>
      <c r="X337" s="17"/>
      <c r="Y337" s="1"/>
      <c r="Z337" s="1"/>
      <c r="AA337" s="3"/>
      <c r="AB337" s="3"/>
      <c r="AC337" s="3"/>
      <c r="AD337" s="3"/>
      <c r="AE337" s="4"/>
      <c r="AF337" s="8"/>
      <c r="AG337" s="1"/>
      <c r="AH337" s="6"/>
      <c r="AI337" s="6"/>
      <c r="AJ337" s="6"/>
      <c r="AK337" s="6"/>
      <c r="AL337" s="6"/>
      <c r="AM337" s="6"/>
      <c r="AN337" s="6"/>
      <c r="AO337" s="1"/>
      <c r="AP337" s="9"/>
      <c r="AQ337" s="2"/>
      <c r="AR337" s="3"/>
      <c r="AS337" s="10"/>
      <c r="AT337" s="1"/>
      <c r="AU337" s="1"/>
      <c r="AV337" s="1"/>
      <c r="AW337" s="1"/>
      <c r="AX337" s="1"/>
      <c r="AY337" s="1"/>
      <c r="AZ337" s="1"/>
      <c r="BA337" s="1"/>
      <c r="BB337" s="1"/>
      <c r="BC337" s="1"/>
      <c r="BD337" s="1"/>
      <c r="BE337" s="1"/>
      <c r="BF337" s="1"/>
      <c r="BG337" s="1"/>
      <c r="BH337" s="1"/>
    </row>
    <row x14ac:dyDescent="0.25" r="338" customHeight="1" ht="17.25">
      <c r="A338" s="1"/>
      <c r="B338" s="1"/>
      <c r="C338" s="1"/>
      <c r="D338" s="1"/>
      <c r="E338" s="2"/>
      <c r="F338" s="2"/>
      <c r="G338" s="90">
        <f>(S338&amp;RIGHT(R338,1))*1</f>
      </c>
      <c r="H338" s="1"/>
      <c r="I338" s="111"/>
      <c r="J338" s="126">
        <f>Planning!Q74</f>
      </c>
      <c r="K338" s="93">
        <f>VLOOKUP(J338,AA$23:AE$88,5,FALSE)</f>
      </c>
      <c r="L338" s="122">
        <f>Planning!Y74</f>
      </c>
      <c r="M338" s="95">
        <f>IF(Planning!AF74=0,0,IFERROR($AD74*AL$22,0))</f>
      </c>
      <c r="N338" s="171">
        <f>IF(Planning!AF74=0,0,IFERROR($AD74*AL$22*K338,0))</f>
      </c>
      <c r="O338" s="96">
        <f>IF(ISTEXT(Planning!Y74),0,AL74)</f>
      </c>
      <c r="P338" s="94">
        <f>Planning!AF74</f>
      </c>
      <c r="Q338" s="121">
        <f>Progress!Z74</f>
      </c>
      <c r="R338" s="95">
        <f>IF(Q338=0,0,IF(ISNUMBER(Q338),IF(S338&gt;=$G$21,$F$21,"Q63"),Q338))</f>
      </c>
      <c r="S338" s="122">
        <f>Progress!AA74</f>
      </c>
      <c r="T338" s="97"/>
      <c r="U338" s="96">
        <f>V338/$N$419</f>
      </c>
      <c r="V338" s="176">
        <f>IF(L338&lt;$E$20,0,IF(ISTEXT(L338),0,IF(AND(G338+1&gt;=$E$19+1,L338&gt;0),IF(ISNUMBER(Q338),Q338*$AD74*AL$22*K338,$AD74*AL$22*K338),0)))</f>
      </c>
      <c r="W338" s="95">
        <f>IF(AND(L338&gt;0,S338&gt;0),IF(ISNUMBER(Q338),Q338*$AD74*AL$22*K338,$AD74*AL$22*K338),0)</f>
      </c>
      <c r="X338" s="17"/>
      <c r="Y338" s="1"/>
      <c r="Z338" s="1"/>
      <c r="AA338" s="3"/>
      <c r="AB338" s="3"/>
      <c r="AC338" s="3"/>
      <c r="AD338" s="3"/>
      <c r="AE338" s="4"/>
      <c r="AF338" s="8"/>
      <c r="AG338" s="1"/>
      <c r="AH338" s="6"/>
      <c r="AI338" s="6"/>
      <c r="AJ338" s="6"/>
      <c r="AK338" s="6"/>
      <c r="AL338" s="6"/>
      <c r="AM338" s="6"/>
      <c r="AN338" s="6"/>
      <c r="AO338" s="1"/>
      <c r="AP338" s="9"/>
      <c r="AQ338" s="2"/>
      <c r="AR338" s="3"/>
      <c r="AS338" s="10"/>
      <c r="AT338" s="1"/>
      <c r="AU338" s="1"/>
      <c r="AV338" s="1"/>
      <c r="AW338" s="1"/>
      <c r="AX338" s="1"/>
      <c r="AY338" s="1"/>
      <c r="AZ338" s="1"/>
      <c r="BA338" s="1"/>
      <c r="BB338" s="1"/>
      <c r="BC338" s="1"/>
      <c r="BD338" s="1"/>
      <c r="BE338" s="1"/>
      <c r="BF338" s="1"/>
      <c r="BG338" s="1"/>
      <c r="BH338" s="1"/>
    </row>
    <row x14ac:dyDescent="0.25" r="339" customHeight="1" ht="17.25">
      <c r="A339" s="1"/>
      <c r="B339" s="1"/>
      <c r="C339" s="1"/>
      <c r="D339" s="1"/>
      <c r="E339" s="2"/>
      <c r="F339" s="2"/>
      <c r="G339" s="90">
        <f>(S339&amp;RIGHT(R339,1))*1</f>
      </c>
      <c r="H339" s="1"/>
      <c r="I339" s="111"/>
      <c r="J339" s="126">
        <f>Planning!Q75</f>
      </c>
      <c r="K339" s="93">
        <f>VLOOKUP(J339,AA$23:AE$88,5,FALSE)</f>
      </c>
      <c r="L339" s="122">
        <f>Planning!Y75</f>
      </c>
      <c r="M339" s="95">
        <f>IF(Planning!AF75=0,0,IFERROR($AD75*AL$22,0))</f>
      </c>
      <c r="N339" s="171">
        <f>IF(Planning!AF75=0,0,IFERROR($AD75*AL$22*K339,0))</f>
      </c>
      <c r="O339" s="96">
        <f>IF(ISTEXT(Planning!Y75),0,AL75)</f>
      </c>
      <c r="P339" s="94">
        <f>Planning!AF75</f>
      </c>
      <c r="Q339" s="121">
        <f>Progress!Z75</f>
      </c>
      <c r="R339" s="95">
        <f>IF(Q339=0,0,IF(ISNUMBER(Q339),IF(S339&gt;=$G$21,$F$21,"Q64"),Q339))</f>
      </c>
      <c r="S339" s="122">
        <f>Progress!AA75</f>
      </c>
      <c r="T339" s="97"/>
      <c r="U339" s="96">
        <f>V339/$N$419</f>
      </c>
      <c r="V339" s="176">
        <f>IF(L339&lt;$E$20,0,IF(ISTEXT(L339),0,IF(AND(G339+1&gt;=$E$19+1,L339&gt;0),IF(ISNUMBER(Q339),Q339*$AD75*AL$22*K339,$AD75*AL$22*K339),0)))</f>
      </c>
      <c r="W339" s="95">
        <f>IF(AND(L339&gt;0,S339&gt;0),IF(ISNUMBER(Q339),Q339*$AD75*AL$22*K339,$AD75*AL$22*K339),0)</f>
      </c>
      <c r="X339" s="17"/>
      <c r="Y339" s="1"/>
      <c r="Z339" s="1"/>
      <c r="AA339" s="3"/>
      <c r="AB339" s="3"/>
      <c r="AC339" s="3"/>
      <c r="AD339" s="3"/>
      <c r="AE339" s="4"/>
      <c r="AF339" s="8"/>
      <c r="AG339" s="1"/>
      <c r="AH339" s="6"/>
      <c r="AI339" s="6"/>
      <c r="AJ339" s="6"/>
      <c r="AK339" s="6"/>
      <c r="AL339" s="6"/>
      <c r="AM339" s="6"/>
      <c r="AN339" s="6"/>
      <c r="AO339" s="1"/>
      <c r="AP339" s="9"/>
      <c r="AQ339" s="2"/>
      <c r="AR339" s="3"/>
      <c r="AS339" s="10"/>
      <c r="AT339" s="1"/>
      <c r="AU339" s="1"/>
      <c r="AV339" s="1"/>
      <c r="AW339" s="1"/>
      <c r="AX339" s="1"/>
      <c r="AY339" s="1"/>
      <c r="AZ339" s="1"/>
      <c r="BA339" s="1"/>
      <c r="BB339" s="1"/>
      <c r="BC339" s="1"/>
      <c r="BD339" s="1"/>
      <c r="BE339" s="1"/>
      <c r="BF339" s="1"/>
      <c r="BG339" s="1"/>
      <c r="BH339" s="1"/>
    </row>
    <row x14ac:dyDescent="0.25" r="340" customHeight="1" ht="17.25">
      <c r="A340" s="1"/>
      <c r="B340" s="1"/>
      <c r="C340" s="1"/>
      <c r="D340" s="1"/>
      <c r="E340" s="2"/>
      <c r="F340" s="2"/>
      <c r="G340" s="90">
        <f>(S340&amp;RIGHT(R340,1))*1</f>
      </c>
      <c r="H340" s="1"/>
      <c r="I340" s="111"/>
      <c r="J340" s="126">
        <f>Planning!Q76</f>
      </c>
      <c r="K340" s="93">
        <f>VLOOKUP(J340,AA$23:AE$88,5,FALSE)</f>
      </c>
      <c r="L340" s="122">
        <f>Planning!Y76</f>
      </c>
      <c r="M340" s="95">
        <f>IF(Planning!AF76=0,0,IFERROR($AD76*AL$22,0))</f>
      </c>
      <c r="N340" s="171">
        <f>IF(Planning!AF76=0,0,IFERROR($AD76*AL$22*K340,0))</f>
      </c>
      <c r="O340" s="96">
        <f>IF(ISTEXT(Planning!Y76),0,AL76)</f>
      </c>
      <c r="P340" s="94">
        <f>Planning!AF76</f>
      </c>
      <c r="Q340" s="121">
        <f>Progress!Z76</f>
      </c>
      <c r="R340" s="95">
        <f>IF(Q340=0,0,IF(ISNUMBER(Q340),IF(S340&gt;=$G$21,$F$21,"Q65"),Q340))</f>
      </c>
      <c r="S340" s="122">
        <f>Progress!AA76</f>
      </c>
      <c r="T340" s="97"/>
      <c r="U340" s="96">
        <f>V340/$N$419</f>
      </c>
      <c r="V340" s="176">
        <f>IF(L340&lt;$E$20,0,IF(ISTEXT(L340),0,IF(AND(G340+1&gt;=$E$19+1,L340&gt;0),IF(ISNUMBER(Q340),Q340*$AD76*AL$22*K340,$AD76*AL$22*K340),0)))</f>
      </c>
      <c r="W340" s="95">
        <f>IF(AND(L340&gt;0,S340&gt;0),IF(ISNUMBER(Q340),Q340*$AD76*AL$22*K340,$AD76*AL$22*K340),0)</f>
      </c>
      <c r="X340" s="17"/>
      <c r="Y340" s="1"/>
      <c r="Z340" s="1"/>
      <c r="AA340" s="3"/>
      <c r="AB340" s="3"/>
      <c r="AC340" s="3"/>
      <c r="AD340" s="3"/>
      <c r="AE340" s="4"/>
      <c r="AF340" s="8"/>
      <c r="AG340" s="1"/>
      <c r="AH340" s="6"/>
      <c r="AI340" s="6"/>
      <c r="AJ340" s="6"/>
      <c r="AK340" s="6"/>
      <c r="AL340" s="6"/>
      <c r="AM340" s="6"/>
      <c r="AN340" s="6"/>
      <c r="AO340" s="1"/>
      <c r="AP340" s="9"/>
      <c r="AQ340" s="2"/>
      <c r="AR340" s="3"/>
      <c r="AS340" s="10"/>
      <c r="AT340" s="1"/>
      <c r="AU340" s="1"/>
      <c r="AV340" s="1"/>
      <c r="AW340" s="1"/>
      <c r="AX340" s="1"/>
      <c r="AY340" s="1"/>
      <c r="AZ340" s="1"/>
      <c r="BA340" s="1"/>
      <c r="BB340" s="1"/>
      <c r="BC340" s="1"/>
      <c r="BD340" s="1"/>
      <c r="BE340" s="1"/>
      <c r="BF340" s="1"/>
      <c r="BG340" s="1"/>
      <c r="BH340" s="1"/>
    </row>
    <row x14ac:dyDescent="0.25" r="341" customHeight="1" ht="17.25">
      <c r="A341" s="1"/>
      <c r="B341" s="1"/>
      <c r="C341" s="1"/>
      <c r="D341" s="1"/>
      <c r="E341" s="2"/>
      <c r="F341" s="2"/>
      <c r="G341" s="90">
        <f>(S341&amp;RIGHT(R341,1))*1</f>
      </c>
      <c r="H341" s="1"/>
      <c r="I341" s="111"/>
      <c r="J341" s="126">
        <f>Planning!Q77</f>
      </c>
      <c r="K341" s="93">
        <f>VLOOKUP(J341,AA$23:AE$88,5,FALSE)</f>
      </c>
      <c r="L341" s="122">
        <f>Planning!Y77</f>
      </c>
      <c r="M341" s="95">
        <f>IF(Planning!AF77=0,0,IFERROR($AD77*AL$22,0))</f>
      </c>
      <c r="N341" s="171">
        <f>IF(Planning!AF77=0,0,IFERROR($AD77*AL$22*K341,0))</f>
      </c>
      <c r="O341" s="96">
        <f>IF(ISTEXT(Planning!Y77),0,AL77)</f>
      </c>
      <c r="P341" s="94">
        <f>Planning!AF77</f>
      </c>
      <c r="Q341" s="121">
        <f>Progress!Z77</f>
      </c>
      <c r="R341" s="95">
        <f>IF(Q341=0,0,IF(ISNUMBER(Q341),IF(S341&gt;=$G$21,$F$21,"Q66"),Q341))</f>
      </c>
      <c r="S341" s="122">
        <f>Progress!AA77</f>
      </c>
      <c r="T341" s="97"/>
      <c r="U341" s="96">
        <f>V341/$N$419</f>
      </c>
      <c r="V341" s="176">
        <f>IF(L341&lt;$E$20,0,IF(ISTEXT(L341),0,IF(AND(G341+1&gt;=$E$19+1,L341&gt;0),IF(ISNUMBER(Q341),Q341*$AD77*AL$22*K341,$AD77*AL$22*K341),0)))</f>
      </c>
      <c r="W341" s="95">
        <f>IF(AND(L341&gt;0,S341&gt;0),IF(ISNUMBER(Q341),Q341*$AD77*AL$22*K341,$AD77*AL$22*K341),0)</f>
      </c>
      <c r="X341" s="17"/>
      <c r="Y341" s="1"/>
      <c r="Z341" s="1"/>
      <c r="AA341" s="3"/>
      <c r="AB341" s="3"/>
      <c r="AC341" s="3"/>
      <c r="AD341" s="3"/>
      <c r="AE341" s="4"/>
      <c r="AF341" s="8"/>
      <c r="AG341" s="1"/>
      <c r="AH341" s="6"/>
      <c r="AI341" s="6"/>
      <c r="AJ341" s="6"/>
      <c r="AK341" s="6"/>
      <c r="AL341" s="6"/>
      <c r="AM341" s="6"/>
      <c r="AN341" s="6"/>
      <c r="AO341" s="1"/>
      <c r="AP341" s="9"/>
      <c r="AQ341" s="2"/>
      <c r="AR341" s="3"/>
      <c r="AS341" s="10"/>
      <c r="AT341" s="1"/>
      <c r="AU341" s="1"/>
      <c r="AV341" s="1"/>
      <c r="AW341" s="1"/>
      <c r="AX341" s="1"/>
      <c r="AY341" s="1"/>
      <c r="AZ341" s="1"/>
      <c r="BA341" s="1"/>
      <c r="BB341" s="1"/>
      <c r="BC341" s="1"/>
      <c r="BD341" s="1"/>
      <c r="BE341" s="1"/>
      <c r="BF341" s="1"/>
      <c r="BG341" s="1"/>
      <c r="BH341" s="1"/>
    </row>
    <row x14ac:dyDescent="0.25" r="342" customHeight="1" ht="17.25">
      <c r="A342" s="1"/>
      <c r="B342" s="1"/>
      <c r="C342" s="1"/>
      <c r="D342" s="1"/>
      <c r="E342" s="2"/>
      <c r="F342" s="2"/>
      <c r="G342" s="90">
        <f>(S342&amp;RIGHT(R342,1))*1</f>
      </c>
      <c r="H342" s="1"/>
      <c r="I342" s="111"/>
      <c r="J342" s="126">
        <f>Planning!Q78</f>
      </c>
      <c r="K342" s="93">
        <f>VLOOKUP(J342,AA$23:AE$88,5,FALSE)</f>
      </c>
      <c r="L342" s="122">
        <f>Planning!Y78</f>
      </c>
      <c r="M342" s="95">
        <f>IF(Planning!AF78=0,0,IFERROR($AD78*AL$22,0))</f>
      </c>
      <c r="N342" s="171">
        <f>IF(Planning!AF78=0,0,IFERROR($AD78*AL$22*K342,0))</f>
      </c>
      <c r="O342" s="96">
        <f>IF(ISTEXT(Planning!Y78),0,AL78)</f>
      </c>
      <c r="P342" s="94">
        <f>Planning!AF78</f>
      </c>
      <c r="Q342" s="121">
        <f>Progress!Z78</f>
      </c>
      <c r="R342" s="95">
        <f>IF(Q342=0,0,IF(ISNUMBER(Q342),IF(S342&gt;=$G$21,$F$21,"Q67"),Q342))</f>
      </c>
      <c r="S342" s="122">
        <f>Progress!AA78</f>
      </c>
      <c r="T342" s="97"/>
      <c r="U342" s="96">
        <f>V342/$N$419</f>
      </c>
      <c r="V342" s="176">
        <f>IF(L342&lt;$E$20,0,IF(ISTEXT(L342),0,IF(AND(G342+1&gt;=$E$19+1,L342&gt;0),IF(ISNUMBER(Q342),Q342*$AD78*AL$22*K342,$AD78*AL$22*K342),0)))</f>
      </c>
      <c r="W342" s="95">
        <f>IF(AND(L342&gt;0,S342&gt;0),IF(ISNUMBER(Q342),Q342*$AD78*AL$22*K342,$AD78*AL$22*K342),0)</f>
      </c>
      <c r="X342" s="17"/>
      <c r="Y342" s="1"/>
      <c r="Z342" s="1"/>
      <c r="AA342" s="3"/>
      <c r="AB342" s="3"/>
      <c r="AC342" s="3"/>
      <c r="AD342" s="3"/>
      <c r="AE342" s="4"/>
      <c r="AF342" s="8"/>
      <c r="AG342" s="1"/>
      <c r="AH342" s="6"/>
      <c r="AI342" s="6"/>
      <c r="AJ342" s="6"/>
      <c r="AK342" s="6"/>
      <c r="AL342" s="6"/>
      <c r="AM342" s="6"/>
      <c r="AN342" s="6"/>
      <c r="AO342" s="1"/>
      <c r="AP342" s="9"/>
      <c r="AQ342" s="2"/>
      <c r="AR342" s="3"/>
      <c r="AS342" s="10"/>
      <c r="AT342" s="1"/>
      <c r="AU342" s="1"/>
      <c r="AV342" s="1"/>
      <c r="AW342" s="1"/>
      <c r="AX342" s="1"/>
      <c r="AY342" s="1"/>
      <c r="AZ342" s="1"/>
      <c r="BA342" s="1"/>
      <c r="BB342" s="1"/>
      <c r="BC342" s="1"/>
      <c r="BD342" s="1"/>
      <c r="BE342" s="1"/>
      <c r="BF342" s="1"/>
      <c r="BG342" s="1"/>
      <c r="BH342" s="1"/>
    </row>
    <row x14ac:dyDescent="0.25" r="343" customHeight="1" ht="17.25">
      <c r="A343" s="1"/>
      <c r="B343" s="1"/>
      <c r="C343" s="1"/>
      <c r="D343" s="1"/>
      <c r="E343" s="2"/>
      <c r="F343" s="2"/>
      <c r="G343" s="90">
        <f>(S343&amp;RIGHT(R343,1))*1</f>
      </c>
      <c r="H343" s="1"/>
      <c r="I343" s="111"/>
      <c r="J343" s="126">
        <f>Planning!Q79</f>
      </c>
      <c r="K343" s="93">
        <f>VLOOKUP(J343,AA$23:AE$88,5,FALSE)</f>
      </c>
      <c r="L343" s="122">
        <f>Planning!Y79</f>
      </c>
      <c r="M343" s="95">
        <f>IF(Planning!AF79=0,0,IFERROR($AD79*AL$22,0))</f>
      </c>
      <c r="N343" s="171">
        <f>IF(Planning!AF79=0,0,IFERROR($AD79*AL$22*K343,0))</f>
      </c>
      <c r="O343" s="96">
        <f>IF(ISTEXT(Planning!Y79),0,AL79)</f>
      </c>
      <c r="P343" s="94">
        <f>Planning!AF79</f>
      </c>
      <c r="Q343" s="121">
        <f>Progress!Z79</f>
      </c>
      <c r="R343" s="95">
        <f>IF(Q343=0,0,IF(ISNUMBER(Q343),IF(S343&gt;=$G$21,$F$21,"Q4"),Q343))</f>
      </c>
      <c r="S343" s="122">
        <f>Progress!AA79</f>
      </c>
      <c r="T343" s="97"/>
      <c r="U343" s="96">
        <f>V343/$N$419</f>
      </c>
      <c r="V343" s="176">
        <f>IF(L343&lt;$E$20,0,IF(ISTEXT(L343),0,IF(AND(G343+1&gt;=$E$19+1,L343&gt;0),IF(ISNUMBER(Q343),Q343*$AD79*AL$22*K343,$AD79*AL$22*K343),0)))</f>
      </c>
      <c r="W343" s="95">
        <f>IF(AND(L343&gt;0,S343&gt;0),IF(ISNUMBER(Q343),Q343*$AD79*AL$22*K343,$AD79*AL$22*K343),0)</f>
      </c>
      <c r="X343" s="17"/>
      <c r="Y343" s="1"/>
      <c r="Z343" s="1"/>
      <c r="AA343" s="3"/>
      <c r="AB343" s="3"/>
      <c r="AC343" s="3"/>
      <c r="AD343" s="3"/>
      <c r="AE343" s="4"/>
      <c r="AF343" s="8"/>
      <c r="AG343" s="1"/>
      <c r="AH343" s="6"/>
      <c r="AI343" s="6"/>
      <c r="AJ343" s="6"/>
      <c r="AK343" s="6"/>
      <c r="AL343" s="6"/>
      <c r="AM343" s="6"/>
      <c r="AN343" s="6"/>
      <c r="AO343" s="1"/>
      <c r="AP343" s="9"/>
      <c r="AQ343" s="2"/>
      <c r="AR343" s="3"/>
      <c r="AS343" s="10"/>
      <c r="AT343" s="1"/>
      <c r="AU343" s="1"/>
      <c r="AV343" s="1"/>
      <c r="AW343" s="1"/>
      <c r="AX343" s="1"/>
      <c r="AY343" s="1"/>
      <c r="AZ343" s="1"/>
      <c r="BA343" s="1"/>
      <c r="BB343" s="1"/>
      <c r="BC343" s="1"/>
      <c r="BD343" s="1"/>
      <c r="BE343" s="1"/>
      <c r="BF343" s="1"/>
      <c r="BG343" s="1"/>
      <c r="BH343" s="1"/>
    </row>
    <row x14ac:dyDescent="0.25" r="344" customHeight="1" ht="17.25">
      <c r="A344" s="1"/>
      <c r="B344" s="1"/>
      <c r="C344" s="1"/>
      <c r="D344" s="1"/>
      <c r="E344" s="2"/>
      <c r="F344" s="2"/>
      <c r="G344" s="90">
        <f>(S344&amp;RIGHT(R344,1))*1</f>
      </c>
      <c r="H344" s="1"/>
      <c r="I344" s="111"/>
      <c r="J344" s="126">
        <f>Planning!Q80</f>
      </c>
      <c r="K344" s="93">
        <f>VLOOKUP(J344,AA$23:AE$88,5,FALSE)</f>
      </c>
      <c r="L344" s="122">
        <f>Planning!Y80</f>
      </c>
      <c r="M344" s="95">
        <f>IF(Planning!AF80=0,0,IFERROR($AD80*AL$22,0))</f>
      </c>
      <c r="N344" s="171">
        <f>IF(Planning!AF80=0,0,IFERROR($AD80*AL$22*K344,0))</f>
      </c>
      <c r="O344" s="96">
        <f>IF(ISTEXT(Planning!Y80),0,AL80)</f>
      </c>
      <c r="P344" s="94">
        <f>Planning!AF80</f>
      </c>
      <c r="Q344" s="121">
        <f>Progress!Z80</f>
      </c>
      <c r="R344" s="95">
        <f>IF(Q344=0,0,IF(ISNUMBER(Q344),IF(S344&gt;=$G$21,$F$21,"Q5"),Q344))</f>
      </c>
      <c r="S344" s="122">
        <f>Progress!AA80</f>
      </c>
      <c r="T344" s="97"/>
      <c r="U344" s="96">
        <f>V344/$N$419</f>
      </c>
      <c r="V344" s="176">
        <f>IF(L344&lt;$E$20,0,IF(ISTEXT(L344),0,IF(AND(G344+1&gt;=$E$19+1,L344&gt;0),IF(ISNUMBER(Q344),Q344*$AD80*AL$22*K344,$AD80*AL$22*K344),0)))</f>
      </c>
      <c r="W344" s="95">
        <f>IF(AND(L344&gt;0,S344&gt;0),IF(ISNUMBER(Q344),Q344*$AD80*AL$22*K344,$AD80*AL$22*K344),0)</f>
      </c>
      <c r="X344" s="17"/>
      <c r="Y344" s="1"/>
      <c r="Z344" s="1"/>
      <c r="AA344" s="3"/>
      <c r="AB344" s="3"/>
      <c r="AC344" s="3"/>
      <c r="AD344" s="3"/>
      <c r="AE344" s="4"/>
      <c r="AF344" s="8"/>
      <c r="AG344" s="1"/>
      <c r="AH344" s="6"/>
      <c r="AI344" s="6"/>
      <c r="AJ344" s="6"/>
      <c r="AK344" s="6"/>
      <c r="AL344" s="6"/>
      <c r="AM344" s="6"/>
      <c r="AN344" s="6"/>
      <c r="AO344" s="1"/>
      <c r="AP344" s="9"/>
      <c r="AQ344" s="2"/>
      <c r="AR344" s="3"/>
      <c r="AS344" s="10"/>
      <c r="AT344" s="1"/>
      <c r="AU344" s="1"/>
      <c r="AV344" s="1"/>
      <c r="AW344" s="1"/>
      <c r="AX344" s="1"/>
      <c r="AY344" s="1"/>
      <c r="AZ344" s="1"/>
      <c r="BA344" s="1"/>
      <c r="BB344" s="1"/>
      <c r="BC344" s="1"/>
      <c r="BD344" s="1"/>
      <c r="BE344" s="1"/>
      <c r="BF344" s="1"/>
      <c r="BG344" s="1"/>
      <c r="BH344" s="1"/>
    </row>
    <row x14ac:dyDescent="0.25" r="345" customHeight="1" ht="17.25">
      <c r="A345" s="1"/>
      <c r="B345" s="1"/>
      <c r="C345" s="1"/>
      <c r="D345" s="1"/>
      <c r="E345" s="2"/>
      <c r="F345" s="2"/>
      <c r="G345" s="90">
        <f>(S345&amp;RIGHT(R345,1))*1</f>
      </c>
      <c r="H345" s="1"/>
      <c r="I345" s="111"/>
      <c r="J345" s="126">
        <f>Planning!Q81</f>
      </c>
      <c r="K345" s="93">
        <f>VLOOKUP(J345,AA$23:AE$88,5,FALSE)</f>
      </c>
      <c r="L345" s="122">
        <f>Planning!Y81</f>
      </c>
      <c r="M345" s="95">
        <f>IF(Planning!AF81=0,0,IFERROR($AD81*AL$22,0))</f>
      </c>
      <c r="N345" s="171">
        <f>IF(Planning!AF81=0,0,IFERROR($AD81*AL$22*K345,0))</f>
      </c>
      <c r="O345" s="96">
        <f>IF(ISTEXT(Planning!Y81),0,AL81)</f>
      </c>
      <c r="P345" s="94">
        <f>Planning!AF81</f>
      </c>
      <c r="Q345" s="121">
        <f>Progress!Z81</f>
      </c>
      <c r="R345" s="95">
        <f>IF(Q345=0,0,IF(ISNUMBER(Q345),IF(S345&gt;=$G$21,$F$21,"Q6"),Q345))</f>
      </c>
      <c r="S345" s="122">
        <f>Progress!AA81</f>
      </c>
      <c r="T345" s="97"/>
      <c r="U345" s="96">
        <f>V345/$N$419</f>
      </c>
      <c r="V345" s="176">
        <f>IF(L345&lt;$E$20,0,IF(ISTEXT(L345),0,IF(AND(G345+1&gt;=$E$19+1,L345&gt;0),IF(ISNUMBER(Q345),Q345*$AD81*AL$22*K345,$AD81*AL$22*K345),0)))</f>
      </c>
      <c r="W345" s="95">
        <f>IF(AND(L345&gt;0,S345&gt;0),IF(ISNUMBER(Q345),Q345*$AD81*AL$22*K345,$AD81*AL$22*K345),0)</f>
      </c>
      <c r="X345" s="17"/>
      <c r="Y345" s="1"/>
      <c r="Z345" s="1"/>
      <c r="AA345" s="3"/>
      <c r="AB345" s="3"/>
      <c r="AC345" s="3"/>
      <c r="AD345" s="3"/>
      <c r="AE345" s="4"/>
      <c r="AF345" s="8"/>
      <c r="AG345" s="1"/>
      <c r="AH345" s="6"/>
      <c r="AI345" s="6"/>
      <c r="AJ345" s="6"/>
      <c r="AK345" s="6"/>
      <c r="AL345" s="6"/>
      <c r="AM345" s="6"/>
      <c r="AN345" s="6"/>
      <c r="AO345" s="1"/>
      <c r="AP345" s="9"/>
      <c r="AQ345" s="2"/>
      <c r="AR345" s="3"/>
      <c r="AS345" s="10"/>
      <c r="AT345" s="1"/>
      <c r="AU345" s="1"/>
      <c r="AV345" s="1"/>
      <c r="AW345" s="1"/>
      <c r="AX345" s="1"/>
      <c r="AY345" s="1"/>
      <c r="AZ345" s="1"/>
      <c r="BA345" s="1"/>
      <c r="BB345" s="1"/>
      <c r="BC345" s="1"/>
      <c r="BD345" s="1"/>
      <c r="BE345" s="1"/>
      <c r="BF345" s="1"/>
      <c r="BG345" s="1"/>
      <c r="BH345" s="1"/>
    </row>
    <row x14ac:dyDescent="0.25" r="346" customHeight="1" ht="17.25">
      <c r="A346" s="1"/>
      <c r="B346" s="1"/>
      <c r="C346" s="1"/>
      <c r="D346" s="1"/>
      <c r="E346" s="2"/>
      <c r="F346" s="2"/>
      <c r="G346" s="90">
        <f>(S346&amp;RIGHT(R346,1))*1</f>
      </c>
      <c r="H346" s="1"/>
      <c r="I346" s="111"/>
      <c r="J346" s="126">
        <f>Planning!Q82</f>
      </c>
      <c r="K346" s="93">
        <f>VLOOKUP(J346,AA$23:AE$88,5,FALSE)</f>
      </c>
      <c r="L346" s="122">
        <f>Planning!Y82</f>
      </c>
      <c r="M346" s="95">
        <f>IF(Planning!AF82=0,0,IFERROR($AD82*AL$22,0))</f>
      </c>
      <c r="N346" s="171">
        <f>IF(Planning!AF82=0,0,IFERROR($AD82*AL$22*K346,0))</f>
      </c>
      <c r="O346" s="96">
        <f>IF(ISTEXT(Planning!Y82),0,AL82)</f>
      </c>
      <c r="P346" s="94">
        <f>Planning!AF82</f>
      </c>
      <c r="Q346" s="121">
        <f>Progress!Z82</f>
      </c>
      <c r="R346" s="95">
        <f>IF(Q346=0,0,IF(ISNUMBER(Q346),IF(S346&gt;=$G$21,$F$21,"Q7"),Q346))</f>
      </c>
      <c r="S346" s="122">
        <f>Progress!AA82</f>
      </c>
      <c r="T346" s="97"/>
      <c r="U346" s="96">
        <f>V346/$N$419</f>
      </c>
      <c r="V346" s="176">
        <f>IF(L346&lt;$E$20,0,IF(ISTEXT(L346),0,IF(AND(G346+1&gt;=$E$19+1,L346&gt;0),IF(ISNUMBER(Q346),Q346*$AD82*AL$22*K346,$AD82*AL$22*K346),0)))</f>
      </c>
      <c r="W346" s="95">
        <f>IF(AND(L346&gt;0,S346&gt;0),IF(ISNUMBER(Q346),Q346*$AD82*AL$22*K346,$AD82*AL$22*K346),0)</f>
      </c>
      <c r="X346" s="17"/>
      <c r="Y346" s="1"/>
      <c r="Z346" s="1"/>
      <c r="AA346" s="3"/>
      <c r="AB346" s="3"/>
      <c r="AC346" s="3"/>
      <c r="AD346" s="3"/>
      <c r="AE346" s="4"/>
      <c r="AF346" s="8"/>
      <c r="AG346" s="1"/>
      <c r="AH346" s="6"/>
      <c r="AI346" s="6"/>
      <c r="AJ346" s="6"/>
      <c r="AK346" s="6"/>
      <c r="AL346" s="6"/>
      <c r="AM346" s="6"/>
      <c r="AN346" s="6"/>
      <c r="AO346" s="1"/>
      <c r="AP346" s="9"/>
      <c r="AQ346" s="2"/>
      <c r="AR346" s="3"/>
      <c r="AS346" s="10"/>
      <c r="AT346" s="1"/>
      <c r="AU346" s="1"/>
      <c r="AV346" s="1"/>
      <c r="AW346" s="1"/>
      <c r="AX346" s="1"/>
      <c r="AY346" s="1"/>
      <c r="AZ346" s="1"/>
      <c r="BA346" s="1"/>
      <c r="BB346" s="1"/>
      <c r="BC346" s="1"/>
      <c r="BD346" s="1"/>
      <c r="BE346" s="1"/>
      <c r="BF346" s="1"/>
      <c r="BG346" s="1"/>
      <c r="BH346" s="1"/>
    </row>
    <row x14ac:dyDescent="0.25" r="347" customHeight="1" ht="17.25">
      <c r="A347" s="1"/>
      <c r="B347" s="1"/>
      <c r="C347" s="1"/>
      <c r="D347" s="1"/>
      <c r="E347" s="2"/>
      <c r="F347" s="2"/>
      <c r="G347" s="90">
        <f>(S347&amp;RIGHT(R347,1))*1</f>
      </c>
      <c r="H347" s="1"/>
      <c r="I347" s="111"/>
      <c r="J347" s="126">
        <f>Planning!Q83</f>
      </c>
      <c r="K347" s="93">
        <f>VLOOKUP(J347,AA$23:AE$88,5,FALSE)</f>
      </c>
      <c r="L347" s="122">
        <f>Planning!Y83</f>
      </c>
      <c r="M347" s="95">
        <f>IF(Planning!AF83=0,0,IFERROR($AD83*AL$22,0))</f>
      </c>
      <c r="N347" s="171">
        <f>IF(Planning!AF83=0,0,IFERROR($AD83*AL$22*K347,0))</f>
      </c>
      <c r="O347" s="96">
        <f>IF(ISTEXT(Planning!Y83),0,AL83)</f>
      </c>
      <c r="P347" s="94">
        <f>Planning!AF83</f>
      </c>
      <c r="Q347" s="121">
        <f>Progress!Z83</f>
      </c>
      <c r="R347" s="95">
        <f>IF(Q347=0,0,IF(ISNUMBER(Q347),IF(S347&gt;=$G$21,$F$21,"Q8"),Q347))</f>
      </c>
      <c r="S347" s="122">
        <f>Progress!AA83</f>
      </c>
      <c r="T347" s="97"/>
      <c r="U347" s="96">
        <f>V347/$N$419</f>
      </c>
      <c r="V347" s="176">
        <f>IF(L347&lt;$E$20,0,IF(ISTEXT(L347),0,IF(AND(G347+1&gt;=$E$19+1,L347&gt;0),IF(ISNUMBER(Q347),Q347*$AD83*AL$22*K347,$AD83*AL$22*K347),0)))</f>
      </c>
      <c r="W347" s="95">
        <f>IF(AND(L347&gt;0,S347&gt;0),IF(ISNUMBER(Q347),Q347*$AD83*AL$22*K347,$AD83*AL$22*K347),0)</f>
      </c>
      <c r="X347" s="17"/>
      <c r="Y347" s="1"/>
      <c r="Z347" s="1"/>
      <c r="AA347" s="3"/>
      <c r="AB347" s="3"/>
      <c r="AC347" s="3"/>
      <c r="AD347" s="3"/>
      <c r="AE347" s="4"/>
      <c r="AF347" s="8"/>
      <c r="AG347" s="1"/>
      <c r="AH347" s="6"/>
      <c r="AI347" s="6"/>
      <c r="AJ347" s="6"/>
      <c r="AK347" s="6"/>
      <c r="AL347" s="6"/>
      <c r="AM347" s="6"/>
      <c r="AN347" s="6"/>
      <c r="AO347" s="1"/>
      <c r="AP347" s="9"/>
      <c r="AQ347" s="2"/>
      <c r="AR347" s="3"/>
      <c r="AS347" s="10"/>
      <c r="AT347" s="1"/>
      <c r="AU347" s="1"/>
      <c r="AV347" s="1"/>
      <c r="AW347" s="1"/>
      <c r="AX347" s="1"/>
      <c r="AY347" s="1"/>
      <c r="AZ347" s="1"/>
      <c r="BA347" s="1"/>
      <c r="BB347" s="1"/>
      <c r="BC347" s="1"/>
      <c r="BD347" s="1"/>
      <c r="BE347" s="1"/>
      <c r="BF347" s="1"/>
      <c r="BG347" s="1"/>
      <c r="BH347" s="1"/>
    </row>
    <row x14ac:dyDescent="0.25" r="348" customHeight="1" ht="17.25">
      <c r="A348" s="1"/>
      <c r="B348" s="1"/>
      <c r="C348" s="1"/>
      <c r="D348" s="1"/>
      <c r="E348" s="2"/>
      <c r="F348" s="2"/>
      <c r="G348" s="90">
        <f>(S348&amp;RIGHT(R348,1))*1</f>
      </c>
      <c r="H348" s="1"/>
      <c r="I348" s="111"/>
      <c r="J348" s="126">
        <f>Planning!Q84</f>
      </c>
      <c r="K348" s="93">
        <f>VLOOKUP(J348,AA$23:AE$88,5,FALSE)</f>
      </c>
      <c r="L348" s="122">
        <f>Planning!Y84</f>
      </c>
      <c r="M348" s="95">
        <f>IF(Planning!AF84=0,0,IFERROR($AD84*AL$22,0))</f>
      </c>
      <c r="N348" s="171">
        <f>IF(Planning!AF84=0,0,IFERROR($AD84*AL$22*K348,0))</f>
      </c>
      <c r="O348" s="96">
        <f>IF(ISTEXT(Planning!Y84),0,AL84)</f>
      </c>
      <c r="P348" s="94">
        <f>Planning!AF84</f>
      </c>
      <c r="Q348" s="121">
        <f>Progress!Z84</f>
      </c>
      <c r="R348" s="95">
        <f>IF(Q348=0,0,IF(ISNUMBER(Q348),IF(S348&gt;=$G$21,$F$21,"Q9"),Q348))</f>
      </c>
      <c r="S348" s="122">
        <f>Progress!AA84</f>
      </c>
      <c r="T348" s="97"/>
      <c r="U348" s="96">
        <f>V348/$N$419</f>
      </c>
      <c r="V348" s="176">
        <f>IF(L348&lt;$E$20,0,IF(ISTEXT(L348),0,IF(AND(G348+1&gt;=$E$19+1,L348&gt;0),IF(ISNUMBER(Q348),Q348*$AD84*AL$22*K348,$AD84*AL$22*K348),0)))</f>
      </c>
      <c r="W348" s="95">
        <f>IF(AND(L348&gt;0,S348&gt;0),IF(ISNUMBER(Q348),Q348*$AD84*AL$22*K348,$AD84*AL$22*K348),0)</f>
      </c>
      <c r="X348" s="17"/>
      <c r="Y348" s="1"/>
      <c r="Z348" s="1"/>
      <c r="AA348" s="3"/>
      <c r="AB348" s="3"/>
      <c r="AC348" s="3"/>
      <c r="AD348" s="3"/>
      <c r="AE348" s="4"/>
      <c r="AF348" s="8"/>
      <c r="AG348" s="1"/>
      <c r="AH348" s="6"/>
      <c r="AI348" s="6"/>
      <c r="AJ348" s="6"/>
      <c r="AK348" s="6"/>
      <c r="AL348" s="6"/>
      <c r="AM348" s="6"/>
      <c r="AN348" s="6"/>
      <c r="AO348" s="1"/>
      <c r="AP348" s="9"/>
      <c r="AQ348" s="2"/>
      <c r="AR348" s="3"/>
      <c r="AS348" s="10"/>
      <c r="AT348" s="1"/>
      <c r="AU348" s="1"/>
      <c r="AV348" s="1"/>
      <c r="AW348" s="1"/>
      <c r="AX348" s="1"/>
      <c r="AY348" s="1"/>
      <c r="AZ348" s="1"/>
      <c r="BA348" s="1"/>
      <c r="BB348" s="1"/>
      <c r="BC348" s="1"/>
      <c r="BD348" s="1"/>
      <c r="BE348" s="1"/>
      <c r="BF348" s="1"/>
      <c r="BG348" s="1"/>
      <c r="BH348" s="1"/>
    </row>
    <row x14ac:dyDescent="0.25" r="349" customHeight="1" ht="17.25">
      <c r="A349" s="1"/>
      <c r="B349" s="1"/>
      <c r="C349" s="1"/>
      <c r="D349" s="1"/>
      <c r="E349" s="2"/>
      <c r="F349" s="2"/>
      <c r="G349" s="90">
        <f>(S349&amp;RIGHT(R349,1))*1</f>
      </c>
      <c r="H349" s="1"/>
      <c r="I349" s="111"/>
      <c r="J349" s="126">
        <f>Planning!Q85</f>
      </c>
      <c r="K349" s="93">
        <f>VLOOKUP(J349,AA$23:AE$88,5,FALSE)</f>
      </c>
      <c r="L349" s="122">
        <f>Planning!Y85</f>
      </c>
      <c r="M349" s="95">
        <f>IF(Planning!AF85=0,0,IFERROR($AD85*AL$22,0))</f>
      </c>
      <c r="N349" s="171">
        <f>IF(Planning!AF85=0,0,IFERROR($AD85*AL$22*K349,0))</f>
      </c>
      <c r="O349" s="96">
        <f>IF(ISTEXT(Planning!Y85),0,AL85)</f>
      </c>
      <c r="P349" s="94">
        <f>Planning!AF85</f>
      </c>
      <c r="Q349" s="121">
        <f>Progress!Z85</f>
      </c>
      <c r="R349" s="95">
        <f>IF(Q349=0,0,IF(ISNUMBER(Q349),IF(S349&gt;=$G$21,$F$21,"Q10"),Q349))</f>
      </c>
      <c r="S349" s="122">
        <f>Progress!AA85</f>
      </c>
      <c r="T349" s="97"/>
      <c r="U349" s="96">
        <f>V349/$N$419</f>
      </c>
      <c r="V349" s="176">
        <f>IF(L349&lt;$E$20,0,IF(ISTEXT(L349),0,IF(AND(G349+1&gt;=$E$19+1,L349&gt;0),IF(ISNUMBER(Q349),Q349*$AD85*AL$22*K349,$AD85*AL$22*K349),0)))</f>
      </c>
      <c r="W349" s="95">
        <f>IF(AND(L349&gt;0,S349&gt;0),IF(ISNUMBER(Q349),Q349*$AD85*AL$22*K349,$AD85*AL$22*K349),0)</f>
      </c>
      <c r="X349" s="17"/>
      <c r="Y349" s="1"/>
      <c r="Z349" s="1"/>
      <c r="AA349" s="3"/>
      <c r="AB349" s="3"/>
      <c r="AC349" s="3"/>
      <c r="AD349" s="3"/>
      <c r="AE349" s="4"/>
      <c r="AF349" s="8"/>
      <c r="AG349" s="1"/>
      <c r="AH349" s="6"/>
      <c r="AI349" s="6"/>
      <c r="AJ349" s="6"/>
      <c r="AK349" s="6"/>
      <c r="AL349" s="6"/>
      <c r="AM349" s="6"/>
      <c r="AN349" s="6"/>
      <c r="AO349" s="1"/>
      <c r="AP349" s="9"/>
      <c r="AQ349" s="2"/>
      <c r="AR349" s="3"/>
      <c r="AS349" s="10"/>
      <c r="AT349" s="1"/>
      <c r="AU349" s="1"/>
      <c r="AV349" s="1"/>
      <c r="AW349" s="1"/>
      <c r="AX349" s="1"/>
      <c r="AY349" s="1"/>
      <c r="AZ349" s="1"/>
      <c r="BA349" s="1"/>
      <c r="BB349" s="1"/>
      <c r="BC349" s="1"/>
      <c r="BD349" s="1"/>
      <c r="BE349" s="1"/>
      <c r="BF349" s="1"/>
      <c r="BG349" s="1"/>
      <c r="BH349" s="1"/>
    </row>
    <row x14ac:dyDescent="0.25" r="350" customHeight="1" ht="17.25">
      <c r="A350" s="1"/>
      <c r="B350" s="1"/>
      <c r="C350" s="1"/>
      <c r="D350" s="1"/>
      <c r="E350" s="2"/>
      <c r="F350" s="2"/>
      <c r="G350" s="90">
        <f>(S350&amp;RIGHT(R350,1))*1</f>
      </c>
      <c r="H350" s="1"/>
      <c r="I350" s="111"/>
      <c r="J350" s="126">
        <f>Planning!Q86</f>
      </c>
      <c r="K350" s="93">
        <f>VLOOKUP(J350,AA$23:AE$88,5,FALSE)</f>
      </c>
      <c r="L350" s="122">
        <f>Planning!Y86</f>
      </c>
      <c r="M350" s="95">
        <f>IF(Planning!AF86=0,0,IFERROR($AD86*AL$22,0))</f>
      </c>
      <c r="N350" s="171">
        <f>IF(Planning!AF86=0,0,IFERROR($AD86*AL$22*K350,0))</f>
      </c>
      <c r="O350" s="96">
        <f>IF(ISTEXT(Planning!Y86),0,AL86)</f>
      </c>
      <c r="P350" s="94">
        <f>Planning!AF86</f>
      </c>
      <c r="Q350" s="121">
        <f>Progress!Z86</f>
      </c>
      <c r="R350" s="95">
        <f>IF(Q350=0,0,IF(ISNUMBER(Q350),IF(S350&gt;=$G$21,$F$21,"Q11"),Q350))</f>
      </c>
      <c r="S350" s="122">
        <f>Progress!AA86</f>
      </c>
      <c r="T350" s="97"/>
      <c r="U350" s="96">
        <f>V350/$N$419</f>
      </c>
      <c r="V350" s="176">
        <f>IF(L350&lt;$E$20,0,IF(ISTEXT(L350),0,IF(AND(G350+1&gt;=$E$19+1,L350&gt;0),IF(ISNUMBER(Q350),Q350*$AD86*AL$22*K350,$AD86*AL$22*K350),0)))</f>
      </c>
      <c r="W350" s="95">
        <f>IF(AND(L350&gt;0,S350&gt;0),IF(ISNUMBER(Q350),Q350*$AD86*AL$22*K350,$AD86*AL$22*K350),0)</f>
      </c>
      <c r="X350" s="17"/>
      <c r="Y350" s="1"/>
      <c r="Z350" s="1"/>
      <c r="AA350" s="3"/>
      <c r="AB350" s="3"/>
      <c r="AC350" s="3"/>
      <c r="AD350" s="3"/>
      <c r="AE350" s="4"/>
      <c r="AF350" s="8"/>
      <c r="AG350" s="1"/>
      <c r="AH350" s="6"/>
      <c r="AI350" s="6"/>
      <c r="AJ350" s="6"/>
      <c r="AK350" s="6"/>
      <c r="AL350" s="6"/>
      <c r="AM350" s="6"/>
      <c r="AN350" s="6"/>
      <c r="AO350" s="1"/>
      <c r="AP350" s="9"/>
      <c r="AQ350" s="2"/>
      <c r="AR350" s="3"/>
      <c r="AS350" s="10"/>
      <c r="AT350" s="1"/>
      <c r="AU350" s="1"/>
      <c r="AV350" s="1"/>
      <c r="AW350" s="1"/>
      <c r="AX350" s="1"/>
      <c r="AY350" s="1"/>
      <c r="AZ350" s="1"/>
      <c r="BA350" s="1"/>
      <c r="BB350" s="1"/>
      <c r="BC350" s="1"/>
      <c r="BD350" s="1"/>
      <c r="BE350" s="1"/>
      <c r="BF350" s="1"/>
      <c r="BG350" s="1"/>
      <c r="BH350" s="1"/>
    </row>
    <row x14ac:dyDescent="0.25" r="351" customHeight="1" ht="17.25">
      <c r="A351" s="1"/>
      <c r="B351" s="1"/>
      <c r="C351" s="1"/>
      <c r="D351" s="1"/>
      <c r="E351" s="2"/>
      <c r="F351" s="2"/>
      <c r="G351" s="90">
        <f>(S351&amp;RIGHT(R351,1))*1</f>
      </c>
      <c r="H351" s="1"/>
      <c r="I351" s="111"/>
      <c r="J351" s="126">
        <f>Planning!Q87</f>
      </c>
      <c r="K351" s="93">
        <f>VLOOKUP(J351,AA$23:AE$88,5,FALSE)</f>
      </c>
      <c r="L351" s="122">
        <f>Planning!Y87</f>
      </c>
      <c r="M351" s="95">
        <f>IF(Planning!AF87=0,0,IFERROR($AD87*AL$22,0))</f>
      </c>
      <c r="N351" s="171">
        <f>IF(Planning!AF87=0,0,IFERROR($AD87*AL$22*K351,0))</f>
      </c>
      <c r="O351" s="96">
        <f>IF(ISTEXT(Planning!Y87),0,AL87)</f>
      </c>
      <c r="P351" s="94">
        <f>Planning!AF87</f>
      </c>
      <c r="Q351" s="121">
        <f>Progress!Z87</f>
      </c>
      <c r="R351" s="95">
        <f>IF(Q351=0,0,IF(ISNUMBER(Q351),IF(S351&gt;=$G$21,$F$21,"Q12"),Q351))</f>
      </c>
      <c r="S351" s="122">
        <f>Progress!AA87</f>
      </c>
      <c r="T351" s="97"/>
      <c r="U351" s="96">
        <f>V351/$N$419</f>
      </c>
      <c r="V351" s="176">
        <f>IF(L351&lt;$E$20,0,IF(ISTEXT(L351),0,IF(AND(G351+1&gt;=$E$19+1,L351&gt;0),IF(ISNUMBER(Q351),Q351*$AD87*AL$22*K351,$AD87*AL$22*K351),0)))</f>
      </c>
      <c r="W351" s="95">
        <f>IF(AND(L351&gt;0,S351&gt;0),IF(ISNUMBER(Q351),Q351*$AD87*AL$22*K351,$AD87*AL$22*K351),0)</f>
      </c>
      <c r="X351" s="17"/>
      <c r="Y351" s="1"/>
      <c r="Z351" s="1"/>
      <c r="AA351" s="3"/>
      <c r="AB351" s="3"/>
      <c r="AC351" s="3"/>
      <c r="AD351" s="3"/>
      <c r="AE351" s="4"/>
      <c r="AF351" s="8"/>
      <c r="AG351" s="1"/>
      <c r="AH351" s="6"/>
      <c r="AI351" s="6"/>
      <c r="AJ351" s="6"/>
      <c r="AK351" s="6"/>
      <c r="AL351" s="6"/>
      <c r="AM351" s="6"/>
      <c r="AN351" s="6"/>
      <c r="AO351" s="1"/>
      <c r="AP351" s="9"/>
      <c r="AQ351" s="2"/>
      <c r="AR351" s="3"/>
      <c r="AS351" s="10"/>
      <c r="AT351" s="1"/>
      <c r="AU351" s="1"/>
      <c r="AV351" s="1"/>
      <c r="AW351" s="1"/>
      <c r="AX351" s="1"/>
      <c r="AY351" s="1"/>
      <c r="AZ351" s="1"/>
      <c r="BA351" s="1"/>
      <c r="BB351" s="1"/>
      <c r="BC351" s="1"/>
      <c r="BD351" s="1"/>
      <c r="BE351" s="1"/>
      <c r="BF351" s="1"/>
      <c r="BG351" s="1"/>
      <c r="BH351" s="1"/>
    </row>
    <row x14ac:dyDescent="0.25" r="352" customHeight="1" ht="17.25">
      <c r="A352" s="1"/>
      <c r="B352" s="1"/>
      <c r="C352" s="1"/>
      <c r="D352" s="1"/>
      <c r="E352" s="2"/>
      <c r="F352" s="2"/>
      <c r="G352" s="90">
        <f>(S352&amp;RIGHT(R352,1))*1</f>
      </c>
      <c r="H352" s="1"/>
      <c r="I352" s="204"/>
      <c r="J352" s="154">
        <f>Planning!Q88</f>
      </c>
      <c r="K352" s="124">
        <f>VLOOKUP(J352,AA$23:AE$88,5,FALSE)</f>
      </c>
      <c r="L352" s="155">
        <f>Planning!Y88</f>
      </c>
      <c r="M352" s="156">
        <f>IF(Planning!AF88=0,0,IFERROR($AD88*AL$22,0))</f>
      </c>
      <c r="N352" s="157">
        <f>IF(Planning!AF88=0,0,IFERROR($AD88*AL$22*K352,0))</f>
      </c>
      <c r="O352" s="158">
        <f>IF(ISTEXT(Planning!Y88),0,AL88)</f>
      </c>
      <c r="P352" s="155">
        <f>Planning!AF88</f>
      </c>
      <c r="Q352" s="156">
        <f>Progress!Z88</f>
      </c>
      <c r="R352" s="156">
        <f>IF(Q352=0,0,IF(ISNUMBER(Q352),IF(S352&gt;=$G$21,$F$21,"Q13"),Q352))</f>
      </c>
      <c r="S352" s="155">
        <f>Progress!AA88</f>
      </c>
      <c r="T352" s="160"/>
      <c r="U352" s="158">
        <f>V352/$N$419</f>
      </c>
      <c r="V352" s="161">
        <f>IF(L352&lt;$E$20,0,IF(ISTEXT(L352),0,IF(AND(G352+1&gt;=$E$19+1,L352&gt;0),IF(ISNUMBER(Q352),Q352*$AD88*AL$22*K352,$AD88*AL$22*K352),0)))</f>
      </c>
      <c r="W352" s="156">
        <f>IF(AND(L352&gt;0,S352&gt;0),IF(ISNUMBER(Q352),Q352*$AD88*AL$22*K352,$AD88*AL$22*K352),0)</f>
      </c>
      <c r="X352" s="17"/>
      <c r="Y352" s="1"/>
      <c r="Z352" s="1"/>
      <c r="AA352" s="3"/>
      <c r="AB352" s="3"/>
      <c r="AC352" s="3"/>
      <c r="AD352" s="3"/>
      <c r="AE352" s="4"/>
      <c r="AF352" s="8"/>
      <c r="AG352" s="1"/>
      <c r="AH352" s="6"/>
      <c r="AI352" s="6"/>
      <c r="AJ352" s="6"/>
      <c r="AK352" s="6"/>
      <c r="AL352" s="6"/>
      <c r="AM352" s="6"/>
      <c r="AN352" s="6"/>
      <c r="AO352" s="1"/>
      <c r="AP352" s="9"/>
      <c r="AQ352" s="2"/>
      <c r="AR352" s="3"/>
      <c r="AS352" s="10"/>
      <c r="AT352" s="1"/>
      <c r="AU352" s="1"/>
      <c r="AV352" s="1"/>
      <c r="AW352" s="1"/>
      <c r="AX352" s="1"/>
      <c r="AY352" s="1"/>
      <c r="AZ352" s="1"/>
      <c r="BA352" s="1"/>
      <c r="BB352" s="1"/>
      <c r="BC352" s="1"/>
      <c r="BD352" s="1"/>
      <c r="BE352" s="1"/>
      <c r="BF352" s="1"/>
      <c r="BG352" s="1"/>
      <c r="BH352" s="1"/>
    </row>
    <row x14ac:dyDescent="0.25" r="353" customHeight="1" ht="12.75">
      <c r="A353" s="1"/>
      <c r="B353" s="1"/>
      <c r="C353" s="1"/>
      <c r="D353" s="1"/>
      <c r="E353" s="2"/>
      <c r="F353" s="2"/>
      <c r="G353" s="90">
        <f>(S353&amp;RIGHT(R353,1))*1</f>
      </c>
      <c r="H353" s="1"/>
      <c r="I353" s="205">
        <f>Planning!Z18</f>
      </c>
      <c r="J353" s="120">
        <f>Planning!Q23</f>
      </c>
      <c r="K353" s="150">
        <f>VLOOKUP(J353,AA$23:AE$88,5,FALSE)</f>
      </c>
      <c r="L353" s="122">
        <f>Planning!Z23</f>
      </c>
      <c r="M353" s="121">
        <f>IF(Planning!AG23=0,0,IFERROR($AD23*AM$22,0))</f>
      </c>
      <c r="N353" s="151">
        <f>IF(Planning!AG23=0,0,IFERROR($AD23*AM$22*K353,0))</f>
      </c>
      <c r="O353" s="163">
        <f>IF(ISTEXT(Planning!Z23),0,AM23)</f>
      </c>
      <c r="P353" s="122">
        <f>Planning!AG23</f>
      </c>
      <c r="Q353" s="121">
        <f>Progress!AB23</f>
      </c>
      <c r="R353" s="121">
        <f>IF(Q353=0,0,IF(ISNUMBER(Q353),IF(S353&gt;=$G$21,$F$21,"Q14"),Q353))</f>
      </c>
      <c r="S353" s="122">
        <f>Progress!AC23</f>
      </c>
      <c r="T353" s="164"/>
      <c r="U353" s="163">
        <f>V353/$N$419</f>
      </c>
      <c r="V353" s="152">
        <f>IF(L353&lt;$E$20,0,IF(ISTEXT(L353),0,IF(AND(G353+1&gt;=$E$19+1,L353&gt;0),IF(ISNUMBER(Q353),Q353*$AD23*AM$22*K353,$AD23*AM$22*K353),0)))</f>
      </c>
      <c r="W353" s="121">
        <f>IF(AND(L353&gt;0,S353&gt;0),IF(ISNUMBER(Q353),Q353*$AD23*AM$22*K353,$AD23*AM$22*K353),0)</f>
      </c>
      <c r="X353" s="17"/>
      <c r="Y353" s="1"/>
      <c r="Z353" s="1"/>
      <c r="AA353" s="3"/>
      <c r="AB353" s="3"/>
      <c r="AC353" s="3"/>
      <c r="AD353" s="3"/>
      <c r="AE353" s="4"/>
      <c r="AF353" s="8"/>
      <c r="AG353" s="1"/>
      <c r="AH353" s="6"/>
      <c r="AI353" s="6"/>
      <c r="AJ353" s="6"/>
      <c r="AK353" s="6"/>
      <c r="AL353" s="6"/>
      <c r="AM353" s="6"/>
      <c r="AN353" s="6"/>
      <c r="AO353" s="1"/>
      <c r="AP353" s="9"/>
      <c r="AQ353" s="2"/>
      <c r="AR353" s="3"/>
      <c r="AS353" s="10"/>
      <c r="AT353" s="1"/>
      <c r="AU353" s="1"/>
      <c r="AV353" s="1"/>
      <c r="AW353" s="1"/>
      <c r="AX353" s="1"/>
      <c r="AY353" s="1"/>
      <c r="AZ353" s="1"/>
      <c r="BA353" s="1"/>
      <c r="BB353" s="1"/>
      <c r="BC353" s="1"/>
      <c r="BD353" s="1"/>
      <c r="BE353" s="1"/>
      <c r="BF353" s="1"/>
      <c r="BG353" s="1"/>
      <c r="BH353" s="1"/>
    </row>
    <row x14ac:dyDescent="0.25" r="354" customHeight="1" ht="14.5">
      <c r="A354" s="1"/>
      <c r="B354" s="1"/>
      <c r="C354" s="1"/>
      <c r="D354" s="1"/>
      <c r="E354" s="2"/>
      <c r="F354" s="2"/>
      <c r="G354" s="90">
        <f>(S354&amp;RIGHT(R354,1))*1</f>
      </c>
      <c r="H354" s="1"/>
      <c r="I354" s="111"/>
      <c r="J354" s="120">
        <f>Planning!Q24</f>
      </c>
      <c r="K354" s="93">
        <f>VLOOKUP(J354,AA$23:AE$88,5,FALSE)</f>
      </c>
      <c r="L354" s="122">
        <f>Planning!Z24</f>
      </c>
      <c r="M354" s="95">
        <f>IF(Planning!AG24=0,0,IFERROR($AD24*AM$22,0))</f>
      </c>
      <c r="N354" s="171">
        <f>IF(Planning!AG24=0,0,IFERROR($AD24*AM$22*K354,0))</f>
      </c>
      <c r="O354" s="96">
        <f>IF(ISTEXT(Planning!Z24),0,AM24)</f>
      </c>
      <c r="P354" s="94">
        <f>Planning!AG24</f>
      </c>
      <c r="Q354" s="121">
        <f>Progress!AB24</f>
      </c>
      <c r="R354" s="95">
        <f>IF(Q354=0,0,IF(ISNUMBER(Q354),IF(S354&gt;=$G$21,$F$21,"Q15"),Q354))</f>
      </c>
      <c r="S354" s="122">
        <f>Progress!AC24</f>
      </c>
      <c r="T354" s="97"/>
      <c r="U354" s="96">
        <f>V354/$N$419</f>
      </c>
      <c r="V354" s="176">
        <f>IF(L354&lt;$E$20,0,IF(ISTEXT(L354),0,IF(AND(G354+1&gt;=$E$19+1,L354&gt;0),IF(ISNUMBER(Q354),Q354*$AD24*AM$22*K354,$AD24*AM$22*K354),0)))</f>
      </c>
      <c r="W354" s="95">
        <f>IF(AND(L354&gt;0,S354&gt;0),IF(ISNUMBER(Q354),Q354*$AD24*AM$22*K354,$AD24*AM$22*K354),0)</f>
      </c>
      <c r="X354" s="17"/>
      <c r="Y354" s="1"/>
      <c r="Z354" s="1"/>
      <c r="AA354" s="3"/>
      <c r="AB354" s="3"/>
      <c r="AC354" s="3"/>
      <c r="AD354" s="3"/>
      <c r="AE354" s="4"/>
      <c r="AF354" s="8"/>
      <c r="AG354" s="1"/>
      <c r="AH354" s="6"/>
      <c r="AI354" s="6"/>
      <c r="AJ354" s="6"/>
      <c r="AK354" s="6"/>
      <c r="AL354" s="6"/>
      <c r="AM354" s="6"/>
      <c r="AN354" s="6"/>
      <c r="AO354" s="1"/>
      <c r="AP354" s="9"/>
      <c r="AQ354" s="2"/>
      <c r="AR354" s="3"/>
      <c r="AS354" s="10"/>
      <c r="AT354" s="1"/>
      <c r="AU354" s="1"/>
      <c r="AV354" s="1"/>
      <c r="AW354" s="1"/>
      <c r="AX354" s="1"/>
      <c r="AY354" s="1"/>
      <c r="AZ354" s="1"/>
      <c r="BA354" s="1"/>
      <c r="BB354" s="1"/>
      <c r="BC354" s="1"/>
      <c r="BD354" s="1"/>
      <c r="BE354" s="1"/>
      <c r="BF354" s="1"/>
      <c r="BG354" s="1"/>
      <c r="BH354" s="1"/>
    </row>
    <row x14ac:dyDescent="0.25" r="355" customHeight="1" ht="14.5">
      <c r="A355" s="1"/>
      <c r="B355" s="1"/>
      <c r="C355" s="1"/>
      <c r="D355" s="1"/>
      <c r="E355" s="2"/>
      <c r="F355" s="2"/>
      <c r="G355" s="90">
        <f>(S355&amp;RIGHT(R355,1))*1</f>
      </c>
      <c r="H355" s="1"/>
      <c r="I355" s="111"/>
      <c r="J355" s="120">
        <f>Planning!Q25</f>
      </c>
      <c r="K355" s="93">
        <f>VLOOKUP(J355,AA$23:AE$88,5,FALSE)</f>
      </c>
      <c r="L355" s="122">
        <f>Planning!Z25</f>
      </c>
      <c r="M355" s="95">
        <f>IF(Planning!AG25=0,0,IFERROR($AD25*AM$22,0))</f>
      </c>
      <c r="N355" s="171">
        <f>IF(Planning!AG25=0,0,IFERROR($AD25*AM$22*K355,0))</f>
      </c>
      <c r="O355" s="96">
        <f>IF(ISTEXT(Planning!Z25),0,AM25)</f>
      </c>
      <c r="P355" s="94">
        <f>Planning!AG25</f>
      </c>
      <c r="Q355" s="121">
        <f>Progress!AB25</f>
      </c>
      <c r="R355" s="95">
        <f>IF(Q355=0,0,IF(ISNUMBER(Q355),IF(S355&gt;=$G$21,$F$21,"Q16"),Q355))</f>
      </c>
      <c r="S355" s="122">
        <f>Progress!AC25</f>
      </c>
      <c r="T355" s="97"/>
      <c r="U355" s="96">
        <f>V355/$N$419</f>
      </c>
      <c r="V355" s="176">
        <f>IF(L355&lt;$E$20,0,IF(ISTEXT(L355),0,IF(AND(G355+1&gt;=$E$19+1,L355&gt;0),IF(ISNUMBER(Q355),Q355*$AD25*AM$22*K355,$AD25*AM$22*K355),0)))</f>
      </c>
      <c r="W355" s="95">
        <f>IF(AND(L355&gt;0,S355&gt;0),IF(ISNUMBER(Q355),Q355*$AD25*AM$22*K355,$AD25*AM$22*K355),0)</f>
      </c>
      <c r="X355" s="17"/>
      <c r="Y355" s="1"/>
      <c r="Z355" s="1"/>
      <c r="AA355" s="3"/>
      <c r="AB355" s="3"/>
      <c r="AC355" s="3"/>
      <c r="AD355" s="3"/>
      <c r="AE355" s="4"/>
      <c r="AF355" s="8"/>
      <c r="AG355" s="1"/>
      <c r="AH355" s="6"/>
      <c r="AI355" s="6"/>
      <c r="AJ355" s="6"/>
      <c r="AK355" s="6"/>
      <c r="AL355" s="6"/>
      <c r="AM355" s="6"/>
      <c r="AN355" s="6"/>
      <c r="AO355" s="1"/>
      <c r="AP355" s="9"/>
      <c r="AQ355" s="2"/>
      <c r="AR355" s="3"/>
      <c r="AS355" s="10"/>
      <c r="AT355" s="1"/>
      <c r="AU355" s="1"/>
      <c r="AV355" s="1"/>
      <c r="AW355" s="1"/>
      <c r="AX355" s="1"/>
      <c r="AY355" s="1"/>
      <c r="AZ355" s="1"/>
      <c r="BA355" s="1"/>
      <c r="BB355" s="1"/>
      <c r="BC355" s="1"/>
      <c r="BD355" s="1"/>
      <c r="BE355" s="1"/>
      <c r="BF355" s="1"/>
      <c r="BG355" s="1"/>
      <c r="BH355" s="1"/>
    </row>
    <row x14ac:dyDescent="0.25" r="356" customHeight="1" ht="14.5">
      <c r="A356" s="1"/>
      <c r="B356" s="1"/>
      <c r="C356" s="1"/>
      <c r="D356" s="1"/>
      <c r="E356" s="2"/>
      <c r="F356" s="2"/>
      <c r="G356" s="90">
        <f>(S356&amp;RIGHT(R356,1))*1</f>
      </c>
      <c r="H356" s="1"/>
      <c r="I356" s="111"/>
      <c r="J356" s="120">
        <f>Planning!Q26</f>
      </c>
      <c r="K356" s="93">
        <f>VLOOKUP(J356,AA$23:AE$88,5,FALSE)</f>
      </c>
      <c r="L356" s="122">
        <f>Planning!Z26</f>
      </c>
      <c r="M356" s="95">
        <f>IF(Planning!AG26=0,0,IFERROR($AD26*AM$22,0))</f>
      </c>
      <c r="N356" s="171">
        <f>IF(Planning!AG26=0,0,IFERROR($AD26*AM$22*K356,0))</f>
      </c>
      <c r="O356" s="96">
        <f>IF(ISTEXT(Planning!Z26),0,AM26)</f>
      </c>
      <c r="P356" s="94">
        <f>Planning!AG26</f>
      </c>
      <c r="Q356" s="121">
        <f>Progress!AB26</f>
      </c>
      <c r="R356" s="95">
        <f>IF(Q356=0,0,IF(ISNUMBER(Q356),IF(S356&gt;=$G$21,$F$21,"Q17"),Q356))</f>
      </c>
      <c r="S356" s="122">
        <f>Progress!AC26</f>
      </c>
      <c r="T356" s="97"/>
      <c r="U356" s="96">
        <f>V356/$N$419</f>
      </c>
      <c r="V356" s="176">
        <f>IF(L356&lt;$E$20,0,IF(ISTEXT(L356),0,IF(AND(G356+1&gt;=$E$19+1,L356&gt;0),IF(ISNUMBER(Q356),Q356*$AD26*AM$22*K356,$AD26*AM$22*K356),0)))</f>
      </c>
      <c r="W356" s="95">
        <f>IF(AND(L356&gt;0,S356&gt;0),IF(ISNUMBER(Q356),Q356*$AD26*AM$22*K356,$AD26*AM$22*K356),0)</f>
      </c>
      <c r="X356" s="17"/>
      <c r="Y356" s="1"/>
      <c r="Z356" s="1"/>
      <c r="AA356" s="3"/>
      <c r="AB356" s="3"/>
      <c r="AC356" s="3"/>
      <c r="AD356" s="3"/>
      <c r="AE356" s="4"/>
      <c r="AF356" s="8"/>
      <c r="AG356" s="1"/>
      <c r="AH356" s="6"/>
      <c r="AI356" s="6"/>
      <c r="AJ356" s="6"/>
      <c r="AK356" s="6"/>
      <c r="AL356" s="6"/>
      <c r="AM356" s="6"/>
      <c r="AN356" s="6"/>
      <c r="AO356" s="1"/>
      <c r="AP356" s="9"/>
      <c r="AQ356" s="2"/>
      <c r="AR356" s="3"/>
      <c r="AS356" s="10"/>
      <c r="AT356" s="1"/>
      <c r="AU356" s="1"/>
      <c r="AV356" s="1"/>
      <c r="AW356" s="1"/>
      <c r="AX356" s="1"/>
      <c r="AY356" s="1"/>
      <c r="AZ356" s="1"/>
      <c r="BA356" s="1"/>
      <c r="BB356" s="1"/>
      <c r="BC356" s="1"/>
      <c r="BD356" s="1"/>
      <c r="BE356" s="1"/>
      <c r="BF356" s="1"/>
      <c r="BG356" s="1"/>
      <c r="BH356" s="1"/>
    </row>
    <row x14ac:dyDescent="0.25" r="357" customHeight="1" ht="14.5">
      <c r="A357" s="1"/>
      <c r="B357" s="1"/>
      <c r="C357" s="1"/>
      <c r="D357" s="1"/>
      <c r="E357" s="2"/>
      <c r="F357" s="2"/>
      <c r="G357" s="90">
        <f>(S357&amp;RIGHT(R357,1))*1</f>
      </c>
      <c r="H357" s="1"/>
      <c r="I357" s="111"/>
      <c r="J357" s="120">
        <f>Planning!Q27</f>
      </c>
      <c r="K357" s="93">
        <f>VLOOKUP(J357,AA$23:AE$88,5,FALSE)</f>
      </c>
      <c r="L357" s="122">
        <f>Planning!Z27</f>
      </c>
      <c r="M357" s="95">
        <f>IF(Planning!AG27=0,0,IFERROR($AD27*AM$22,0))</f>
      </c>
      <c r="N357" s="171">
        <f>IF(Planning!AG27=0,0,IFERROR($AD27*AM$22*K357,0))</f>
      </c>
      <c r="O357" s="96">
        <f>IF(ISTEXT(Planning!Z27),0,AM27)</f>
      </c>
      <c r="P357" s="94">
        <f>Planning!AG27</f>
      </c>
      <c r="Q357" s="121">
        <f>Progress!AB27</f>
      </c>
      <c r="R357" s="95">
        <f>IF(Q357=0,0,IF(ISNUMBER(Q357),IF(S357&gt;=$G$21,$F$21,"Q18"),Q357))</f>
      </c>
      <c r="S357" s="122">
        <f>Progress!AC27</f>
      </c>
      <c r="T357" s="97"/>
      <c r="U357" s="96">
        <f>V357/$N$419</f>
      </c>
      <c r="V357" s="176">
        <f>IF(L357&lt;$E$20,0,IF(ISTEXT(L357),0,IF(AND(G357+1&gt;=$E$19+1,L357&gt;0),IF(ISNUMBER(Q357),Q357*$AD27*AM$22*K357,$AD27*AM$22*K357),0)))</f>
      </c>
      <c r="W357" s="95">
        <f>IF(AND(L357&gt;0,S357&gt;0),IF(ISNUMBER(Q357),Q357*$AD27*AM$22*K357,$AD27*AM$22*K357),0)</f>
      </c>
      <c r="X357" s="17"/>
      <c r="Y357" s="1"/>
      <c r="Z357" s="1"/>
      <c r="AA357" s="3"/>
      <c r="AB357" s="3"/>
      <c r="AC357" s="3"/>
      <c r="AD357" s="3"/>
      <c r="AE357" s="4"/>
      <c r="AF357" s="8"/>
      <c r="AG357" s="1"/>
      <c r="AH357" s="6"/>
      <c r="AI357" s="6"/>
      <c r="AJ357" s="6"/>
      <c r="AK357" s="6"/>
      <c r="AL357" s="6"/>
      <c r="AM357" s="6"/>
      <c r="AN357" s="6"/>
      <c r="AO357" s="1"/>
      <c r="AP357" s="9"/>
      <c r="AQ357" s="2"/>
      <c r="AR357" s="3"/>
      <c r="AS357" s="10"/>
      <c r="AT357" s="1"/>
      <c r="AU357" s="1"/>
      <c r="AV357" s="1"/>
      <c r="AW357" s="1"/>
      <c r="AX357" s="1"/>
      <c r="AY357" s="1"/>
      <c r="AZ357" s="1"/>
      <c r="BA357" s="1"/>
      <c r="BB357" s="1"/>
      <c r="BC357" s="1"/>
      <c r="BD357" s="1"/>
      <c r="BE357" s="1"/>
      <c r="BF357" s="1"/>
      <c r="BG357" s="1"/>
      <c r="BH357" s="1"/>
    </row>
    <row x14ac:dyDescent="0.25" r="358" customHeight="1" ht="14.5">
      <c r="A358" s="1"/>
      <c r="B358" s="1"/>
      <c r="C358" s="1"/>
      <c r="D358" s="1"/>
      <c r="E358" s="2"/>
      <c r="F358" s="2"/>
      <c r="G358" s="90">
        <f>(S358&amp;RIGHT(R358,1))*1</f>
      </c>
      <c r="H358" s="1"/>
      <c r="I358" s="111"/>
      <c r="J358" s="126">
        <f>Planning!Q28</f>
      </c>
      <c r="K358" s="93">
        <f>VLOOKUP(J358,AA$23:AE$88,5,FALSE)</f>
      </c>
      <c r="L358" s="122">
        <f>Planning!Z28</f>
      </c>
      <c r="M358" s="95">
        <f>IF(Planning!AG28=0,0,IFERROR($AD28*AM$22,0))</f>
      </c>
      <c r="N358" s="171">
        <f>IF(Planning!AG28=0,0,IFERROR($AD28*AM$22*K358,0))</f>
      </c>
      <c r="O358" s="96">
        <f>IF(ISTEXT(Planning!Z28),0,AM28)</f>
      </c>
      <c r="P358" s="94">
        <f>Planning!AG28</f>
      </c>
      <c r="Q358" s="121">
        <f>Progress!AB28</f>
      </c>
      <c r="R358" s="95">
        <f>IF(Q358=0,0,IF(ISNUMBER(Q358),IF(S358&gt;=$G$21,$F$21,"Q19"),Q358))</f>
      </c>
      <c r="S358" s="122">
        <f>Progress!AC28</f>
      </c>
      <c r="T358" s="97"/>
      <c r="U358" s="96">
        <f>V358/$N$419</f>
      </c>
      <c r="V358" s="176">
        <f>IF(L358&lt;$E$20,0,IF(ISTEXT(L358),0,IF(AND(G358+1&gt;=$E$19+1,L358&gt;0),IF(ISNUMBER(Q358),Q358*$AD28*AM$22*K358,$AD28*AM$22*K358),0)))</f>
      </c>
      <c r="W358" s="95">
        <f>IF(AND(L358&gt;0,S358&gt;0),IF(ISNUMBER(Q358),Q358*$AD28*AM$22*K358,$AD28*AM$22*K358),0)</f>
      </c>
      <c r="X358" s="17"/>
      <c r="Y358" s="1"/>
      <c r="Z358" s="1"/>
      <c r="AA358" s="3"/>
      <c r="AB358" s="3"/>
      <c r="AC358" s="3"/>
      <c r="AD358" s="3"/>
      <c r="AE358" s="4"/>
      <c r="AF358" s="8"/>
      <c r="AG358" s="1"/>
      <c r="AH358" s="6"/>
      <c r="AI358" s="6"/>
      <c r="AJ358" s="6"/>
      <c r="AK358" s="6"/>
      <c r="AL358" s="6"/>
      <c r="AM358" s="6"/>
      <c r="AN358" s="6"/>
      <c r="AO358" s="1"/>
      <c r="AP358" s="9"/>
      <c r="AQ358" s="2"/>
      <c r="AR358" s="3"/>
      <c r="AS358" s="10"/>
      <c r="AT358" s="1"/>
      <c r="AU358" s="1"/>
      <c r="AV358" s="1"/>
      <c r="AW358" s="1"/>
      <c r="AX358" s="1"/>
      <c r="AY358" s="1"/>
      <c r="AZ358" s="1"/>
      <c r="BA358" s="1"/>
      <c r="BB358" s="1"/>
      <c r="BC358" s="1"/>
      <c r="BD358" s="1"/>
      <c r="BE358" s="1"/>
      <c r="BF358" s="1"/>
      <c r="BG358" s="1"/>
      <c r="BH358" s="1"/>
    </row>
    <row x14ac:dyDescent="0.25" r="359" customHeight="1" ht="14.5">
      <c r="A359" s="1"/>
      <c r="B359" s="1"/>
      <c r="C359" s="1"/>
      <c r="D359" s="1"/>
      <c r="E359" s="2"/>
      <c r="F359" s="2"/>
      <c r="G359" s="90">
        <f>(S359&amp;RIGHT(R359,1))*1</f>
      </c>
      <c r="H359" s="1"/>
      <c r="I359" s="111"/>
      <c r="J359" s="126">
        <f>Planning!Q29</f>
      </c>
      <c r="K359" s="93">
        <f>VLOOKUP(J359,AA$23:AE$88,5,FALSE)</f>
      </c>
      <c r="L359" s="122">
        <f>Planning!Z29</f>
      </c>
      <c r="M359" s="95">
        <f>IF(Planning!AG29=0,0,IFERROR($AD29*AM$22,0))</f>
      </c>
      <c r="N359" s="171">
        <f>IF(Planning!AG29=0,0,IFERROR($AD29*AM$22*K359,0))</f>
      </c>
      <c r="O359" s="96">
        <f>IF(ISTEXT(Planning!Z29),0,AM29)</f>
      </c>
      <c r="P359" s="94">
        <f>Planning!AG29</f>
      </c>
      <c r="Q359" s="121">
        <f>Progress!AB29</f>
      </c>
      <c r="R359" s="95">
        <f>IF(Q359=0,0,IF(ISNUMBER(Q359),IF(S359&gt;=$G$21,$F$21,"Q20"),Q359))</f>
      </c>
      <c r="S359" s="122">
        <f>Progress!AC29</f>
      </c>
      <c r="T359" s="97"/>
      <c r="U359" s="96">
        <f>V359/$N$419</f>
      </c>
      <c r="V359" s="176">
        <f>IF(L359&lt;$E$20,0,IF(ISTEXT(L359),0,IF(AND(G359+1&gt;=$E$19+1,L359&gt;0),IF(ISNUMBER(Q359),Q359*$AD29*AM$22*K359,$AD29*AM$22*K359),0)))</f>
      </c>
      <c r="W359" s="95">
        <f>IF(AND(L359&gt;0,S359&gt;0),IF(ISNUMBER(Q359),Q359*$AD29*AM$22*K359,$AD29*AM$22*K359),0)</f>
      </c>
      <c r="X359" s="17"/>
      <c r="Y359" s="1"/>
      <c r="Z359" s="1"/>
      <c r="AA359" s="3"/>
      <c r="AB359" s="3"/>
      <c r="AC359" s="3"/>
      <c r="AD359" s="3"/>
      <c r="AE359" s="4"/>
      <c r="AF359" s="8"/>
      <c r="AG359" s="1"/>
      <c r="AH359" s="6"/>
      <c r="AI359" s="6"/>
      <c r="AJ359" s="6"/>
      <c r="AK359" s="6"/>
      <c r="AL359" s="6"/>
      <c r="AM359" s="6"/>
      <c r="AN359" s="6"/>
      <c r="AO359" s="1"/>
      <c r="AP359" s="9"/>
      <c r="AQ359" s="2"/>
      <c r="AR359" s="3"/>
      <c r="AS359" s="10"/>
      <c r="AT359" s="1"/>
      <c r="AU359" s="1"/>
      <c r="AV359" s="1"/>
      <c r="AW359" s="1"/>
      <c r="AX359" s="1"/>
      <c r="AY359" s="1"/>
      <c r="AZ359" s="1"/>
      <c r="BA359" s="1"/>
      <c r="BB359" s="1"/>
      <c r="BC359" s="1"/>
      <c r="BD359" s="1"/>
      <c r="BE359" s="1"/>
      <c r="BF359" s="1"/>
      <c r="BG359" s="1"/>
      <c r="BH359" s="1"/>
    </row>
    <row x14ac:dyDescent="0.25" r="360" customHeight="1" ht="14.5">
      <c r="A360" s="1"/>
      <c r="B360" s="1"/>
      <c r="C360" s="1"/>
      <c r="D360" s="1"/>
      <c r="E360" s="2"/>
      <c r="F360" s="2"/>
      <c r="G360" s="90">
        <f>(S360&amp;RIGHT(R360,1))*1</f>
      </c>
      <c r="H360" s="1"/>
      <c r="I360" s="111"/>
      <c r="J360" s="126">
        <f>Planning!Q30</f>
      </c>
      <c r="K360" s="93">
        <f>VLOOKUP(J360,AA$23:AE$88,5,FALSE)</f>
      </c>
      <c r="L360" s="122">
        <f>Planning!Z30</f>
      </c>
      <c r="M360" s="95">
        <f>IF(Planning!AG30=0,0,IFERROR($AD30*AM$22,0))</f>
      </c>
      <c r="N360" s="171">
        <f>IF(Planning!AG30=0,0,IFERROR($AD30*AM$22*K360,0))</f>
      </c>
      <c r="O360" s="96">
        <f>IF(ISTEXT(Planning!Z30),0,AM30)</f>
      </c>
      <c r="P360" s="94">
        <f>Planning!AG30</f>
      </c>
      <c r="Q360" s="121">
        <f>Progress!AB30</f>
      </c>
      <c r="R360" s="95">
        <f>IF(Q360=0,0,IF(ISNUMBER(Q360),IF(S360&gt;=$G$21,$F$21,"Q21"),Q360))</f>
      </c>
      <c r="S360" s="122">
        <f>Progress!AC30</f>
      </c>
      <c r="T360" s="97"/>
      <c r="U360" s="96">
        <f>V360/$N$419</f>
      </c>
      <c r="V360" s="176">
        <f>IF(L360&lt;$E$20,0,IF(ISTEXT(L360),0,IF(AND(G360+1&gt;=$E$19+1,L360&gt;0),IF(ISNUMBER(Q360),Q360*$AD30*AM$22*K360,$AD30*AM$22*K360),0)))</f>
      </c>
      <c r="W360" s="95">
        <f>IF(AND(L360&gt;0,S360&gt;0),IF(ISNUMBER(Q360),Q360*$AD30*AM$22*K360,$AD30*AM$22*K360),0)</f>
      </c>
      <c r="X360" s="17"/>
      <c r="Y360" s="1"/>
      <c r="Z360" s="1"/>
      <c r="AA360" s="3"/>
      <c r="AB360" s="3"/>
      <c r="AC360" s="3"/>
      <c r="AD360" s="3"/>
      <c r="AE360" s="4"/>
      <c r="AF360" s="8"/>
      <c r="AG360" s="1"/>
      <c r="AH360" s="6"/>
      <c r="AI360" s="6"/>
      <c r="AJ360" s="6"/>
      <c r="AK360" s="6"/>
      <c r="AL360" s="6"/>
      <c r="AM360" s="6"/>
      <c r="AN360" s="6"/>
      <c r="AO360" s="1"/>
      <c r="AP360" s="9"/>
      <c r="AQ360" s="2"/>
      <c r="AR360" s="3"/>
      <c r="AS360" s="10"/>
      <c r="AT360" s="1"/>
      <c r="AU360" s="1"/>
      <c r="AV360" s="1"/>
      <c r="AW360" s="1"/>
      <c r="AX360" s="1"/>
      <c r="AY360" s="1"/>
      <c r="AZ360" s="1"/>
      <c r="BA360" s="1"/>
      <c r="BB360" s="1"/>
      <c r="BC360" s="1"/>
      <c r="BD360" s="1"/>
      <c r="BE360" s="1"/>
      <c r="BF360" s="1"/>
      <c r="BG360" s="1"/>
      <c r="BH360" s="1"/>
    </row>
    <row x14ac:dyDescent="0.25" r="361" customHeight="1" ht="14.5">
      <c r="A361" s="1"/>
      <c r="B361" s="1"/>
      <c r="C361" s="1"/>
      <c r="D361" s="1"/>
      <c r="E361" s="2"/>
      <c r="F361" s="2"/>
      <c r="G361" s="90">
        <f>(S361&amp;RIGHT(R361,1))*1</f>
      </c>
      <c r="H361" s="1"/>
      <c r="I361" s="111"/>
      <c r="J361" s="126">
        <f>Planning!Q31</f>
      </c>
      <c r="K361" s="93">
        <f>VLOOKUP(J361,AA$23:AE$88,5,FALSE)</f>
      </c>
      <c r="L361" s="122">
        <f>Planning!Z31</f>
      </c>
      <c r="M361" s="95">
        <f>IF(Planning!AG31=0,0,IFERROR($AD31*AM$22,0))</f>
      </c>
      <c r="N361" s="171">
        <f>IF(Planning!AG31=0,0,IFERROR($AD31*AM$22*K361,0))</f>
      </c>
      <c r="O361" s="96">
        <f>IF(ISTEXT(Planning!Z31),0,AM31)</f>
      </c>
      <c r="P361" s="94">
        <f>Planning!AG31</f>
      </c>
      <c r="Q361" s="121">
        <f>Progress!AB31</f>
      </c>
      <c r="R361" s="95">
        <f>IF(Q361=0,0,IF(ISNUMBER(Q361),IF(S361&gt;=$G$21,$F$21,"Q22"),Q361))</f>
      </c>
      <c r="S361" s="122">
        <f>Progress!AC31</f>
      </c>
      <c r="T361" s="97"/>
      <c r="U361" s="96">
        <f>V361/$N$419</f>
      </c>
      <c r="V361" s="176">
        <f>IF(L361&lt;$E$20,0,IF(ISTEXT(L361),0,IF(AND(G361+1&gt;=$E$19+1,L361&gt;0),IF(ISNUMBER(Q361),Q361*$AD31*AM$22*K361,$AD31*AM$22*K361),0)))</f>
      </c>
      <c r="W361" s="95">
        <f>IF(AND(L361&gt;0,S361&gt;0),IF(ISNUMBER(Q361),Q361*$AD31*AM$22*K361,$AD31*AM$22*K361),0)</f>
      </c>
      <c r="X361" s="17"/>
      <c r="Y361" s="1"/>
      <c r="Z361" s="1"/>
      <c r="AA361" s="3"/>
      <c r="AB361" s="3"/>
      <c r="AC361" s="3"/>
      <c r="AD361" s="3"/>
      <c r="AE361" s="4"/>
      <c r="AF361" s="8"/>
      <c r="AG361" s="1"/>
      <c r="AH361" s="6"/>
      <c r="AI361" s="6"/>
      <c r="AJ361" s="6"/>
      <c r="AK361" s="6"/>
      <c r="AL361" s="6"/>
      <c r="AM361" s="6"/>
      <c r="AN361" s="6"/>
      <c r="AO361" s="1"/>
      <c r="AP361" s="9"/>
      <c r="AQ361" s="2"/>
      <c r="AR361" s="3"/>
      <c r="AS361" s="10"/>
      <c r="AT361" s="1"/>
      <c r="AU361" s="1"/>
      <c r="AV361" s="1"/>
      <c r="AW361" s="1"/>
      <c r="AX361" s="1"/>
      <c r="AY361" s="1"/>
      <c r="AZ361" s="1"/>
      <c r="BA361" s="1"/>
      <c r="BB361" s="1"/>
      <c r="BC361" s="1"/>
      <c r="BD361" s="1"/>
      <c r="BE361" s="1"/>
      <c r="BF361" s="1"/>
      <c r="BG361" s="1"/>
      <c r="BH361" s="1"/>
    </row>
    <row x14ac:dyDescent="0.25" r="362" customHeight="1" ht="14.5">
      <c r="A362" s="1"/>
      <c r="B362" s="1"/>
      <c r="C362" s="1"/>
      <c r="D362" s="1"/>
      <c r="E362" s="2"/>
      <c r="F362" s="2"/>
      <c r="G362" s="90">
        <f>(S362&amp;RIGHT(R362,1))*1</f>
      </c>
      <c r="H362" s="1"/>
      <c r="I362" s="111"/>
      <c r="J362" s="126">
        <f>Planning!Q32</f>
      </c>
      <c r="K362" s="93">
        <f>VLOOKUP(J362,AA$23:AE$88,5,FALSE)</f>
      </c>
      <c r="L362" s="122">
        <f>Planning!Z32</f>
      </c>
      <c r="M362" s="95">
        <f>IF(Planning!AG32=0,0,IFERROR($AD32*AM$22,0))</f>
      </c>
      <c r="N362" s="171">
        <f>IF(Planning!AG32=0,0,IFERROR($AD32*AM$22*K362,0))</f>
      </c>
      <c r="O362" s="96">
        <f>IF(ISTEXT(Planning!Z32),0,AM32)</f>
      </c>
      <c r="P362" s="94">
        <f>Planning!AG32</f>
      </c>
      <c r="Q362" s="121">
        <f>Progress!AB32</f>
      </c>
      <c r="R362" s="95">
        <f>IF(Q362=0,0,IF(ISNUMBER(Q362),IF(S362&gt;=$G$21,$F$21,"Q23"),Q362))</f>
      </c>
      <c r="S362" s="122">
        <f>Progress!AC32</f>
      </c>
      <c r="T362" s="97"/>
      <c r="U362" s="96">
        <f>V362/$N$419</f>
      </c>
      <c r="V362" s="176">
        <f>IF(L362&lt;$E$20,0,IF(ISTEXT(L362),0,IF(AND(G362+1&gt;=$E$19+1,L362&gt;0),IF(ISNUMBER(Q362),Q362*$AD32*AM$22*K362,$AD32*AM$22*K362),0)))</f>
      </c>
      <c r="W362" s="95">
        <f>IF(AND(L362&gt;0,S362&gt;0),IF(ISNUMBER(Q362),Q362*$AD32*AM$22*K362,$AD32*AM$22*K362),0)</f>
      </c>
      <c r="X362" s="17"/>
      <c r="Y362" s="1"/>
      <c r="Z362" s="1"/>
      <c r="AA362" s="3"/>
      <c r="AB362" s="3"/>
      <c r="AC362" s="3"/>
      <c r="AD362" s="3"/>
      <c r="AE362" s="4"/>
      <c r="AF362" s="8"/>
      <c r="AG362" s="1"/>
      <c r="AH362" s="6"/>
      <c r="AI362" s="6"/>
      <c r="AJ362" s="6"/>
      <c r="AK362" s="6"/>
      <c r="AL362" s="6"/>
      <c r="AM362" s="6"/>
      <c r="AN362" s="6"/>
      <c r="AO362" s="1"/>
      <c r="AP362" s="9"/>
      <c r="AQ362" s="2"/>
      <c r="AR362" s="3"/>
      <c r="AS362" s="10"/>
      <c r="AT362" s="1"/>
      <c r="AU362" s="1"/>
      <c r="AV362" s="1"/>
      <c r="AW362" s="1"/>
      <c r="AX362" s="1"/>
      <c r="AY362" s="1"/>
      <c r="AZ362" s="1"/>
      <c r="BA362" s="1"/>
      <c r="BB362" s="1"/>
      <c r="BC362" s="1"/>
      <c r="BD362" s="1"/>
      <c r="BE362" s="1"/>
      <c r="BF362" s="1"/>
      <c r="BG362" s="1"/>
      <c r="BH362" s="1"/>
    </row>
    <row x14ac:dyDescent="0.25" r="363" customHeight="1" ht="14.5">
      <c r="A363" s="1"/>
      <c r="B363" s="1"/>
      <c r="C363" s="1"/>
      <c r="D363" s="1"/>
      <c r="E363" s="2"/>
      <c r="F363" s="2"/>
      <c r="G363" s="90">
        <f>(S363&amp;RIGHT(R363,1))*1</f>
      </c>
      <c r="H363" s="1"/>
      <c r="I363" s="111"/>
      <c r="J363" s="126">
        <f>Planning!Q33</f>
      </c>
      <c r="K363" s="93">
        <f>VLOOKUP(J363,AA$23:AE$88,5,FALSE)</f>
      </c>
      <c r="L363" s="122">
        <f>Planning!Z33</f>
      </c>
      <c r="M363" s="95">
        <f>IF(Planning!AG33=0,0,IFERROR($AD33*AM$22,0))</f>
      </c>
      <c r="N363" s="171">
        <f>IF(Planning!AG33=0,0,IFERROR($AD33*AM$22*K363,0))</f>
      </c>
      <c r="O363" s="96">
        <f>IF(ISTEXT(Planning!Z33),0,AM33)</f>
      </c>
      <c r="P363" s="94">
        <f>Planning!AG33</f>
      </c>
      <c r="Q363" s="121">
        <f>Progress!AB33</f>
      </c>
      <c r="R363" s="95">
        <f>IF(Q363=0,0,IF(ISNUMBER(Q363),IF(S363&gt;=$G$21,$F$21,"Q24"),Q363))</f>
      </c>
      <c r="S363" s="122">
        <f>Progress!AC33</f>
      </c>
      <c r="T363" s="97"/>
      <c r="U363" s="96">
        <f>V363/$N$419</f>
      </c>
      <c r="V363" s="176">
        <f>IF(L363&lt;$E$20,0,IF(ISTEXT(L363),0,IF(AND(G363+1&gt;=$E$19+1,L363&gt;0),IF(ISNUMBER(Q363),Q363*$AD33*AM$22*K363,$AD33*AM$22*K363),0)))</f>
      </c>
      <c r="W363" s="95">
        <f>IF(AND(L363&gt;0,S363&gt;0),IF(ISNUMBER(Q363),Q363*$AD33*AM$22*K363,$AD33*AM$22*K363),0)</f>
      </c>
      <c r="X363" s="17"/>
      <c r="Y363" s="1"/>
      <c r="Z363" s="1"/>
      <c r="AA363" s="3"/>
      <c r="AB363" s="3"/>
      <c r="AC363" s="3"/>
      <c r="AD363" s="3"/>
      <c r="AE363" s="4"/>
      <c r="AF363" s="8"/>
      <c r="AG363" s="1"/>
      <c r="AH363" s="6"/>
      <c r="AI363" s="6"/>
      <c r="AJ363" s="6"/>
      <c r="AK363" s="6"/>
      <c r="AL363" s="6"/>
      <c r="AM363" s="6"/>
      <c r="AN363" s="6"/>
      <c r="AO363" s="1"/>
      <c r="AP363" s="9"/>
      <c r="AQ363" s="2"/>
      <c r="AR363" s="3"/>
      <c r="AS363" s="10"/>
      <c r="AT363" s="1"/>
      <c r="AU363" s="1"/>
      <c r="AV363" s="1"/>
      <c r="AW363" s="1"/>
      <c r="AX363" s="1"/>
      <c r="AY363" s="1"/>
      <c r="AZ363" s="1"/>
      <c r="BA363" s="1"/>
      <c r="BB363" s="1"/>
      <c r="BC363" s="1"/>
      <c r="BD363" s="1"/>
      <c r="BE363" s="1"/>
      <c r="BF363" s="1"/>
      <c r="BG363" s="1"/>
      <c r="BH363" s="1"/>
    </row>
    <row x14ac:dyDescent="0.25" r="364" customHeight="1" ht="14.5">
      <c r="A364" s="1"/>
      <c r="B364" s="1"/>
      <c r="C364" s="1"/>
      <c r="D364" s="1"/>
      <c r="E364" s="2"/>
      <c r="F364" s="2"/>
      <c r="G364" s="90">
        <f>(S364&amp;RIGHT(R364,1))*1</f>
      </c>
      <c r="H364" s="1"/>
      <c r="I364" s="111"/>
      <c r="J364" s="126">
        <f>Planning!Q34</f>
      </c>
      <c r="K364" s="93">
        <f>VLOOKUP(J364,AA$23:AE$88,5,FALSE)</f>
      </c>
      <c r="L364" s="122">
        <f>Planning!Z34</f>
      </c>
      <c r="M364" s="95">
        <f>IF(Planning!AG34=0,0,IFERROR($AD34*AM$22,0))</f>
      </c>
      <c r="N364" s="171">
        <f>IF(Planning!AG34=0,0,IFERROR($AD34*AM$22*K364,0))</f>
      </c>
      <c r="O364" s="96">
        <f>IF(ISTEXT(Planning!Z34),0,AM34)</f>
      </c>
      <c r="P364" s="94">
        <f>Planning!AG34</f>
      </c>
      <c r="Q364" s="121">
        <f>Progress!AB34</f>
      </c>
      <c r="R364" s="95">
        <f>IF(Q364=0,0,IF(ISNUMBER(Q364),IF(S364&gt;=$G$21,$F$21,"Q25"),Q364))</f>
      </c>
      <c r="S364" s="122">
        <f>Progress!AC34</f>
      </c>
      <c r="T364" s="97"/>
      <c r="U364" s="96">
        <f>V364/$N$419</f>
      </c>
      <c r="V364" s="176">
        <f>IF(L364&lt;$E$20,0,IF(ISTEXT(L364),0,IF(AND(G364+1&gt;=$E$19+1,L364&gt;0),IF(ISNUMBER(Q364),Q364*$AD34*AM$22*K364,$AD34*AM$22*K364),0)))</f>
      </c>
      <c r="W364" s="95">
        <f>IF(AND(L364&gt;0,S364&gt;0),IF(ISNUMBER(Q364),Q364*$AD34*AM$22*K364,$AD34*AM$22*K364),0)</f>
      </c>
      <c r="X364" s="17"/>
      <c r="Y364" s="1"/>
      <c r="Z364" s="1"/>
      <c r="AA364" s="3"/>
      <c r="AB364" s="3"/>
      <c r="AC364" s="3"/>
      <c r="AD364" s="3"/>
      <c r="AE364" s="4"/>
      <c r="AF364" s="8"/>
      <c r="AG364" s="1"/>
      <c r="AH364" s="6"/>
      <c r="AI364" s="6"/>
      <c r="AJ364" s="6"/>
      <c r="AK364" s="6"/>
      <c r="AL364" s="6"/>
      <c r="AM364" s="6"/>
      <c r="AN364" s="6"/>
      <c r="AO364" s="1"/>
      <c r="AP364" s="9"/>
      <c r="AQ364" s="2"/>
      <c r="AR364" s="3"/>
      <c r="AS364" s="10"/>
      <c r="AT364" s="1"/>
      <c r="AU364" s="1"/>
      <c r="AV364" s="1"/>
      <c r="AW364" s="1"/>
      <c r="AX364" s="1"/>
      <c r="AY364" s="1"/>
      <c r="AZ364" s="1"/>
      <c r="BA364" s="1"/>
      <c r="BB364" s="1"/>
      <c r="BC364" s="1"/>
      <c r="BD364" s="1"/>
      <c r="BE364" s="1"/>
      <c r="BF364" s="1"/>
      <c r="BG364" s="1"/>
      <c r="BH364" s="1"/>
    </row>
    <row x14ac:dyDescent="0.25" r="365" customHeight="1" ht="14.5">
      <c r="A365" s="1"/>
      <c r="B365" s="1"/>
      <c r="C365" s="1"/>
      <c r="D365" s="1"/>
      <c r="E365" s="2"/>
      <c r="F365" s="2"/>
      <c r="G365" s="90">
        <f>(S365&amp;RIGHT(R365,1))*1</f>
      </c>
      <c r="H365" s="1"/>
      <c r="I365" s="111"/>
      <c r="J365" s="126">
        <f>Planning!Q35</f>
      </c>
      <c r="K365" s="93">
        <f>VLOOKUP(J365,AA$23:AE$88,5,FALSE)</f>
      </c>
      <c r="L365" s="122">
        <f>Planning!Z35</f>
      </c>
      <c r="M365" s="95">
        <f>IF(Planning!AG35=0,0,IFERROR($AD35*AM$22,0))</f>
      </c>
      <c r="N365" s="171">
        <f>IF(Planning!AG35=0,0,IFERROR($AD35*AM$22*K365,0))</f>
      </c>
      <c r="O365" s="96">
        <f>IF(ISTEXT(Planning!Z35),0,AM35)</f>
      </c>
      <c r="P365" s="94">
        <f>Planning!AG35</f>
      </c>
      <c r="Q365" s="121">
        <f>Progress!AB35</f>
      </c>
      <c r="R365" s="95">
        <f>IF(Q365=0,0,IF(ISNUMBER(Q365),IF(S365&gt;=$G$21,$F$21,"Q26"),Q365))</f>
      </c>
      <c r="S365" s="122">
        <f>Progress!AC35</f>
      </c>
      <c r="T365" s="97"/>
      <c r="U365" s="96">
        <f>V365/$N$419</f>
      </c>
      <c r="V365" s="176">
        <f>IF(L365&lt;$E$20,0,IF(ISTEXT(L365),0,IF(AND(G365+1&gt;=$E$19+1,L365&gt;0),IF(ISNUMBER(Q365),Q365*$AD35*AM$22*K365,$AD35*AM$22*K365),0)))</f>
      </c>
      <c r="W365" s="95">
        <f>IF(AND(L365&gt;0,S365&gt;0),IF(ISNUMBER(Q365),Q365*$AD35*AM$22*K365,$AD35*AM$22*K365),0)</f>
      </c>
      <c r="X365" s="17"/>
      <c r="Y365" s="1"/>
      <c r="Z365" s="1"/>
      <c r="AA365" s="3"/>
      <c r="AB365" s="3"/>
      <c r="AC365" s="3"/>
      <c r="AD365" s="3"/>
      <c r="AE365" s="4"/>
      <c r="AF365" s="8"/>
      <c r="AG365" s="1"/>
      <c r="AH365" s="6"/>
      <c r="AI365" s="6"/>
      <c r="AJ365" s="6"/>
      <c r="AK365" s="6"/>
      <c r="AL365" s="6"/>
      <c r="AM365" s="6"/>
      <c r="AN365" s="6"/>
      <c r="AO365" s="1"/>
      <c r="AP365" s="9"/>
      <c r="AQ365" s="2"/>
      <c r="AR365" s="3"/>
      <c r="AS365" s="10"/>
      <c r="AT365" s="1"/>
      <c r="AU365" s="1"/>
      <c r="AV365" s="1"/>
      <c r="AW365" s="1"/>
      <c r="AX365" s="1"/>
      <c r="AY365" s="1"/>
      <c r="AZ365" s="1"/>
      <c r="BA365" s="1"/>
      <c r="BB365" s="1"/>
      <c r="BC365" s="1"/>
      <c r="BD365" s="1"/>
      <c r="BE365" s="1"/>
      <c r="BF365" s="1"/>
      <c r="BG365" s="1"/>
      <c r="BH365" s="1"/>
    </row>
    <row x14ac:dyDescent="0.25" r="366" customHeight="1" ht="14.5">
      <c r="A366" s="1"/>
      <c r="B366" s="1"/>
      <c r="C366" s="1"/>
      <c r="D366" s="1"/>
      <c r="E366" s="2"/>
      <c r="F366" s="2"/>
      <c r="G366" s="90">
        <f>(S366&amp;RIGHT(R366,1))*1</f>
      </c>
      <c r="H366" s="1"/>
      <c r="I366" s="111"/>
      <c r="J366" s="126">
        <f>Planning!Q36</f>
      </c>
      <c r="K366" s="93">
        <f>VLOOKUP(J366,AA$23:AE$88,5,FALSE)</f>
      </c>
      <c r="L366" s="122">
        <f>Planning!Z36</f>
      </c>
      <c r="M366" s="95">
        <f>IF(Planning!AG36=0,0,IFERROR($AD36*AM$22,0))</f>
      </c>
      <c r="N366" s="171">
        <f>IF(Planning!AG36=0,0,IFERROR($AD36*AM$22*K366,0))</f>
      </c>
      <c r="O366" s="96">
        <f>IF(ISTEXT(Planning!Z36),0,AM36)</f>
      </c>
      <c r="P366" s="94">
        <f>Planning!AG36</f>
      </c>
      <c r="Q366" s="121">
        <f>Progress!AB36</f>
      </c>
      <c r="R366" s="95">
        <f>IF(Q366=0,0,IF(ISNUMBER(Q366),IF(S366&gt;=$G$21,$F$21,"Q27"),Q366))</f>
      </c>
      <c r="S366" s="122">
        <f>Progress!AC36</f>
      </c>
      <c r="T366" s="97"/>
      <c r="U366" s="96">
        <f>V366/$N$419</f>
      </c>
      <c r="V366" s="176">
        <f>IF(L366&lt;$E$20,0,IF(ISTEXT(L366),0,IF(AND(G366+1&gt;=$E$19+1,L366&gt;0),IF(ISNUMBER(Q366),Q366*$AD36*AM$22*K366,$AD36*AM$22*K366),0)))</f>
      </c>
      <c r="W366" s="95">
        <f>IF(AND(L366&gt;0,S366&gt;0),IF(ISNUMBER(Q366),Q366*$AD36*AM$22*K366,$AD36*AM$22*K366),0)</f>
      </c>
      <c r="X366" s="17"/>
      <c r="Y366" s="1"/>
      <c r="Z366" s="1"/>
      <c r="AA366" s="3"/>
      <c r="AB366" s="3"/>
      <c r="AC366" s="3"/>
      <c r="AD366" s="3"/>
      <c r="AE366" s="4"/>
      <c r="AF366" s="8"/>
      <c r="AG366" s="1"/>
      <c r="AH366" s="6"/>
      <c r="AI366" s="6"/>
      <c r="AJ366" s="6"/>
      <c r="AK366" s="6"/>
      <c r="AL366" s="6"/>
      <c r="AM366" s="6"/>
      <c r="AN366" s="6"/>
      <c r="AO366" s="1"/>
      <c r="AP366" s="9"/>
      <c r="AQ366" s="2"/>
      <c r="AR366" s="3"/>
      <c r="AS366" s="10"/>
      <c r="AT366" s="1"/>
      <c r="AU366" s="1"/>
      <c r="AV366" s="1"/>
      <c r="AW366" s="1"/>
      <c r="AX366" s="1"/>
      <c r="AY366" s="1"/>
      <c r="AZ366" s="1"/>
      <c r="BA366" s="1"/>
      <c r="BB366" s="1"/>
      <c r="BC366" s="1"/>
      <c r="BD366" s="1"/>
      <c r="BE366" s="1"/>
      <c r="BF366" s="1"/>
      <c r="BG366" s="1"/>
      <c r="BH366" s="1"/>
    </row>
    <row x14ac:dyDescent="0.25" r="367" customHeight="1" ht="14.5">
      <c r="A367" s="1"/>
      <c r="B367" s="1"/>
      <c r="C367" s="1"/>
      <c r="D367" s="1"/>
      <c r="E367" s="2"/>
      <c r="F367" s="2"/>
      <c r="G367" s="90">
        <f>(S367&amp;RIGHT(R367,1))*1</f>
      </c>
      <c r="H367" s="1"/>
      <c r="I367" s="111"/>
      <c r="J367" s="126">
        <f>Planning!Q37</f>
      </c>
      <c r="K367" s="93">
        <f>VLOOKUP(J367,AA$23:AE$88,5,FALSE)</f>
      </c>
      <c r="L367" s="122">
        <f>Planning!Z37</f>
      </c>
      <c r="M367" s="95">
        <f>IF(Planning!AG37=0,0,IFERROR($AD37*AM$22,0))</f>
      </c>
      <c r="N367" s="171">
        <f>IF(Planning!AG37=0,0,IFERROR($AD37*AM$22*K367,0))</f>
      </c>
      <c r="O367" s="96">
        <f>IF(ISTEXT(Planning!Z37),0,AM37)</f>
      </c>
      <c r="P367" s="94">
        <f>Planning!AG37</f>
      </c>
      <c r="Q367" s="121">
        <f>Progress!AB37</f>
      </c>
      <c r="R367" s="95">
        <f>IF(Q367=0,0,IF(ISNUMBER(Q367),IF(S367&gt;=$G$21,$F$21,"Q28"),Q367))</f>
      </c>
      <c r="S367" s="122">
        <f>Progress!AC37</f>
      </c>
      <c r="T367" s="97"/>
      <c r="U367" s="96">
        <f>V367/$N$419</f>
      </c>
      <c r="V367" s="176">
        <f>IF(L367&lt;$E$20,0,IF(ISTEXT(L367),0,IF(AND(G367+1&gt;=$E$19+1,L367&gt;0),IF(ISNUMBER(Q367),Q367*$AD37*AM$22*K367,$AD37*AM$22*K367),0)))</f>
      </c>
      <c r="W367" s="95">
        <f>IF(AND(L367&gt;0,S367&gt;0),IF(ISNUMBER(Q367),Q367*$AD37*AM$22*K367,$AD37*AM$22*K367),0)</f>
      </c>
      <c r="X367" s="17"/>
      <c r="Y367" s="1"/>
      <c r="Z367" s="1"/>
      <c r="AA367" s="3"/>
      <c r="AB367" s="3"/>
      <c r="AC367" s="3"/>
      <c r="AD367" s="3"/>
      <c r="AE367" s="4"/>
      <c r="AF367" s="8"/>
      <c r="AG367" s="1"/>
      <c r="AH367" s="6"/>
      <c r="AI367" s="6"/>
      <c r="AJ367" s="6"/>
      <c r="AK367" s="6"/>
      <c r="AL367" s="6"/>
      <c r="AM367" s="6"/>
      <c r="AN367" s="6"/>
      <c r="AO367" s="1"/>
      <c r="AP367" s="9"/>
      <c r="AQ367" s="2"/>
      <c r="AR367" s="3"/>
      <c r="AS367" s="10"/>
      <c r="AT367" s="1"/>
      <c r="AU367" s="1"/>
      <c r="AV367" s="1"/>
      <c r="AW367" s="1"/>
      <c r="AX367" s="1"/>
      <c r="AY367" s="1"/>
      <c r="AZ367" s="1"/>
      <c r="BA367" s="1"/>
      <c r="BB367" s="1"/>
      <c r="BC367" s="1"/>
      <c r="BD367" s="1"/>
      <c r="BE367" s="1"/>
      <c r="BF367" s="1"/>
      <c r="BG367" s="1"/>
      <c r="BH367" s="1"/>
    </row>
    <row x14ac:dyDescent="0.25" r="368" customHeight="1" ht="14.5">
      <c r="A368" s="1"/>
      <c r="B368" s="1"/>
      <c r="C368" s="1"/>
      <c r="D368" s="1"/>
      <c r="E368" s="2"/>
      <c r="F368" s="2"/>
      <c r="G368" s="90">
        <f>(S368&amp;RIGHT(R368,1))*1</f>
      </c>
      <c r="H368" s="1"/>
      <c r="I368" s="111"/>
      <c r="J368" s="126">
        <f>Planning!Q38</f>
      </c>
      <c r="K368" s="93">
        <f>VLOOKUP(J368,AA$23:AE$88,5,FALSE)</f>
      </c>
      <c r="L368" s="122">
        <f>Planning!Z38</f>
      </c>
      <c r="M368" s="95">
        <f>IF(Planning!AG38=0,0,IFERROR($AD38*AM$22,0))</f>
      </c>
      <c r="N368" s="171">
        <f>IF(Planning!AG38=0,0,IFERROR($AD38*AM$22*K368,0))</f>
      </c>
      <c r="O368" s="96">
        <f>IF(ISTEXT(Planning!Z38),0,AM38)</f>
      </c>
      <c r="P368" s="94">
        <f>Planning!AG38</f>
      </c>
      <c r="Q368" s="121">
        <f>Progress!AB38</f>
      </c>
      <c r="R368" s="95">
        <f>IF(Q368=0,0,IF(ISNUMBER(Q368),IF(S368&gt;=$G$21,$F$21,"Q29"),Q368))</f>
      </c>
      <c r="S368" s="122">
        <f>Progress!AC38</f>
      </c>
      <c r="T368" s="97"/>
      <c r="U368" s="96">
        <f>V368/$N$419</f>
      </c>
      <c r="V368" s="176">
        <f>IF(L368&lt;$E$20,0,IF(ISTEXT(L368),0,IF(AND(G368+1&gt;=$E$19+1,L368&gt;0),IF(ISNUMBER(Q368),Q368*$AD38*AM$22*K368,$AD38*AM$22*K368),0)))</f>
      </c>
      <c r="W368" s="95">
        <f>IF(AND(L368&gt;0,S368&gt;0),IF(ISNUMBER(Q368),Q368*$AD38*AM$22*K368,$AD38*AM$22*K368),0)</f>
      </c>
      <c r="X368" s="17"/>
      <c r="Y368" s="1"/>
      <c r="Z368" s="1"/>
      <c r="AA368" s="3"/>
      <c r="AB368" s="3"/>
      <c r="AC368" s="3"/>
      <c r="AD368" s="3"/>
      <c r="AE368" s="4"/>
      <c r="AF368" s="8"/>
      <c r="AG368" s="1"/>
      <c r="AH368" s="6"/>
      <c r="AI368" s="6"/>
      <c r="AJ368" s="6"/>
      <c r="AK368" s="6"/>
      <c r="AL368" s="6"/>
      <c r="AM368" s="6"/>
      <c r="AN368" s="6"/>
      <c r="AO368" s="1"/>
      <c r="AP368" s="9"/>
      <c r="AQ368" s="2"/>
      <c r="AR368" s="3"/>
      <c r="AS368" s="10"/>
      <c r="AT368" s="1"/>
      <c r="AU368" s="1"/>
      <c r="AV368" s="1"/>
      <c r="AW368" s="1"/>
      <c r="AX368" s="1"/>
      <c r="AY368" s="1"/>
      <c r="AZ368" s="1"/>
      <c r="BA368" s="1"/>
      <c r="BB368" s="1"/>
      <c r="BC368" s="1"/>
      <c r="BD368" s="1"/>
      <c r="BE368" s="1"/>
      <c r="BF368" s="1"/>
      <c r="BG368" s="1"/>
      <c r="BH368" s="1"/>
    </row>
    <row x14ac:dyDescent="0.25" r="369" customHeight="1" ht="14.5">
      <c r="A369" s="1"/>
      <c r="B369" s="1"/>
      <c r="C369" s="1"/>
      <c r="D369" s="1"/>
      <c r="E369" s="2"/>
      <c r="F369" s="2"/>
      <c r="G369" s="90">
        <f>(S369&amp;RIGHT(R369,1))*1</f>
      </c>
      <c r="H369" s="1"/>
      <c r="I369" s="111"/>
      <c r="J369" s="126">
        <f>Planning!Q39</f>
      </c>
      <c r="K369" s="93">
        <f>VLOOKUP(J369,AA$23:AE$88,5,FALSE)</f>
      </c>
      <c r="L369" s="122">
        <f>Planning!Z39</f>
      </c>
      <c r="M369" s="95">
        <f>IF(Planning!AG39=0,0,IFERROR($AD39*AM$22,0))</f>
      </c>
      <c r="N369" s="171">
        <f>IF(Planning!AG39=0,0,IFERROR($AD39*AM$22*K369,0))</f>
      </c>
      <c r="O369" s="96">
        <f>IF(ISTEXT(Planning!Z39),0,AM39)</f>
      </c>
      <c r="P369" s="94">
        <f>Planning!AG39</f>
      </c>
      <c r="Q369" s="121">
        <f>Progress!AB39</f>
      </c>
      <c r="R369" s="95">
        <f>IF(Q369=0,0,IF(ISNUMBER(Q369),IF(S369&gt;=$G$21,$F$21,"Q30"),Q369))</f>
      </c>
      <c r="S369" s="122">
        <f>Progress!AC39</f>
      </c>
      <c r="T369" s="97"/>
      <c r="U369" s="96">
        <f>V369/$N$419</f>
      </c>
      <c r="V369" s="176">
        <f>IF(L369&lt;$E$20,0,IF(ISTEXT(L369),0,IF(AND(G369+1&gt;=$E$19+1,L369&gt;0),IF(ISNUMBER(Q369),Q369*$AD39*AM$22*K369,$AD39*AM$22*K369),0)))</f>
      </c>
      <c r="W369" s="95">
        <f>IF(AND(L369&gt;0,S369&gt;0),IF(ISNUMBER(Q369),Q369*$AD39*AM$22*K369,$AD39*AM$22*K369),0)</f>
      </c>
      <c r="X369" s="17"/>
      <c r="Y369" s="1"/>
      <c r="Z369" s="1"/>
      <c r="AA369" s="3"/>
      <c r="AB369" s="3"/>
      <c r="AC369" s="3"/>
      <c r="AD369" s="3"/>
      <c r="AE369" s="4"/>
      <c r="AF369" s="8"/>
      <c r="AG369" s="1"/>
      <c r="AH369" s="6"/>
      <c r="AI369" s="6"/>
      <c r="AJ369" s="6"/>
      <c r="AK369" s="6"/>
      <c r="AL369" s="6"/>
      <c r="AM369" s="6"/>
      <c r="AN369" s="6"/>
      <c r="AO369" s="1"/>
      <c r="AP369" s="9"/>
      <c r="AQ369" s="2"/>
      <c r="AR369" s="3"/>
      <c r="AS369" s="10"/>
      <c r="AT369" s="1"/>
      <c r="AU369" s="1"/>
      <c r="AV369" s="1"/>
      <c r="AW369" s="1"/>
      <c r="AX369" s="1"/>
      <c r="AY369" s="1"/>
      <c r="AZ369" s="1"/>
      <c r="BA369" s="1"/>
      <c r="BB369" s="1"/>
      <c r="BC369" s="1"/>
      <c r="BD369" s="1"/>
      <c r="BE369" s="1"/>
      <c r="BF369" s="1"/>
      <c r="BG369" s="1"/>
      <c r="BH369" s="1"/>
    </row>
    <row x14ac:dyDescent="0.25" r="370" customHeight="1" ht="14.5">
      <c r="A370" s="1"/>
      <c r="B370" s="1"/>
      <c r="C370" s="1"/>
      <c r="D370" s="1"/>
      <c r="E370" s="2"/>
      <c r="F370" s="2"/>
      <c r="G370" s="90">
        <f>(S370&amp;RIGHT(R370,1))*1</f>
      </c>
      <c r="H370" s="1"/>
      <c r="I370" s="111"/>
      <c r="J370" s="126">
        <f>Planning!Q40</f>
      </c>
      <c r="K370" s="93">
        <f>VLOOKUP(J370,AA$23:AE$88,5,FALSE)</f>
      </c>
      <c r="L370" s="122">
        <f>Planning!Z40</f>
      </c>
      <c r="M370" s="95">
        <f>IF(Planning!AG40=0,0,IFERROR($AD40*AM$22,0))</f>
      </c>
      <c r="N370" s="171">
        <f>IF(Planning!AG40=0,0,IFERROR($AD40*AM$22*K370,0))</f>
      </c>
      <c r="O370" s="96">
        <f>IF(ISTEXT(Planning!Z40),0,AM40)</f>
      </c>
      <c r="P370" s="94">
        <f>Planning!AG40</f>
      </c>
      <c r="Q370" s="121">
        <f>Progress!AB40</f>
      </c>
      <c r="R370" s="95">
        <f>IF(Q370=0,0,IF(ISNUMBER(Q370),IF(S370&gt;=$G$21,$F$21,"Q31"),Q370))</f>
      </c>
      <c r="S370" s="122">
        <f>Progress!AC40</f>
      </c>
      <c r="T370" s="97"/>
      <c r="U370" s="96">
        <f>V370/$N$419</f>
      </c>
      <c r="V370" s="176">
        <f>IF(L370&lt;$E$20,0,IF(ISTEXT(L370),0,IF(AND(G370+1&gt;=$E$19+1,L370&gt;0),IF(ISNUMBER(Q370),Q370*$AD40*AM$22*K370,$AD40*AM$22*K370),0)))</f>
      </c>
      <c r="W370" s="95">
        <f>IF(AND(L370&gt;0,S370&gt;0),IF(ISNUMBER(Q370),Q370*$AD40*AM$22*K370,$AD40*AM$22*K370),0)</f>
      </c>
      <c r="X370" s="17"/>
      <c r="Y370" s="1"/>
      <c r="Z370" s="1"/>
      <c r="AA370" s="3"/>
      <c r="AB370" s="3"/>
      <c r="AC370" s="3"/>
      <c r="AD370" s="3"/>
      <c r="AE370" s="4"/>
      <c r="AF370" s="8"/>
      <c r="AG370" s="1"/>
      <c r="AH370" s="6"/>
      <c r="AI370" s="6"/>
      <c r="AJ370" s="6"/>
      <c r="AK370" s="6"/>
      <c r="AL370" s="6"/>
      <c r="AM370" s="6"/>
      <c r="AN370" s="6"/>
      <c r="AO370" s="1"/>
      <c r="AP370" s="9"/>
      <c r="AQ370" s="2"/>
      <c r="AR370" s="3"/>
      <c r="AS370" s="10"/>
      <c r="AT370" s="1"/>
      <c r="AU370" s="1"/>
      <c r="AV370" s="1"/>
      <c r="AW370" s="1"/>
      <c r="AX370" s="1"/>
      <c r="AY370" s="1"/>
      <c r="AZ370" s="1"/>
      <c r="BA370" s="1"/>
      <c r="BB370" s="1"/>
      <c r="BC370" s="1"/>
      <c r="BD370" s="1"/>
      <c r="BE370" s="1"/>
      <c r="BF370" s="1"/>
      <c r="BG370" s="1"/>
      <c r="BH370" s="1"/>
    </row>
    <row x14ac:dyDescent="0.25" r="371" customHeight="1" ht="14.5">
      <c r="A371" s="1"/>
      <c r="B371" s="1"/>
      <c r="C371" s="1"/>
      <c r="D371" s="1"/>
      <c r="E371" s="2"/>
      <c r="F371" s="2"/>
      <c r="G371" s="90">
        <f>(S371&amp;RIGHT(R371,1))*1</f>
      </c>
      <c r="H371" s="1"/>
      <c r="I371" s="111"/>
      <c r="J371" s="126">
        <f>Planning!Q41</f>
      </c>
      <c r="K371" s="93">
        <f>VLOOKUP(J371,AA$23:AE$88,5,FALSE)</f>
      </c>
      <c r="L371" s="122">
        <f>Planning!Z41</f>
      </c>
      <c r="M371" s="95">
        <f>IF(Planning!AG41=0,0,IFERROR($AD41*AM$22,0))</f>
      </c>
      <c r="N371" s="171">
        <f>IF(Planning!AG41=0,0,IFERROR($AD41*AM$22*K371,0))</f>
      </c>
      <c r="O371" s="96">
        <f>IF(ISTEXT(Planning!Z41),0,AM41)</f>
      </c>
      <c r="P371" s="94">
        <f>Planning!AG41</f>
      </c>
      <c r="Q371" s="121">
        <f>Progress!AB41</f>
      </c>
      <c r="R371" s="95">
        <f>IF(Q371=0,0,IF(ISNUMBER(Q371),IF(S371&gt;=$G$21,$F$21,"Q32"),Q371))</f>
      </c>
      <c r="S371" s="122">
        <f>Progress!AC41</f>
      </c>
      <c r="T371" s="97"/>
      <c r="U371" s="96">
        <f>V371/$N$419</f>
      </c>
      <c r="V371" s="176">
        <f>IF(L371&lt;$E$20,0,IF(ISTEXT(L371),0,IF(AND(G371+1&gt;=$E$19+1,L371&gt;0),IF(ISNUMBER(Q371),Q371*$AD41*AM$22*K371,$AD41*AM$22*K371),0)))</f>
      </c>
      <c r="W371" s="95">
        <f>IF(AND(L371&gt;0,S371&gt;0),IF(ISNUMBER(Q371),Q371*$AD41*AM$22*K371,$AD41*AM$22*K371),0)</f>
      </c>
      <c r="X371" s="17"/>
      <c r="Y371" s="1"/>
      <c r="Z371" s="1"/>
      <c r="AA371" s="3"/>
      <c r="AB371" s="3"/>
      <c r="AC371" s="3"/>
      <c r="AD371" s="3"/>
      <c r="AE371" s="4"/>
      <c r="AF371" s="8"/>
      <c r="AG371" s="1"/>
      <c r="AH371" s="6"/>
      <c r="AI371" s="6"/>
      <c r="AJ371" s="6"/>
      <c r="AK371" s="6"/>
      <c r="AL371" s="6"/>
      <c r="AM371" s="6"/>
      <c r="AN371" s="6"/>
      <c r="AO371" s="1"/>
      <c r="AP371" s="9"/>
      <c r="AQ371" s="2"/>
      <c r="AR371" s="3"/>
      <c r="AS371" s="10"/>
      <c r="AT371" s="1"/>
      <c r="AU371" s="1"/>
      <c r="AV371" s="1"/>
      <c r="AW371" s="1"/>
      <c r="AX371" s="1"/>
      <c r="AY371" s="1"/>
      <c r="AZ371" s="1"/>
      <c r="BA371" s="1"/>
      <c r="BB371" s="1"/>
      <c r="BC371" s="1"/>
      <c r="BD371" s="1"/>
      <c r="BE371" s="1"/>
      <c r="BF371" s="1"/>
      <c r="BG371" s="1"/>
      <c r="BH371" s="1"/>
    </row>
    <row x14ac:dyDescent="0.25" r="372" customHeight="1" ht="14.5">
      <c r="A372" s="1"/>
      <c r="B372" s="1"/>
      <c r="C372" s="1"/>
      <c r="D372" s="1"/>
      <c r="E372" s="2"/>
      <c r="F372" s="2"/>
      <c r="G372" s="90">
        <f>(S372&amp;RIGHT(R372,1))*1</f>
      </c>
      <c r="H372" s="1"/>
      <c r="I372" s="111"/>
      <c r="J372" s="126">
        <f>Planning!Q42</f>
      </c>
      <c r="K372" s="93">
        <f>VLOOKUP(J372,AA$23:AE$88,5,FALSE)</f>
      </c>
      <c r="L372" s="122">
        <f>Planning!Z42</f>
      </c>
      <c r="M372" s="95">
        <f>IF(Planning!AG42=0,0,IFERROR($AD42*AM$22,0))</f>
      </c>
      <c r="N372" s="171">
        <f>IF(Planning!AG42=0,0,IFERROR($AD42*AM$22*K372,0))</f>
      </c>
      <c r="O372" s="96">
        <f>IF(ISTEXT(Planning!Z42),0,AM42)</f>
      </c>
      <c r="P372" s="94">
        <f>Planning!AG42</f>
      </c>
      <c r="Q372" s="121">
        <f>Progress!AB42</f>
      </c>
      <c r="R372" s="95">
        <f>IF(Q372=0,0,IF(ISNUMBER(Q372),IF(S372&gt;=$G$21,$F$21,"Q33"),Q372))</f>
      </c>
      <c r="S372" s="122">
        <f>Progress!AC42</f>
      </c>
      <c r="T372" s="97"/>
      <c r="U372" s="96">
        <f>V372/$N$419</f>
      </c>
      <c r="V372" s="176">
        <f>IF(L372&lt;$E$20,0,IF(ISTEXT(L372),0,IF(AND(G372+1&gt;=$E$19+1,L372&gt;0),IF(ISNUMBER(Q372),Q372*$AD42*AM$22*K372,$AD42*AM$22*K372),0)))</f>
      </c>
      <c r="W372" s="95">
        <f>IF(AND(L372&gt;0,S372&gt;0),IF(ISNUMBER(Q372),Q372*$AD42*AM$22*K372,$AD42*AM$22*K372),0)</f>
      </c>
      <c r="X372" s="17"/>
      <c r="Y372" s="1"/>
      <c r="Z372" s="1"/>
      <c r="AA372" s="3"/>
      <c r="AB372" s="3"/>
      <c r="AC372" s="3"/>
      <c r="AD372" s="3"/>
      <c r="AE372" s="4"/>
      <c r="AF372" s="8"/>
      <c r="AG372" s="1"/>
      <c r="AH372" s="6"/>
      <c r="AI372" s="6"/>
      <c r="AJ372" s="6"/>
      <c r="AK372" s="6"/>
      <c r="AL372" s="6"/>
      <c r="AM372" s="6"/>
      <c r="AN372" s="6"/>
      <c r="AO372" s="1"/>
      <c r="AP372" s="9"/>
      <c r="AQ372" s="2"/>
      <c r="AR372" s="3"/>
      <c r="AS372" s="10"/>
      <c r="AT372" s="1"/>
      <c r="AU372" s="1"/>
      <c r="AV372" s="1"/>
      <c r="AW372" s="1"/>
      <c r="AX372" s="1"/>
      <c r="AY372" s="1"/>
      <c r="AZ372" s="1"/>
      <c r="BA372" s="1"/>
      <c r="BB372" s="1"/>
      <c r="BC372" s="1"/>
      <c r="BD372" s="1"/>
      <c r="BE372" s="1"/>
      <c r="BF372" s="1"/>
      <c r="BG372" s="1"/>
      <c r="BH372" s="1"/>
    </row>
    <row x14ac:dyDescent="0.25" r="373" customHeight="1" ht="14.5">
      <c r="A373" s="1"/>
      <c r="B373" s="1"/>
      <c r="C373" s="1"/>
      <c r="D373" s="1"/>
      <c r="E373" s="2"/>
      <c r="F373" s="2"/>
      <c r="G373" s="90">
        <f>(S373&amp;RIGHT(R373,1))*1</f>
      </c>
      <c r="H373" s="1"/>
      <c r="I373" s="111"/>
      <c r="J373" s="126">
        <f>Planning!Q43</f>
      </c>
      <c r="K373" s="93">
        <f>VLOOKUP(J373,AA$23:AE$88,5,FALSE)</f>
      </c>
      <c r="L373" s="122">
        <f>Planning!Z43</f>
      </c>
      <c r="M373" s="95">
        <f>IF(Planning!AG43=0,0,IFERROR($AD43*AM$22,0))</f>
      </c>
      <c r="N373" s="171">
        <f>IF(Planning!AG43=0,0,IFERROR($AD43*AM$22*K373,0))</f>
      </c>
      <c r="O373" s="96">
        <f>IF(ISTEXT(Planning!Z43),0,AM43)</f>
      </c>
      <c r="P373" s="94">
        <f>Planning!AG43</f>
      </c>
      <c r="Q373" s="121">
        <f>Progress!AB43</f>
      </c>
      <c r="R373" s="95">
        <f>IF(Q373=0,0,IF(ISNUMBER(Q373),IF(S373&gt;=$G$21,$F$21,"Q34"),Q373))</f>
      </c>
      <c r="S373" s="122">
        <f>Progress!AC43</f>
      </c>
      <c r="T373" s="97"/>
      <c r="U373" s="96">
        <f>V373/$N$419</f>
      </c>
      <c r="V373" s="176">
        <f>IF(L373&lt;$E$20,0,IF(ISTEXT(L373),0,IF(AND(G373+1&gt;=$E$19+1,L373&gt;0),IF(ISNUMBER(Q373),Q373*$AD43*AM$22*K373,$AD43*AM$22*K373),0)))</f>
      </c>
      <c r="W373" s="95">
        <f>IF(AND(L373&gt;0,S373&gt;0),IF(ISNUMBER(Q373),Q373*$AD43*AM$22*K373,$AD43*AM$22*K373),0)</f>
      </c>
      <c r="X373" s="17"/>
      <c r="Y373" s="1"/>
      <c r="Z373" s="1"/>
      <c r="AA373" s="3"/>
      <c r="AB373" s="3"/>
      <c r="AC373" s="3"/>
      <c r="AD373" s="3"/>
      <c r="AE373" s="4"/>
      <c r="AF373" s="8"/>
      <c r="AG373" s="1"/>
      <c r="AH373" s="6"/>
      <c r="AI373" s="6"/>
      <c r="AJ373" s="6"/>
      <c r="AK373" s="6"/>
      <c r="AL373" s="6"/>
      <c r="AM373" s="6"/>
      <c r="AN373" s="6"/>
      <c r="AO373" s="1"/>
      <c r="AP373" s="9"/>
      <c r="AQ373" s="2"/>
      <c r="AR373" s="3"/>
      <c r="AS373" s="10"/>
      <c r="AT373" s="1"/>
      <c r="AU373" s="1"/>
      <c r="AV373" s="1"/>
      <c r="AW373" s="1"/>
      <c r="AX373" s="1"/>
      <c r="AY373" s="1"/>
      <c r="AZ373" s="1"/>
      <c r="BA373" s="1"/>
      <c r="BB373" s="1"/>
      <c r="BC373" s="1"/>
      <c r="BD373" s="1"/>
      <c r="BE373" s="1"/>
      <c r="BF373" s="1"/>
      <c r="BG373" s="1"/>
      <c r="BH373" s="1"/>
    </row>
    <row x14ac:dyDescent="0.25" r="374" customHeight="1" ht="14.5">
      <c r="A374" s="1"/>
      <c r="B374" s="1"/>
      <c r="C374" s="1"/>
      <c r="D374" s="1"/>
      <c r="E374" s="2"/>
      <c r="F374" s="2"/>
      <c r="G374" s="90">
        <f>(S374&amp;RIGHT(R374,1))*1</f>
      </c>
      <c r="H374" s="1"/>
      <c r="I374" s="111"/>
      <c r="J374" s="126">
        <f>Planning!Q44</f>
      </c>
      <c r="K374" s="93">
        <f>VLOOKUP(J374,AA$23:AE$88,5,FALSE)</f>
      </c>
      <c r="L374" s="122">
        <f>Planning!Z44</f>
      </c>
      <c r="M374" s="95">
        <f>IF(Planning!AG44=0,0,IFERROR($AD44*AM$22,0))</f>
      </c>
      <c r="N374" s="171">
        <f>IF(Planning!AG44=0,0,IFERROR($AD44*AM$22*K374,0))</f>
      </c>
      <c r="O374" s="96">
        <f>IF(ISTEXT(Planning!Z44),0,AM44)</f>
      </c>
      <c r="P374" s="94">
        <f>Planning!AG44</f>
      </c>
      <c r="Q374" s="121">
        <f>Progress!AB44</f>
      </c>
      <c r="R374" s="95">
        <f>IF(Q374=0,0,IF(ISNUMBER(Q374),IF(S374&gt;=$G$21,$F$21,"Q35"),Q374))</f>
      </c>
      <c r="S374" s="122">
        <f>Progress!AC44</f>
      </c>
      <c r="T374" s="97"/>
      <c r="U374" s="96">
        <f>V374/$N$419</f>
      </c>
      <c r="V374" s="176">
        <f>IF(L374&lt;$E$20,0,IF(ISTEXT(L374),0,IF(AND(G374+1&gt;=$E$19+1,L374&gt;0),IF(ISNUMBER(Q374),Q374*$AD44*AM$22*K374,$AD44*AM$22*K374),0)))</f>
      </c>
      <c r="W374" s="95">
        <f>IF(AND(L374&gt;0,S374&gt;0),IF(ISNUMBER(Q374),Q374*$AD44*AM$22*K374,$AD44*AM$22*K374),0)</f>
      </c>
      <c r="X374" s="17"/>
      <c r="Y374" s="1"/>
      <c r="Z374" s="1"/>
      <c r="AA374" s="3"/>
      <c r="AB374" s="3"/>
      <c r="AC374" s="3"/>
      <c r="AD374" s="3"/>
      <c r="AE374" s="4"/>
      <c r="AF374" s="8"/>
      <c r="AG374" s="1"/>
      <c r="AH374" s="6"/>
      <c r="AI374" s="6"/>
      <c r="AJ374" s="6"/>
      <c r="AK374" s="6"/>
      <c r="AL374" s="6"/>
      <c r="AM374" s="6"/>
      <c r="AN374" s="6"/>
      <c r="AO374" s="1"/>
      <c r="AP374" s="9"/>
      <c r="AQ374" s="2"/>
      <c r="AR374" s="3"/>
      <c r="AS374" s="10"/>
      <c r="AT374" s="1"/>
      <c r="AU374" s="1"/>
      <c r="AV374" s="1"/>
      <c r="AW374" s="1"/>
      <c r="AX374" s="1"/>
      <c r="AY374" s="1"/>
      <c r="AZ374" s="1"/>
      <c r="BA374" s="1"/>
      <c r="BB374" s="1"/>
      <c r="BC374" s="1"/>
      <c r="BD374" s="1"/>
      <c r="BE374" s="1"/>
      <c r="BF374" s="1"/>
      <c r="BG374" s="1"/>
      <c r="BH374" s="1"/>
    </row>
    <row x14ac:dyDescent="0.25" r="375" customHeight="1" ht="14.5">
      <c r="A375" s="1"/>
      <c r="B375" s="1"/>
      <c r="C375" s="1"/>
      <c r="D375" s="1"/>
      <c r="E375" s="2"/>
      <c r="F375" s="2"/>
      <c r="G375" s="90">
        <f>(S375&amp;RIGHT(R375,1))*1</f>
      </c>
      <c r="H375" s="1"/>
      <c r="I375" s="111"/>
      <c r="J375" s="126">
        <f>Planning!Q45</f>
      </c>
      <c r="K375" s="93">
        <f>VLOOKUP(J375,AA$23:AE$88,5,FALSE)</f>
      </c>
      <c r="L375" s="122">
        <f>Planning!Z45</f>
      </c>
      <c r="M375" s="95">
        <f>IF(Planning!AG45=0,0,IFERROR($AD45*AM$22,0))</f>
      </c>
      <c r="N375" s="171">
        <f>IF(Planning!AG45=0,0,IFERROR($AD45*AM$22*K375,0))</f>
      </c>
      <c r="O375" s="96">
        <f>IF(ISTEXT(Planning!Z45),0,AM45)</f>
      </c>
      <c r="P375" s="94">
        <f>Planning!AG45</f>
      </c>
      <c r="Q375" s="121">
        <f>Progress!AB45</f>
      </c>
      <c r="R375" s="95">
        <f>IF(Q375=0,0,IF(ISNUMBER(Q375),IF(S375&gt;=$G$21,$F$21,"Q36"),Q375))</f>
      </c>
      <c r="S375" s="122">
        <f>Progress!AC45</f>
      </c>
      <c r="T375" s="97"/>
      <c r="U375" s="96">
        <f>V375/$N$419</f>
      </c>
      <c r="V375" s="176">
        <f>IF(L375&lt;$E$20,0,IF(ISTEXT(L375),0,IF(AND(G375+1&gt;=$E$19+1,L375&gt;0),IF(ISNUMBER(Q375),Q375*$AD45*AM$22*K375,$AD45*AM$22*K375),0)))</f>
      </c>
      <c r="W375" s="95">
        <f>IF(AND(L375&gt;0,S375&gt;0),IF(ISNUMBER(Q375),Q375*$AD45*AM$22*K375,$AD45*AM$22*K375),0)</f>
      </c>
      <c r="X375" s="17"/>
      <c r="Y375" s="1"/>
      <c r="Z375" s="1"/>
      <c r="AA375" s="3"/>
      <c r="AB375" s="3"/>
      <c r="AC375" s="3"/>
      <c r="AD375" s="3"/>
      <c r="AE375" s="4"/>
      <c r="AF375" s="8"/>
      <c r="AG375" s="1"/>
      <c r="AH375" s="6"/>
      <c r="AI375" s="6"/>
      <c r="AJ375" s="6"/>
      <c r="AK375" s="6"/>
      <c r="AL375" s="6"/>
      <c r="AM375" s="6"/>
      <c r="AN375" s="6"/>
      <c r="AO375" s="1"/>
      <c r="AP375" s="9"/>
      <c r="AQ375" s="2"/>
      <c r="AR375" s="3"/>
      <c r="AS375" s="10"/>
      <c r="AT375" s="1"/>
      <c r="AU375" s="1"/>
      <c r="AV375" s="1"/>
      <c r="AW375" s="1"/>
      <c r="AX375" s="1"/>
      <c r="AY375" s="1"/>
      <c r="AZ375" s="1"/>
      <c r="BA375" s="1"/>
      <c r="BB375" s="1"/>
      <c r="BC375" s="1"/>
      <c r="BD375" s="1"/>
      <c r="BE375" s="1"/>
      <c r="BF375" s="1"/>
      <c r="BG375" s="1"/>
      <c r="BH375" s="1"/>
    </row>
    <row x14ac:dyDescent="0.25" r="376" customHeight="1" ht="14.5">
      <c r="A376" s="1"/>
      <c r="B376" s="1"/>
      <c r="C376" s="1"/>
      <c r="D376" s="1"/>
      <c r="E376" s="2"/>
      <c r="F376" s="2"/>
      <c r="G376" s="90">
        <f>(S376&amp;RIGHT(R376,1))*1</f>
      </c>
      <c r="H376" s="1"/>
      <c r="I376" s="111"/>
      <c r="J376" s="126">
        <f>Planning!Q46</f>
      </c>
      <c r="K376" s="93">
        <f>VLOOKUP(J376,AA$23:AE$88,5,FALSE)</f>
      </c>
      <c r="L376" s="122">
        <f>Planning!Z46</f>
      </c>
      <c r="M376" s="95">
        <f>IF(Planning!AG46=0,0,IFERROR($AD46*AM$22,0))</f>
      </c>
      <c r="N376" s="171">
        <f>IF(Planning!AG46=0,0,IFERROR($AD46*AM$22*K376,0))</f>
      </c>
      <c r="O376" s="96">
        <f>IF(ISTEXT(Planning!Z46),0,AM46)</f>
      </c>
      <c r="P376" s="94">
        <f>Planning!AG46</f>
      </c>
      <c r="Q376" s="121">
        <f>Progress!AB46</f>
      </c>
      <c r="R376" s="95">
        <f>IF(Q376=0,0,IF(ISNUMBER(Q376),IF(S376&gt;=$G$21,$F$21,"Q37"),Q376))</f>
      </c>
      <c r="S376" s="122">
        <f>Progress!AC46</f>
      </c>
      <c r="T376" s="97"/>
      <c r="U376" s="96">
        <f>V376/$N$419</f>
      </c>
      <c r="V376" s="176">
        <f>IF(L376&lt;$E$20,0,IF(ISTEXT(L376),0,IF(AND(G376+1&gt;=$E$19+1,L376&gt;0),IF(ISNUMBER(Q376),Q376*$AD46*AM$22*K376,$AD46*AM$22*K376),0)))</f>
      </c>
      <c r="W376" s="95">
        <f>IF(AND(L376&gt;0,S376&gt;0),IF(ISNUMBER(Q376),Q376*$AD46*AM$22*K376,$AD46*AM$22*K376),0)</f>
      </c>
      <c r="X376" s="17"/>
      <c r="Y376" s="1"/>
      <c r="Z376" s="1"/>
      <c r="AA376" s="3"/>
      <c r="AB376" s="3"/>
      <c r="AC376" s="3"/>
      <c r="AD376" s="3"/>
      <c r="AE376" s="4"/>
      <c r="AF376" s="8"/>
      <c r="AG376" s="1"/>
      <c r="AH376" s="6"/>
      <c r="AI376" s="6"/>
      <c r="AJ376" s="6"/>
      <c r="AK376" s="6"/>
      <c r="AL376" s="6"/>
      <c r="AM376" s="6"/>
      <c r="AN376" s="6"/>
      <c r="AO376" s="1"/>
      <c r="AP376" s="9"/>
      <c r="AQ376" s="2"/>
      <c r="AR376" s="3"/>
      <c r="AS376" s="10"/>
      <c r="AT376" s="1"/>
      <c r="AU376" s="1"/>
      <c r="AV376" s="1"/>
      <c r="AW376" s="1"/>
      <c r="AX376" s="1"/>
      <c r="AY376" s="1"/>
      <c r="AZ376" s="1"/>
      <c r="BA376" s="1"/>
      <c r="BB376" s="1"/>
      <c r="BC376" s="1"/>
      <c r="BD376" s="1"/>
      <c r="BE376" s="1"/>
      <c r="BF376" s="1"/>
      <c r="BG376" s="1"/>
      <c r="BH376" s="1"/>
    </row>
    <row x14ac:dyDescent="0.25" r="377" customHeight="1" ht="14.5">
      <c r="A377" s="1"/>
      <c r="B377" s="1"/>
      <c r="C377" s="1"/>
      <c r="D377" s="1"/>
      <c r="E377" s="2"/>
      <c r="F377" s="2"/>
      <c r="G377" s="90">
        <f>(S377&amp;RIGHT(R377,1))*1</f>
      </c>
      <c r="H377" s="1"/>
      <c r="I377" s="111"/>
      <c r="J377" s="126">
        <f>Planning!Q47</f>
      </c>
      <c r="K377" s="93">
        <f>VLOOKUP(J377,AA$23:AE$88,5,FALSE)</f>
      </c>
      <c r="L377" s="122">
        <f>Planning!Z47</f>
      </c>
      <c r="M377" s="95">
        <f>IF(Planning!AG47=0,0,IFERROR($AD47*AM$22,0))</f>
      </c>
      <c r="N377" s="171">
        <f>IF(Planning!AG47=0,0,IFERROR($AD47*AM$22*K377,0))</f>
      </c>
      <c r="O377" s="96">
        <f>IF(ISTEXT(Planning!Z47),0,AM47)</f>
      </c>
      <c r="P377" s="94">
        <f>Planning!AG47</f>
      </c>
      <c r="Q377" s="121">
        <f>Progress!AB47</f>
      </c>
      <c r="R377" s="95">
        <f>IF(Q377=0,0,IF(ISNUMBER(Q377),IF(S377&gt;=$G$21,$F$21,"Q38"),Q377))</f>
      </c>
      <c r="S377" s="122">
        <f>Progress!AC47</f>
      </c>
      <c r="T377" s="97"/>
      <c r="U377" s="96">
        <f>V377/$N$419</f>
      </c>
      <c r="V377" s="176">
        <f>IF(L377&lt;$E$20,0,IF(ISTEXT(L377),0,IF(AND(G377+1&gt;=$E$19+1,L377&gt;0),IF(ISNUMBER(Q377),Q377*$AD47*AM$22*K377,$AD47*AM$22*K377),0)))</f>
      </c>
      <c r="W377" s="95">
        <f>IF(AND(L377&gt;0,S377&gt;0),IF(ISNUMBER(Q377),Q377*$AD47*AM$22*K377,$AD47*AM$22*K377),0)</f>
      </c>
      <c r="X377" s="17"/>
      <c r="Y377" s="1"/>
      <c r="Z377" s="1"/>
      <c r="AA377" s="3"/>
      <c r="AB377" s="3"/>
      <c r="AC377" s="3"/>
      <c r="AD377" s="3"/>
      <c r="AE377" s="4"/>
      <c r="AF377" s="8"/>
      <c r="AG377" s="1"/>
      <c r="AH377" s="6"/>
      <c r="AI377" s="6"/>
      <c r="AJ377" s="6"/>
      <c r="AK377" s="6"/>
      <c r="AL377" s="6"/>
      <c r="AM377" s="6"/>
      <c r="AN377" s="6"/>
      <c r="AO377" s="1"/>
      <c r="AP377" s="9"/>
      <c r="AQ377" s="2"/>
      <c r="AR377" s="3"/>
      <c r="AS377" s="10"/>
      <c r="AT377" s="1"/>
      <c r="AU377" s="1"/>
      <c r="AV377" s="1"/>
      <c r="AW377" s="1"/>
      <c r="AX377" s="1"/>
      <c r="AY377" s="1"/>
      <c r="AZ377" s="1"/>
      <c r="BA377" s="1"/>
      <c r="BB377" s="1"/>
      <c r="BC377" s="1"/>
      <c r="BD377" s="1"/>
      <c r="BE377" s="1"/>
      <c r="BF377" s="1"/>
      <c r="BG377" s="1"/>
      <c r="BH377" s="1"/>
    </row>
    <row x14ac:dyDescent="0.25" r="378" customHeight="1" ht="14.5">
      <c r="A378" s="1"/>
      <c r="B378" s="1"/>
      <c r="C378" s="1"/>
      <c r="D378" s="1"/>
      <c r="E378" s="2"/>
      <c r="F378" s="2"/>
      <c r="G378" s="90">
        <f>(S378&amp;RIGHT(R378,1))*1</f>
      </c>
      <c r="H378" s="1"/>
      <c r="I378" s="111"/>
      <c r="J378" s="126">
        <f>Planning!Q48</f>
      </c>
      <c r="K378" s="93">
        <f>VLOOKUP(J378,AA$23:AE$88,5,FALSE)</f>
      </c>
      <c r="L378" s="122">
        <f>Planning!Z48</f>
      </c>
      <c r="M378" s="95">
        <f>IF(Planning!AG48=0,0,IFERROR($AD48*AM$22,0))</f>
      </c>
      <c r="N378" s="171">
        <f>IF(Planning!AG48=0,0,IFERROR($AD48*AM$22*K378,0))</f>
      </c>
      <c r="O378" s="96">
        <f>IF(ISTEXT(Planning!Z48),0,AM48)</f>
      </c>
      <c r="P378" s="94">
        <f>Planning!AG48</f>
      </c>
      <c r="Q378" s="121">
        <f>Progress!AB48</f>
      </c>
      <c r="R378" s="95">
        <f>IF(Q378=0,0,IF(ISNUMBER(Q378),IF(S378&gt;=$G$21,$F$21,"Q39"),Q378))</f>
      </c>
      <c r="S378" s="122">
        <f>Progress!AC48</f>
      </c>
      <c r="T378" s="97"/>
      <c r="U378" s="96">
        <f>V378/$N$419</f>
      </c>
      <c r="V378" s="176">
        <f>IF(L378&lt;$E$20,0,IF(ISTEXT(L378),0,IF(AND(G378+1&gt;=$E$19+1,L378&gt;0),IF(ISNUMBER(Q378),Q378*$AD48*AM$22*K378,$AD48*AM$22*K378),0)))</f>
      </c>
      <c r="W378" s="95">
        <f>IF(AND(L378&gt;0,S378&gt;0),IF(ISNUMBER(Q378),Q378*$AD48*AM$22*K378,$AD48*AM$22*K378),0)</f>
      </c>
      <c r="X378" s="17"/>
      <c r="Y378" s="1"/>
      <c r="Z378" s="1"/>
      <c r="AA378" s="3"/>
      <c r="AB378" s="3"/>
      <c r="AC378" s="3"/>
      <c r="AD378" s="3"/>
      <c r="AE378" s="4"/>
      <c r="AF378" s="8"/>
      <c r="AG378" s="1"/>
      <c r="AH378" s="6"/>
      <c r="AI378" s="6"/>
      <c r="AJ378" s="6"/>
      <c r="AK378" s="6"/>
      <c r="AL378" s="6"/>
      <c r="AM378" s="6"/>
      <c r="AN378" s="6"/>
      <c r="AO378" s="1"/>
      <c r="AP378" s="9"/>
      <c r="AQ378" s="2"/>
      <c r="AR378" s="3"/>
      <c r="AS378" s="10"/>
      <c r="AT378" s="1"/>
      <c r="AU378" s="1"/>
      <c r="AV378" s="1"/>
      <c r="AW378" s="1"/>
      <c r="AX378" s="1"/>
      <c r="AY378" s="1"/>
      <c r="AZ378" s="1"/>
      <c r="BA378" s="1"/>
      <c r="BB378" s="1"/>
      <c r="BC378" s="1"/>
      <c r="BD378" s="1"/>
      <c r="BE378" s="1"/>
      <c r="BF378" s="1"/>
      <c r="BG378" s="1"/>
      <c r="BH378" s="1"/>
    </row>
    <row x14ac:dyDescent="0.25" r="379" customHeight="1" ht="14.5">
      <c r="A379" s="1"/>
      <c r="B379" s="1"/>
      <c r="C379" s="1"/>
      <c r="D379" s="1"/>
      <c r="E379" s="2"/>
      <c r="F379" s="2"/>
      <c r="G379" s="90">
        <f>(S379&amp;RIGHT(R379,1))*1</f>
      </c>
      <c r="H379" s="1"/>
      <c r="I379" s="111"/>
      <c r="J379" s="126">
        <f>Planning!Q49</f>
      </c>
      <c r="K379" s="93">
        <f>VLOOKUP(J379,AA$23:AE$88,5,FALSE)</f>
      </c>
      <c r="L379" s="122">
        <f>Planning!Z49</f>
      </c>
      <c r="M379" s="95">
        <f>IF(Planning!AG49=0,0,IFERROR($AD49*AM$22,0))</f>
      </c>
      <c r="N379" s="171">
        <f>IF(Planning!AG49=0,0,IFERROR($AD49*AM$22*K379,0))</f>
      </c>
      <c r="O379" s="96">
        <f>IF(ISTEXT(Planning!Z49),0,AM49)</f>
      </c>
      <c r="P379" s="94">
        <f>Planning!AG49</f>
      </c>
      <c r="Q379" s="121">
        <f>Progress!AB49</f>
      </c>
      <c r="R379" s="95">
        <f>IF(Q379=0,0,IF(ISNUMBER(Q379),IF(S379&gt;=$G$21,$F$21,"Q40"),Q379))</f>
      </c>
      <c r="S379" s="122">
        <f>Progress!AC49</f>
      </c>
      <c r="T379" s="97"/>
      <c r="U379" s="96">
        <f>V379/$N$419</f>
      </c>
      <c r="V379" s="176">
        <f>IF(L379&lt;$E$20,0,IF(ISTEXT(L379),0,IF(AND(G379+1&gt;=$E$19+1,L379&gt;0),IF(ISNUMBER(Q379),Q379*$AD49*AM$22*K379,$AD49*AM$22*K379),0)))</f>
      </c>
      <c r="W379" s="95">
        <f>IF(AND(L379&gt;0,S379&gt;0),IF(ISNUMBER(Q379),Q379*$AD49*AM$22*K379,$AD49*AM$22*K379),0)</f>
      </c>
      <c r="X379" s="17"/>
      <c r="Y379" s="1"/>
      <c r="Z379" s="1"/>
      <c r="AA379" s="3"/>
      <c r="AB379" s="3"/>
      <c r="AC379" s="3"/>
      <c r="AD379" s="3"/>
      <c r="AE379" s="4"/>
      <c r="AF379" s="8"/>
      <c r="AG379" s="1"/>
      <c r="AH379" s="6"/>
      <c r="AI379" s="6"/>
      <c r="AJ379" s="6"/>
      <c r="AK379" s="6"/>
      <c r="AL379" s="6"/>
      <c r="AM379" s="6"/>
      <c r="AN379" s="6"/>
      <c r="AO379" s="1"/>
      <c r="AP379" s="9"/>
      <c r="AQ379" s="2"/>
      <c r="AR379" s="3"/>
      <c r="AS379" s="10"/>
      <c r="AT379" s="1"/>
      <c r="AU379" s="1"/>
      <c r="AV379" s="1"/>
      <c r="AW379" s="1"/>
      <c r="AX379" s="1"/>
      <c r="AY379" s="1"/>
      <c r="AZ379" s="1"/>
      <c r="BA379" s="1"/>
      <c r="BB379" s="1"/>
      <c r="BC379" s="1"/>
      <c r="BD379" s="1"/>
      <c r="BE379" s="1"/>
      <c r="BF379" s="1"/>
      <c r="BG379" s="1"/>
      <c r="BH379" s="1"/>
    </row>
    <row x14ac:dyDescent="0.25" r="380" customHeight="1" ht="14.5">
      <c r="A380" s="1"/>
      <c r="B380" s="1"/>
      <c r="C380" s="1"/>
      <c r="D380" s="1"/>
      <c r="E380" s="2"/>
      <c r="F380" s="2"/>
      <c r="G380" s="90">
        <f>(S380&amp;RIGHT(R380,1))*1</f>
      </c>
      <c r="H380" s="1"/>
      <c r="I380" s="111"/>
      <c r="J380" s="126">
        <f>Planning!Q50</f>
      </c>
      <c r="K380" s="93">
        <f>VLOOKUP(J380,AA$23:AE$88,5,FALSE)</f>
      </c>
      <c r="L380" s="122">
        <f>Planning!Z50</f>
      </c>
      <c r="M380" s="95">
        <f>IF(Planning!AG50=0,0,IFERROR($AD50*AM$22,0))</f>
      </c>
      <c r="N380" s="171">
        <f>IF(Planning!AG50=0,0,IFERROR($AD50*AM$22*K380,0))</f>
      </c>
      <c r="O380" s="96">
        <f>IF(ISTEXT(Planning!Z50),0,AM50)</f>
      </c>
      <c r="P380" s="94">
        <f>Planning!AG50</f>
      </c>
      <c r="Q380" s="121">
        <f>Progress!AB50</f>
      </c>
      <c r="R380" s="95">
        <f>IF(Q380=0,0,IF(ISNUMBER(Q380),IF(S380&gt;=$G$21,$F$21,"Q41"),Q380))</f>
      </c>
      <c r="S380" s="122">
        <f>Progress!AC50</f>
      </c>
      <c r="T380" s="97"/>
      <c r="U380" s="96">
        <f>V380/$N$419</f>
      </c>
      <c r="V380" s="176">
        <f>IF(L380&lt;$E$20,0,IF(ISTEXT(L380),0,IF(AND(G380+1&gt;=$E$19+1,L380&gt;0),IF(ISNUMBER(Q380),Q380*$AD50*AM$22*K380,$AD50*AM$22*K380),0)))</f>
      </c>
      <c r="W380" s="95">
        <f>IF(AND(L380&gt;0,S380&gt;0),IF(ISNUMBER(Q380),Q380*$AD50*AM$22*K380,$AD50*AM$22*K380),0)</f>
      </c>
      <c r="X380" s="17"/>
      <c r="Y380" s="1"/>
      <c r="Z380" s="1"/>
      <c r="AA380" s="3"/>
      <c r="AB380" s="3"/>
      <c r="AC380" s="3"/>
      <c r="AD380" s="3"/>
      <c r="AE380" s="4"/>
      <c r="AF380" s="8"/>
      <c r="AG380" s="1"/>
      <c r="AH380" s="6"/>
      <c r="AI380" s="6"/>
      <c r="AJ380" s="6"/>
      <c r="AK380" s="6"/>
      <c r="AL380" s="6"/>
      <c r="AM380" s="6"/>
      <c r="AN380" s="6"/>
      <c r="AO380" s="1"/>
      <c r="AP380" s="9"/>
      <c r="AQ380" s="2"/>
      <c r="AR380" s="3"/>
      <c r="AS380" s="10"/>
      <c r="AT380" s="1"/>
      <c r="AU380" s="1"/>
      <c r="AV380" s="1"/>
      <c r="AW380" s="1"/>
      <c r="AX380" s="1"/>
      <c r="AY380" s="1"/>
      <c r="AZ380" s="1"/>
      <c r="BA380" s="1"/>
      <c r="BB380" s="1"/>
      <c r="BC380" s="1"/>
      <c r="BD380" s="1"/>
      <c r="BE380" s="1"/>
      <c r="BF380" s="1"/>
      <c r="BG380" s="1"/>
      <c r="BH380" s="1"/>
    </row>
    <row x14ac:dyDescent="0.25" r="381" customHeight="1" ht="14.5">
      <c r="A381" s="1"/>
      <c r="B381" s="1"/>
      <c r="C381" s="1"/>
      <c r="D381" s="1"/>
      <c r="E381" s="2"/>
      <c r="F381" s="2"/>
      <c r="G381" s="90">
        <f>(S381&amp;RIGHT(R381,1))*1</f>
      </c>
      <c r="H381" s="1"/>
      <c r="I381" s="111"/>
      <c r="J381" s="126">
        <f>Planning!Q51</f>
      </c>
      <c r="K381" s="93">
        <f>VLOOKUP(J381,AA$23:AE$88,5,FALSE)</f>
      </c>
      <c r="L381" s="122">
        <f>Planning!Z51</f>
      </c>
      <c r="M381" s="95">
        <f>IF(Planning!AG51=0,0,IFERROR($AD51*AM$22,0))</f>
      </c>
      <c r="N381" s="171">
        <f>IF(Planning!AG51=0,0,IFERROR($AD51*AM$22*K381,0))</f>
      </c>
      <c r="O381" s="96">
        <f>IF(ISTEXT(Planning!Z51),0,AM51)</f>
      </c>
      <c r="P381" s="94">
        <f>Planning!AG51</f>
      </c>
      <c r="Q381" s="121">
        <f>Progress!AB51</f>
      </c>
      <c r="R381" s="95">
        <f>IF(Q381=0,0,IF(ISNUMBER(Q381),IF(S381&gt;=$G$21,$F$21,"Q42"),Q381))</f>
      </c>
      <c r="S381" s="122">
        <f>Progress!AC51</f>
      </c>
      <c r="T381" s="97"/>
      <c r="U381" s="96">
        <f>V381/$N$419</f>
      </c>
      <c r="V381" s="176">
        <f>IF(L381&lt;$E$20,0,IF(ISTEXT(L381),0,IF(AND(G381+1&gt;=$E$19+1,L381&gt;0),IF(ISNUMBER(Q381),Q381*$AD51*AM$22*K381,$AD51*AM$22*K381),0)))</f>
      </c>
      <c r="W381" s="95">
        <f>IF(AND(L381&gt;0,S381&gt;0),IF(ISNUMBER(Q381),Q381*$AD51*AM$22*K381,$AD51*AM$22*K381),0)</f>
      </c>
      <c r="X381" s="17"/>
      <c r="Y381" s="1"/>
      <c r="Z381" s="1"/>
      <c r="AA381" s="3"/>
      <c r="AB381" s="3"/>
      <c r="AC381" s="3"/>
      <c r="AD381" s="3"/>
      <c r="AE381" s="4"/>
      <c r="AF381" s="8"/>
      <c r="AG381" s="1"/>
      <c r="AH381" s="6"/>
      <c r="AI381" s="6"/>
      <c r="AJ381" s="6"/>
      <c r="AK381" s="6"/>
      <c r="AL381" s="6"/>
      <c r="AM381" s="6"/>
      <c r="AN381" s="6"/>
      <c r="AO381" s="1"/>
      <c r="AP381" s="9"/>
      <c r="AQ381" s="2"/>
      <c r="AR381" s="3"/>
      <c r="AS381" s="10"/>
      <c r="AT381" s="1"/>
      <c r="AU381" s="1"/>
      <c r="AV381" s="1"/>
      <c r="AW381" s="1"/>
      <c r="AX381" s="1"/>
      <c r="AY381" s="1"/>
      <c r="AZ381" s="1"/>
      <c r="BA381" s="1"/>
      <c r="BB381" s="1"/>
      <c r="BC381" s="1"/>
      <c r="BD381" s="1"/>
      <c r="BE381" s="1"/>
      <c r="BF381" s="1"/>
      <c r="BG381" s="1"/>
      <c r="BH381" s="1"/>
    </row>
    <row x14ac:dyDescent="0.25" r="382" customHeight="1" ht="14.5">
      <c r="A382" s="1"/>
      <c r="B382" s="1"/>
      <c r="C382" s="1"/>
      <c r="D382" s="1"/>
      <c r="E382" s="2"/>
      <c r="F382" s="2"/>
      <c r="G382" s="90">
        <f>(S382&amp;RIGHT(R382,1))*1</f>
      </c>
      <c r="H382" s="1"/>
      <c r="I382" s="111"/>
      <c r="J382" s="126">
        <f>Planning!Q52</f>
      </c>
      <c r="K382" s="93">
        <f>VLOOKUP(J382,AA$23:AE$88,5,FALSE)</f>
      </c>
      <c r="L382" s="122">
        <f>Planning!Z52</f>
      </c>
      <c r="M382" s="95">
        <f>IF(Planning!AG52=0,0,IFERROR($AD52*AM$22,0))</f>
      </c>
      <c r="N382" s="171">
        <f>IF(Planning!AG52=0,0,IFERROR($AD52*AM$22*K382,0))</f>
      </c>
      <c r="O382" s="96">
        <f>IF(ISTEXT(Planning!Z52),0,AM52)</f>
      </c>
      <c r="P382" s="94">
        <f>Planning!AG52</f>
      </c>
      <c r="Q382" s="121">
        <f>Progress!AB52</f>
      </c>
      <c r="R382" s="95">
        <f>IF(Q382=0,0,IF(ISNUMBER(Q382),IF(S382&gt;=$G$21,$F$21,"Q43"),Q382))</f>
      </c>
      <c r="S382" s="122">
        <f>Progress!AC52</f>
      </c>
      <c r="T382" s="97"/>
      <c r="U382" s="96">
        <f>V382/$N$419</f>
      </c>
      <c r="V382" s="176">
        <f>IF(L382&lt;$E$20,0,IF(ISTEXT(L382),0,IF(AND(G382+1&gt;=$E$19+1,L382&gt;0),IF(ISNUMBER(Q382),Q382*$AD52*AM$22*K382,$AD52*AM$22*K382),0)))</f>
      </c>
      <c r="W382" s="95">
        <f>IF(AND(L382&gt;0,S382&gt;0),IF(ISNUMBER(Q382),Q382*$AD52*AM$22*K382,$AD52*AM$22*K382),0)</f>
      </c>
      <c r="X382" s="17"/>
      <c r="Y382" s="1"/>
      <c r="Z382" s="1"/>
      <c r="AA382" s="3"/>
      <c r="AB382" s="3"/>
      <c r="AC382" s="3"/>
      <c r="AD382" s="3"/>
      <c r="AE382" s="4"/>
      <c r="AF382" s="8"/>
      <c r="AG382" s="1"/>
      <c r="AH382" s="6"/>
      <c r="AI382" s="6"/>
      <c r="AJ382" s="6"/>
      <c r="AK382" s="6"/>
      <c r="AL382" s="6"/>
      <c r="AM382" s="6"/>
      <c r="AN382" s="6"/>
      <c r="AO382" s="1"/>
      <c r="AP382" s="9"/>
      <c r="AQ382" s="2"/>
      <c r="AR382" s="3"/>
      <c r="AS382" s="10"/>
      <c r="AT382" s="1"/>
      <c r="AU382" s="1"/>
      <c r="AV382" s="1"/>
      <c r="AW382" s="1"/>
      <c r="AX382" s="1"/>
      <c r="AY382" s="1"/>
      <c r="AZ382" s="1"/>
      <c r="BA382" s="1"/>
      <c r="BB382" s="1"/>
      <c r="BC382" s="1"/>
      <c r="BD382" s="1"/>
      <c r="BE382" s="1"/>
      <c r="BF382" s="1"/>
      <c r="BG382" s="1"/>
      <c r="BH382" s="1"/>
    </row>
    <row x14ac:dyDescent="0.25" r="383" customHeight="1" ht="14.5">
      <c r="A383" s="1"/>
      <c r="B383" s="1"/>
      <c r="C383" s="1"/>
      <c r="D383" s="1"/>
      <c r="E383" s="2"/>
      <c r="F383" s="2"/>
      <c r="G383" s="90">
        <f>(S383&amp;RIGHT(R383,1))*1</f>
      </c>
      <c r="H383" s="1"/>
      <c r="I383" s="111"/>
      <c r="J383" s="126">
        <f>Planning!Q53</f>
      </c>
      <c r="K383" s="93">
        <f>VLOOKUP(J383,AA$23:AE$88,5,FALSE)</f>
      </c>
      <c r="L383" s="122">
        <f>Planning!Z53</f>
      </c>
      <c r="M383" s="95">
        <f>IF(Planning!AG53=0,0,IFERROR($AD53*AM$22,0))</f>
      </c>
      <c r="N383" s="171">
        <f>IF(Planning!AG53=0,0,IFERROR($AD53*AM$22*K383,0))</f>
      </c>
      <c r="O383" s="96">
        <f>IF(ISTEXT(Planning!Z53),0,AM53)</f>
      </c>
      <c r="P383" s="94">
        <f>Planning!AG53</f>
      </c>
      <c r="Q383" s="121">
        <f>Progress!AB53</f>
      </c>
      <c r="R383" s="95">
        <f>IF(Q383=0,0,IF(ISNUMBER(Q383),IF(S383&gt;=$G$21,$F$21,"Q44"),Q383))</f>
      </c>
      <c r="S383" s="122">
        <f>Progress!AC53</f>
      </c>
      <c r="T383" s="97"/>
      <c r="U383" s="96">
        <f>V383/$N$419</f>
      </c>
      <c r="V383" s="176">
        <f>IF(L383&lt;$E$20,0,IF(ISTEXT(L383),0,IF(AND(G383+1&gt;=$E$19+1,L383&gt;0),IF(ISNUMBER(Q383),Q383*$AD53*AM$22*K383,$AD53*AM$22*K383),0)))</f>
      </c>
      <c r="W383" s="95">
        <f>IF(AND(L383&gt;0,S383&gt;0),IF(ISNUMBER(Q383),Q383*$AD53*AM$22*K383,$AD53*AM$22*K383),0)</f>
      </c>
      <c r="X383" s="17"/>
      <c r="Y383" s="1"/>
      <c r="Z383" s="1"/>
      <c r="AA383" s="3"/>
      <c r="AB383" s="3"/>
      <c r="AC383" s="3"/>
      <c r="AD383" s="3"/>
      <c r="AE383" s="4"/>
      <c r="AF383" s="8"/>
      <c r="AG383" s="1"/>
      <c r="AH383" s="6"/>
      <c r="AI383" s="6"/>
      <c r="AJ383" s="6"/>
      <c r="AK383" s="6"/>
      <c r="AL383" s="6"/>
      <c r="AM383" s="6"/>
      <c r="AN383" s="6"/>
      <c r="AO383" s="1"/>
      <c r="AP383" s="9"/>
      <c r="AQ383" s="2"/>
      <c r="AR383" s="3"/>
      <c r="AS383" s="10"/>
      <c r="AT383" s="1"/>
      <c r="AU383" s="1"/>
      <c r="AV383" s="1"/>
      <c r="AW383" s="1"/>
      <c r="AX383" s="1"/>
      <c r="AY383" s="1"/>
      <c r="AZ383" s="1"/>
      <c r="BA383" s="1"/>
      <c r="BB383" s="1"/>
      <c r="BC383" s="1"/>
      <c r="BD383" s="1"/>
      <c r="BE383" s="1"/>
      <c r="BF383" s="1"/>
      <c r="BG383" s="1"/>
      <c r="BH383" s="1"/>
    </row>
    <row x14ac:dyDescent="0.25" r="384" customHeight="1" ht="14.5">
      <c r="A384" s="1"/>
      <c r="B384" s="1"/>
      <c r="C384" s="1"/>
      <c r="D384" s="1"/>
      <c r="E384" s="2"/>
      <c r="F384" s="2"/>
      <c r="G384" s="90">
        <f>(S384&amp;RIGHT(R384,1))*1</f>
      </c>
      <c r="H384" s="1"/>
      <c r="I384" s="111"/>
      <c r="J384" s="126">
        <f>Planning!Q54</f>
      </c>
      <c r="K384" s="93">
        <f>VLOOKUP(J384,AA$23:AE$88,5,FALSE)</f>
      </c>
      <c r="L384" s="122">
        <f>Planning!Z54</f>
      </c>
      <c r="M384" s="95">
        <f>IF(Planning!AG54=0,0,IFERROR($AD54*AM$22,0))</f>
      </c>
      <c r="N384" s="171">
        <f>IF(Planning!AG54=0,0,IFERROR($AD54*AM$22*K384,0))</f>
      </c>
      <c r="O384" s="96">
        <f>IF(ISTEXT(Planning!Z54),0,AM54)</f>
      </c>
      <c r="P384" s="94">
        <f>Planning!AG54</f>
      </c>
      <c r="Q384" s="121">
        <f>Progress!AB54</f>
      </c>
      <c r="R384" s="95">
        <f>IF(Q384=0,0,IF(ISNUMBER(Q384),IF(S384&gt;=$G$21,$F$21,"Q45"),Q384))</f>
      </c>
      <c r="S384" s="122">
        <f>Progress!AC54</f>
      </c>
      <c r="T384" s="97"/>
      <c r="U384" s="96">
        <f>V384/$N$419</f>
      </c>
      <c r="V384" s="176">
        <f>IF(L384&lt;$E$20,0,IF(ISTEXT(L384),0,IF(AND(G384+1&gt;=$E$19+1,L384&gt;0),IF(ISNUMBER(Q384),Q384*$AD54*AM$22*K384,$AD54*AM$22*K384),0)))</f>
      </c>
      <c r="W384" s="95">
        <f>IF(AND(L384&gt;0,S384&gt;0),IF(ISNUMBER(Q384),Q384*$AD54*AM$22*K384,$AD54*AM$22*K384),0)</f>
      </c>
      <c r="X384" s="17"/>
      <c r="Y384" s="1"/>
      <c r="Z384" s="1"/>
      <c r="AA384" s="3"/>
      <c r="AB384" s="3"/>
      <c r="AC384" s="3"/>
      <c r="AD384" s="3"/>
      <c r="AE384" s="4"/>
      <c r="AF384" s="8"/>
      <c r="AG384" s="1"/>
      <c r="AH384" s="6"/>
      <c r="AI384" s="6"/>
      <c r="AJ384" s="6"/>
      <c r="AK384" s="6"/>
      <c r="AL384" s="6"/>
      <c r="AM384" s="6"/>
      <c r="AN384" s="6"/>
      <c r="AO384" s="1"/>
      <c r="AP384" s="9"/>
      <c r="AQ384" s="2"/>
      <c r="AR384" s="3"/>
      <c r="AS384" s="10"/>
      <c r="AT384" s="1"/>
      <c r="AU384" s="1"/>
      <c r="AV384" s="1"/>
      <c r="AW384" s="1"/>
      <c r="AX384" s="1"/>
      <c r="AY384" s="1"/>
      <c r="AZ384" s="1"/>
      <c r="BA384" s="1"/>
      <c r="BB384" s="1"/>
      <c r="BC384" s="1"/>
      <c r="BD384" s="1"/>
      <c r="BE384" s="1"/>
      <c r="BF384" s="1"/>
      <c r="BG384" s="1"/>
      <c r="BH384" s="1"/>
    </row>
    <row x14ac:dyDescent="0.25" r="385" customHeight="1" ht="14.5">
      <c r="A385" s="1"/>
      <c r="B385" s="1"/>
      <c r="C385" s="1"/>
      <c r="D385" s="1"/>
      <c r="E385" s="2"/>
      <c r="F385" s="2"/>
      <c r="G385" s="90">
        <f>(S385&amp;RIGHT(R385,1))*1</f>
      </c>
      <c r="H385" s="1"/>
      <c r="I385" s="111"/>
      <c r="J385" s="126">
        <f>Planning!Q55</f>
      </c>
      <c r="K385" s="93">
        <f>VLOOKUP(J385,AA$23:AE$88,5,FALSE)</f>
      </c>
      <c r="L385" s="122">
        <f>Planning!Z55</f>
      </c>
      <c r="M385" s="95">
        <f>IF(Planning!AG55=0,0,IFERROR($AD55*AM$22,0))</f>
      </c>
      <c r="N385" s="171">
        <f>IF(Planning!AG55=0,0,IFERROR($AD55*AM$22*K385,0))</f>
      </c>
      <c r="O385" s="96">
        <f>IF(ISTEXT(Planning!Z55),0,AM55)</f>
      </c>
      <c r="P385" s="94">
        <f>Planning!AG55</f>
      </c>
      <c r="Q385" s="121">
        <f>Progress!AB55</f>
      </c>
      <c r="R385" s="95">
        <f>IF(Q385=0,0,IF(ISNUMBER(Q385),IF(S385&gt;=$G$21,$F$21,"Q46"),Q385))</f>
      </c>
      <c r="S385" s="122">
        <f>Progress!AC55</f>
      </c>
      <c r="T385" s="97"/>
      <c r="U385" s="96">
        <f>V385/$N$419</f>
      </c>
      <c r="V385" s="176">
        <f>IF(L385&lt;$E$20,0,IF(ISTEXT(L385),0,IF(AND(G385+1&gt;=$E$19+1,L385&gt;0),IF(ISNUMBER(Q385),Q385*$AD55*AM$22*K385,$AD55*AM$22*K385),0)))</f>
      </c>
      <c r="W385" s="95">
        <f>IF(AND(L385&gt;0,S385&gt;0),IF(ISNUMBER(Q385),Q385*$AD55*AM$22*K385,$AD55*AM$22*K385),0)</f>
      </c>
      <c r="X385" s="17"/>
      <c r="Y385" s="1"/>
      <c r="Z385" s="1"/>
      <c r="AA385" s="3"/>
      <c r="AB385" s="3"/>
      <c r="AC385" s="3"/>
      <c r="AD385" s="3"/>
      <c r="AE385" s="4"/>
      <c r="AF385" s="8"/>
      <c r="AG385" s="1"/>
      <c r="AH385" s="6"/>
      <c r="AI385" s="6"/>
      <c r="AJ385" s="6"/>
      <c r="AK385" s="6"/>
      <c r="AL385" s="6"/>
      <c r="AM385" s="6"/>
      <c r="AN385" s="6"/>
      <c r="AO385" s="1"/>
      <c r="AP385" s="9"/>
      <c r="AQ385" s="2"/>
      <c r="AR385" s="3"/>
      <c r="AS385" s="10"/>
      <c r="AT385" s="1"/>
      <c r="AU385" s="1"/>
      <c r="AV385" s="1"/>
      <c r="AW385" s="1"/>
      <c r="AX385" s="1"/>
      <c r="AY385" s="1"/>
      <c r="AZ385" s="1"/>
      <c r="BA385" s="1"/>
      <c r="BB385" s="1"/>
      <c r="BC385" s="1"/>
      <c r="BD385" s="1"/>
      <c r="BE385" s="1"/>
      <c r="BF385" s="1"/>
      <c r="BG385" s="1"/>
      <c r="BH385" s="1"/>
    </row>
    <row x14ac:dyDescent="0.25" r="386" customHeight="1" ht="14.5">
      <c r="A386" s="1"/>
      <c r="B386" s="1"/>
      <c r="C386" s="1"/>
      <c r="D386" s="1"/>
      <c r="E386" s="2"/>
      <c r="F386" s="2"/>
      <c r="G386" s="90">
        <f>(S386&amp;RIGHT(R386,1))*1</f>
      </c>
      <c r="H386" s="1"/>
      <c r="I386" s="111"/>
      <c r="J386" s="126">
        <f>Planning!Q56</f>
      </c>
      <c r="K386" s="93">
        <f>VLOOKUP(J386,AA$23:AE$88,5,FALSE)</f>
      </c>
      <c r="L386" s="122">
        <f>Planning!Z56</f>
      </c>
      <c r="M386" s="95">
        <f>IF(Planning!AG56=0,0,IFERROR($AD56*AM$22,0))</f>
      </c>
      <c r="N386" s="171">
        <f>IF(Planning!AG56=0,0,IFERROR($AD56*AM$22*K386,0))</f>
      </c>
      <c r="O386" s="96">
        <f>IF(ISTEXT(Planning!Z56),0,AM56)</f>
      </c>
      <c r="P386" s="94">
        <f>Planning!AG56</f>
      </c>
      <c r="Q386" s="121">
        <f>Progress!AB56</f>
      </c>
      <c r="R386" s="95">
        <f>IF(Q386=0,0,IF(ISNUMBER(Q386),IF(S386&gt;=$G$21,$F$21,"Q47"),Q386))</f>
      </c>
      <c r="S386" s="122">
        <f>Progress!AC56</f>
      </c>
      <c r="T386" s="97"/>
      <c r="U386" s="96">
        <f>V386/$N$419</f>
      </c>
      <c r="V386" s="176">
        <f>IF(L386&lt;$E$20,0,IF(ISTEXT(L386),0,IF(AND(G386+1&gt;=$E$19+1,L386&gt;0),IF(ISNUMBER(Q386),Q386*$AD56*AM$22*K386,$AD56*AM$22*K386),0)))</f>
      </c>
      <c r="W386" s="95">
        <f>IF(AND(L386&gt;0,S386&gt;0),IF(ISNUMBER(Q386),Q386*$AD56*AM$22*K386,$AD56*AM$22*K386),0)</f>
      </c>
      <c r="X386" s="17"/>
      <c r="Y386" s="1"/>
      <c r="Z386" s="1"/>
      <c r="AA386" s="3"/>
      <c r="AB386" s="3"/>
      <c r="AC386" s="3"/>
      <c r="AD386" s="3"/>
      <c r="AE386" s="4"/>
      <c r="AF386" s="8"/>
      <c r="AG386" s="1"/>
      <c r="AH386" s="6"/>
      <c r="AI386" s="6"/>
      <c r="AJ386" s="6"/>
      <c r="AK386" s="6"/>
      <c r="AL386" s="6"/>
      <c r="AM386" s="6"/>
      <c r="AN386" s="6"/>
      <c r="AO386" s="1"/>
      <c r="AP386" s="9"/>
      <c r="AQ386" s="2"/>
      <c r="AR386" s="3"/>
      <c r="AS386" s="10"/>
      <c r="AT386" s="1"/>
      <c r="AU386" s="1"/>
      <c r="AV386" s="1"/>
      <c r="AW386" s="1"/>
      <c r="AX386" s="1"/>
      <c r="AY386" s="1"/>
      <c r="AZ386" s="1"/>
      <c r="BA386" s="1"/>
      <c r="BB386" s="1"/>
      <c r="BC386" s="1"/>
      <c r="BD386" s="1"/>
      <c r="BE386" s="1"/>
      <c r="BF386" s="1"/>
      <c r="BG386" s="1"/>
      <c r="BH386" s="1"/>
    </row>
    <row x14ac:dyDescent="0.25" r="387" customHeight="1" ht="14.5">
      <c r="A387" s="1"/>
      <c r="B387" s="1"/>
      <c r="C387" s="1"/>
      <c r="D387" s="1"/>
      <c r="E387" s="2"/>
      <c r="F387" s="2"/>
      <c r="G387" s="90">
        <f>(S387&amp;RIGHT(R387,1))*1</f>
      </c>
      <c r="H387" s="1"/>
      <c r="I387" s="111"/>
      <c r="J387" s="126">
        <f>Planning!Q57</f>
      </c>
      <c r="K387" s="93">
        <f>VLOOKUP(J387,AA$23:AE$88,5,FALSE)</f>
      </c>
      <c r="L387" s="122">
        <f>Planning!Z57</f>
      </c>
      <c r="M387" s="95">
        <f>IF(Planning!AG57=0,0,IFERROR($AD57*AM$22,0))</f>
      </c>
      <c r="N387" s="171">
        <f>IF(Planning!AG57=0,0,IFERROR($AD57*AM$22*K387,0))</f>
      </c>
      <c r="O387" s="96">
        <f>IF(ISTEXT(Planning!Z57),0,AM57)</f>
      </c>
      <c r="P387" s="94">
        <f>Planning!AG57</f>
      </c>
      <c r="Q387" s="121">
        <f>Progress!AB57</f>
      </c>
      <c r="R387" s="95">
        <f>IF(Q387=0,0,IF(ISNUMBER(Q387),IF(S387&gt;=$G$21,$F$21,"Q48"),Q387))</f>
      </c>
      <c r="S387" s="122">
        <f>Progress!AC57</f>
      </c>
      <c r="T387" s="97"/>
      <c r="U387" s="96">
        <f>V387/$N$419</f>
      </c>
      <c r="V387" s="176">
        <f>IF(L387&lt;$E$20,0,IF(ISTEXT(L387),0,IF(AND(G387+1&gt;=$E$19+1,L387&gt;0),IF(ISNUMBER(Q387),Q387*$AD57*AM$22*K387,$AD57*AM$22*K387),0)))</f>
      </c>
      <c r="W387" s="95">
        <f>IF(AND(L387&gt;0,S387&gt;0),IF(ISNUMBER(Q387),Q387*$AD57*AM$22*K387,$AD57*AM$22*K387),0)</f>
      </c>
      <c r="X387" s="17"/>
      <c r="Y387" s="1"/>
      <c r="Z387" s="1"/>
      <c r="AA387" s="3"/>
      <c r="AB387" s="3"/>
      <c r="AC387" s="3"/>
      <c r="AD387" s="3"/>
      <c r="AE387" s="4"/>
      <c r="AF387" s="8"/>
      <c r="AG387" s="1"/>
      <c r="AH387" s="6"/>
      <c r="AI387" s="6"/>
      <c r="AJ387" s="6"/>
      <c r="AK387" s="6"/>
      <c r="AL387" s="6"/>
      <c r="AM387" s="6"/>
      <c r="AN387" s="6"/>
      <c r="AO387" s="1"/>
      <c r="AP387" s="9"/>
      <c r="AQ387" s="2"/>
      <c r="AR387" s="3"/>
      <c r="AS387" s="10"/>
      <c r="AT387" s="1"/>
      <c r="AU387" s="1"/>
      <c r="AV387" s="1"/>
      <c r="AW387" s="1"/>
      <c r="AX387" s="1"/>
      <c r="AY387" s="1"/>
      <c r="AZ387" s="1"/>
      <c r="BA387" s="1"/>
      <c r="BB387" s="1"/>
      <c r="BC387" s="1"/>
      <c r="BD387" s="1"/>
      <c r="BE387" s="1"/>
      <c r="BF387" s="1"/>
      <c r="BG387" s="1"/>
      <c r="BH387" s="1"/>
    </row>
    <row x14ac:dyDescent="0.25" r="388" customHeight="1" ht="14.5">
      <c r="A388" s="1"/>
      <c r="B388" s="1"/>
      <c r="C388" s="1"/>
      <c r="D388" s="1"/>
      <c r="E388" s="2"/>
      <c r="F388" s="2"/>
      <c r="G388" s="90">
        <f>(S388&amp;RIGHT(R388,1))*1</f>
      </c>
      <c r="H388" s="1"/>
      <c r="I388" s="111"/>
      <c r="J388" s="126">
        <f>Planning!Q58</f>
      </c>
      <c r="K388" s="93">
        <f>VLOOKUP(J388,AA$23:AE$88,5,FALSE)</f>
      </c>
      <c r="L388" s="122">
        <f>Planning!Z58</f>
      </c>
      <c r="M388" s="95">
        <f>IF(Planning!AG58=0,0,IFERROR($AD58*AM$22,0))</f>
      </c>
      <c r="N388" s="171">
        <f>IF(Planning!AG58=0,0,IFERROR($AD58*AM$22*K388,0))</f>
      </c>
      <c r="O388" s="96">
        <f>IF(ISTEXT(Planning!Z58),0,AM58)</f>
      </c>
      <c r="P388" s="94">
        <f>Planning!AG58</f>
      </c>
      <c r="Q388" s="121">
        <f>Progress!AB58</f>
      </c>
      <c r="R388" s="95">
        <f>IF(Q388=0,0,IF(ISNUMBER(Q388),IF(S388&gt;=$G$21,$F$21,"Q49"),Q388))</f>
      </c>
      <c r="S388" s="122">
        <f>Progress!AC58</f>
      </c>
      <c r="T388" s="97"/>
      <c r="U388" s="96">
        <f>V388/$N$419</f>
      </c>
      <c r="V388" s="176">
        <f>IF(L388&lt;$E$20,0,IF(ISTEXT(L388),0,IF(AND(G388+1&gt;=$E$19+1,L388&gt;0),IF(ISNUMBER(Q388),Q388*$AD58*AM$22*K388,$AD58*AM$22*K388),0)))</f>
      </c>
      <c r="W388" s="95">
        <f>IF(AND(L388&gt;0,S388&gt;0),IF(ISNUMBER(Q388),Q388*$AD58*AM$22*K388,$AD58*AM$22*K388),0)</f>
      </c>
      <c r="X388" s="17"/>
      <c r="Y388" s="1"/>
      <c r="Z388" s="1"/>
      <c r="AA388" s="3"/>
      <c r="AB388" s="3"/>
      <c r="AC388" s="3"/>
      <c r="AD388" s="3"/>
      <c r="AE388" s="4"/>
      <c r="AF388" s="8"/>
      <c r="AG388" s="1"/>
      <c r="AH388" s="6"/>
      <c r="AI388" s="6"/>
      <c r="AJ388" s="6"/>
      <c r="AK388" s="6"/>
      <c r="AL388" s="6"/>
      <c r="AM388" s="6"/>
      <c r="AN388" s="6"/>
      <c r="AO388" s="1"/>
      <c r="AP388" s="9"/>
      <c r="AQ388" s="2"/>
      <c r="AR388" s="3"/>
      <c r="AS388" s="10"/>
      <c r="AT388" s="1"/>
      <c r="AU388" s="1"/>
      <c r="AV388" s="1"/>
      <c r="AW388" s="1"/>
      <c r="AX388" s="1"/>
      <c r="AY388" s="1"/>
      <c r="AZ388" s="1"/>
      <c r="BA388" s="1"/>
      <c r="BB388" s="1"/>
      <c r="BC388" s="1"/>
      <c r="BD388" s="1"/>
      <c r="BE388" s="1"/>
      <c r="BF388" s="1"/>
      <c r="BG388" s="1"/>
      <c r="BH388" s="1"/>
    </row>
    <row x14ac:dyDescent="0.25" r="389" customHeight="1" ht="14.5">
      <c r="A389" s="1"/>
      <c r="B389" s="1"/>
      <c r="C389" s="1"/>
      <c r="D389" s="1"/>
      <c r="E389" s="2"/>
      <c r="F389" s="2"/>
      <c r="G389" s="90">
        <f>(S389&amp;RIGHT(R389,1))*1</f>
      </c>
      <c r="H389" s="1"/>
      <c r="I389" s="111"/>
      <c r="J389" s="126">
        <f>Planning!Q59</f>
      </c>
      <c r="K389" s="93">
        <f>VLOOKUP(J389,AA$23:AE$88,5,FALSE)</f>
      </c>
      <c r="L389" s="122">
        <f>Planning!Z59</f>
      </c>
      <c r="M389" s="95">
        <f>IF(Planning!AG59=0,0,IFERROR($AD59*AM$22,0))</f>
      </c>
      <c r="N389" s="171">
        <f>IF(Planning!AG59=0,0,IFERROR($AD59*AM$22*K389,0))</f>
      </c>
      <c r="O389" s="96">
        <f>IF(ISTEXT(Planning!Z59),0,AM59)</f>
      </c>
      <c r="P389" s="94">
        <f>Planning!AG59</f>
      </c>
      <c r="Q389" s="121">
        <f>Progress!AB59</f>
      </c>
      <c r="R389" s="95">
        <f>IF(Q389=0,0,IF(ISNUMBER(Q389),IF(S389&gt;=$G$21,$F$21,"Q50"),Q389))</f>
      </c>
      <c r="S389" s="122">
        <f>Progress!AC59</f>
      </c>
      <c r="T389" s="97"/>
      <c r="U389" s="96">
        <f>V389/$N$419</f>
      </c>
      <c r="V389" s="176">
        <f>IF(L389&lt;$E$20,0,IF(ISTEXT(L389),0,IF(AND(G389+1&gt;=$E$19+1,L389&gt;0),IF(ISNUMBER(Q389),Q389*$AD59*AM$22*K389,$AD59*AM$22*K389),0)))</f>
      </c>
      <c r="W389" s="95">
        <f>IF(AND(L389&gt;0,S389&gt;0),IF(ISNUMBER(Q389),Q389*$AD59*AM$22*K389,$AD59*AM$22*K389),0)</f>
      </c>
      <c r="X389" s="17"/>
      <c r="Y389" s="1"/>
      <c r="Z389" s="1"/>
      <c r="AA389" s="3"/>
      <c r="AB389" s="3"/>
      <c r="AC389" s="3"/>
      <c r="AD389" s="3"/>
      <c r="AE389" s="4"/>
      <c r="AF389" s="8"/>
      <c r="AG389" s="1"/>
      <c r="AH389" s="6"/>
      <c r="AI389" s="6"/>
      <c r="AJ389" s="6"/>
      <c r="AK389" s="6"/>
      <c r="AL389" s="6"/>
      <c r="AM389" s="6"/>
      <c r="AN389" s="6"/>
      <c r="AO389" s="1"/>
      <c r="AP389" s="9"/>
      <c r="AQ389" s="2"/>
      <c r="AR389" s="3"/>
      <c r="AS389" s="10"/>
      <c r="AT389" s="1"/>
      <c r="AU389" s="1"/>
      <c r="AV389" s="1"/>
      <c r="AW389" s="1"/>
      <c r="AX389" s="1"/>
      <c r="AY389" s="1"/>
      <c r="AZ389" s="1"/>
      <c r="BA389" s="1"/>
      <c r="BB389" s="1"/>
      <c r="BC389" s="1"/>
      <c r="BD389" s="1"/>
      <c r="BE389" s="1"/>
      <c r="BF389" s="1"/>
      <c r="BG389" s="1"/>
      <c r="BH389" s="1"/>
    </row>
    <row x14ac:dyDescent="0.25" r="390" customHeight="1" ht="14.5">
      <c r="A390" s="1"/>
      <c r="B390" s="1"/>
      <c r="C390" s="1"/>
      <c r="D390" s="1"/>
      <c r="E390" s="2"/>
      <c r="F390" s="2"/>
      <c r="G390" s="90">
        <f>(S390&amp;RIGHT(R390,1))*1</f>
      </c>
      <c r="H390" s="1"/>
      <c r="I390" s="111"/>
      <c r="J390" s="126">
        <f>Planning!Q60</f>
      </c>
      <c r="K390" s="93">
        <f>VLOOKUP(J390,AA$23:AE$88,5,FALSE)</f>
      </c>
      <c r="L390" s="122">
        <f>Planning!Z60</f>
      </c>
      <c r="M390" s="95">
        <f>IF(Planning!AG60=0,0,IFERROR($AD60*AM$22,0))</f>
      </c>
      <c r="N390" s="171">
        <f>IF(Planning!AG60=0,0,IFERROR($AD60*AM$22*K390,0))</f>
      </c>
      <c r="O390" s="96">
        <f>IF(ISTEXT(Planning!Z60),0,AM60)</f>
      </c>
      <c r="P390" s="94">
        <f>Planning!AG60</f>
      </c>
      <c r="Q390" s="121">
        <f>Progress!AB60</f>
      </c>
      <c r="R390" s="95">
        <f>IF(Q390=0,0,IF(ISNUMBER(Q390),IF(S390&gt;=$G$21,$F$21,"Q51"),Q390))</f>
      </c>
      <c r="S390" s="122">
        <f>Progress!AC60</f>
      </c>
      <c r="T390" s="97"/>
      <c r="U390" s="96">
        <f>V390/$N$419</f>
      </c>
      <c r="V390" s="176">
        <f>IF(L390&lt;$E$20,0,IF(ISTEXT(L390),0,IF(AND(G390+1&gt;=$E$19+1,L390&gt;0),IF(ISNUMBER(Q390),Q390*$AD60*AM$22*K390,$AD60*AM$22*K390),0)))</f>
      </c>
      <c r="W390" s="95">
        <f>IF(AND(L390&gt;0,S390&gt;0),IF(ISNUMBER(Q390),Q390*$AD60*AM$22*K390,$AD60*AM$22*K390),0)</f>
      </c>
      <c r="X390" s="17"/>
      <c r="Y390" s="1"/>
      <c r="Z390" s="1"/>
      <c r="AA390" s="3"/>
      <c r="AB390" s="3"/>
      <c r="AC390" s="3"/>
      <c r="AD390" s="3"/>
      <c r="AE390" s="4"/>
      <c r="AF390" s="8"/>
      <c r="AG390" s="1"/>
      <c r="AH390" s="6"/>
      <c r="AI390" s="6"/>
      <c r="AJ390" s="6"/>
      <c r="AK390" s="6"/>
      <c r="AL390" s="6"/>
      <c r="AM390" s="6"/>
      <c r="AN390" s="6"/>
      <c r="AO390" s="1"/>
      <c r="AP390" s="9"/>
      <c r="AQ390" s="2"/>
      <c r="AR390" s="3"/>
      <c r="AS390" s="10"/>
      <c r="AT390" s="1"/>
      <c r="AU390" s="1"/>
      <c r="AV390" s="1"/>
      <c r="AW390" s="1"/>
      <c r="AX390" s="1"/>
      <c r="AY390" s="1"/>
      <c r="AZ390" s="1"/>
      <c r="BA390" s="1"/>
      <c r="BB390" s="1"/>
      <c r="BC390" s="1"/>
      <c r="BD390" s="1"/>
      <c r="BE390" s="1"/>
      <c r="BF390" s="1"/>
      <c r="BG390" s="1"/>
      <c r="BH390" s="1"/>
    </row>
    <row x14ac:dyDescent="0.25" r="391" customHeight="1" ht="14.5">
      <c r="A391" s="1"/>
      <c r="B391" s="1"/>
      <c r="C391" s="1"/>
      <c r="D391" s="1"/>
      <c r="E391" s="2"/>
      <c r="F391" s="2"/>
      <c r="G391" s="90">
        <f>(S391&amp;RIGHT(R391,1))*1</f>
      </c>
      <c r="H391" s="1"/>
      <c r="I391" s="111"/>
      <c r="J391" s="126">
        <f>Planning!Q61</f>
      </c>
      <c r="K391" s="93">
        <f>VLOOKUP(J391,AA$23:AE$88,5,FALSE)</f>
      </c>
      <c r="L391" s="122">
        <f>Planning!Z61</f>
      </c>
      <c r="M391" s="95">
        <f>IF(Planning!AG61=0,0,IFERROR($AD61*AM$22,0))</f>
      </c>
      <c r="N391" s="171">
        <f>IF(Planning!AG61=0,0,IFERROR($AD61*AM$22*K391,0))</f>
      </c>
      <c r="O391" s="96">
        <f>IF(ISTEXT(Planning!Z61),0,AM61)</f>
      </c>
      <c r="P391" s="94">
        <f>Planning!AG61</f>
      </c>
      <c r="Q391" s="121">
        <f>Progress!AB61</f>
      </c>
      <c r="R391" s="95">
        <f>IF(Q391=0,0,IF(ISNUMBER(Q391),IF(S391&gt;=$G$21,$F$21,"Q52"),Q391))</f>
      </c>
      <c r="S391" s="122">
        <f>Progress!AC61</f>
      </c>
      <c r="T391" s="97"/>
      <c r="U391" s="96">
        <f>V391/$N$419</f>
      </c>
      <c r="V391" s="176">
        <f>IF(L391&lt;$E$20,0,IF(ISTEXT(L391),0,IF(AND(G391+1&gt;=$E$19+1,L391&gt;0),IF(ISNUMBER(Q391),Q391*$AD61*AM$22*K391,$AD61*AM$22*K391),0)))</f>
      </c>
      <c r="W391" s="95">
        <f>IF(AND(L391&gt;0,S391&gt;0),IF(ISNUMBER(Q391),Q391*$AD61*AM$22*K391,$AD61*AM$22*K391),0)</f>
      </c>
      <c r="X391" s="17"/>
      <c r="Y391" s="1"/>
      <c r="Z391" s="1"/>
      <c r="AA391" s="3"/>
      <c r="AB391" s="3"/>
      <c r="AC391" s="3"/>
      <c r="AD391" s="3"/>
      <c r="AE391" s="4"/>
      <c r="AF391" s="8"/>
      <c r="AG391" s="1"/>
      <c r="AH391" s="6"/>
      <c r="AI391" s="6"/>
      <c r="AJ391" s="6"/>
      <c r="AK391" s="6"/>
      <c r="AL391" s="6"/>
      <c r="AM391" s="6"/>
      <c r="AN391" s="6"/>
      <c r="AO391" s="1"/>
      <c r="AP391" s="9"/>
      <c r="AQ391" s="2"/>
      <c r="AR391" s="3"/>
      <c r="AS391" s="10"/>
      <c r="AT391" s="1"/>
      <c r="AU391" s="1"/>
      <c r="AV391" s="1"/>
      <c r="AW391" s="1"/>
      <c r="AX391" s="1"/>
      <c r="AY391" s="1"/>
      <c r="AZ391" s="1"/>
      <c r="BA391" s="1"/>
      <c r="BB391" s="1"/>
      <c r="BC391" s="1"/>
      <c r="BD391" s="1"/>
      <c r="BE391" s="1"/>
      <c r="BF391" s="1"/>
      <c r="BG391" s="1"/>
      <c r="BH391" s="1"/>
    </row>
    <row x14ac:dyDescent="0.25" r="392" customHeight="1" ht="14.5">
      <c r="A392" s="1"/>
      <c r="B392" s="1"/>
      <c r="C392" s="1"/>
      <c r="D392" s="1"/>
      <c r="E392" s="2"/>
      <c r="F392" s="2"/>
      <c r="G392" s="90">
        <f>(S392&amp;RIGHT(R392,1))*1</f>
      </c>
      <c r="H392" s="1"/>
      <c r="I392" s="111"/>
      <c r="J392" s="126">
        <f>Planning!Q62</f>
      </c>
      <c r="K392" s="93">
        <f>VLOOKUP(J392,AA$23:AE$88,5,FALSE)</f>
      </c>
      <c r="L392" s="122">
        <f>Planning!Z62</f>
      </c>
      <c r="M392" s="95">
        <f>IF(Planning!AG62=0,0,IFERROR($AD62*AM$22,0))</f>
      </c>
      <c r="N392" s="171">
        <f>IF(Planning!AG62=0,0,IFERROR($AD62*AM$22*K392,0))</f>
      </c>
      <c r="O392" s="96">
        <f>IF(ISTEXT(Planning!Z62),0,AM62)</f>
      </c>
      <c r="P392" s="94">
        <f>Planning!AG62</f>
      </c>
      <c r="Q392" s="121">
        <f>Progress!AB62</f>
      </c>
      <c r="R392" s="95">
        <f>IF(Q392=0,0,IF(ISNUMBER(Q392),IF(S392&gt;=$G$21,$F$21,"Q53"),Q392))</f>
      </c>
      <c r="S392" s="122">
        <f>Progress!AC62</f>
      </c>
      <c r="T392" s="97"/>
      <c r="U392" s="96">
        <f>V392/$N$419</f>
      </c>
      <c r="V392" s="176">
        <f>IF(L392&lt;$E$20,0,IF(ISTEXT(L392),0,IF(AND(G392+1&gt;=$E$19+1,L392&gt;0),IF(ISNUMBER(Q392),Q392*$AD62*AM$22*K392,$AD62*AM$22*K392),0)))</f>
      </c>
      <c r="W392" s="95">
        <f>IF(AND(L392&gt;0,S392&gt;0),IF(ISNUMBER(Q392),Q392*$AD62*AM$22*K392,$AD62*AM$22*K392),0)</f>
      </c>
      <c r="X392" s="17"/>
      <c r="Y392" s="1"/>
      <c r="Z392" s="1"/>
      <c r="AA392" s="3"/>
      <c r="AB392" s="3"/>
      <c r="AC392" s="3"/>
      <c r="AD392" s="3"/>
      <c r="AE392" s="4"/>
      <c r="AF392" s="8"/>
      <c r="AG392" s="1"/>
      <c r="AH392" s="6"/>
      <c r="AI392" s="6"/>
      <c r="AJ392" s="6"/>
      <c r="AK392" s="6"/>
      <c r="AL392" s="6"/>
      <c r="AM392" s="6"/>
      <c r="AN392" s="6"/>
      <c r="AO392" s="1"/>
      <c r="AP392" s="9"/>
      <c r="AQ392" s="2"/>
      <c r="AR392" s="3"/>
      <c r="AS392" s="10"/>
      <c r="AT392" s="1"/>
      <c r="AU392" s="1"/>
      <c r="AV392" s="1"/>
      <c r="AW392" s="1"/>
      <c r="AX392" s="1"/>
      <c r="AY392" s="1"/>
      <c r="AZ392" s="1"/>
      <c r="BA392" s="1"/>
      <c r="BB392" s="1"/>
      <c r="BC392" s="1"/>
      <c r="BD392" s="1"/>
      <c r="BE392" s="1"/>
      <c r="BF392" s="1"/>
      <c r="BG392" s="1"/>
      <c r="BH392" s="1"/>
    </row>
    <row x14ac:dyDescent="0.25" r="393" customHeight="1" ht="14.5">
      <c r="A393" s="1"/>
      <c r="B393" s="1"/>
      <c r="C393" s="1"/>
      <c r="D393" s="1"/>
      <c r="E393" s="2"/>
      <c r="F393" s="2"/>
      <c r="G393" s="90">
        <f>(S393&amp;RIGHT(R393,1))*1</f>
      </c>
      <c r="H393" s="1"/>
      <c r="I393" s="111"/>
      <c r="J393" s="126">
        <f>Planning!Q63</f>
      </c>
      <c r="K393" s="93">
        <f>VLOOKUP(J393,AA$23:AE$88,5,FALSE)</f>
      </c>
      <c r="L393" s="122">
        <f>Planning!Z63</f>
      </c>
      <c r="M393" s="95">
        <f>IF(Planning!AG63=0,0,IFERROR($AD63*AM$22,0))</f>
      </c>
      <c r="N393" s="171">
        <f>IF(Planning!AG63=0,0,IFERROR($AD63*AM$22*K393,0))</f>
      </c>
      <c r="O393" s="96">
        <f>IF(ISTEXT(Planning!Z63),0,AM63)</f>
      </c>
      <c r="P393" s="94">
        <f>Planning!AG63</f>
      </c>
      <c r="Q393" s="121">
        <f>Progress!AB63</f>
      </c>
      <c r="R393" s="95">
        <f>IF(Q393=0,0,IF(ISNUMBER(Q393),IF(S393&gt;=$G$21,$F$21,"Q54"),Q393))</f>
      </c>
      <c r="S393" s="122">
        <f>Progress!AC63</f>
      </c>
      <c r="T393" s="97"/>
      <c r="U393" s="96">
        <f>V393/$N$419</f>
      </c>
      <c r="V393" s="176">
        <f>IF(L393&lt;$E$20,0,IF(ISTEXT(L393),0,IF(AND(G393+1&gt;=$E$19+1,L393&gt;0),IF(ISNUMBER(Q393),Q393*$AD63*AM$22*K393,$AD63*AM$22*K393),0)))</f>
      </c>
      <c r="W393" s="95">
        <f>IF(AND(L393&gt;0,S393&gt;0),IF(ISNUMBER(Q393),Q393*$AD63*AM$22*K393,$AD63*AM$22*K393),0)</f>
      </c>
      <c r="X393" s="17"/>
      <c r="Y393" s="1"/>
      <c r="Z393" s="1"/>
      <c r="AA393" s="3"/>
      <c r="AB393" s="3"/>
      <c r="AC393" s="3"/>
      <c r="AD393" s="3"/>
      <c r="AE393" s="4"/>
      <c r="AF393" s="8"/>
      <c r="AG393" s="1"/>
      <c r="AH393" s="6"/>
      <c r="AI393" s="6"/>
      <c r="AJ393" s="6"/>
      <c r="AK393" s="6"/>
      <c r="AL393" s="6"/>
      <c r="AM393" s="6"/>
      <c r="AN393" s="6"/>
      <c r="AO393" s="1"/>
      <c r="AP393" s="9"/>
      <c r="AQ393" s="2"/>
      <c r="AR393" s="3"/>
      <c r="AS393" s="10"/>
      <c r="AT393" s="1"/>
      <c r="AU393" s="1"/>
      <c r="AV393" s="1"/>
      <c r="AW393" s="1"/>
      <c r="AX393" s="1"/>
      <c r="AY393" s="1"/>
      <c r="AZ393" s="1"/>
      <c r="BA393" s="1"/>
      <c r="BB393" s="1"/>
      <c r="BC393" s="1"/>
      <c r="BD393" s="1"/>
      <c r="BE393" s="1"/>
      <c r="BF393" s="1"/>
      <c r="BG393" s="1"/>
      <c r="BH393" s="1"/>
    </row>
    <row x14ac:dyDescent="0.25" r="394" customHeight="1" ht="14.5">
      <c r="A394" s="1"/>
      <c r="B394" s="1"/>
      <c r="C394" s="1"/>
      <c r="D394" s="1"/>
      <c r="E394" s="2"/>
      <c r="F394" s="2"/>
      <c r="G394" s="90">
        <f>(S394&amp;RIGHT(R394,1))*1</f>
      </c>
      <c r="H394" s="1"/>
      <c r="I394" s="111"/>
      <c r="J394" s="126">
        <f>Planning!Q64</f>
      </c>
      <c r="K394" s="93">
        <f>VLOOKUP(J394,AA$23:AE$88,5,FALSE)</f>
      </c>
      <c r="L394" s="122">
        <f>Planning!Z64</f>
      </c>
      <c r="M394" s="95">
        <f>IF(Planning!AG64=0,0,IFERROR($AD64*AM$22,0))</f>
      </c>
      <c r="N394" s="171">
        <f>IF(Planning!AG64=0,0,IFERROR($AD64*AM$22*K394,0))</f>
      </c>
      <c r="O394" s="96">
        <f>IF(ISTEXT(Planning!Z64),0,AM64)</f>
      </c>
      <c r="P394" s="94">
        <f>Planning!AG64</f>
      </c>
      <c r="Q394" s="121">
        <f>Progress!AB64</f>
      </c>
      <c r="R394" s="95">
        <f>IF(Q394=0,0,IF(ISNUMBER(Q394),IF(S394&gt;=$G$21,$F$21,"Q55"),Q394))</f>
      </c>
      <c r="S394" s="122">
        <f>Progress!AC64</f>
      </c>
      <c r="T394" s="97"/>
      <c r="U394" s="96">
        <f>V394/$N$419</f>
      </c>
      <c r="V394" s="176">
        <f>IF(L394&lt;$E$20,0,IF(ISTEXT(L394),0,IF(AND(G394+1&gt;=$E$19+1,L394&gt;0),IF(ISNUMBER(Q394),Q394*$AD64*AM$22*K394,$AD64*AM$22*K394),0)))</f>
      </c>
      <c r="W394" s="95">
        <f>IF(AND(L394&gt;0,S394&gt;0),IF(ISNUMBER(Q394),Q394*$AD64*AM$22*K394,$AD64*AM$22*K394),0)</f>
      </c>
      <c r="X394" s="17"/>
      <c r="Y394" s="1"/>
      <c r="Z394" s="1"/>
      <c r="AA394" s="3"/>
      <c r="AB394" s="3"/>
      <c r="AC394" s="3"/>
      <c r="AD394" s="3"/>
      <c r="AE394" s="4"/>
      <c r="AF394" s="8"/>
      <c r="AG394" s="1"/>
      <c r="AH394" s="6"/>
      <c r="AI394" s="6"/>
      <c r="AJ394" s="6"/>
      <c r="AK394" s="6"/>
      <c r="AL394" s="6"/>
      <c r="AM394" s="6"/>
      <c r="AN394" s="6"/>
      <c r="AO394" s="1"/>
      <c r="AP394" s="9"/>
      <c r="AQ394" s="2"/>
      <c r="AR394" s="3"/>
      <c r="AS394" s="10"/>
      <c r="AT394" s="1"/>
      <c r="AU394" s="1"/>
      <c r="AV394" s="1"/>
      <c r="AW394" s="1"/>
      <c r="AX394" s="1"/>
      <c r="AY394" s="1"/>
      <c r="AZ394" s="1"/>
      <c r="BA394" s="1"/>
      <c r="BB394" s="1"/>
      <c r="BC394" s="1"/>
      <c r="BD394" s="1"/>
      <c r="BE394" s="1"/>
      <c r="BF394" s="1"/>
      <c r="BG394" s="1"/>
      <c r="BH394" s="1"/>
    </row>
    <row x14ac:dyDescent="0.25" r="395" customHeight="1" ht="14.5">
      <c r="A395" s="1"/>
      <c r="B395" s="1"/>
      <c r="C395" s="1"/>
      <c r="D395" s="1"/>
      <c r="E395" s="2"/>
      <c r="F395" s="2"/>
      <c r="G395" s="90">
        <f>(S395&amp;RIGHT(R395,1))*1</f>
      </c>
      <c r="H395" s="1"/>
      <c r="I395" s="111"/>
      <c r="J395" s="126">
        <f>Planning!Q65</f>
      </c>
      <c r="K395" s="93">
        <f>VLOOKUP(J395,AA$23:AE$88,5,FALSE)</f>
      </c>
      <c r="L395" s="122">
        <f>Planning!Z65</f>
      </c>
      <c r="M395" s="95">
        <f>IF(Planning!AG65=0,0,IFERROR($AD65*AM$22,0))</f>
      </c>
      <c r="N395" s="171">
        <f>IF(Planning!AG65=0,0,IFERROR($AD65*AM$22*K395,0))</f>
      </c>
      <c r="O395" s="96">
        <f>IF(ISTEXT(Planning!Z65),0,AM65)</f>
      </c>
      <c r="P395" s="94">
        <f>Planning!AG65</f>
      </c>
      <c r="Q395" s="121">
        <f>Progress!AB65</f>
      </c>
      <c r="R395" s="95">
        <f>IF(Q395=0,0,IF(ISNUMBER(Q395),IF(S395&gt;=$G$21,$F$21,"Q56"),Q395))</f>
      </c>
      <c r="S395" s="122">
        <f>Progress!AC65</f>
      </c>
      <c r="T395" s="97"/>
      <c r="U395" s="96">
        <f>V395/$N$419</f>
      </c>
      <c r="V395" s="176">
        <f>IF(L395&lt;$E$20,0,IF(ISTEXT(L395),0,IF(AND(G395+1&gt;=$E$19+1,L395&gt;0),IF(ISNUMBER(Q395),Q395*$AD65*AM$22*K395,$AD65*AM$22*K395),0)))</f>
      </c>
      <c r="W395" s="95">
        <f>IF(AND(L395&gt;0,S395&gt;0),IF(ISNUMBER(Q395),Q395*$AD65*AM$22*K395,$AD65*AM$22*K395),0)</f>
      </c>
      <c r="X395" s="17"/>
      <c r="Y395" s="1"/>
      <c r="Z395" s="1"/>
      <c r="AA395" s="3"/>
      <c r="AB395" s="3"/>
      <c r="AC395" s="3"/>
      <c r="AD395" s="3"/>
      <c r="AE395" s="4"/>
      <c r="AF395" s="8"/>
      <c r="AG395" s="1"/>
      <c r="AH395" s="6"/>
      <c r="AI395" s="6"/>
      <c r="AJ395" s="6"/>
      <c r="AK395" s="6"/>
      <c r="AL395" s="6"/>
      <c r="AM395" s="6"/>
      <c r="AN395" s="6"/>
      <c r="AO395" s="1"/>
      <c r="AP395" s="9"/>
      <c r="AQ395" s="2"/>
      <c r="AR395" s="3"/>
      <c r="AS395" s="10"/>
      <c r="AT395" s="1"/>
      <c r="AU395" s="1"/>
      <c r="AV395" s="1"/>
      <c r="AW395" s="1"/>
      <c r="AX395" s="1"/>
      <c r="AY395" s="1"/>
      <c r="AZ395" s="1"/>
      <c r="BA395" s="1"/>
      <c r="BB395" s="1"/>
      <c r="BC395" s="1"/>
      <c r="BD395" s="1"/>
      <c r="BE395" s="1"/>
      <c r="BF395" s="1"/>
      <c r="BG395" s="1"/>
      <c r="BH395" s="1"/>
    </row>
    <row x14ac:dyDescent="0.25" r="396" customHeight="1" ht="14.5">
      <c r="A396" s="1"/>
      <c r="B396" s="1"/>
      <c r="C396" s="1"/>
      <c r="D396" s="1"/>
      <c r="E396" s="2"/>
      <c r="F396" s="2"/>
      <c r="G396" s="90">
        <f>(S396&amp;RIGHT(R396,1))*1</f>
      </c>
      <c r="H396" s="1"/>
      <c r="I396" s="111"/>
      <c r="J396" s="126">
        <f>Planning!Q66</f>
      </c>
      <c r="K396" s="93">
        <f>VLOOKUP(J396,AA$23:AE$88,5,FALSE)</f>
      </c>
      <c r="L396" s="122">
        <f>Planning!Z66</f>
      </c>
      <c r="M396" s="95">
        <f>IF(Planning!AG66=0,0,IFERROR($AD66*AM$22,0))</f>
      </c>
      <c r="N396" s="171">
        <f>IF(Planning!AG66=0,0,IFERROR($AD66*AM$22*K396,0))</f>
      </c>
      <c r="O396" s="96">
        <f>IF(ISTEXT(Planning!Z66),0,AM66)</f>
      </c>
      <c r="P396" s="94">
        <f>Planning!AG66</f>
      </c>
      <c r="Q396" s="121">
        <f>Progress!AB66</f>
      </c>
      <c r="R396" s="95">
        <f>IF(Q396=0,0,IF(ISNUMBER(Q396),IF(S396&gt;=$G$21,$F$21,"Q57"),Q396))</f>
      </c>
      <c r="S396" s="122">
        <f>Progress!AC66</f>
      </c>
      <c r="T396" s="97"/>
      <c r="U396" s="96">
        <f>V396/$N$419</f>
      </c>
      <c r="V396" s="176">
        <f>IF(L396&lt;$E$20,0,IF(ISTEXT(L396),0,IF(AND(G396+1&gt;=$E$19+1,L396&gt;0),IF(ISNUMBER(Q396),Q396*$AD66*AM$22*K396,$AD66*AM$22*K396),0)))</f>
      </c>
      <c r="W396" s="95">
        <f>IF(AND(L396&gt;0,S396&gt;0),IF(ISNUMBER(Q396),Q396*$AD66*AM$22*K396,$AD66*AM$22*K396),0)</f>
      </c>
      <c r="X396" s="17"/>
      <c r="Y396" s="1"/>
      <c r="Z396" s="1"/>
      <c r="AA396" s="3"/>
      <c r="AB396" s="3"/>
      <c r="AC396" s="3"/>
      <c r="AD396" s="3"/>
      <c r="AE396" s="4"/>
      <c r="AF396" s="8"/>
      <c r="AG396" s="1"/>
      <c r="AH396" s="6"/>
      <c r="AI396" s="6"/>
      <c r="AJ396" s="6"/>
      <c r="AK396" s="6"/>
      <c r="AL396" s="6"/>
      <c r="AM396" s="6"/>
      <c r="AN396" s="6"/>
      <c r="AO396" s="1"/>
      <c r="AP396" s="9"/>
      <c r="AQ396" s="2"/>
      <c r="AR396" s="3"/>
      <c r="AS396" s="10"/>
      <c r="AT396" s="1"/>
      <c r="AU396" s="1"/>
      <c r="AV396" s="1"/>
      <c r="AW396" s="1"/>
      <c r="AX396" s="1"/>
      <c r="AY396" s="1"/>
      <c r="AZ396" s="1"/>
      <c r="BA396" s="1"/>
      <c r="BB396" s="1"/>
      <c r="BC396" s="1"/>
      <c r="BD396" s="1"/>
      <c r="BE396" s="1"/>
      <c r="BF396" s="1"/>
      <c r="BG396" s="1"/>
      <c r="BH396" s="1"/>
    </row>
    <row x14ac:dyDescent="0.25" r="397" customHeight="1" ht="14.5">
      <c r="A397" s="1"/>
      <c r="B397" s="1"/>
      <c r="C397" s="1"/>
      <c r="D397" s="1"/>
      <c r="E397" s="2"/>
      <c r="F397" s="2"/>
      <c r="G397" s="90">
        <f>(S397&amp;RIGHT(R397,1))*1</f>
      </c>
      <c r="H397" s="1"/>
      <c r="I397" s="111"/>
      <c r="J397" s="126">
        <f>Planning!Q67</f>
      </c>
      <c r="K397" s="93">
        <f>VLOOKUP(J397,AA$23:AE$88,5,FALSE)</f>
      </c>
      <c r="L397" s="122">
        <f>Planning!Z67</f>
      </c>
      <c r="M397" s="95">
        <f>IF(Planning!AG67=0,0,IFERROR($AD67*AM$22,0))</f>
      </c>
      <c r="N397" s="171">
        <f>IF(Planning!AG67=0,0,IFERROR($AD67*AM$22*K397,0))</f>
      </c>
      <c r="O397" s="96">
        <f>IF(ISTEXT(Planning!Z67),0,AM67)</f>
      </c>
      <c r="P397" s="94">
        <f>Planning!AG67</f>
      </c>
      <c r="Q397" s="121">
        <f>Progress!AB67</f>
      </c>
      <c r="R397" s="95">
        <f>IF(Q397=0,0,IF(ISNUMBER(Q397),IF(S397&gt;=$G$21,$F$21,"Q58"),Q397))</f>
      </c>
      <c r="S397" s="122">
        <f>Progress!AC67</f>
      </c>
      <c r="T397" s="97"/>
      <c r="U397" s="96">
        <f>V397/$N$419</f>
      </c>
      <c r="V397" s="176">
        <f>IF(L397&lt;$E$20,0,IF(ISTEXT(L397),0,IF(AND(G397+1&gt;=$E$19+1,L397&gt;0),IF(ISNUMBER(Q397),Q397*$AD67*AM$22*K397,$AD67*AM$22*K397),0)))</f>
      </c>
      <c r="W397" s="95">
        <f>IF(AND(L397&gt;0,S397&gt;0),IF(ISNUMBER(Q397),Q397*$AD67*AM$22*K397,$AD67*AM$22*K397),0)</f>
      </c>
      <c r="X397" s="17"/>
      <c r="Y397" s="1"/>
      <c r="Z397" s="1"/>
      <c r="AA397" s="3"/>
      <c r="AB397" s="3"/>
      <c r="AC397" s="3"/>
      <c r="AD397" s="3"/>
      <c r="AE397" s="4"/>
      <c r="AF397" s="8"/>
      <c r="AG397" s="1"/>
      <c r="AH397" s="6"/>
      <c r="AI397" s="6"/>
      <c r="AJ397" s="6"/>
      <c r="AK397" s="6"/>
      <c r="AL397" s="6"/>
      <c r="AM397" s="6"/>
      <c r="AN397" s="6"/>
      <c r="AO397" s="1"/>
      <c r="AP397" s="9"/>
      <c r="AQ397" s="2"/>
      <c r="AR397" s="3"/>
      <c r="AS397" s="10"/>
      <c r="AT397" s="1"/>
      <c r="AU397" s="1"/>
      <c r="AV397" s="1"/>
      <c r="AW397" s="1"/>
      <c r="AX397" s="1"/>
      <c r="AY397" s="1"/>
      <c r="AZ397" s="1"/>
      <c r="BA397" s="1"/>
      <c r="BB397" s="1"/>
      <c r="BC397" s="1"/>
      <c r="BD397" s="1"/>
      <c r="BE397" s="1"/>
      <c r="BF397" s="1"/>
      <c r="BG397" s="1"/>
      <c r="BH397" s="1"/>
    </row>
    <row x14ac:dyDescent="0.25" r="398" customHeight="1" ht="14.5">
      <c r="A398" s="1"/>
      <c r="B398" s="1"/>
      <c r="C398" s="1"/>
      <c r="D398" s="1"/>
      <c r="E398" s="2"/>
      <c r="F398" s="2"/>
      <c r="G398" s="90">
        <f>(S398&amp;RIGHT(R398,1))*1</f>
      </c>
      <c r="H398" s="1"/>
      <c r="I398" s="111"/>
      <c r="J398" s="126">
        <f>Planning!Q68</f>
      </c>
      <c r="K398" s="93">
        <f>VLOOKUP(J398,AA$23:AE$88,5,FALSE)</f>
      </c>
      <c r="L398" s="122">
        <f>Planning!Z68</f>
      </c>
      <c r="M398" s="95">
        <f>IF(Planning!AG68=0,0,IFERROR($AD68*AM$22,0))</f>
      </c>
      <c r="N398" s="171">
        <f>IF(Planning!AG68=0,0,IFERROR($AD68*AM$22*K398,0))</f>
      </c>
      <c r="O398" s="96">
        <f>IF(ISTEXT(Planning!Z68),0,AM68)</f>
      </c>
      <c r="P398" s="94">
        <f>Planning!AG68</f>
      </c>
      <c r="Q398" s="121">
        <f>Progress!AB68</f>
      </c>
      <c r="R398" s="95">
        <f>IF(Q398=0,0,IF(ISNUMBER(Q398),IF(S398&gt;=$G$21,$F$21,"Q59"),Q398))</f>
      </c>
      <c r="S398" s="122">
        <f>Progress!AC68</f>
      </c>
      <c r="T398" s="97"/>
      <c r="U398" s="96">
        <f>V398/$N$419</f>
      </c>
      <c r="V398" s="176">
        <f>IF(L398&lt;$E$20,0,IF(ISTEXT(L398),0,IF(AND(G398+1&gt;=$E$19+1,L398&gt;0),IF(ISNUMBER(Q398),Q398*$AD68*AM$22*K398,$AD68*AM$22*K398),0)))</f>
      </c>
      <c r="W398" s="95">
        <f>IF(AND(L398&gt;0,S398&gt;0),IF(ISNUMBER(Q398),Q398*$AD68*AM$22*K398,$AD68*AM$22*K398),0)</f>
      </c>
      <c r="X398" s="17"/>
      <c r="Y398" s="1"/>
      <c r="Z398" s="1"/>
      <c r="AA398" s="3"/>
      <c r="AB398" s="3"/>
      <c r="AC398" s="3"/>
      <c r="AD398" s="3"/>
      <c r="AE398" s="4"/>
      <c r="AF398" s="8"/>
      <c r="AG398" s="1"/>
      <c r="AH398" s="6"/>
      <c r="AI398" s="6"/>
      <c r="AJ398" s="6"/>
      <c r="AK398" s="6"/>
      <c r="AL398" s="6"/>
      <c r="AM398" s="6"/>
      <c r="AN398" s="6"/>
      <c r="AO398" s="1"/>
      <c r="AP398" s="9"/>
      <c r="AQ398" s="2"/>
      <c r="AR398" s="3"/>
      <c r="AS398" s="10"/>
      <c r="AT398" s="1"/>
      <c r="AU398" s="1"/>
      <c r="AV398" s="1"/>
      <c r="AW398" s="1"/>
      <c r="AX398" s="1"/>
      <c r="AY398" s="1"/>
      <c r="AZ398" s="1"/>
      <c r="BA398" s="1"/>
      <c r="BB398" s="1"/>
      <c r="BC398" s="1"/>
      <c r="BD398" s="1"/>
      <c r="BE398" s="1"/>
      <c r="BF398" s="1"/>
      <c r="BG398" s="1"/>
      <c r="BH398" s="1"/>
    </row>
    <row x14ac:dyDescent="0.25" r="399" customHeight="1" ht="14.5">
      <c r="A399" s="1"/>
      <c r="B399" s="1"/>
      <c r="C399" s="1"/>
      <c r="D399" s="1"/>
      <c r="E399" s="2"/>
      <c r="F399" s="2"/>
      <c r="G399" s="90">
        <f>(S399&amp;RIGHT(R399,1))*1</f>
      </c>
      <c r="H399" s="1"/>
      <c r="I399" s="111"/>
      <c r="J399" s="126">
        <f>Planning!Q69</f>
      </c>
      <c r="K399" s="93">
        <f>VLOOKUP(J399,AA$23:AE$88,5,FALSE)</f>
      </c>
      <c r="L399" s="122">
        <f>Planning!Z69</f>
      </c>
      <c r="M399" s="95">
        <f>IF(Planning!AG69=0,0,IFERROR($AD69*AM$22,0))</f>
      </c>
      <c r="N399" s="171">
        <f>IF(Planning!AG69=0,0,IFERROR($AD69*AM$22*K399,0))</f>
      </c>
      <c r="O399" s="96">
        <f>IF(ISTEXT(Planning!Z69),0,AM69)</f>
      </c>
      <c r="P399" s="94">
        <f>Planning!AG69</f>
      </c>
      <c r="Q399" s="121">
        <f>Progress!AB69</f>
      </c>
      <c r="R399" s="95">
        <f>IF(Q399=0,0,IF(ISNUMBER(Q399),IF(S399&gt;=$G$21,$F$21,"Q60"),Q399))</f>
      </c>
      <c r="S399" s="122">
        <f>Progress!AC69</f>
      </c>
      <c r="T399" s="97"/>
      <c r="U399" s="96">
        <f>V399/$N$419</f>
      </c>
      <c r="V399" s="176">
        <f>IF(L399&lt;$E$20,0,IF(ISTEXT(L399),0,IF(AND(G399+1&gt;=$E$19+1,L399&gt;0),IF(ISNUMBER(Q399),Q399*$AD69*AM$22*K399,$AD69*AM$22*K399),0)))</f>
      </c>
      <c r="W399" s="95">
        <f>IF(AND(L399&gt;0,S399&gt;0),IF(ISNUMBER(Q399),Q399*$AD69*AM$22*K399,$AD69*AM$22*K399),0)</f>
      </c>
      <c r="X399" s="17"/>
      <c r="Y399" s="1"/>
      <c r="Z399" s="1"/>
      <c r="AA399" s="3"/>
      <c r="AB399" s="3"/>
      <c r="AC399" s="3"/>
      <c r="AD399" s="3"/>
      <c r="AE399" s="4"/>
      <c r="AF399" s="8"/>
      <c r="AG399" s="1"/>
      <c r="AH399" s="6"/>
      <c r="AI399" s="6"/>
      <c r="AJ399" s="6"/>
      <c r="AK399" s="6"/>
      <c r="AL399" s="6"/>
      <c r="AM399" s="6"/>
      <c r="AN399" s="6"/>
      <c r="AO399" s="1"/>
      <c r="AP399" s="9"/>
      <c r="AQ399" s="2"/>
      <c r="AR399" s="3"/>
      <c r="AS399" s="10"/>
      <c r="AT399" s="1"/>
      <c r="AU399" s="1"/>
      <c r="AV399" s="1"/>
      <c r="AW399" s="1"/>
      <c r="AX399" s="1"/>
      <c r="AY399" s="1"/>
      <c r="AZ399" s="1"/>
      <c r="BA399" s="1"/>
      <c r="BB399" s="1"/>
      <c r="BC399" s="1"/>
      <c r="BD399" s="1"/>
      <c r="BE399" s="1"/>
      <c r="BF399" s="1"/>
      <c r="BG399" s="1"/>
      <c r="BH399" s="1"/>
    </row>
    <row x14ac:dyDescent="0.25" r="400" customHeight="1" ht="14.5">
      <c r="A400" s="1"/>
      <c r="B400" s="1"/>
      <c r="C400" s="1"/>
      <c r="D400" s="1"/>
      <c r="E400" s="2"/>
      <c r="F400" s="2"/>
      <c r="G400" s="90">
        <f>(S400&amp;RIGHT(R400,1))*1</f>
      </c>
      <c r="H400" s="1"/>
      <c r="I400" s="111"/>
      <c r="J400" s="126">
        <f>Planning!Q70</f>
      </c>
      <c r="K400" s="93">
        <f>VLOOKUP(J400,AA$23:AE$88,5,FALSE)</f>
      </c>
      <c r="L400" s="122">
        <f>Planning!Z70</f>
      </c>
      <c r="M400" s="95">
        <f>IF(Planning!AG70=0,0,IFERROR($AD70*AM$22,0))</f>
      </c>
      <c r="N400" s="171">
        <f>IF(Planning!AG70=0,0,IFERROR($AD70*AM$22*K400,0))</f>
      </c>
      <c r="O400" s="96">
        <f>IF(ISTEXT(Planning!Z70),0,AM70)</f>
      </c>
      <c r="P400" s="94">
        <f>Planning!AG70</f>
      </c>
      <c r="Q400" s="121">
        <f>Progress!AB70</f>
      </c>
      <c r="R400" s="95">
        <f>IF(Q400=0,0,IF(ISNUMBER(Q400),IF(S400&gt;=$G$21,$F$21,"Q61"),Q400))</f>
      </c>
      <c r="S400" s="122">
        <f>Progress!AC70</f>
      </c>
      <c r="T400" s="97"/>
      <c r="U400" s="96">
        <f>V400/$N$419</f>
      </c>
      <c r="V400" s="176">
        <f>IF(L400&lt;$E$20,0,IF(ISTEXT(L400),0,IF(AND(G400+1&gt;=$E$19+1,L400&gt;0),IF(ISNUMBER(Q400),Q400*$AD70*AM$22*K400,$AD70*AM$22*K400),0)))</f>
      </c>
      <c r="W400" s="95">
        <f>IF(AND(L400&gt;0,S400&gt;0),IF(ISNUMBER(Q400),Q400*$AD70*AM$22*K400,$AD70*AM$22*K400),0)</f>
      </c>
      <c r="X400" s="17"/>
      <c r="Y400" s="1"/>
      <c r="Z400" s="1"/>
      <c r="AA400" s="3"/>
      <c r="AB400" s="3"/>
      <c r="AC400" s="3"/>
      <c r="AD400" s="3"/>
      <c r="AE400" s="4"/>
      <c r="AF400" s="8"/>
      <c r="AG400" s="1"/>
      <c r="AH400" s="6"/>
      <c r="AI400" s="6"/>
      <c r="AJ400" s="6"/>
      <c r="AK400" s="6"/>
      <c r="AL400" s="6"/>
      <c r="AM400" s="6"/>
      <c r="AN400" s="6"/>
      <c r="AO400" s="1"/>
      <c r="AP400" s="9"/>
      <c r="AQ400" s="2"/>
      <c r="AR400" s="3"/>
      <c r="AS400" s="10"/>
      <c r="AT400" s="1"/>
      <c r="AU400" s="1"/>
      <c r="AV400" s="1"/>
      <c r="AW400" s="1"/>
      <c r="AX400" s="1"/>
      <c r="AY400" s="1"/>
      <c r="AZ400" s="1"/>
      <c r="BA400" s="1"/>
      <c r="BB400" s="1"/>
      <c r="BC400" s="1"/>
      <c r="BD400" s="1"/>
      <c r="BE400" s="1"/>
      <c r="BF400" s="1"/>
      <c r="BG400" s="1"/>
      <c r="BH400" s="1"/>
    </row>
    <row x14ac:dyDescent="0.25" r="401" customHeight="1" ht="14.5">
      <c r="A401" s="1"/>
      <c r="B401" s="1"/>
      <c r="C401" s="1"/>
      <c r="D401" s="1"/>
      <c r="E401" s="2"/>
      <c r="F401" s="2"/>
      <c r="G401" s="90">
        <f>(S401&amp;RIGHT(R401,1))*1</f>
      </c>
      <c r="H401" s="1"/>
      <c r="I401" s="111"/>
      <c r="J401" s="126">
        <f>Planning!Q71</f>
      </c>
      <c r="K401" s="93">
        <f>VLOOKUP(J401,AA$23:AE$88,5,FALSE)</f>
      </c>
      <c r="L401" s="122">
        <f>Planning!Z71</f>
      </c>
      <c r="M401" s="95">
        <f>IF(Planning!AG71=0,0,IFERROR($AD71*AM$22,0))</f>
      </c>
      <c r="N401" s="171">
        <f>IF(Planning!AG71=0,0,IFERROR($AD71*AM$22*K401,0))</f>
      </c>
      <c r="O401" s="96">
        <f>IF(ISTEXT(Planning!Z71),0,AM71)</f>
      </c>
      <c r="P401" s="94">
        <f>Planning!AG71</f>
      </c>
      <c r="Q401" s="121">
        <f>Progress!AB71</f>
      </c>
      <c r="R401" s="95">
        <f>IF(Q401=0,0,IF(ISNUMBER(Q401),IF(S401&gt;=$G$21,$F$21,"Q62"),Q401))</f>
      </c>
      <c r="S401" s="122">
        <f>Progress!AC71</f>
      </c>
      <c r="T401" s="97"/>
      <c r="U401" s="96">
        <f>V401/$N$419</f>
      </c>
      <c r="V401" s="176">
        <f>IF(L401&lt;$E$20,0,IF(ISTEXT(L401),0,IF(AND(G401+1&gt;=$E$19+1,L401&gt;0),IF(ISNUMBER(Q401),Q401*$AD71*AM$22*K401,$AD71*AM$22*K401),0)))</f>
      </c>
      <c r="W401" s="95">
        <f>IF(AND(L401&gt;0,S401&gt;0),IF(ISNUMBER(Q401),Q401*$AD71*AM$22*K401,$AD71*AM$22*K401),0)</f>
      </c>
      <c r="X401" s="17"/>
      <c r="Y401" s="1"/>
      <c r="Z401" s="1"/>
      <c r="AA401" s="3"/>
      <c r="AB401" s="3"/>
      <c r="AC401" s="3"/>
      <c r="AD401" s="3"/>
      <c r="AE401" s="4"/>
      <c r="AF401" s="8"/>
      <c r="AG401" s="1"/>
      <c r="AH401" s="6"/>
      <c r="AI401" s="6"/>
      <c r="AJ401" s="6"/>
      <c r="AK401" s="6"/>
      <c r="AL401" s="6"/>
      <c r="AM401" s="6"/>
      <c r="AN401" s="6"/>
      <c r="AO401" s="1"/>
      <c r="AP401" s="9"/>
      <c r="AQ401" s="2"/>
      <c r="AR401" s="3"/>
      <c r="AS401" s="10"/>
      <c r="AT401" s="1"/>
      <c r="AU401" s="1"/>
      <c r="AV401" s="1"/>
      <c r="AW401" s="1"/>
      <c r="AX401" s="1"/>
      <c r="AY401" s="1"/>
      <c r="AZ401" s="1"/>
      <c r="BA401" s="1"/>
      <c r="BB401" s="1"/>
      <c r="BC401" s="1"/>
      <c r="BD401" s="1"/>
      <c r="BE401" s="1"/>
      <c r="BF401" s="1"/>
      <c r="BG401" s="1"/>
      <c r="BH401" s="1"/>
    </row>
    <row x14ac:dyDescent="0.25" r="402" customHeight="1" ht="14.5">
      <c r="A402" s="1"/>
      <c r="B402" s="1"/>
      <c r="C402" s="1"/>
      <c r="D402" s="1"/>
      <c r="E402" s="2"/>
      <c r="F402" s="2"/>
      <c r="G402" s="90">
        <f>(S402&amp;RIGHT(R402,1))*1</f>
      </c>
      <c r="H402" s="1"/>
      <c r="I402" s="111"/>
      <c r="J402" s="126">
        <f>Planning!Q72</f>
      </c>
      <c r="K402" s="93">
        <f>VLOOKUP(J402,AA$23:AE$88,5,FALSE)</f>
      </c>
      <c r="L402" s="122">
        <f>Planning!Z72</f>
      </c>
      <c r="M402" s="95">
        <f>IF(Planning!AG72=0,0,IFERROR($AD72*AM$22,0))</f>
      </c>
      <c r="N402" s="171">
        <f>IF(Planning!AG72=0,0,IFERROR($AD72*AM$22*K402,0))</f>
      </c>
      <c r="O402" s="96">
        <f>IF(ISTEXT(Planning!Z72),0,AM72)</f>
      </c>
      <c r="P402" s="94">
        <f>Planning!AG72</f>
      </c>
      <c r="Q402" s="121">
        <f>Progress!AB72</f>
      </c>
      <c r="R402" s="95">
        <f>IF(Q402=0,0,IF(ISNUMBER(Q402),IF(S402&gt;=$G$21,$F$21,"Q63"),Q402))</f>
      </c>
      <c r="S402" s="122">
        <f>Progress!AC72</f>
      </c>
      <c r="T402" s="97"/>
      <c r="U402" s="96">
        <f>V402/$N$419</f>
      </c>
      <c r="V402" s="176">
        <f>IF(L402&lt;$E$20,0,IF(ISTEXT(L402),0,IF(AND(G402+1&gt;=$E$19+1,L402&gt;0),IF(ISNUMBER(Q402),Q402*$AD72*AM$22*K402,$AD72*AM$22*K402),0)))</f>
      </c>
      <c r="W402" s="95">
        <f>IF(AND(L402&gt;0,S402&gt;0),IF(ISNUMBER(Q402),Q402*$AD72*AM$22*K402,$AD72*AM$22*K402),0)</f>
      </c>
      <c r="X402" s="17"/>
      <c r="Y402" s="1"/>
      <c r="Z402" s="1"/>
      <c r="AA402" s="3"/>
      <c r="AB402" s="3"/>
      <c r="AC402" s="3"/>
      <c r="AD402" s="3"/>
      <c r="AE402" s="4"/>
      <c r="AF402" s="8"/>
      <c r="AG402" s="1"/>
      <c r="AH402" s="6"/>
      <c r="AI402" s="6"/>
      <c r="AJ402" s="6"/>
      <c r="AK402" s="6"/>
      <c r="AL402" s="6"/>
      <c r="AM402" s="6"/>
      <c r="AN402" s="6"/>
      <c r="AO402" s="1"/>
      <c r="AP402" s="9"/>
      <c r="AQ402" s="2"/>
      <c r="AR402" s="3"/>
      <c r="AS402" s="10"/>
      <c r="AT402" s="1"/>
      <c r="AU402" s="1"/>
      <c r="AV402" s="1"/>
      <c r="AW402" s="1"/>
      <c r="AX402" s="1"/>
      <c r="AY402" s="1"/>
      <c r="AZ402" s="1"/>
      <c r="BA402" s="1"/>
      <c r="BB402" s="1"/>
      <c r="BC402" s="1"/>
      <c r="BD402" s="1"/>
      <c r="BE402" s="1"/>
      <c r="BF402" s="1"/>
      <c r="BG402" s="1"/>
      <c r="BH402" s="1"/>
    </row>
    <row x14ac:dyDescent="0.25" r="403" customHeight="1" ht="14.5">
      <c r="A403" s="1"/>
      <c r="B403" s="1"/>
      <c r="C403" s="1"/>
      <c r="D403" s="1"/>
      <c r="E403" s="2"/>
      <c r="F403" s="2"/>
      <c r="G403" s="90">
        <f>(S403&amp;RIGHT(R403,1))*1</f>
      </c>
      <c r="H403" s="1"/>
      <c r="I403" s="111"/>
      <c r="J403" s="126">
        <f>Planning!Q73</f>
      </c>
      <c r="K403" s="93">
        <f>VLOOKUP(J403,AA$23:AE$88,5,FALSE)</f>
      </c>
      <c r="L403" s="122">
        <f>Planning!Z73</f>
      </c>
      <c r="M403" s="95">
        <f>IF(Planning!AG73=0,0,IFERROR($AD73*AM$22,0))</f>
      </c>
      <c r="N403" s="171">
        <f>IF(Planning!AG73=0,0,IFERROR($AD73*AM$22*K403,0))</f>
      </c>
      <c r="O403" s="96">
        <f>IF(ISTEXT(Planning!Z73),0,AM73)</f>
      </c>
      <c r="P403" s="94">
        <f>Planning!AG73</f>
      </c>
      <c r="Q403" s="121">
        <f>Progress!AB73</f>
      </c>
      <c r="R403" s="95">
        <f>IF(Q403=0,0,IF(ISNUMBER(Q403),IF(S403&gt;=$G$21,$F$21,"Q64"),Q403))</f>
      </c>
      <c r="S403" s="122">
        <f>Progress!AC73</f>
      </c>
      <c r="T403" s="97"/>
      <c r="U403" s="96">
        <f>V403/$N$419</f>
      </c>
      <c r="V403" s="176">
        <f>IF(L403&lt;$E$20,0,IF(ISTEXT(L403),0,IF(AND(G403+1&gt;=$E$19+1,L403&gt;0),IF(ISNUMBER(Q403),Q403*$AD73*AM$22*K403,$AD73*AM$22*K403),0)))</f>
      </c>
      <c r="W403" s="95">
        <f>IF(AND(L403&gt;0,S403&gt;0),IF(ISNUMBER(Q403),Q403*$AD73*AM$22*K403,$AD73*AM$22*K403),0)</f>
      </c>
      <c r="X403" s="17"/>
      <c r="Y403" s="1"/>
      <c r="Z403" s="1"/>
      <c r="AA403" s="3"/>
      <c r="AB403" s="3"/>
      <c r="AC403" s="3"/>
      <c r="AD403" s="3"/>
      <c r="AE403" s="4"/>
      <c r="AF403" s="8"/>
      <c r="AG403" s="1"/>
      <c r="AH403" s="6"/>
      <c r="AI403" s="6"/>
      <c r="AJ403" s="6"/>
      <c r="AK403" s="6"/>
      <c r="AL403" s="6"/>
      <c r="AM403" s="6"/>
      <c r="AN403" s="6"/>
      <c r="AO403" s="1"/>
      <c r="AP403" s="9"/>
      <c r="AQ403" s="2"/>
      <c r="AR403" s="3"/>
      <c r="AS403" s="10"/>
      <c r="AT403" s="1"/>
      <c r="AU403" s="1"/>
      <c r="AV403" s="1"/>
      <c r="AW403" s="1"/>
      <c r="AX403" s="1"/>
      <c r="AY403" s="1"/>
      <c r="AZ403" s="1"/>
      <c r="BA403" s="1"/>
      <c r="BB403" s="1"/>
      <c r="BC403" s="1"/>
      <c r="BD403" s="1"/>
      <c r="BE403" s="1"/>
      <c r="BF403" s="1"/>
      <c r="BG403" s="1"/>
      <c r="BH403" s="1"/>
    </row>
    <row x14ac:dyDescent="0.25" r="404" customHeight="1" ht="14.5">
      <c r="A404" s="1"/>
      <c r="B404" s="1"/>
      <c r="C404" s="1"/>
      <c r="D404" s="1"/>
      <c r="E404" s="2"/>
      <c r="F404" s="2"/>
      <c r="G404" s="90">
        <f>(S404&amp;RIGHT(R404,1))*1</f>
      </c>
      <c r="H404" s="1"/>
      <c r="I404" s="111"/>
      <c r="J404" s="126">
        <f>Planning!Q74</f>
      </c>
      <c r="K404" s="93">
        <f>VLOOKUP(J404,AA$23:AE$88,5,FALSE)</f>
      </c>
      <c r="L404" s="122">
        <f>Planning!Z74</f>
      </c>
      <c r="M404" s="95">
        <f>IF(Planning!AG74=0,0,IFERROR($AD74*AM$22,0))</f>
      </c>
      <c r="N404" s="171">
        <f>IF(Planning!AG74=0,0,IFERROR($AD74*AM$22*K404,0))</f>
      </c>
      <c r="O404" s="96">
        <f>IF(ISTEXT(Planning!Z74),0,AM74)</f>
      </c>
      <c r="P404" s="94">
        <f>Planning!AG74</f>
      </c>
      <c r="Q404" s="121">
        <f>Progress!AB74</f>
      </c>
      <c r="R404" s="95">
        <f>IF(Q404=0,0,IF(ISNUMBER(Q404),IF(S404&gt;=$G$21,$F$21,"Q65"),Q404))</f>
      </c>
      <c r="S404" s="122">
        <f>Progress!AC74</f>
      </c>
      <c r="T404" s="97"/>
      <c r="U404" s="96">
        <f>V404/$N$419</f>
      </c>
      <c r="V404" s="176">
        <f>IF(L404&lt;$E$20,0,IF(ISTEXT(L404),0,IF(AND(G404+1&gt;=$E$19+1,L404&gt;0),IF(ISNUMBER(Q404),Q404*$AD74*AM$22*K404,$AD74*AM$22*K404),0)))</f>
      </c>
      <c r="W404" s="95">
        <f>IF(AND(L404&gt;0,S404&gt;0),IF(ISNUMBER(Q404),Q404*$AD74*AM$22*K404,$AD74*AM$22*K404),0)</f>
      </c>
      <c r="X404" s="17"/>
      <c r="Y404" s="1"/>
      <c r="Z404" s="1"/>
      <c r="AA404" s="3"/>
      <c r="AB404" s="3"/>
      <c r="AC404" s="3"/>
      <c r="AD404" s="3"/>
      <c r="AE404" s="4"/>
      <c r="AF404" s="8"/>
      <c r="AG404" s="1"/>
      <c r="AH404" s="6"/>
      <c r="AI404" s="6"/>
      <c r="AJ404" s="6"/>
      <c r="AK404" s="6"/>
      <c r="AL404" s="6"/>
      <c r="AM404" s="6"/>
      <c r="AN404" s="6"/>
      <c r="AO404" s="1"/>
      <c r="AP404" s="9"/>
      <c r="AQ404" s="2"/>
      <c r="AR404" s="3"/>
      <c r="AS404" s="10"/>
      <c r="AT404" s="1"/>
      <c r="AU404" s="1"/>
      <c r="AV404" s="1"/>
      <c r="AW404" s="1"/>
      <c r="AX404" s="1"/>
      <c r="AY404" s="1"/>
      <c r="AZ404" s="1"/>
      <c r="BA404" s="1"/>
      <c r="BB404" s="1"/>
      <c r="BC404" s="1"/>
      <c r="BD404" s="1"/>
      <c r="BE404" s="1"/>
      <c r="BF404" s="1"/>
      <c r="BG404" s="1"/>
      <c r="BH404" s="1"/>
    </row>
    <row x14ac:dyDescent="0.25" r="405" customHeight="1" ht="14.5">
      <c r="A405" s="1"/>
      <c r="B405" s="1"/>
      <c r="C405" s="1"/>
      <c r="D405" s="1"/>
      <c r="E405" s="2"/>
      <c r="F405" s="2"/>
      <c r="G405" s="90">
        <f>(S405&amp;RIGHT(R405,1))*1</f>
      </c>
      <c r="H405" s="1"/>
      <c r="I405" s="111"/>
      <c r="J405" s="126">
        <f>Planning!Q75</f>
      </c>
      <c r="K405" s="93">
        <f>VLOOKUP(J405,AA$23:AE$88,5,FALSE)</f>
      </c>
      <c r="L405" s="122">
        <f>Planning!Z75</f>
      </c>
      <c r="M405" s="95">
        <f>IF(Planning!AG75=0,0,IFERROR($AD75*AM$22,0))</f>
      </c>
      <c r="N405" s="171">
        <f>IF(Planning!AG75=0,0,IFERROR($AD75*AM$22*K405,0))</f>
      </c>
      <c r="O405" s="96">
        <f>IF(ISTEXT(Planning!Z75),0,AM75)</f>
      </c>
      <c r="P405" s="94">
        <f>Planning!AG75</f>
      </c>
      <c r="Q405" s="121">
        <f>Progress!AB75</f>
      </c>
      <c r="R405" s="95">
        <f>IF(Q405=0,0,IF(ISNUMBER(Q405),IF(S405&gt;=$G$21,$F$21,"Q66"),Q405))</f>
      </c>
      <c r="S405" s="122">
        <f>Progress!AC75</f>
      </c>
      <c r="T405" s="97"/>
      <c r="U405" s="96">
        <f>V405/$N$419</f>
      </c>
      <c r="V405" s="176">
        <f>IF(L405&lt;$E$20,0,IF(ISTEXT(L405),0,IF(AND(G405+1&gt;=$E$19+1,L405&gt;0),IF(ISNUMBER(Q405),Q405*$AD75*AM$22*K405,$AD75*AM$22*K405),0)))</f>
      </c>
      <c r="W405" s="95">
        <f>IF(AND(L405&gt;0,S405&gt;0),IF(ISNUMBER(Q405),Q405*$AD75*AM$22*K405,$AD75*AM$22*K405),0)</f>
      </c>
      <c r="X405" s="17"/>
      <c r="Y405" s="1"/>
      <c r="Z405" s="1"/>
      <c r="AA405" s="3"/>
      <c r="AB405" s="3"/>
      <c r="AC405" s="3"/>
      <c r="AD405" s="3"/>
      <c r="AE405" s="4"/>
      <c r="AF405" s="8"/>
      <c r="AG405" s="1"/>
      <c r="AH405" s="6"/>
      <c r="AI405" s="6"/>
      <c r="AJ405" s="6"/>
      <c r="AK405" s="6"/>
      <c r="AL405" s="6"/>
      <c r="AM405" s="6"/>
      <c r="AN405" s="6"/>
      <c r="AO405" s="1"/>
      <c r="AP405" s="9"/>
      <c r="AQ405" s="2"/>
      <c r="AR405" s="3"/>
      <c r="AS405" s="10"/>
      <c r="AT405" s="1"/>
      <c r="AU405" s="1"/>
      <c r="AV405" s="1"/>
      <c r="AW405" s="1"/>
      <c r="AX405" s="1"/>
      <c r="AY405" s="1"/>
      <c r="AZ405" s="1"/>
      <c r="BA405" s="1"/>
      <c r="BB405" s="1"/>
      <c r="BC405" s="1"/>
      <c r="BD405" s="1"/>
      <c r="BE405" s="1"/>
      <c r="BF405" s="1"/>
      <c r="BG405" s="1"/>
      <c r="BH405" s="1"/>
    </row>
    <row x14ac:dyDescent="0.25" r="406" customHeight="1" ht="14.5">
      <c r="A406" s="1"/>
      <c r="B406" s="1"/>
      <c r="C406" s="1"/>
      <c r="D406" s="1"/>
      <c r="E406" s="2"/>
      <c r="F406" s="2"/>
      <c r="G406" s="90">
        <f>(S406&amp;RIGHT(R406,1))*1</f>
      </c>
      <c r="H406" s="1"/>
      <c r="I406" s="111"/>
      <c r="J406" s="126">
        <f>Planning!Q76</f>
      </c>
      <c r="K406" s="93">
        <f>VLOOKUP(J406,AA$23:AE$88,5,FALSE)</f>
      </c>
      <c r="L406" s="122">
        <f>Planning!Z76</f>
      </c>
      <c r="M406" s="95">
        <f>IF(Planning!AG76=0,0,IFERROR($AD76*AM$22,0))</f>
      </c>
      <c r="N406" s="171">
        <f>IF(Planning!AG76=0,0,IFERROR($AD76*AM$22*K406,0))</f>
      </c>
      <c r="O406" s="96">
        <f>IF(ISTEXT(Planning!Z76),0,AM76)</f>
      </c>
      <c r="P406" s="94">
        <f>Planning!AG76</f>
      </c>
      <c r="Q406" s="121">
        <f>Progress!AB76</f>
      </c>
      <c r="R406" s="95">
        <f>IF(Q406=0,0,IF(ISNUMBER(Q406),IF(S406&gt;=$G$21,$F$21,"Q67"),Q406))</f>
      </c>
      <c r="S406" s="122">
        <f>Progress!AC76</f>
      </c>
      <c r="T406" s="97"/>
      <c r="U406" s="96">
        <f>V406/$N$419</f>
      </c>
      <c r="V406" s="176">
        <f>IF(L406&lt;$E$20,0,IF(ISTEXT(L406),0,IF(AND(G406+1&gt;=$E$19+1,L406&gt;0),IF(ISNUMBER(Q406),Q406*$AD76*AM$22*K406,$AD76*AM$22*K406),0)))</f>
      </c>
      <c r="W406" s="95">
        <f>IF(AND(L406&gt;0,S406&gt;0),IF(ISNUMBER(Q406),Q406*$AD76*AM$22*K406,$AD76*AM$22*K406),0)</f>
      </c>
      <c r="X406" s="17"/>
      <c r="Y406" s="1"/>
      <c r="Z406" s="1"/>
      <c r="AA406" s="3"/>
      <c r="AB406" s="3"/>
      <c r="AC406" s="3"/>
      <c r="AD406" s="3"/>
      <c r="AE406" s="4"/>
      <c r="AF406" s="8"/>
      <c r="AG406" s="1"/>
      <c r="AH406" s="6"/>
      <c r="AI406" s="6"/>
      <c r="AJ406" s="6"/>
      <c r="AK406" s="6"/>
      <c r="AL406" s="6"/>
      <c r="AM406" s="6"/>
      <c r="AN406" s="6"/>
      <c r="AO406" s="1"/>
      <c r="AP406" s="9"/>
      <c r="AQ406" s="2"/>
      <c r="AR406" s="3"/>
      <c r="AS406" s="10"/>
      <c r="AT406" s="1"/>
      <c r="AU406" s="1"/>
      <c r="AV406" s="1"/>
      <c r="AW406" s="1"/>
      <c r="AX406" s="1"/>
      <c r="AY406" s="1"/>
      <c r="AZ406" s="1"/>
      <c r="BA406" s="1"/>
      <c r="BB406" s="1"/>
      <c r="BC406" s="1"/>
      <c r="BD406" s="1"/>
      <c r="BE406" s="1"/>
      <c r="BF406" s="1"/>
      <c r="BG406" s="1"/>
      <c r="BH406" s="1"/>
    </row>
    <row x14ac:dyDescent="0.25" r="407" customHeight="1" ht="14.5">
      <c r="A407" s="1"/>
      <c r="B407" s="1"/>
      <c r="C407" s="1"/>
      <c r="D407" s="1"/>
      <c r="E407" s="2"/>
      <c r="F407" s="2"/>
      <c r="G407" s="90">
        <f>(S407&amp;RIGHT(R407,1))*1</f>
      </c>
      <c r="H407" s="1"/>
      <c r="I407" s="111"/>
      <c r="J407" s="126">
        <f>Planning!Q77</f>
      </c>
      <c r="K407" s="93">
        <f>VLOOKUP(J407,AA$23:AE$88,5,FALSE)</f>
      </c>
      <c r="L407" s="122">
        <f>Planning!Z77</f>
      </c>
      <c r="M407" s="95">
        <f>IF(Planning!AG77=0,0,IFERROR($AD77*AM$22,0))</f>
      </c>
      <c r="N407" s="171">
        <f>IF(Planning!AG77=0,0,IFERROR($AD77*AM$22*K407,0))</f>
      </c>
      <c r="O407" s="96">
        <f>IF(ISTEXT(Planning!Z77),0,AM77)</f>
      </c>
      <c r="P407" s="94">
        <f>Planning!AG77</f>
      </c>
      <c r="Q407" s="121">
        <f>Progress!AB77</f>
      </c>
      <c r="R407" s="95">
        <f>IF(Q407=0,0,IF(ISNUMBER(Q407),IF(S407&gt;=$G$21,$F$21,"Q4"),Q407))</f>
      </c>
      <c r="S407" s="122">
        <f>Progress!AC77</f>
      </c>
      <c r="T407" s="97"/>
      <c r="U407" s="96">
        <f>V407/$N$419</f>
      </c>
      <c r="V407" s="176">
        <f>IF(L407&lt;$E$20,0,IF(ISTEXT(L407),0,IF(AND(G407+1&gt;=$E$19+1,L407&gt;0),IF(ISNUMBER(Q407),Q407*$AD77*AM$22*K407,$AD77*AM$22*K407),0)))</f>
      </c>
      <c r="W407" s="95">
        <f>IF(AND(L407&gt;0,S407&gt;0),IF(ISNUMBER(Q407),Q407*$AD77*AM$22*K407,$AD77*AM$22*K407),0)</f>
      </c>
      <c r="X407" s="17"/>
      <c r="Y407" s="1"/>
      <c r="Z407" s="1"/>
      <c r="AA407" s="3"/>
      <c r="AB407" s="3"/>
      <c r="AC407" s="3"/>
      <c r="AD407" s="3"/>
      <c r="AE407" s="4"/>
      <c r="AF407" s="8"/>
      <c r="AG407" s="1"/>
      <c r="AH407" s="6"/>
      <c r="AI407" s="6"/>
      <c r="AJ407" s="6"/>
      <c r="AK407" s="6"/>
      <c r="AL407" s="6"/>
      <c r="AM407" s="6"/>
      <c r="AN407" s="6"/>
      <c r="AO407" s="1"/>
      <c r="AP407" s="9"/>
      <c r="AQ407" s="2"/>
      <c r="AR407" s="3"/>
      <c r="AS407" s="10"/>
      <c r="AT407" s="1"/>
      <c r="AU407" s="1"/>
      <c r="AV407" s="1"/>
      <c r="AW407" s="1"/>
      <c r="AX407" s="1"/>
      <c r="AY407" s="1"/>
      <c r="AZ407" s="1"/>
      <c r="BA407" s="1"/>
      <c r="BB407" s="1"/>
      <c r="BC407" s="1"/>
      <c r="BD407" s="1"/>
      <c r="BE407" s="1"/>
      <c r="BF407" s="1"/>
      <c r="BG407" s="1"/>
      <c r="BH407" s="1"/>
    </row>
    <row x14ac:dyDescent="0.25" r="408" customHeight="1" ht="14.5">
      <c r="A408" s="1"/>
      <c r="B408" s="1"/>
      <c r="C408" s="1"/>
      <c r="D408" s="1"/>
      <c r="E408" s="2"/>
      <c r="F408" s="2"/>
      <c r="G408" s="90">
        <f>(S408&amp;RIGHT(R408,1))*1</f>
      </c>
      <c r="H408" s="1"/>
      <c r="I408" s="111"/>
      <c r="J408" s="126">
        <f>Planning!Q78</f>
      </c>
      <c r="K408" s="93">
        <f>VLOOKUP(J408,AA$23:AE$88,5,FALSE)</f>
      </c>
      <c r="L408" s="122">
        <f>Planning!Z78</f>
      </c>
      <c r="M408" s="95">
        <f>IF(Planning!AG78=0,0,IFERROR($AD78*AM$22,0))</f>
      </c>
      <c r="N408" s="171">
        <f>IF(Planning!AG78=0,0,IFERROR($AD78*AM$22*K408,0))</f>
      </c>
      <c r="O408" s="96">
        <f>IF(ISTEXT(Planning!Z78),0,AM78)</f>
      </c>
      <c r="P408" s="94">
        <f>Planning!AG78</f>
      </c>
      <c r="Q408" s="121">
        <f>Progress!AB78</f>
      </c>
      <c r="R408" s="95">
        <f>IF(Q408=0,0,IF(ISNUMBER(Q408),IF(S408&gt;=$G$21,$F$21,"Q5"),Q408))</f>
      </c>
      <c r="S408" s="122">
        <f>Progress!AC78</f>
      </c>
      <c r="T408" s="97"/>
      <c r="U408" s="96">
        <f>V408/$N$419</f>
      </c>
      <c r="V408" s="176">
        <f>IF(L408&lt;$E$20,0,IF(ISTEXT(L408),0,IF(AND(G408+1&gt;=$E$19+1,L408&gt;0),IF(ISNUMBER(Q408),Q408*$AD78*AM$22*K408,$AD78*AM$22*K408),0)))</f>
      </c>
      <c r="W408" s="95">
        <f>IF(AND(L408&gt;0,S408&gt;0),IF(ISNUMBER(Q408),Q408*$AD78*AM$22*K408,$AD78*AM$22*K408),0)</f>
      </c>
      <c r="X408" s="17"/>
      <c r="Y408" s="1"/>
      <c r="Z408" s="1"/>
      <c r="AA408" s="3"/>
      <c r="AB408" s="3"/>
      <c r="AC408" s="3"/>
      <c r="AD408" s="3"/>
      <c r="AE408" s="4"/>
      <c r="AF408" s="8"/>
      <c r="AG408" s="1"/>
      <c r="AH408" s="6"/>
      <c r="AI408" s="6"/>
      <c r="AJ408" s="6"/>
      <c r="AK408" s="6"/>
      <c r="AL408" s="6"/>
      <c r="AM408" s="6"/>
      <c r="AN408" s="6"/>
      <c r="AO408" s="1"/>
      <c r="AP408" s="9"/>
      <c r="AQ408" s="2"/>
      <c r="AR408" s="3"/>
      <c r="AS408" s="10"/>
      <c r="AT408" s="1"/>
      <c r="AU408" s="1"/>
      <c r="AV408" s="1"/>
      <c r="AW408" s="1"/>
      <c r="AX408" s="1"/>
      <c r="AY408" s="1"/>
      <c r="AZ408" s="1"/>
      <c r="BA408" s="1"/>
      <c r="BB408" s="1"/>
      <c r="BC408" s="1"/>
      <c r="BD408" s="1"/>
      <c r="BE408" s="1"/>
      <c r="BF408" s="1"/>
      <c r="BG408" s="1"/>
      <c r="BH408" s="1"/>
    </row>
    <row x14ac:dyDescent="0.25" r="409" customHeight="1" ht="14.5">
      <c r="A409" s="1"/>
      <c r="B409" s="1"/>
      <c r="C409" s="1"/>
      <c r="D409" s="1"/>
      <c r="E409" s="2"/>
      <c r="F409" s="2"/>
      <c r="G409" s="90">
        <f>(S409&amp;RIGHT(R409,1))*1</f>
      </c>
      <c r="H409" s="1"/>
      <c r="I409" s="111"/>
      <c r="J409" s="126">
        <f>Planning!Q79</f>
      </c>
      <c r="K409" s="93">
        <f>VLOOKUP(J409,AA$23:AE$88,5,FALSE)</f>
      </c>
      <c r="L409" s="122">
        <f>Planning!Z79</f>
      </c>
      <c r="M409" s="95">
        <f>IF(Planning!AG79=0,0,IFERROR($AD79*AM$22,0))</f>
      </c>
      <c r="N409" s="171">
        <f>IF(Planning!AG79=0,0,IFERROR($AD79*AM$22*K409,0))</f>
      </c>
      <c r="O409" s="96">
        <f>IF(ISTEXT(Planning!Z79),0,AM79)</f>
      </c>
      <c r="P409" s="94">
        <f>Planning!AG79</f>
      </c>
      <c r="Q409" s="121">
        <f>Progress!AB79</f>
      </c>
      <c r="R409" s="95">
        <f>IF(Q409=0,0,IF(ISNUMBER(Q409),IF(S409&gt;=$G$21,$F$21,"Q6"),Q409))</f>
      </c>
      <c r="S409" s="122">
        <f>Progress!AC79</f>
      </c>
      <c r="T409" s="97"/>
      <c r="U409" s="96">
        <f>V409/$N$419</f>
      </c>
      <c r="V409" s="176">
        <f>IF(L409&lt;$E$20,0,IF(ISTEXT(L409),0,IF(AND(G409+1&gt;=$E$19+1,L409&gt;0),IF(ISNUMBER(Q409),Q409*$AD79*AM$22*K409,$AD79*AM$22*K409),0)))</f>
      </c>
      <c r="W409" s="95">
        <f>IF(AND(L409&gt;0,S409&gt;0),IF(ISNUMBER(Q409),Q409*$AD79*AM$22*K409,$AD79*AM$22*K409),0)</f>
      </c>
      <c r="X409" s="17"/>
      <c r="Y409" s="1"/>
      <c r="Z409" s="1"/>
      <c r="AA409" s="3"/>
      <c r="AB409" s="3"/>
      <c r="AC409" s="3"/>
      <c r="AD409" s="3"/>
      <c r="AE409" s="4"/>
      <c r="AF409" s="8"/>
      <c r="AG409" s="1"/>
      <c r="AH409" s="6"/>
      <c r="AI409" s="6"/>
      <c r="AJ409" s="6"/>
      <c r="AK409" s="6"/>
      <c r="AL409" s="6"/>
      <c r="AM409" s="6"/>
      <c r="AN409" s="6"/>
      <c r="AO409" s="1"/>
      <c r="AP409" s="9"/>
      <c r="AQ409" s="2"/>
      <c r="AR409" s="3"/>
      <c r="AS409" s="10"/>
      <c r="AT409" s="1"/>
      <c r="AU409" s="1"/>
      <c r="AV409" s="1"/>
      <c r="AW409" s="1"/>
      <c r="AX409" s="1"/>
      <c r="AY409" s="1"/>
      <c r="AZ409" s="1"/>
      <c r="BA409" s="1"/>
      <c r="BB409" s="1"/>
      <c r="BC409" s="1"/>
      <c r="BD409" s="1"/>
      <c r="BE409" s="1"/>
      <c r="BF409" s="1"/>
      <c r="BG409" s="1"/>
      <c r="BH409" s="1"/>
    </row>
    <row x14ac:dyDescent="0.25" r="410" customHeight="1" ht="14.5">
      <c r="A410" s="1"/>
      <c r="B410" s="1"/>
      <c r="C410" s="1"/>
      <c r="D410" s="1"/>
      <c r="E410" s="2"/>
      <c r="F410" s="2"/>
      <c r="G410" s="90">
        <f>(S410&amp;RIGHT(R410,1))*1</f>
      </c>
      <c r="H410" s="1"/>
      <c r="I410" s="111"/>
      <c r="J410" s="126">
        <f>Planning!Q80</f>
      </c>
      <c r="K410" s="93">
        <f>VLOOKUP(J410,AA$23:AE$88,5,FALSE)</f>
      </c>
      <c r="L410" s="122">
        <f>Planning!Z80</f>
      </c>
      <c r="M410" s="95">
        <f>IF(Planning!AG80=0,0,IFERROR($AD80*AM$22,0))</f>
      </c>
      <c r="N410" s="171">
        <f>IF(Planning!AG80=0,0,IFERROR($AD80*AM$22*K410,0))</f>
      </c>
      <c r="O410" s="96">
        <f>IF(ISTEXT(Planning!Z80),0,AM80)</f>
      </c>
      <c r="P410" s="94">
        <f>Planning!AG80</f>
      </c>
      <c r="Q410" s="121">
        <f>Progress!AB80</f>
      </c>
      <c r="R410" s="95">
        <f>IF(Q410=0,0,IF(ISNUMBER(Q410),IF(S410&gt;=$G$21,$F$21,"Q7"),Q410))</f>
      </c>
      <c r="S410" s="122">
        <f>Progress!AC80</f>
      </c>
      <c r="T410" s="97"/>
      <c r="U410" s="96">
        <f>V410/$N$419</f>
      </c>
      <c r="V410" s="176">
        <f>IF(L410&lt;$E$20,0,IF(ISTEXT(L410),0,IF(AND(G410+1&gt;=$E$19+1,L410&gt;0),IF(ISNUMBER(Q410),Q410*$AD80*AM$22*K410,$AD80*AM$22*K410),0)))</f>
      </c>
      <c r="W410" s="95">
        <f>IF(AND(L410&gt;0,S410&gt;0),IF(ISNUMBER(Q410),Q410*$AD80*AM$22*K410,$AD80*AM$22*K410),0)</f>
      </c>
      <c r="X410" s="17"/>
      <c r="Y410" s="1"/>
      <c r="Z410" s="1"/>
      <c r="AA410" s="3"/>
      <c r="AB410" s="3"/>
      <c r="AC410" s="3"/>
      <c r="AD410" s="3"/>
      <c r="AE410" s="4"/>
      <c r="AF410" s="8"/>
      <c r="AG410" s="1"/>
      <c r="AH410" s="6"/>
      <c r="AI410" s="6"/>
      <c r="AJ410" s="6"/>
      <c r="AK410" s="6"/>
      <c r="AL410" s="6"/>
      <c r="AM410" s="6"/>
      <c r="AN410" s="6"/>
      <c r="AO410" s="1"/>
      <c r="AP410" s="9"/>
      <c r="AQ410" s="2"/>
      <c r="AR410" s="3"/>
      <c r="AS410" s="10"/>
      <c r="AT410" s="1"/>
      <c r="AU410" s="1"/>
      <c r="AV410" s="1"/>
      <c r="AW410" s="1"/>
      <c r="AX410" s="1"/>
      <c r="AY410" s="1"/>
      <c r="AZ410" s="1"/>
      <c r="BA410" s="1"/>
      <c r="BB410" s="1"/>
      <c r="BC410" s="1"/>
      <c r="BD410" s="1"/>
      <c r="BE410" s="1"/>
      <c r="BF410" s="1"/>
      <c r="BG410" s="1"/>
      <c r="BH410" s="1"/>
    </row>
    <row x14ac:dyDescent="0.25" r="411" customHeight="1" ht="14.5">
      <c r="A411" s="1"/>
      <c r="B411" s="1"/>
      <c r="C411" s="1"/>
      <c r="D411" s="1"/>
      <c r="E411" s="2"/>
      <c r="F411" s="2"/>
      <c r="G411" s="90">
        <f>(S411&amp;RIGHT(R411,1))*1</f>
      </c>
      <c r="H411" s="1"/>
      <c r="I411" s="111"/>
      <c r="J411" s="126">
        <f>Planning!Q81</f>
      </c>
      <c r="K411" s="93">
        <f>VLOOKUP(J411,AA$23:AE$88,5,FALSE)</f>
      </c>
      <c r="L411" s="122">
        <f>Planning!Z81</f>
      </c>
      <c r="M411" s="95">
        <f>IF(Planning!AG81=0,0,IFERROR($AD81*AM$22,0))</f>
      </c>
      <c r="N411" s="171">
        <f>IF(Planning!AG81=0,0,IFERROR($AD81*AM$22*K411,0))</f>
      </c>
      <c r="O411" s="96">
        <f>IF(ISTEXT(Planning!Z81),0,AM81)</f>
      </c>
      <c r="P411" s="94">
        <f>Planning!AG81</f>
      </c>
      <c r="Q411" s="121">
        <f>Progress!AB81</f>
      </c>
      <c r="R411" s="95">
        <f>IF(Q411=0,0,IF(ISNUMBER(Q411),IF(S411&gt;=$G$21,$F$21,"Q8"),Q411))</f>
      </c>
      <c r="S411" s="122">
        <f>Progress!AC81</f>
      </c>
      <c r="T411" s="97"/>
      <c r="U411" s="96">
        <f>V411/$N$419</f>
      </c>
      <c r="V411" s="176">
        <f>IF(L411&lt;$E$20,0,IF(ISTEXT(L411),0,IF(AND(G411+1&gt;=$E$19+1,L411&gt;0),IF(ISNUMBER(Q411),Q411*$AD81*AM$22*K411,$AD81*AM$22*K411),0)))</f>
      </c>
      <c r="W411" s="95">
        <f>IF(AND(L411&gt;0,S411&gt;0),IF(ISNUMBER(Q411),Q411*$AD81*AM$22*K411,$AD81*AM$22*K411),0)</f>
      </c>
      <c r="X411" s="17"/>
      <c r="Y411" s="1"/>
      <c r="Z411" s="1"/>
      <c r="AA411" s="3"/>
      <c r="AB411" s="3"/>
      <c r="AC411" s="3"/>
      <c r="AD411" s="3"/>
      <c r="AE411" s="4"/>
      <c r="AF411" s="8"/>
      <c r="AG411" s="1"/>
      <c r="AH411" s="6"/>
      <c r="AI411" s="6"/>
      <c r="AJ411" s="6"/>
      <c r="AK411" s="6"/>
      <c r="AL411" s="6"/>
      <c r="AM411" s="6"/>
      <c r="AN411" s="6"/>
      <c r="AO411" s="1"/>
      <c r="AP411" s="9"/>
      <c r="AQ411" s="2"/>
      <c r="AR411" s="3"/>
      <c r="AS411" s="10"/>
      <c r="AT411" s="1"/>
      <c r="AU411" s="1"/>
      <c r="AV411" s="1"/>
      <c r="AW411" s="1"/>
      <c r="AX411" s="1"/>
      <c r="AY411" s="1"/>
      <c r="AZ411" s="1"/>
      <c r="BA411" s="1"/>
      <c r="BB411" s="1"/>
      <c r="BC411" s="1"/>
      <c r="BD411" s="1"/>
      <c r="BE411" s="1"/>
      <c r="BF411" s="1"/>
      <c r="BG411" s="1"/>
      <c r="BH411" s="1"/>
    </row>
    <row x14ac:dyDescent="0.25" r="412" customHeight="1" ht="14.5">
      <c r="A412" s="1"/>
      <c r="B412" s="1"/>
      <c r="C412" s="1"/>
      <c r="D412" s="1"/>
      <c r="E412" s="2"/>
      <c r="F412" s="2"/>
      <c r="G412" s="90">
        <f>(S412&amp;RIGHT(R412,1))*1</f>
      </c>
      <c r="H412" s="1"/>
      <c r="I412" s="111"/>
      <c r="J412" s="126">
        <f>Planning!Q82</f>
      </c>
      <c r="K412" s="93">
        <f>VLOOKUP(J412,AA$23:AE$88,5,FALSE)</f>
      </c>
      <c r="L412" s="122">
        <f>Planning!Z82</f>
      </c>
      <c r="M412" s="95">
        <f>IF(Planning!AG82=0,0,IFERROR($AD82*AM$22,0))</f>
      </c>
      <c r="N412" s="171">
        <f>IF(Planning!AG82=0,0,IFERROR($AD82*AM$22*K412,0))</f>
      </c>
      <c r="O412" s="96">
        <f>IF(ISTEXT(Planning!Z82),0,AM82)</f>
      </c>
      <c r="P412" s="94">
        <f>Planning!AG82</f>
      </c>
      <c r="Q412" s="121">
        <f>Progress!AB82</f>
      </c>
      <c r="R412" s="95">
        <f>IF(Q412=0,0,IF(ISNUMBER(Q412),IF(S412&gt;=$G$21,$F$21,"Q9"),Q412))</f>
      </c>
      <c r="S412" s="122">
        <f>Progress!AC82</f>
      </c>
      <c r="T412" s="97"/>
      <c r="U412" s="96">
        <f>V412/$N$419</f>
      </c>
      <c r="V412" s="176">
        <f>IF(L412&lt;$E$20,0,IF(ISTEXT(L412),0,IF(AND(G412+1&gt;=$E$19+1,L412&gt;0),IF(ISNUMBER(Q412),Q412*$AD82*AM$22*K412,$AD82*AM$22*K412),0)))</f>
      </c>
      <c r="W412" s="95">
        <f>IF(AND(L412&gt;0,S412&gt;0),IF(ISNUMBER(Q412),Q412*$AD82*AM$22*K412,$AD82*AM$22*K412),0)</f>
      </c>
      <c r="X412" s="17"/>
      <c r="Y412" s="1"/>
      <c r="Z412" s="1"/>
      <c r="AA412" s="3"/>
      <c r="AB412" s="3"/>
      <c r="AC412" s="3"/>
      <c r="AD412" s="3"/>
      <c r="AE412" s="4"/>
      <c r="AF412" s="8"/>
      <c r="AG412" s="1"/>
      <c r="AH412" s="6"/>
      <c r="AI412" s="6"/>
      <c r="AJ412" s="6"/>
      <c r="AK412" s="6"/>
      <c r="AL412" s="6"/>
      <c r="AM412" s="6"/>
      <c r="AN412" s="6"/>
      <c r="AO412" s="1"/>
      <c r="AP412" s="9"/>
      <c r="AQ412" s="2"/>
      <c r="AR412" s="3"/>
      <c r="AS412" s="10"/>
      <c r="AT412" s="1"/>
      <c r="AU412" s="1"/>
      <c r="AV412" s="1"/>
      <c r="AW412" s="1"/>
      <c r="AX412" s="1"/>
      <c r="AY412" s="1"/>
      <c r="AZ412" s="1"/>
      <c r="BA412" s="1"/>
      <c r="BB412" s="1"/>
      <c r="BC412" s="1"/>
      <c r="BD412" s="1"/>
      <c r="BE412" s="1"/>
      <c r="BF412" s="1"/>
      <c r="BG412" s="1"/>
      <c r="BH412" s="1"/>
    </row>
    <row x14ac:dyDescent="0.25" r="413" customHeight="1" ht="14.5">
      <c r="A413" s="1"/>
      <c r="B413" s="1"/>
      <c r="C413" s="1"/>
      <c r="D413" s="1"/>
      <c r="E413" s="2"/>
      <c r="F413" s="2"/>
      <c r="G413" s="90">
        <f>(S413&amp;RIGHT(R413,1))*1</f>
      </c>
      <c r="H413" s="1"/>
      <c r="I413" s="111"/>
      <c r="J413" s="126">
        <f>Planning!Q83</f>
      </c>
      <c r="K413" s="93">
        <f>VLOOKUP(J413,AA$23:AE$88,5,FALSE)</f>
      </c>
      <c r="L413" s="122">
        <f>Planning!Z83</f>
      </c>
      <c r="M413" s="95">
        <f>IF(Planning!AG83=0,0,IFERROR($AD83*AM$22,0))</f>
      </c>
      <c r="N413" s="171">
        <f>IF(Planning!AG83=0,0,IFERROR($AD83*AM$22*K413,0))</f>
      </c>
      <c r="O413" s="96">
        <f>IF(ISTEXT(Planning!Z83),0,AM83)</f>
      </c>
      <c r="P413" s="94">
        <f>Planning!AG83</f>
      </c>
      <c r="Q413" s="121">
        <f>Progress!AB83</f>
      </c>
      <c r="R413" s="95">
        <f>IF(Q413=0,0,IF(ISNUMBER(Q413),IF(S413&gt;=$G$21,$F$21,"Q10"),Q413))</f>
      </c>
      <c r="S413" s="122">
        <f>Progress!AC83</f>
      </c>
      <c r="T413" s="97"/>
      <c r="U413" s="96">
        <f>V413/$N$419</f>
      </c>
      <c r="V413" s="176">
        <f>IF(L413&lt;$E$20,0,IF(ISTEXT(L413),0,IF(AND(G413+1&gt;=$E$19+1,L413&gt;0),IF(ISNUMBER(Q413),Q413*$AD83*AM$22*K413,$AD83*AM$22*K413),0)))</f>
      </c>
      <c r="W413" s="95">
        <f>IF(AND(L413&gt;0,S413&gt;0),IF(ISNUMBER(Q413),Q413*$AD83*AM$22*K413,$AD83*AM$22*K413),0)</f>
      </c>
      <c r="X413" s="17"/>
      <c r="Y413" s="1"/>
      <c r="Z413" s="1"/>
      <c r="AA413" s="3"/>
      <c r="AB413" s="3"/>
      <c r="AC413" s="3"/>
      <c r="AD413" s="3"/>
      <c r="AE413" s="4"/>
      <c r="AF413" s="8"/>
      <c r="AG413" s="1"/>
      <c r="AH413" s="6"/>
      <c r="AI413" s="6"/>
      <c r="AJ413" s="6"/>
      <c r="AK413" s="6"/>
      <c r="AL413" s="6"/>
      <c r="AM413" s="6"/>
      <c r="AN413" s="6"/>
      <c r="AO413" s="1"/>
      <c r="AP413" s="9"/>
      <c r="AQ413" s="2"/>
      <c r="AR413" s="3"/>
      <c r="AS413" s="10"/>
      <c r="AT413" s="1"/>
      <c r="AU413" s="1"/>
      <c r="AV413" s="1"/>
      <c r="AW413" s="1"/>
      <c r="AX413" s="1"/>
      <c r="AY413" s="1"/>
      <c r="AZ413" s="1"/>
      <c r="BA413" s="1"/>
      <c r="BB413" s="1"/>
      <c r="BC413" s="1"/>
      <c r="BD413" s="1"/>
      <c r="BE413" s="1"/>
      <c r="BF413" s="1"/>
      <c r="BG413" s="1"/>
      <c r="BH413" s="1"/>
    </row>
    <row x14ac:dyDescent="0.25" r="414" customHeight="1" ht="14.5">
      <c r="A414" s="1"/>
      <c r="B414" s="1"/>
      <c r="C414" s="1"/>
      <c r="D414" s="1"/>
      <c r="E414" s="2"/>
      <c r="F414" s="2"/>
      <c r="G414" s="90">
        <f>(S414&amp;RIGHT(R414,1))*1</f>
      </c>
      <c r="H414" s="1"/>
      <c r="I414" s="111"/>
      <c r="J414" s="126">
        <f>Planning!Q84</f>
      </c>
      <c r="K414" s="93">
        <f>VLOOKUP(J414,AA$23:AE$88,5,FALSE)</f>
      </c>
      <c r="L414" s="122">
        <f>Planning!Z84</f>
      </c>
      <c r="M414" s="95">
        <f>IF(Planning!AG84=0,0,IFERROR($AD84*AM$22,0))</f>
      </c>
      <c r="N414" s="171">
        <f>IF(Planning!AG84=0,0,IFERROR($AD84*AM$22*K414,0))</f>
      </c>
      <c r="O414" s="96">
        <f>IF(ISTEXT(Planning!Z84),0,AM84)</f>
      </c>
      <c r="P414" s="94">
        <f>Planning!AG84</f>
      </c>
      <c r="Q414" s="121">
        <f>Progress!AB84</f>
      </c>
      <c r="R414" s="95">
        <f>IF(Q414=0,0,IF(ISNUMBER(Q414),IF(S414&gt;=$G$21,$F$21,"Q11"),Q414))</f>
      </c>
      <c r="S414" s="122">
        <f>Progress!AC84</f>
      </c>
      <c r="T414" s="97"/>
      <c r="U414" s="96">
        <f>V414/$N$419</f>
      </c>
      <c r="V414" s="176">
        <f>IF(L414&lt;$E$20,0,IF(ISTEXT(L414),0,IF(AND(G414+1&gt;=$E$19+1,L414&gt;0),IF(ISNUMBER(Q414),Q414*$AD84*AM$22*K414,$AD84*AM$22*K414),0)))</f>
      </c>
      <c r="W414" s="95">
        <f>IF(AND(L414&gt;0,S414&gt;0),IF(ISNUMBER(Q414),Q414*$AD84*AM$22*K414,$AD84*AM$22*K414),0)</f>
      </c>
      <c r="X414" s="17"/>
      <c r="Y414" s="1"/>
      <c r="Z414" s="1"/>
      <c r="AA414" s="3"/>
      <c r="AB414" s="3"/>
      <c r="AC414" s="3"/>
      <c r="AD414" s="3"/>
      <c r="AE414" s="4"/>
      <c r="AF414" s="8"/>
      <c r="AG414" s="1"/>
      <c r="AH414" s="6"/>
      <c r="AI414" s="6"/>
      <c r="AJ414" s="6"/>
      <c r="AK414" s="6"/>
      <c r="AL414" s="6"/>
      <c r="AM414" s="6"/>
      <c r="AN414" s="6"/>
      <c r="AO414" s="1"/>
      <c r="AP414" s="9"/>
      <c r="AQ414" s="2"/>
      <c r="AR414" s="3"/>
      <c r="AS414" s="10"/>
      <c r="AT414" s="1"/>
      <c r="AU414" s="1"/>
      <c r="AV414" s="1"/>
      <c r="AW414" s="1"/>
      <c r="AX414" s="1"/>
      <c r="AY414" s="1"/>
      <c r="AZ414" s="1"/>
      <c r="BA414" s="1"/>
      <c r="BB414" s="1"/>
      <c r="BC414" s="1"/>
      <c r="BD414" s="1"/>
      <c r="BE414" s="1"/>
      <c r="BF414" s="1"/>
      <c r="BG414" s="1"/>
      <c r="BH414" s="1"/>
    </row>
    <row x14ac:dyDescent="0.25" r="415" customHeight="1" ht="14.5">
      <c r="A415" s="1"/>
      <c r="B415" s="1"/>
      <c r="C415" s="1"/>
      <c r="D415" s="1"/>
      <c r="E415" s="2"/>
      <c r="F415" s="2"/>
      <c r="G415" s="90">
        <f>(S415&amp;RIGHT(R415,1))*1</f>
      </c>
      <c r="H415" s="1"/>
      <c r="I415" s="111"/>
      <c r="J415" s="126">
        <f>Planning!Q85</f>
      </c>
      <c r="K415" s="93">
        <f>VLOOKUP(J415,AA$23:AE$88,5,FALSE)</f>
      </c>
      <c r="L415" s="122">
        <f>Planning!Z85</f>
      </c>
      <c r="M415" s="95">
        <f>IF(Planning!AG85=0,0,IFERROR($AD85*AM$22,0))</f>
      </c>
      <c r="N415" s="171">
        <f>IF(Planning!AG85=0,0,IFERROR($AD85*AM$22*K415,0))</f>
      </c>
      <c r="O415" s="96">
        <f>IF(ISTEXT(Planning!Z85),0,AM85)</f>
      </c>
      <c r="P415" s="94">
        <f>Planning!AG85</f>
      </c>
      <c r="Q415" s="121">
        <f>Progress!AB85</f>
      </c>
      <c r="R415" s="95">
        <f>IF(Q415=0,0,IF(ISNUMBER(Q415),IF(S415&gt;=$G$21,$F$21,"Q12"),Q415))</f>
      </c>
      <c r="S415" s="122">
        <f>Progress!AC85</f>
      </c>
      <c r="T415" s="97"/>
      <c r="U415" s="96">
        <f>V415/$N$419</f>
      </c>
      <c r="V415" s="176">
        <f>IF(L415&lt;$E$20,0,IF(ISTEXT(L415),0,IF(AND(G415+1&gt;=$E$19+1,L415&gt;0),IF(ISNUMBER(Q415),Q415*$AD85*AM$22*K415,$AD85*AM$22*K415),0)))</f>
      </c>
      <c r="W415" s="95">
        <f>IF(AND(L415&gt;0,S415&gt;0),IF(ISNUMBER(Q415),Q415*$AD85*AM$22*K415,$AD85*AM$22*K415),0)</f>
      </c>
      <c r="X415" s="17"/>
      <c r="Y415" s="1"/>
      <c r="Z415" s="1"/>
      <c r="AA415" s="3"/>
      <c r="AB415" s="3"/>
      <c r="AC415" s="3"/>
      <c r="AD415" s="3"/>
      <c r="AE415" s="4"/>
      <c r="AF415" s="8"/>
      <c r="AG415" s="1"/>
      <c r="AH415" s="6"/>
      <c r="AI415" s="6"/>
      <c r="AJ415" s="6"/>
      <c r="AK415" s="6"/>
      <c r="AL415" s="6"/>
      <c r="AM415" s="6"/>
      <c r="AN415" s="6"/>
      <c r="AO415" s="1"/>
      <c r="AP415" s="9"/>
      <c r="AQ415" s="2"/>
      <c r="AR415" s="3"/>
      <c r="AS415" s="10"/>
      <c r="AT415" s="1"/>
      <c r="AU415" s="1"/>
      <c r="AV415" s="1"/>
      <c r="AW415" s="1"/>
      <c r="AX415" s="1"/>
      <c r="AY415" s="1"/>
      <c r="AZ415" s="1"/>
      <c r="BA415" s="1"/>
      <c r="BB415" s="1"/>
      <c r="BC415" s="1"/>
      <c r="BD415" s="1"/>
      <c r="BE415" s="1"/>
      <c r="BF415" s="1"/>
      <c r="BG415" s="1"/>
      <c r="BH415" s="1"/>
    </row>
    <row x14ac:dyDescent="0.25" r="416" customHeight="1" ht="14.5">
      <c r="A416" s="1"/>
      <c r="B416" s="1"/>
      <c r="C416" s="1"/>
      <c r="D416" s="1"/>
      <c r="E416" s="2"/>
      <c r="F416" s="2"/>
      <c r="G416" s="90">
        <f>(S416&amp;RIGHT(R416,1))*1</f>
      </c>
      <c r="H416" s="1"/>
      <c r="I416" s="111"/>
      <c r="J416" s="126">
        <f>Planning!Q86</f>
      </c>
      <c r="K416" s="93">
        <f>VLOOKUP(J416,AA$23:AE$88,5,FALSE)</f>
      </c>
      <c r="L416" s="122">
        <f>Planning!Z86</f>
      </c>
      <c r="M416" s="95">
        <f>IF(Planning!AG86=0,0,IFERROR($AD86*AM$22,0))</f>
      </c>
      <c r="N416" s="171">
        <f>IF(Planning!AG86=0,0,IFERROR($AD86*AM$22*K416,0))</f>
      </c>
      <c r="O416" s="96">
        <f>IF(ISTEXT(Planning!Z86),0,AM86)</f>
      </c>
      <c r="P416" s="94">
        <f>Planning!AG86</f>
      </c>
      <c r="Q416" s="121">
        <f>Progress!AB86</f>
      </c>
      <c r="R416" s="95">
        <f>IF(Q416=0,0,IF(ISNUMBER(Q416),IF(S416&gt;=$G$21,$F$21,"Q13"),Q416))</f>
      </c>
      <c r="S416" s="122">
        <f>Progress!AC86</f>
      </c>
      <c r="T416" s="97"/>
      <c r="U416" s="96">
        <f>V416/$N$419</f>
      </c>
      <c r="V416" s="176">
        <f>IF(L416&lt;$E$20,0,IF(ISTEXT(L416),0,IF(AND(G416+1&gt;=$E$19+1,L416&gt;0),IF(ISNUMBER(Q416),Q416*$AD86*AM$22*K416,$AD86*AM$22*K416),0)))</f>
      </c>
      <c r="W416" s="95">
        <f>IF(AND(L416&gt;0,S416&gt;0),IF(ISNUMBER(Q416),Q416*$AD86*AM$22*K416,$AD86*AM$22*K416),0)</f>
      </c>
      <c r="X416" s="17"/>
      <c r="Y416" s="1"/>
      <c r="Z416" s="1"/>
      <c r="AA416" s="3"/>
      <c r="AB416" s="3"/>
      <c r="AC416" s="3"/>
      <c r="AD416" s="3"/>
      <c r="AE416" s="4"/>
      <c r="AF416" s="8"/>
      <c r="AG416" s="1"/>
      <c r="AH416" s="6"/>
      <c r="AI416" s="6"/>
      <c r="AJ416" s="6"/>
      <c r="AK416" s="6"/>
      <c r="AL416" s="6"/>
      <c r="AM416" s="6"/>
      <c r="AN416" s="6"/>
      <c r="AO416" s="1"/>
      <c r="AP416" s="9"/>
      <c r="AQ416" s="2"/>
      <c r="AR416" s="3"/>
      <c r="AS416" s="10"/>
      <c r="AT416" s="1"/>
      <c r="AU416" s="1"/>
      <c r="AV416" s="1"/>
      <c r="AW416" s="1"/>
      <c r="AX416" s="1"/>
      <c r="AY416" s="1"/>
      <c r="AZ416" s="1"/>
      <c r="BA416" s="1"/>
      <c r="BB416" s="1"/>
      <c r="BC416" s="1"/>
      <c r="BD416" s="1"/>
      <c r="BE416" s="1"/>
      <c r="BF416" s="1"/>
      <c r="BG416" s="1"/>
      <c r="BH416" s="1"/>
    </row>
    <row x14ac:dyDescent="0.25" r="417" customHeight="1" ht="14.5">
      <c r="A417" s="1"/>
      <c r="B417" s="1"/>
      <c r="C417" s="1"/>
      <c r="D417" s="1"/>
      <c r="E417" s="2"/>
      <c r="F417" s="2"/>
      <c r="G417" s="90">
        <f>(S417&amp;RIGHT(R417,1))*1</f>
      </c>
      <c r="H417" s="1"/>
      <c r="I417" s="111"/>
      <c r="J417" s="126">
        <f>Planning!Q87</f>
      </c>
      <c r="K417" s="93">
        <f>VLOOKUP(J417,AA$23:AE$88,5,FALSE)</f>
      </c>
      <c r="L417" s="122">
        <f>Planning!Z87</f>
      </c>
      <c r="M417" s="95">
        <f>IF(Planning!AG87=0,0,IFERROR($AD87*AM$22,0))</f>
      </c>
      <c r="N417" s="171">
        <f>IF(Planning!AG87=0,0,IFERROR($AD87*AM$22*K417,0))</f>
      </c>
      <c r="O417" s="96">
        <f>IF(ISTEXT(Planning!Z87),0,AM87)</f>
      </c>
      <c r="P417" s="94">
        <f>Planning!AG87</f>
      </c>
      <c r="Q417" s="121">
        <f>Progress!AB87</f>
      </c>
      <c r="R417" s="95">
        <f>IF(Q417=0,0,IF(ISNUMBER(Q417),IF(S417&gt;=$G$21,$F$21,"Q14"),Q417))</f>
      </c>
      <c r="S417" s="122">
        <f>Progress!AC87</f>
      </c>
      <c r="T417" s="97"/>
      <c r="U417" s="96">
        <f>V417/$N$419</f>
      </c>
      <c r="V417" s="176">
        <f>IF(L417&lt;$E$20,0,IF(ISTEXT(L417),0,IF(AND(G417+1&gt;=$E$19+1,L417&gt;0),IF(ISNUMBER(Q417),Q417*$AD87*AM$22*K417,$AD87*AM$22*K417),0)))</f>
      </c>
      <c r="W417" s="95">
        <f>IF(AND(L417&gt;0,S417&gt;0),IF(ISNUMBER(Q417),Q417*$AD87*AM$22*K417,$AD87*AM$22*K417),0)</f>
      </c>
      <c r="X417" s="17"/>
      <c r="Y417" s="1"/>
      <c r="Z417" s="1"/>
      <c r="AA417" s="3"/>
      <c r="AB417" s="3"/>
      <c r="AC417" s="3"/>
      <c r="AD417" s="3"/>
      <c r="AE417" s="4"/>
      <c r="AF417" s="8"/>
      <c r="AG417" s="1"/>
      <c r="AH417" s="6"/>
      <c r="AI417" s="6"/>
      <c r="AJ417" s="6"/>
      <c r="AK417" s="6"/>
      <c r="AL417" s="6"/>
      <c r="AM417" s="6"/>
      <c r="AN417" s="6"/>
      <c r="AO417" s="1"/>
      <c r="AP417" s="9"/>
      <c r="AQ417" s="2"/>
      <c r="AR417" s="3"/>
      <c r="AS417" s="10"/>
      <c r="AT417" s="1"/>
      <c r="AU417" s="1"/>
      <c r="AV417" s="1"/>
      <c r="AW417" s="1"/>
      <c r="AX417" s="1"/>
      <c r="AY417" s="1"/>
      <c r="AZ417" s="1"/>
      <c r="BA417" s="1"/>
      <c r="BB417" s="1"/>
      <c r="BC417" s="1"/>
      <c r="BD417" s="1"/>
      <c r="BE417" s="1"/>
      <c r="BF417" s="1"/>
      <c r="BG417" s="1"/>
      <c r="BH417" s="1"/>
    </row>
    <row x14ac:dyDescent="0.25" r="418" customHeight="1" ht="15">
      <c r="A418" s="1"/>
      <c r="B418" s="1"/>
      <c r="C418" s="1"/>
      <c r="D418" s="1"/>
      <c r="E418" s="2"/>
      <c r="F418" s="2"/>
      <c r="G418" s="90">
        <f>(S418&amp;RIGHT(R418,1))*1</f>
      </c>
      <c r="H418" s="1"/>
      <c r="I418" s="153"/>
      <c r="J418" s="154">
        <f>Planning!Q88</f>
      </c>
      <c r="K418" s="124">
        <f>VLOOKUP(J418,AA$23:AE$88,5,FALSE)</f>
      </c>
      <c r="L418" s="155">
        <f>Planning!Z88</f>
      </c>
      <c r="M418" s="156">
        <f>IF(Planning!AG88=0,0,IFERROR($AD88*AM$22,0))</f>
      </c>
      <c r="N418" s="157">
        <f>IF(Planning!AG88=0,0,IFERROR($AD88*AM$22*K418,0))</f>
      </c>
      <c r="O418" s="158">
        <f>IF(ISTEXT(Planning!Z88),0,AM88)</f>
      </c>
      <c r="P418" s="155">
        <f>Planning!AG88</f>
      </c>
      <c r="Q418" s="156">
        <f>Progress!AB88</f>
      </c>
      <c r="R418" s="156">
        <f>IF(Q418=0,0,IF(ISNUMBER(Q418),IF(S418&gt;=$G$21,$F$21,"Q15"),Q418))</f>
      </c>
      <c r="S418" s="155">
        <f>Progress!AC88</f>
      </c>
      <c r="T418" s="160"/>
      <c r="U418" s="158">
        <f>V418/$N$419</f>
      </c>
      <c r="V418" s="161">
        <f>IF(L418&lt;$E$20,0,IF(ISTEXT(L418),0,IF(AND(G418+1&gt;=$E$19+1,L418&gt;0),IF(ISNUMBER(Q418),Q418*$AD88*AM$22*K418,$AD88*AM$22*K418),0)))</f>
      </c>
      <c r="W418" s="156">
        <f>IF(AND(L418&gt;0,S418&gt;0),IF(ISNUMBER(Q418),Q418*$AD88*AM$22*K418,$AD88*AM$22*K418),0)</f>
      </c>
      <c r="X418" s="17"/>
      <c r="Y418" s="1"/>
      <c r="Z418" s="1"/>
      <c r="AA418" s="3"/>
      <c r="AB418" s="3"/>
      <c r="AC418" s="3"/>
      <c r="AD418" s="3"/>
      <c r="AE418" s="4"/>
      <c r="AF418" s="8"/>
      <c r="AG418" s="1"/>
      <c r="AH418" s="6"/>
      <c r="AI418" s="6"/>
      <c r="AJ418" s="6"/>
      <c r="AK418" s="6"/>
      <c r="AL418" s="6"/>
      <c r="AM418" s="6"/>
      <c r="AN418" s="6"/>
      <c r="AO418" s="1"/>
      <c r="AP418" s="9"/>
      <c r="AQ418" s="2"/>
      <c r="AR418" s="3"/>
      <c r="AS418" s="10"/>
      <c r="AT418" s="1"/>
      <c r="AU418" s="1"/>
      <c r="AV418" s="1"/>
      <c r="AW418" s="1"/>
      <c r="AX418" s="1"/>
      <c r="AY418" s="1"/>
      <c r="AZ418" s="1"/>
      <c r="BA418" s="1"/>
      <c r="BB418" s="1"/>
      <c r="BC418" s="1"/>
      <c r="BD418" s="1"/>
      <c r="BE418" s="1"/>
      <c r="BF418" s="1"/>
      <c r="BG418" s="1"/>
      <c r="BH418" s="1"/>
    </row>
    <row x14ac:dyDescent="0.25" r="419" customHeight="1" ht="17.25">
      <c r="A419" s="1"/>
      <c r="B419" s="1"/>
      <c r="C419" s="1"/>
      <c r="D419" s="1"/>
      <c r="E419" s="2"/>
      <c r="F419" s="2"/>
      <c r="G419" s="2"/>
      <c r="H419" s="1"/>
      <c r="I419" s="3"/>
      <c r="J419" s="2"/>
      <c r="K419" s="206"/>
      <c r="L419" s="2"/>
      <c r="M419" s="207">
        <f>SUM(M23:M418)</f>
      </c>
      <c r="N419" s="208">
        <f>IF(SUM(N23:N418)=0,0.00001,SUM(N23:N418))</f>
      </c>
      <c r="O419" s="6"/>
      <c r="P419" s="202">
        <f>SUM(P23:P418)</f>
      </c>
      <c r="Q419" s="7"/>
      <c r="R419" s="209"/>
      <c r="S419" s="2"/>
      <c r="T419" s="210"/>
      <c r="U419" s="211">
        <f>SUM(U23:U418)</f>
      </c>
      <c r="V419" s="202">
        <f>SUM(V23:V418)</f>
      </c>
      <c r="W419" s="202">
        <f>SUM(W23:W418)</f>
      </c>
      <c r="X419" s="17">
        <f>W419-V419</f>
      </c>
      <c r="Y419" s="1"/>
      <c r="Z419" s="1"/>
      <c r="AA419" s="3"/>
      <c r="AB419" s="3"/>
      <c r="AC419" s="3"/>
      <c r="AD419" s="3"/>
      <c r="AE419" s="4"/>
      <c r="AF419" s="8"/>
      <c r="AG419" s="1"/>
      <c r="AH419" s="6"/>
      <c r="AI419" s="6"/>
      <c r="AJ419" s="6"/>
      <c r="AK419" s="6"/>
      <c r="AL419" s="6"/>
      <c r="AM419" s="6"/>
      <c r="AN419" s="6"/>
      <c r="AO419" s="1"/>
      <c r="AP419" s="9"/>
      <c r="AQ419" s="2"/>
      <c r="AR419" s="3"/>
      <c r="AS419" s="10"/>
      <c r="AT419" s="1"/>
      <c r="AU419" s="1"/>
      <c r="AV419" s="1"/>
      <c r="AW419" s="1"/>
      <c r="AX419" s="1"/>
      <c r="AY419" s="1"/>
      <c r="AZ419" s="1"/>
      <c r="BA419" s="1"/>
      <c r="BB419" s="1"/>
      <c r="BC419" s="1"/>
      <c r="BD419" s="1"/>
      <c r="BE419" s="1"/>
      <c r="BF419" s="1"/>
      <c r="BG419" s="1"/>
      <c r="BH419" s="1"/>
    </row>
    <row x14ac:dyDescent="0.25" r="420" customHeight="1" ht="17.25">
      <c r="A420" s="1"/>
      <c r="B420" s="1"/>
      <c r="C420" s="1"/>
      <c r="D420" s="1"/>
      <c r="E420" s="2"/>
      <c r="F420" s="2"/>
      <c r="G420" s="2"/>
      <c r="H420" s="1"/>
      <c r="I420" s="3"/>
      <c r="J420" s="13" t="s">
        <v>186</v>
      </c>
      <c r="K420" s="212" t="s">
        <v>187</v>
      </c>
      <c r="L420" s="213"/>
      <c r="M420" s="5"/>
      <c r="N420" s="5"/>
      <c r="O420" s="6"/>
      <c r="P420" s="3"/>
      <c r="Q420" s="214"/>
      <c r="R420" s="7"/>
      <c r="S420" s="213"/>
      <c r="T420" s="1"/>
      <c r="U420" s="215"/>
      <c r="V420" s="3"/>
      <c r="W420" s="3"/>
      <c r="X420" s="17"/>
      <c r="Y420" s="1"/>
      <c r="Z420" s="1"/>
      <c r="AA420" s="3"/>
      <c r="AB420" s="3"/>
      <c r="AC420" s="3"/>
      <c r="AD420" s="3"/>
      <c r="AE420" s="4"/>
      <c r="AF420" s="8"/>
      <c r="AG420" s="1"/>
      <c r="AH420" s="6"/>
      <c r="AI420" s="6"/>
      <c r="AJ420" s="6"/>
      <c r="AK420" s="6"/>
      <c r="AL420" s="6"/>
      <c r="AM420" s="6"/>
      <c r="AN420" s="6"/>
      <c r="AO420" s="1"/>
      <c r="AP420" s="9"/>
      <c r="AQ420" s="2"/>
      <c r="AR420" s="3"/>
      <c r="AS420" s="10"/>
      <c r="AT420" s="1"/>
      <c r="AU420" s="1"/>
      <c r="AV420" s="1"/>
      <c r="AW420" s="1"/>
      <c r="AX420" s="1"/>
      <c r="AY420" s="1"/>
      <c r="AZ420" s="1"/>
      <c r="BA420" s="1"/>
      <c r="BB420" s="1"/>
      <c r="BC420" s="1"/>
      <c r="BD420" s="1"/>
      <c r="BE420" s="1"/>
      <c r="BF420" s="1"/>
      <c r="BG420" s="1"/>
      <c r="BH420" s="1"/>
    </row>
    <row x14ac:dyDescent="0.25" r="421" customHeight="1" ht="17.25">
      <c r="A421" s="1"/>
      <c r="B421" s="1"/>
      <c r="C421" s="1"/>
      <c r="D421" s="1"/>
      <c r="E421" s="2"/>
      <c r="F421" s="2"/>
      <c r="G421" s="2"/>
      <c r="H421" s="1"/>
      <c r="I421" s="3"/>
      <c r="J421" s="2"/>
      <c r="K421" s="4"/>
      <c r="L421" s="2"/>
      <c r="M421" s="5"/>
      <c r="N421" s="5"/>
      <c r="O421" s="6"/>
      <c r="P421" s="3"/>
      <c r="Q421" s="7"/>
      <c r="R421" s="7"/>
      <c r="S421" s="2"/>
      <c r="T421" s="1"/>
      <c r="U421" s="6"/>
      <c r="V421" s="3"/>
      <c r="W421" s="3"/>
      <c r="X421" s="17"/>
      <c r="Y421" s="1"/>
      <c r="Z421" s="1"/>
      <c r="AA421" s="3"/>
      <c r="AB421" s="3"/>
      <c r="AC421" s="3"/>
      <c r="AD421" s="3"/>
      <c r="AE421" s="4"/>
      <c r="AF421" s="8"/>
      <c r="AG421" s="1"/>
      <c r="AH421" s="6"/>
      <c r="AI421" s="6"/>
      <c r="AJ421" s="6"/>
      <c r="AK421" s="6"/>
      <c r="AL421" s="6"/>
      <c r="AM421" s="6"/>
      <c r="AN421" s="6"/>
      <c r="AO421" s="1"/>
      <c r="AP421" s="9"/>
      <c r="AQ421" s="2"/>
      <c r="AR421" s="3"/>
      <c r="AS421" s="10"/>
      <c r="AT421" s="1"/>
      <c r="AU421" s="1"/>
      <c r="AV421" s="1"/>
      <c r="AW421" s="1"/>
      <c r="AX421" s="1"/>
      <c r="AY421" s="1"/>
      <c r="AZ421" s="1"/>
      <c r="BA421" s="1"/>
      <c r="BB421" s="1"/>
      <c r="BC421" s="1"/>
      <c r="BD421" s="1"/>
      <c r="BE421" s="1"/>
      <c r="BF421" s="1"/>
      <c r="BG421" s="1"/>
      <c r="BH421" s="1"/>
    </row>
    <row x14ac:dyDescent="0.25" r="422" customHeight="1" ht="17.25">
      <c r="A422" s="1"/>
      <c r="B422" s="1"/>
      <c r="C422" s="1"/>
      <c r="D422" s="1"/>
      <c r="E422" s="2"/>
      <c r="F422" s="2"/>
      <c r="G422" s="2"/>
      <c r="H422" s="1"/>
      <c r="I422" s="3"/>
      <c r="J422" s="2"/>
      <c r="K422" s="4"/>
      <c r="L422" s="2"/>
      <c r="M422" s="5"/>
      <c r="N422" s="5"/>
      <c r="O422" s="6"/>
      <c r="P422" s="3"/>
      <c r="Q422" s="7"/>
      <c r="R422" s="7"/>
      <c r="S422" s="2"/>
      <c r="T422" s="1"/>
      <c r="U422" s="6"/>
      <c r="V422" s="3"/>
      <c r="W422" s="3"/>
      <c r="X422" s="17"/>
      <c r="Y422" s="1"/>
      <c r="Z422" s="1"/>
      <c r="AA422" s="3"/>
      <c r="AB422" s="3"/>
      <c r="AC422" s="3"/>
      <c r="AD422" s="3"/>
      <c r="AE422" s="4"/>
      <c r="AF422" s="8"/>
      <c r="AG422" s="1"/>
      <c r="AH422" s="6"/>
      <c r="AI422" s="6"/>
      <c r="AJ422" s="6"/>
      <c r="AK422" s="6"/>
      <c r="AL422" s="6"/>
      <c r="AM422" s="6"/>
      <c r="AN422" s="6"/>
      <c r="AO422" s="1"/>
      <c r="AP422" s="9"/>
      <c r="AQ422" s="2"/>
      <c r="AR422" s="3"/>
      <c r="AS422" s="10"/>
      <c r="AT422" s="1"/>
      <c r="AU422" s="1"/>
      <c r="AV422" s="1"/>
      <c r="AW422" s="1"/>
      <c r="AX422" s="1"/>
      <c r="AY422" s="1"/>
      <c r="AZ422" s="1"/>
      <c r="BA422" s="1"/>
      <c r="BB422" s="1"/>
      <c r="BC422" s="1"/>
      <c r="BD422" s="1"/>
      <c r="BE422" s="1"/>
      <c r="BF422" s="1"/>
      <c r="BG422" s="1"/>
      <c r="BH422" s="1"/>
    </row>
    <row x14ac:dyDescent="0.25" r="423" customHeight="1" ht="17.25">
      <c r="A423" s="1"/>
      <c r="B423" s="1"/>
      <c r="C423" s="1"/>
      <c r="D423" s="1"/>
      <c r="E423" s="2"/>
      <c r="F423" s="2"/>
      <c r="G423" s="2"/>
      <c r="H423" s="1"/>
      <c r="I423" s="3"/>
      <c r="J423" s="2"/>
      <c r="K423" s="4"/>
      <c r="L423" s="2"/>
      <c r="M423" s="5"/>
      <c r="N423" s="5"/>
      <c r="O423" s="6"/>
      <c r="P423" s="3"/>
      <c r="Q423" s="7"/>
      <c r="R423" s="7"/>
      <c r="S423" s="2"/>
      <c r="T423" s="1"/>
      <c r="U423" s="6"/>
      <c r="V423" s="3"/>
      <c r="W423" s="3"/>
      <c r="X423" s="17"/>
      <c r="Y423" s="1"/>
      <c r="Z423" s="1"/>
      <c r="AA423" s="3"/>
      <c r="AB423" s="3"/>
      <c r="AC423" s="3"/>
      <c r="AD423" s="3"/>
      <c r="AE423" s="4"/>
      <c r="AF423" s="8"/>
      <c r="AG423" s="1"/>
      <c r="AH423" s="6"/>
      <c r="AI423" s="6"/>
      <c r="AJ423" s="6"/>
      <c r="AK423" s="6"/>
      <c r="AL423" s="6"/>
      <c r="AM423" s="6"/>
      <c r="AN423" s="6"/>
      <c r="AO423" s="1"/>
      <c r="AP423" s="9"/>
      <c r="AQ423" s="2"/>
      <c r="AR423" s="3"/>
      <c r="AS423" s="10"/>
      <c r="AT423" s="1"/>
      <c r="AU423" s="1"/>
      <c r="AV423" s="1"/>
      <c r="AW423" s="1"/>
      <c r="AX423" s="1"/>
      <c r="AY423" s="1"/>
      <c r="AZ423" s="1"/>
      <c r="BA423" s="1"/>
      <c r="BB423" s="1"/>
      <c r="BC423" s="1"/>
      <c r="BD423" s="1"/>
      <c r="BE423" s="1"/>
      <c r="BF423" s="1"/>
      <c r="BG423" s="1"/>
      <c r="BH423" s="1"/>
    </row>
    <row x14ac:dyDescent="0.25" r="424" customHeight="1" ht="17.25">
      <c r="A424" s="1"/>
      <c r="B424" s="1"/>
      <c r="C424" s="1"/>
      <c r="D424" s="1"/>
      <c r="E424" s="2"/>
      <c r="F424" s="2"/>
      <c r="G424" s="2"/>
      <c r="H424" s="1"/>
      <c r="I424" s="3"/>
      <c r="J424" s="2"/>
      <c r="K424" s="4"/>
      <c r="L424" s="2"/>
      <c r="M424" s="5"/>
      <c r="N424" s="5"/>
      <c r="O424" s="6"/>
      <c r="P424" s="3"/>
      <c r="Q424" s="7"/>
      <c r="R424" s="7"/>
      <c r="S424" s="2"/>
      <c r="T424" s="1"/>
      <c r="U424" s="6"/>
      <c r="V424" s="3"/>
      <c r="W424" s="3"/>
      <c r="X424" s="17"/>
      <c r="Y424" s="1"/>
      <c r="Z424" s="1"/>
      <c r="AA424" s="3"/>
      <c r="AB424" s="3"/>
      <c r="AC424" s="3"/>
      <c r="AD424" s="3"/>
      <c r="AE424" s="4"/>
      <c r="AF424" s="8"/>
      <c r="AG424" s="1"/>
      <c r="AH424" s="6"/>
      <c r="AI424" s="6"/>
      <c r="AJ424" s="6"/>
      <c r="AK424" s="6"/>
      <c r="AL424" s="6"/>
      <c r="AM424" s="6"/>
      <c r="AN424" s="6"/>
      <c r="AO424" s="1"/>
      <c r="AP424" s="9"/>
      <c r="AQ424" s="2"/>
      <c r="AR424" s="3"/>
      <c r="AS424" s="10"/>
      <c r="AT424" s="1"/>
      <c r="AU424" s="1"/>
      <c r="AV424" s="1"/>
      <c r="AW424" s="1"/>
      <c r="AX424" s="1"/>
      <c r="AY424" s="1"/>
      <c r="AZ424" s="1"/>
      <c r="BA424" s="1"/>
      <c r="BB424" s="1"/>
      <c r="BC424" s="1"/>
      <c r="BD424" s="1"/>
      <c r="BE424" s="1"/>
      <c r="BF424" s="1"/>
      <c r="BG424" s="1"/>
      <c r="BH424" s="1"/>
    </row>
    <row x14ac:dyDescent="0.25" r="425" customHeight="1" ht="17.25">
      <c r="A425" s="1"/>
      <c r="B425" s="1"/>
      <c r="C425" s="1"/>
      <c r="D425" s="1"/>
      <c r="E425" s="2"/>
      <c r="F425" s="2"/>
      <c r="G425" s="2"/>
      <c r="H425" s="1"/>
      <c r="I425" s="3"/>
      <c r="J425" s="2"/>
      <c r="K425" s="4"/>
      <c r="L425" s="2"/>
      <c r="M425" s="5"/>
      <c r="N425" s="5"/>
      <c r="O425" s="6"/>
      <c r="P425" s="3"/>
      <c r="Q425" s="7"/>
      <c r="R425" s="7"/>
      <c r="S425" s="2"/>
      <c r="T425" s="1"/>
      <c r="U425" s="6"/>
      <c r="V425" s="3"/>
      <c r="W425" s="3"/>
      <c r="X425" s="17"/>
      <c r="Y425" s="1"/>
      <c r="Z425" s="1"/>
      <c r="AA425" s="3"/>
      <c r="AB425" s="3"/>
      <c r="AC425" s="3"/>
      <c r="AD425" s="3"/>
      <c r="AE425" s="4"/>
      <c r="AF425" s="8"/>
      <c r="AG425" s="1"/>
      <c r="AH425" s="6"/>
      <c r="AI425" s="6"/>
      <c r="AJ425" s="6"/>
      <c r="AK425" s="6"/>
      <c r="AL425" s="6"/>
      <c r="AM425" s="6"/>
      <c r="AN425" s="6"/>
      <c r="AO425" s="1"/>
      <c r="AP425" s="9"/>
      <c r="AQ425" s="2"/>
      <c r="AR425" s="3"/>
      <c r="AS425" s="10"/>
      <c r="AT425" s="1"/>
      <c r="AU425" s="1"/>
      <c r="AV425" s="1"/>
      <c r="AW425" s="1"/>
      <c r="AX425" s="1"/>
      <c r="AY425" s="1"/>
      <c r="AZ425" s="1"/>
      <c r="BA425" s="1"/>
      <c r="BB425" s="1"/>
      <c r="BC425" s="1"/>
      <c r="BD425" s="1"/>
      <c r="BE425" s="1"/>
      <c r="BF425" s="1"/>
      <c r="BG425" s="1"/>
      <c r="BH425" s="1"/>
    </row>
    <row x14ac:dyDescent="0.25" r="426" customHeight="1" ht="17.25">
      <c r="A426" s="1"/>
      <c r="B426" s="1"/>
      <c r="C426" s="1"/>
      <c r="D426" s="1"/>
      <c r="E426" s="2"/>
      <c r="F426" s="2"/>
      <c r="G426" s="2"/>
      <c r="H426" s="1"/>
      <c r="I426" s="3"/>
      <c r="J426" s="2"/>
      <c r="K426" s="4"/>
      <c r="L426" s="2"/>
      <c r="M426" s="5"/>
      <c r="N426" s="5"/>
      <c r="O426" s="6"/>
      <c r="P426" s="3"/>
      <c r="Q426" s="7"/>
      <c r="R426" s="7"/>
      <c r="S426" s="2"/>
      <c r="T426" s="1"/>
      <c r="U426" s="6"/>
      <c r="V426" s="3"/>
      <c r="W426" s="3"/>
      <c r="X426" s="17"/>
      <c r="Y426" s="1"/>
      <c r="Z426" s="1"/>
      <c r="AA426" s="3"/>
      <c r="AB426" s="3"/>
      <c r="AC426" s="3"/>
      <c r="AD426" s="3"/>
      <c r="AE426" s="4"/>
      <c r="AF426" s="8"/>
      <c r="AG426" s="1"/>
      <c r="AH426" s="6"/>
      <c r="AI426" s="6"/>
      <c r="AJ426" s="6"/>
      <c r="AK426" s="6"/>
      <c r="AL426" s="6"/>
      <c r="AM426" s="6"/>
      <c r="AN426" s="6"/>
      <c r="AO426" s="1"/>
      <c r="AP426" s="9"/>
      <c r="AQ426" s="2"/>
      <c r="AR426" s="3"/>
      <c r="AS426" s="10"/>
      <c r="AT426" s="1"/>
      <c r="AU426" s="1"/>
      <c r="AV426" s="1"/>
      <c r="AW426" s="1"/>
      <c r="AX426" s="1"/>
      <c r="AY426" s="1"/>
      <c r="AZ426" s="1"/>
      <c r="BA426" s="1"/>
      <c r="BB426" s="1"/>
      <c r="BC426" s="1"/>
      <c r="BD426" s="1"/>
      <c r="BE426" s="1"/>
      <c r="BF426" s="1"/>
      <c r="BG426" s="1"/>
      <c r="BH426" s="1"/>
    </row>
    <row x14ac:dyDescent="0.25" r="427" customHeight="1" ht="17.25">
      <c r="A427" s="1"/>
      <c r="B427" s="1"/>
      <c r="C427" s="1"/>
      <c r="D427" s="1"/>
      <c r="E427" s="2"/>
      <c r="F427" s="2"/>
      <c r="G427" s="2"/>
      <c r="H427" s="1"/>
      <c r="I427" s="3"/>
      <c r="J427" s="2"/>
      <c r="K427" s="4"/>
      <c r="L427" s="2"/>
      <c r="M427" s="5"/>
      <c r="N427" s="5"/>
      <c r="O427" s="6"/>
      <c r="P427" s="3"/>
      <c r="Q427" s="7"/>
      <c r="R427" s="7"/>
      <c r="S427" s="2"/>
      <c r="T427" s="1"/>
      <c r="U427" s="6"/>
      <c r="V427" s="3"/>
      <c r="W427" s="3"/>
      <c r="X427" s="17"/>
      <c r="Y427" s="1"/>
      <c r="Z427" s="1"/>
      <c r="AA427" s="3"/>
      <c r="AB427" s="3"/>
      <c r="AC427" s="3"/>
      <c r="AD427" s="3"/>
      <c r="AE427" s="4"/>
      <c r="AF427" s="8"/>
      <c r="AG427" s="1"/>
      <c r="AH427" s="6"/>
      <c r="AI427" s="6"/>
      <c r="AJ427" s="6"/>
      <c r="AK427" s="6"/>
      <c r="AL427" s="6"/>
      <c r="AM427" s="6"/>
      <c r="AN427" s="6"/>
      <c r="AO427" s="1"/>
      <c r="AP427" s="9"/>
      <c r="AQ427" s="2"/>
      <c r="AR427" s="3"/>
      <c r="AS427" s="10"/>
      <c r="AT427" s="1"/>
      <c r="AU427" s="1"/>
      <c r="AV427" s="1"/>
      <c r="AW427" s="1"/>
      <c r="AX427" s="1"/>
      <c r="AY427" s="1"/>
      <c r="AZ427" s="1"/>
      <c r="BA427" s="1"/>
      <c r="BB427" s="1"/>
      <c r="BC427" s="1"/>
      <c r="BD427" s="1"/>
      <c r="BE427" s="1"/>
      <c r="BF427" s="1"/>
      <c r="BG427" s="1"/>
      <c r="BH427" s="1"/>
    </row>
    <row x14ac:dyDescent="0.25" r="428" customHeight="1" ht="17.25">
      <c r="A428" s="1"/>
      <c r="B428" s="1"/>
      <c r="C428" s="1"/>
      <c r="D428" s="1"/>
      <c r="E428" s="2"/>
      <c r="F428" s="2"/>
      <c r="G428" s="2"/>
      <c r="H428" s="1"/>
      <c r="I428" s="3"/>
      <c r="J428" s="2"/>
      <c r="K428" s="4"/>
      <c r="L428" s="2"/>
      <c r="M428" s="5"/>
      <c r="N428" s="5"/>
      <c r="O428" s="6"/>
      <c r="P428" s="3"/>
      <c r="Q428" s="7"/>
      <c r="R428" s="7"/>
      <c r="S428" s="2"/>
      <c r="T428" s="1"/>
      <c r="U428" s="6"/>
      <c r="V428" s="3"/>
      <c r="W428" s="3"/>
      <c r="X428" s="17"/>
      <c r="Y428" s="1"/>
      <c r="Z428" s="1"/>
      <c r="AA428" s="3"/>
      <c r="AB428" s="3"/>
      <c r="AC428" s="3"/>
      <c r="AD428" s="3"/>
      <c r="AE428" s="4"/>
      <c r="AF428" s="8"/>
      <c r="AG428" s="1"/>
      <c r="AH428" s="6"/>
      <c r="AI428" s="6"/>
      <c r="AJ428" s="6"/>
      <c r="AK428" s="6"/>
      <c r="AL428" s="6"/>
      <c r="AM428" s="6"/>
      <c r="AN428" s="6"/>
      <c r="AO428" s="1"/>
      <c r="AP428" s="9"/>
      <c r="AQ428" s="2"/>
      <c r="AR428" s="3"/>
      <c r="AS428" s="10"/>
      <c r="AT428" s="1"/>
      <c r="AU428" s="1"/>
      <c r="AV428" s="1"/>
      <c r="AW428" s="1"/>
      <c r="AX428" s="1"/>
      <c r="AY428" s="1"/>
      <c r="AZ428" s="1"/>
      <c r="BA428" s="1"/>
      <c r="BB428" s="1"/>
      <c r="BC428" s="1"/>
      <c r="BD428" s="1"/>
      <c r="BE428" s="1"/>
      <c r="BF428" s="1"/>
      <c r="BG428" s="1"/>
      <c r="BH428" s="1"/>
    </row>
    <row x14ac:dyDescent="0.25" r="429" customHeight="1" ht="17.25">
      <c r="A429" s="1"/>
      <c r="B429" s="1"/>
      <c r="C429" s="1"/>
      <c r="D429" s="1"/>
      <c r="E429" s="2"/>
      <c r="F429" s="2"/>
      <c r="G429" s="2"/>
      <c r="H429" s="1"/>
      <c r="I429" s="3"/>
      <c r="J429" s="2"/>
      <c r="K429" s="4"/>
      <c r="L429" s="2"/>
      <c r="M429" s="5"/>
      <c r="N429" s="5"/>
      <c r="O429" s="6"/>
      <c r="P429" s="3"/>
      <c r="Q429" s="7"/>
      <c r="R429" s="7"/>
      <c r="S429" s="2"/>
      <c r="T429" s="1"/>
      <c r="U429" s="6"/>
      <c r="V429" s="3"/>
      <c r="W429" s="3"/>
      <c r="X429" s="17"/>
      <c r="Y429" s="1"/>
      <c r="Z429" s="1"/>
      <c r="AA429" s="3"/>
      <c r="AB429" s="3"/>
      <c r="AC429" s="3"/>
      <c r="AD429" s="3"/>
      <c r="AE429" s="4"/>
      <c r="AF429" s="8"/>
      <c r="AG429" s="1"/>
      <c r="AH429" s="6"/>
      <c r="AI429" s="6"/>
      <c r="AJ429" s="6"/>
      <c r="AK429" s="6"/>
      <c r="AL429" s="6"/>
      <c r="AM429" s="6"/>
      <c r="AN429" s="6"/>
      <c r="AO429" s="1"/>
      <c r="AP429" s="9"/>
      <c r="AQ429" s="2"/>
      <c r="AR429" s="3"/>
      <c r="AS429" s="10"/>
      <c r="AT429" s="1"/>
      <c r="AU429" s="1"/>
      <c r="AV429" s="1"/>
      <c r="AW429" s="1"/>
      <c r="AX429" s="1"/>
      <c r="AY429" s="1"/>
      <c r="AZ429" s="1"/>
      <c r="BA429" s="1"/>
      <c r="BB429" s="1"/>
      <c r="BC429" s="1"/>
      <c r="BD429" s="1"/>
      <c r="BE429" s="1"/>
      <c r="BF429" s="1"/>
      <c r="BG429" s="1"/>
      <c r="BH429" s="1"/>
    </row>
    <row x14ac:dyDescent="0.25" r="430" customHeight="1" ht="17.25">
      <c r="A430" s="1"/>
      <c r="B430" s="1"/>
      <c r="C430" s="1"/>
      <c r="D430" s="1"/>
      <c r="E430" s="2"/>
      <c r="F430" s="2"/>
      <c r="G430" s="2"/>
      <c r="H430" s="1"/>
      <c r="I430" s="3"/>
      <c r="J430" s="2"/>
      <c r="K430" s="4"/>
      <c r="L430" s="2"/>
      <c r="M430" s="5"/>
      <c r="N430" s="5"/>
      <c r="O430" s="6"/>
      <c r="P430" s="3"/>
      <c r="Q430" s="7"/>
      <c r="R430" s="7"/>
      <c r="S430" s="2"/>
      <c r="T430" s="1"/>
      <c r="U430" s="6"/>
      <c r="V430" s="3"/>
      <c r="W430" s="3"/>
      <c r="X430" s="17"/>
      <c r="Y430" s="1"/>
      <c r="Z430" s="1"/>
      <c r="AA430" s="3"/>
      <c r="AB430" s="3"/>
      <c r="AC430" s="3"/>
      <c r="AD430" s="3"/>
      <c r="AE430" s="4"/>
      <c r="AF430" s="8"/>
      <c r="AG430" s="1"/>
      <c r="AH430" s="6"/>
      <c r="AI430" s="6"/>
      <c r="AJ430" s="6"/>
      <c r="AK430" s="6"/>
      <c r="AL430" s="6"/>
      <c r="AM430" s="6"/>
      <c r="AN430" s="6"/>
      <c r="AO430" s="1"/>
      <c r="AP430" s="9"/>
      <c r="AQ430" s="2"/>
      <c r="AR430" s="3"/>
      <c r="AS430" s="10"/>
      <c r="AT430" s="1"/>
      <c r="AU430" s="1"/>
      <c r="AV430" s="1"/>
      <c r="AW430" s="1"/>
      <c r="AX430" s="1"/>
      <c r="AY430" s="1"/>
      <c r="AZ430" s="1"/>
      <c r="BA430" s="1"/>
      <c r="BB430" s="1"/>
      <c r="BC430" s="1"/>
      <c r="BD430" s="1"/>
      <c r="BE430" s="1"/>
      <c r="BF430" s="1"/>
      <c r="BG430" s="1"/>
      <c r="BH430" s="1"/>
    </row>
    <row x14ac:dyDescent="0.25" r="431" customHeight="1" ht="17.25">
      <c r="A431" s="1"/>
      <c r="B431" s="1"/>
      <c r="C431" s="1"/>
      <c r="D431" s="1"/>
      <c r="E431" s="2"/>
      <c r="F431" s="2"/>
      <c r="G431" s="2"/>
      <c r="H431" s="1"/>
      <c r="I431" s="3"/>
      <c r="J431" s="2"/>
      <c r="K431" s="4"/>
      <c r="L431" s="2"/>
      <c r="M431" s="5"/>
      <c r="N431" s="5"/>
      <c r="O431" s="6"/>
      <c r="P431" s="3"/>
      <c r="Q431" s="7"/>
      <c r="R431" s="7"/>
      <c r="S431" s="2"/>
      <c r="T431" s="1"/>
      <c r="U431" s="6"/>
      <c r="V431" s="3"/>
      <c r="W431" s="3"/>
      <c r="X431" s="17"/>
      <c r="Y431" s="1"/>
      <c r="Z431" s="1"/>
      <c r="AA431" s="3"/>
      <c r="AB431" s="3"/>
      <c r="AC431" s="3"/>
      <c r="AD431" s="3"/>
      <c r="AE431" s="4"/>
      <c r="AF431" s="8"/>
      <c r="AG431" s="1"/>
      <c r="AH431" s="6"/>
      <c r="AI431" s="6"/>
      <c r="AJ431" s="6"/>
      <c r="AK431" s="6"/>
      <c r="AL431" s="6"/>
      <c r="AM431" s="6"/>
      <c r="AN431" s="6"/>
      <c r="AO431" s="1"/>
      <c r="AP431" s="9"/>
      <c r="AQ431" s="2"/>
      <c r="AR431" s="3"/>
      <c r="AS431" s="10"/>
      <c r="AT431" s="1"/>
      <c r="AU431" s="1"/>
      <c r="AV431" s="1"/>
      <c r="AW431" s="1"/>
      <c r="AX431" s="1"/>
      <c r="AY431" s="1"/>
      <c r="AZ431" s="1"/>
      <c r="BA431" s="1"/>
      <c r="BB431" s="1"/>
      <c r="BC431" s="1"/>
      <c r="BD431" s="1"/>
      <c r="BE431" s="1"/>
      <c r="BF431" s="1"/>
      <c r="BG431" s="1"/>
      <c r="BH431" s="1"/>
    </row>
    <row x14ac:dyDescent="0.25" r="432" customHeight="1" ht="17.25">
      <c r="A432" s="1"/>
      <c r="B432" s="1"/>
      <c r="C432" s="1"/>
      <c r="D432" s="1"/>
      <c r="E432" s="2"/>
      <c r="F432" s="2"/>
      <c r="G432" s="2"/>
      <c r="H432" s="1"/>
      <c r="I432" s="3"/>
      <c r="J432" s="2"/>
      <c r="K432" s="4"/>
      <c r="L432" s="2"/>
      <c r="M432" s="5"/>
      <c r="N432" s="5"/>
      <c r="O432" s="6"/>
      <c r="P432" s="3"/>
      <c r="Q432" s="7"/>
      <c r="R432" s="7"/>
      <c r="S432" s="2"/>
      <c r="T432" s="1"/>
      <c r="U432" s="6"/>
      <c r="V432" s="3"/>
      <c r="W432" s="3"/>
      <c r="X432" s="17"/>
      <c r="Y432" s="1"/>
      <c r="Z432" s="1"/>
      <c r="AA432" s="3"/>
      <c r="AB432" s="3"/>
      <c r="AC432" s="3"/>
      <c r="AD432" s="3"/>
      <c r="AE432" s="4"/>
      <c r="AF432" s="8"/>
      <c r="AG432" s="1"/>
      <c r="AH432" s="6"/>
      <c r="AI432" s="6"/>
      <c r="AJ432" s="6"/>
      <c r="AK432" s="6"/>
      <c r="AL432" s="6"/>
      <c r="AM432" s="6"/>
      <c r="AN432" s="6"/>
      <c r="AO432" s="1"/>
      <c r="AP432" s="9"/>
      <c r="AQ432" s="2"/>
      <c r="AR432" s="3"/>
      <c r="AS432" s="10"/>
      <c r="AT432" s="1"/>
      <c r="AU432" s="1"/>
      <c r="AV432" s="1"/>
      <c r="AW432" s="1"/>
      <c r="AX432" s="1"/>
      <c r="AY432" s="1"/>
      <c r="AZ432" s="1"/>
      <c r="BA432" s="1"/>
      <c r="BB432" s="1"/>
      <c r="BC432" s="1"/>
      <c r="BD432" s="1"/>
      <c r="BE432" s="1"/>
      <c r="BF432" s="1"/>
      <c r="BG432" s="1"/>
      <c r="BH432" s="1"/>
    </row>
    <row x14ac:dyDescent="0.25" r="433" customHeight="1" ht="17.25">
      <c r="A433" s="1"/>
      <c r="B433" s="1"/>
      <c r="C433" s="1"/>
      <c r="D433" s="1"/>
      <c r="E433" s="2"/>
      <c r="F433" s="2"/>
      <c r="G433" s="2"/>
      <c r="H433" s="1"/>
      <c r="I433" s="3"/>
      <c r="J433" s="2"/>
      <c r="K433" s="4"/>
      <c r="L433" s="2"/>
      <c r="M433" s="5"/>
      <c r="N433" s="5"/>
      <c r="O433" s="6"/>
      <c r="P433" s="3"/>
      <c r="Q433" s="7"/>
      <c r="R433" s="7"/>
      <c r="S433" s="2"/>
      <c r="T433" s="1"/>
      <c r="U433" s="6"/>
      <c r="V433" s="3"/>
      <c r="W433" s="3"/>
      <c r="X433" s="17"/>
      <c r="Y433" s="1"/>
      <c r="Z433" s="1"/>
      <c r="AA433" s="3"/>
      <c r="AB433" s="3"/>
      <c r="AC433" s="3"/>
      <c r="AD433" s="3"/>
      <c r="AE433" s="4"/>
      <c r="AF433" s="8"/>
      <c r="AG433" s="1"/>
      <c r="AH433" s="6"/>
      <c r="AI433" s="6"/>
      <c r="AJ433" s="6"/>
      <c r="AK433" s="6"/>
      <c r="AL433" s="6"/>
      <c r="AM433" s="6"/>
      <c r="AN433" s="6"/>
      <c r="AO433" s="1"/>
      <c r="AP433" s="9"/>
      <c r="AQ433" s="2"/>
      <c r="AR433" s="3"/>
      <c r="AS433" s="10"/>
      <c r="AT433" s="1"/>
      <c r="AU433" s="1"/>
      <c r="AV433" s="1"/>
      <c r="AW433" s="1"/>
      <c r="AX433" s="1"/>
      <c r="AY433" s="1"/>
      <c r="AZ433" s="1"/>
      <c r="BA433" s="1"/>
      <c r="BB433" s="1"/>
      <c r="BC433" s="1"/>
      <c r="BD433" s="1"/>
      <c r="BE433" s="1"/>
      <c r="BF433" s="1"/>
      <c r="BG433" s="1"/>
      <c r="BH433" s="1"/>
    </row>
    <row x14ac:dyDescent="0.25" r="434" customHeight="1" ht="17.25">
      <c r="A434" s="1"/>
      <c r="B434" s="1"/>
      <c r="C434" s="1"/>
      <c r="D434" s="1"/>
      <c r="E434" s="2"/>
      <c r="F434" s="2"/>
      <c r="G434" s="2"/>
      <c r="H434" s="1"/>
      <c r="I434" s="3"/>
      <c r="J434" s="2"/>
      <c r="K434" s="4"/>
      <c r="L434" s="2"/>
      <c r="M434" s="5"/>
      <c r="N434" s="5"/>
      <c r="O434" s="6"/>
      <c r="P434" s="3"/>
      <c r="Q434" s="7"/>
      <c r="R434" s="7"/>
      <c r="S434" s="2"/>
      <c r="T434" s="1"/>
      <c r="U434" s="6"/>
      <c r="V434" s="3"/>
      <c r="W434" s="3"/>
      <c r="X434" s="17"/>
      <c r="Y434" s="1"/>
      <c r="Z434" s="1"/>
      <c r="AA434" s="3"/>
      <c r="AB434" s="3"/>
      <c r="AC434" s="3"/>
      <c r="AD434" s="3"/>
      <c r="AE434" s="4"/>
      <c r="AF434" s="8"/>
      <c r="AG434" s="1"/>
      <c r="AH434" s="6"/>
      <c r="AI434" s="6"/>
      <c r="AJ434" s="6"/>
      <c r="AK434" s="6"/>
      <c r="AL434" s="6"/>
      <c r="AM434" s="6"/>
      <c r="AN434" s="6"/>
      <c r="AO434" s="1"/>
      <c r="AP434" s="9"/>
      <c r="AQ434" s="2"/>
      <c r="AR434" s="3"/>
      <c r="AS434" s="10"/>
      <c r="AT434" s="1"/>
      <c r="AU434" s="1"/>
      <c r="AV434" s="1"/>
      <c r="AW434" s="1"/>
      <c r="AX434" s="1"/>
      <c r="AY434" s="1"/>
      <c r="AZ434" s="1"/>
      <c r="BA434" s="1"/>
      <c r="BB434" s="1"/>
      <c r="BC434" s="1"/>
      <c r="BD434" s="1"/>
      <c r="BE434" s="1"/>
      <c r="BF434" s="1"/>
      <c r="BG434" s="1"/>
      <c r="BH434" s="1"/>
    </row>
    <row x14ac:dyDescent="0.25" r="435" customHeight="1" ht="17.25">
      <c r="A435" s="1"/>
      <c r="B435" s="1"/>
      <c r="C435" s="1"/>
      <c r="D435" s="1"/>
      <c r="E435" s="2"/>
      <c r="F435" s="2"/>
      <c r="G435" s="2"/>
      <c r="H435" s="1"/>
      <c r="I435" s="3"/>
      <c r="J435" s="2"/>
      <c r="K435" s="4"/>
      <c r="L435" s="2"/>
      <c r="M435" s="5"/>
      <c r="N435" s="5"/>
      <c r="O435" s="6"/>
      <c r="P435" s="3"/>
      <c r="Q435" s="7"/>
      <c r="R435" s="7"/>
      <c r="S435" s="2"/>
      <c r="T435" s="1"/>
      <c r="U435" s="6"/>
      <c r="V435" s="3"/>
      <c r="W435" s="3"/>
      <c r="X435" s="17"/>
      <c r="Y435" s="1"/>
      <c r="Z435" s="1"/>
      <c r="AA435" s="3"/>
      <c r="AB435" s="3"/>
      <c r="AC435" s="3"/>
      <c r="AD435" s="3"/>
      <c r="AE435" s="4"/>
      <c r="AF435" s="8"/>
      <c r="AG435" s="1"/>
      <c r="AH435" s="6"/>
      <c r="AI435" s="6"/>
      <c r="AJ435" s="6"/>
      <c r="AK435" s="6"/>
      <c r="AL435" s="6"/>
      <c r="AM435" s="6"/>
      <c r="AN435" s="6"/>
      <c r="AO435" s="1"/>
      <c r="AP435" s="9"/>
      <c r="AQ435" s="2"/>
      <c r="AR435" s="3"/>
      <c r="AS435" s="10"/>
      <c r="AT435" s="1"/>
      <c r="AU435" s="1"/>
      <c r="AV435" s="1"/>
      <c r="AW435" s="1"/>
      <c r="AX435" s="1"/>
      <c r="AY435" s="1"/>
      <c r="AZ435" s="1"/>
      <c r="BA435" s="1"/>
      <c r="BB435" s="1"/>
      <c r="BC435" s="1"/>
      <c r="BD435" s="1"/>
      <c r="BE435" s="1"/>
      <c r="BF435" s="1"/>
      <c r="BG435" s="1"/>
      <c r="BH435" s="1"/>
    </row>
    <row x14ac:dyDescent="0.25" r="436" customHeight="1" ht="17.25">
      <c r="A436" s="1"/>
      <c r="B436" s="1"/>
      <c r="C436" s="1"/>
      <c r="D436" s="1"/>
      <c r="E436" s="2"/>
      <c r="F436" s="2"/>
      <c r="G436" s="2"/>
      <c r="H436" s="1"/>
      <c r="I436" s="3"/>
      <c r="J436" s="2"/>
      <c r="K436" s="4"/>
      <c r="L436" s="2"/>
      <c r="M436" s="5"/>
      <c r="N436" s="5"/>
      <c r="O436" s="6"/>
      <c r="P436" s="3"/>
      <c r="Q436" s="7"/>
      <c r="R436" s="7"/>
      <c r="S436" s="2"/>
      <c r="T436" s="1"/>
      <c r="U436" s="6"/>
      <c r="V436" s="3"/>
      <c r="W436" s="3"/>
      <c r="X436" s="17"/>
      <c r="Y436" s="1"/>
      <c r="Z436" s="1"/>
      <c r="AA436" s="3"/>
      <c r="AB436" s="3"/>
      <c r="AC436" s="3"/>
      <c r="AD436" s="3"/>
      <c r="AE436" s="4"/>
      <c r="AF436" s="8"/>
      <c r="AG436" s="1"/>
      <c r="AH436" s="6"/>
      <c r="AI436" s="6"/>
      <c r="AJ436" s="6"/>
      <c r="AK436" s="6"/>
      <c r="AL436" s="6"/>
      <c r="AM436" s="6"/>
      <c r="AN436" s="6"/>
      <c r="AO436" s="1"/>
      <c r="AP436" s="9"/>
      <c r="AQ436" s="2"/>
      <c r="AR436" s="3"/>
      <c r="AS436" s="10"/>
      <c r="AT436" s="1"/>
      <c r="AU436" s="1"/>
      <c r="AV436" s="1"/>
      <c r="AW436" s="1"/>
      <c r="AX436" s="1"/>
      <c r="AY436" s="1"/>
      <c r="AZ436" s="1"/>
      <c r="BA436" s="1"/>
      <c r="BB436" s="1"/>
      <c r="BC436" s="1"/>
      <c r="BD436" s="1"/>
      <c r="BE436" s="1"/>
      <c r="BF436" s="1"/>
      <c r="BG436" s="1"/>
      <c r="BH436" s="1"/>
    </row>
    <row x14ac:dyDescent="0.25" r="437" customHeight="1" ht="17.25">
      <c r="A437" s="1"/>
      <c r="B437" s="1"/>
      <c r="C437" s="1"/>
      <c r="D437" s="1"/>
      <c r="E437" s="2"/>
      <c r="F437" s="2"/>
      <c r="G437" s="2"/>
      <c r="H437" s="1"/>
      <c r="I437" s="3"/>
      <c r="J437" s="2"/>
      <c r="K437" s="4"/>
      <c r="L437" s="2"/>
      <c r="M437" s="5"/>
      <c r="N437" s="5"/>
      <c r="O437" s="6"/>
      <c r="P437" s="3"/>
      <c r="Q437" s="7"/>
      <c r="R437" s="7"/>
      <c r="S437" s="2"/>
      <c r="T437" s="1"/>
      <c r="U437" s="6"/>
      <c r="V437" s="3"/>
      <c r="W437" s="3"/>
      <c r="X437" s="17"/>
      <c r="Y437" s="1"/>
      <c r="Z437" s="1"/>
      <c r="AA437" s="3"/>
      <c r="AB437" s="3"/>
      <c r="AC437" s="3"/>
      <c r="AD437" s="3"/>
      <c r="AE437" s="4"/>
      <c r="AF437" s="8"/>
      <c r="AG437" s="1"/>
      <c r="AH437" s="6"/>
      <c r="AI437" s="6"/>
      <c r="AJ437" s="6"/>
      <c r="AK437" s="6"/>
      <c r="AL437" s="6"/>
      <c r="AM437" s="6"/>
      <c r="AN437" s="6"/>
      <c r="AO437" s="1"/>
      <c r="AP437" s="9"/>
      <c r="AQ437" s="2"/>
      <c r="AR437" s="3"/>
      <c r="AS437" s="10"/>
      <c r="AT437" s="1"/>
      <c r="AU437" s="1"/>
      <c r="AV437" s="1"/>
      <c r="AW437" s="1"/>
      <c r="AX437" s="1"/>
      <c r="AY437" s="1"/>
      <c r="AZ437" s="1"/>
      <c r="BA437" s="1"/>
      <c r="BB437" s="1"/>
      <c r="BC437" s="1"/>
      <c r="BD437" s="1"/>
      <c r="BE437" s="1"/>
      <c r="BF437" s="1"/>
      <c r="BG437" s="1"/>
      <c r="BH437" s="1"/>
    </row>
    <row x14ac:dyDescent="0.25" r="438" customHeight="1" ht="17.25">
      <c r="A438" s="1"/>
      <c r="B438" s="1"/>
      <c r="C438" s="1"/>
      <c r="D438" s="1"/>
      <c r="E438" s="2"/>
      <c r="F438" s="2"/>
      <c r="G438" s="2"/>
      <c r="H438" s="1"/>
      <c r="I438" s="3"/>
      <c r="J438" s="2"/>
      <c r="K438" s="4"/>
      <c r="L438" s="2"/>
      <c r="M438" s="5"/>
      <c r="N438" s="5"/>
      <c r="O438" s="6"/>
      <c r="P438" s="3"/>
      <c r="Q438" s="7"/>
      <c r="R438" s="7"/>
      <c r="S438" s="2"/>
      <c r="T438" s="1"/>
      <c r="U438" s="6"/>
      <c r="V438" s="3"/>
      <c r="W438" s="3"/>
      <c r="X438" s="17"/>
      <c r="Y438" s="1"/>
      <c r="Z438" s="1"/>
      <c r="AA438" s="3"/>
      <c r="AB438" s="3"/>
      <c r="AC438" s="3"/>
      <c r="AD438" s="3"/>
      <c r="AE438" s="4"/>
      <c r="AF438" s="8"/>
      <c r="AG438" s="1"/>
      <c r="AH438" s="6"/>
      <c r="AI438" s="6"/>
      <c r="AJ438" s="6"/>
      <c r="AK438" s="6"/>
      <c r="AL438" s="6"/>
      <c r="AM438" s="6"/>
      <c r="AN438" s="6"/>
      <c r="AO438" s="1"/>
      <c r="AP438" s="9"/>
      <c r="AQ438" s="2"/>
      <c r="AR438" s="3"/>
      <c r="AS438" s="10"/>
      <c r="AT438" s="1"/>
      <c r="AU438" s="1"/>
      <c r="AV438" s="1"/>
      <c r="AW438" s="1"/>
      <c r="AX438" s="1"/>
      <c r="AY438" s="1"/>
      <c r="AZ438" s="1"/>
      <c r="BA438" s="1"/>
      <c r="BB438" s="1"/>
      <c r="BC438" s="1"/>
      <c r="BD438" s="1"/>
      <c r="BE438" s="1"/>
      <c r="BF438" s="1"/>
      <c r="BG438" s="1"/>
      <c r="BH438" s="1"/>
    </row>
    <row x14ac:dyDescent="0.25" r="439" customHeight="1" ht="17.25">
      <c r="A439" s="1"/>
      <c r="B439" s="1"/>
      <c r="C439" s="1"/>
      <c r="D439" s="1"/>
      <c r="E439" s="2"/>
      <c r="F439" s="2"/>
      <c r="G439" s="2"/>
      <c r="H439" s="1"/>
      <c r="I439" s="3"/>
      <c r="J439" s="2"/>
      <c r="K439" s="4"/>
      <c r="L439" s="2"/>
      <c r="M439" s="5"/>
      <c r="N439" s="5"/>
      <c r="O439" s="6"/>
      <c r="P439" s="3"/>
      <c r="Q439" s="7"/>
      <c r="R439" s="7"/>
      <c r="S439" s="2"/>
      <c r="T439" s="1"/>
      <c r="U439" s="6"/>
      <c r="V439" s="3"/>
      <c r="W439" s="3"/>
      <c r="X439" s="17"/>
      <c r="Y439" s="1"/>
      <c r="Z439" s="1"/>
      <c r="AA439" s="3"/>
      <c r="AB439" s="3"/>
      <c r="AC439" s="3"/>
      <c r="AD439" s="3"/>
      <c r="AE439" s="4"/>
      <c r="AF439" s="8"/>
      <c r="AG439" s="1"/>
      <c r="AH439" s="6"/>
      <c r="AI439" s="6"/>
      <c r="AJ439" s="6"/>
      <c r="AK439" s="6"/>
      <c r="AL439" s="6"/>
      <c r="AM439" s="6"/>
      <c r="AN439" s="6"/>
      <c r="AO439" s="1"/>
      <c r="AP439" s="9"/>
      <c r="AQ439" s="2"/>
      <c r="AR439" s="3"/>
      <c r="AS439" s="10"/>
      <c r="AT439" s="1"/>
      <c r="AU439" s="1"/>
      <c r="AV439" s="1"/>
      <c r="AW439" s="1"/>
      <c r="AX439" s="1"/>
      <c r="AY439" s="1"/>
      <c r="AZ439" s="1"/>
      <c r="BA439" s="1"/>
      <c r="BB439" s="1"/>
      <c r="BC439" s="1"/>
      <c r="BD439" s="1"/>
      <c r="BE439" s="1"/>
      <c r="BF439" s="1"/>
      <c r="BG439" s="1"/>
      <c r="BH439" s="1"/>
    </row>
    <row x14ac:dyDescent="0.25" r="440" customHeight="1" ht="17.25">
      <c r="A440" s="1"/>
      <c r="B440" s="1"/>
      <c r="C440" s="1"/>
      <c r="D440" s="1"/>
      <c r="E440" s="2"/>
      <c r="F440" s="2"/>
      <c r="G440" s="2"/>
      <c r="H440" s="1"/>
      <c r="I440" s="3"/>
      <c r="J440" s="2"/>
      <c r="K440" s="4"/>
      <c r="L440" s="2"/>
      <c r="M440" s="5"/>
      <c r="N440" s="5"/>
      <c r="O440" s="6"/>
      <c r="P440" s="3"/>
      <c r="Q440" s="7"/>
      <c r="R440" s="7"/>
      <c r="S440" s="2"/>
      <c r="T440" s="1"/>
      <c r="U440" s="6"/>
      <c r="V440" s="3"/>
      <c r="W440" s="3"/>
      <c r="X440" s="17"/>
      <c r="Y440" s="1"/>
      <c r="Z440" s="1"/>
      <c r="AA440" s="3"/>
      <c r="AB440" s="3"/>
      <c r="AC440" s="3"/>
      <c r="AD440" s="3"/>
      <c r="AE440" s="4"/>
      <c r="AF440" s="8"/>
      <c r="AG440" s="1"/>
      <c r="AH440" s="6"/>
      <c r="AI440" s="6"/>
      <c r="AJ440" s="6"/>
      <c r="AK440" s="6"/>
      <c r="AL440" s="6"/>
      <c r="AM440" s="6"/>
      <c r="AN440" s="6"/>
      <c r="AO440" s="1"/>
      <c r="AP440" s="9"/>
      <c r="AQ440" s="2"/>
      <c r="AR440" s="3"/>
      <c r="AS440" s="10"/>
      <c r="AT440" s="1"/>
      <c r="AU440" s="1"/>
      <c r="AV440" s="1"/>
      <c r="AW440" s="1"/>
      <c r="AX440" s="1"/>
      <c r="AY440" s="1"/>
      <c r="AZ440" s="1"/>
      <c r="BA440" s="1"/>
      <c r="BB440" s="1"/>
      <c r="BC440" s="1"/>
      <c r="BD440" s="1"/>
      <c r="BE440" s="1"/>
      <c r="BF440" s="1"/>
      <c r="BG440" s="1"/>
      <c r="BH440" s="1"/>
    </row>
    <row x14ac:dyDescent="0.25" r="441" customHeight="1" ht="17.25">
      <c r="A441" s="1"/>
      <c r="B441" s="1"/>
      <c r="C441" s="1"/>
      <c r="D441" s="1"/>
      <c r="E441" s="2"/>
      <c r="F441" s="2"/>
      <c r="G441" s="2"/>
      <c r="H441" s="1"/>
      <c r="I441" s="3"/>
      <c r="J441" s="2"/>
      <c r="K441" s="4"/>
      <c r="L441" s="2"/>
      <c r="M441" s="5"/>
      <c r="N441" s="5"/>
      <c r="O441" s="6"/>
      <c r="P441" s="3"/>
      <c r="Q441" s="7"/>
      <c r="R441" s="7"/>
      <c r="S441" s="2"/>
      <c r="T441" s="1"/>
      <c r="U441" s="6"/>
      <c r="V441" s="3"/>
      <c r="W441" s="3"/>
      <c r="X441" s="17"/>
      <c r="Y441" s="1"/>
      <c r="Z441" s="1"/>
      <c r="AA441" s="3"/>
      <c r="AB441" s="3"/>
      <c r="AC441" s="3"/>
      <c r="AD441" s="3"/>
      <c r="AE441" s="4"/>
      <c r="AF441" s="8"/>
      <c r="AG441" s="1"/>
      <c r="AH441" s="6"/>
      <c r="AI441" s="6"/>
      <c r="AJ441" s="6"/>
      <c r="AK441" s="6"/>
      <c r="AL441" s="6"/>
      <c r="AM441" s="6"/>
      <c r="AN441" s="6"/>
      <c r="AO441" s="1"/>
      <c r="AP441" s="9"/>
      <c r="AQ441" s="2"/>
      <c r="AR441" s="3"/>
      <c r="AS441" s="10"/>
      <c r="AT441" s="1"/>
      <c r="AU441" s="1"/>
      <c r="AV441" s="1"/>
      <c r="AW441" s="1"/>
      <c r="AX441" s="1"/>
      <c r="AY441" s="1"/>
      <c r="AZ441" s="1"/>
      <c r="BA441" s="1"/>
      <c r="BB441" s="1"/>
      <c r="BC441" s="1"/>
      <c r="BD441" s="1"/>
      <c r="BE441" s="1"/>
      <c r="BF441" s="1"/>
      <c r="BG441" s="1"/>
      <c r="BH441" s="1"/>
    </row>
    <row x14ac:dyDescent="0.25" r="442" customHeight="1" ht="17.25">
      <c r="A442" s="1"/>
      <c r="B442" s="1"/>
      <c r="C442" s="1"/>
      <c r="D442" s="1"/>
      <c r="E442" s="2"/>
      <c r="F442" s="2"/>
      <c r="G442" s="2"/>
      <c r="H442" s="1"/>
      <c r="I442" s="3"/>
      <c r="J442" s="2"/>
      <c r="K442" s="4"/>
      <c r="L442" s="2"/>
      <c r="M442" s="5"/>
      <c r="N442" s="5"/>
      <c r="O442" s="6"/>
      <c r="P442" s="3"/>
      <c r="Q442" s="7"/>
      <c r="R442" s="7"/>
      <c r="S442" s="2"/>
      <c r="T442" s="1"/>
      <c r="U442" s="6"/>
      <c r="V442" s="3"/>
      <c r="W442" s="3"/>
      <c r="X442" s="17"/>
      <c r="Y442" s="1"/>
      <c r="Z442" s="1"/>
      <c r="AA442" s="3"/>
      <c r="AB442" s="3"/>
      <c r="AC442" s="3"/>
      <c r="AD442" s="3"/>
      <c r="AE442" s="4"/>
      <c r="AF442" s="8"/>
      <c r="AG442" s="1"/>
      <c r="AH442" s="6"/>
      <c r="AI442" s="6"/>
      <c r="AJ442" s="6"/>
      <c r="AK442" s="6"/>
      <c r="AL442" s="6"/>
      <c r="AM442" s="6"/>
      <c r="AN442" s="6"/>
      <c r="AO442" s="1"/>
      <c r="AP442" s="9"/>
      <c r="AQ442" s="2"/>
      <c r="AR442" s="3"/>
      <c r="AS442" s="10"/>
      <c r="AT442" s="1"/>
      <c r="AU442" s="1"/>
      <c r="AV442" s="1"/>
      <c r="AW442" s="1"/>
      <c r="AX442" s="1"/>
      <c r="AY442" s="1"/>
      <c r="AZ442" s="1"/>
      <c r="BA442" s="1"/>
      <c r="BB442" s="1"/>
      <c r="BC442" s="1"/>
      <c r="BD442" s="1"/>
      <c r="BE442" s="1"/>
      <c r="BF442" s="1"/>
      <c r="BG442" s="1"/>
      <c r="BH442" s="1"/>
    </row>
    <row x14ac:dyDescent="0.25" r="443" customHeight="1" ht="17.25">
      <c r="A443" s="1"/>
      <c r="B443" s="1"/>
      <c r="C443" s="1"/>
      <c r="D443" s="1"/>
      <c r="E443" s="2"/>
      <c r="F443" s="2"/>
      <c r="G443" s="2"/>
      <c r="H443" s="1"/>
      <c r="I443" s="3"/>
      <c r="J443" s="2"/>
      <c r="K443" s="4"/>
      <c r="L443" s="2"/>
      <c r="M443" s="5"/>
      <c r="N443" s="5"/>
      <c r="O443" s="6"/>
      <c r="P443" s="3"/>
      <c r="Q443" s="7"/>
      <c r="R443" s="7"/>
      <c r="S443" s="2"/>
      <c r="T443" s="1"/>
      <c r="U443" s="6"/>
      <c r="V443" s="3"/>
      <c r="W443" s="3"/>
      <c r="X443" s="17"/>
      <c r="Y443" s="1"/>
      <c r="Z443" s="1"/>
      <c r="AA443" s="3"/>
      <c r="AB443" s="3"/>
      <c r="AC443" s="3"/>
      <c r="AD443" s="3"/>
      <c r="AE443" s="4"/>
      <c r="AF443" s="8"/>
      <c r="AG443" s="1"/>
      <c r="AH443" s="6"/>
      <c r="AI443" s="6"/>
      <c r="AJ443" s="6"/>
      <c r="AK443" s="6"/>
      <c r="AL443" s="6"/>
      <c r="AM443" s="6"/>
      <c r="AN443" s="6"/>
      <c r="AO443" s="1"/>
      <c r="AP443" s="9"/>
      <c r="AQ443" s="2"/>
      <c r="AR443" s="3"/>
      <c r="AS443" s="10"/>
      <c r="AT443" s="1"/>
      <c r="AU443" s="1"/>
      <c r="AV443" s="1"/>
      <c r="AW443" s="1"/>
      <c r="AX443" s="1"/>
      <c r="AY443" s="1"/>
      <c r="AZ443" s="1"/>
      <c r="BA443" s="1"/>
      <c r="BB443" s="1"/>
      <c r="BC443" s="1"/>
      <c r="BD443" s="1"/>
      <c r="BE443" s="1"/>
      <c r="BF443" s="1"/>
      <c r="BG443" s="1"/>
      <c r="BH443" s="1"/>
    </row>
    <row x14ac:dyDescent="0.25" r="444" customHeight="1" ht="17.25">
      <c r="A444" s="1"/>
      <c r="B444" s="1"/>
      <c r="C444" s="1"/>
      <c r="D444" s="1"/>
      <c r="E444" s="2"/>
      <c r="F444" s="2"/>
      <c r="G444" s="2"/>
      <c r="H444" s="1"/>
      <c r="I444" s="3"/>
      <c r="J444" s="2"/>
      <c r="K444" s="4"/>
      <c r="L444" s="2"/>
      <c r="M444" s="5"/>
      <c r="N444" s="5"/>
      <c r="O444" s="6"/>
      <c r="P444" s="3"/>
      <c r="Q444" s="7"/>
      <c r="R444" s="7"/>
      <c r="S444" s="2"/>
      <c r="T444" s="1"/>
      <c r="U444" s="6"/>
      <c r="V444" s="3"/>
      <c r="W444" s="3"/>
      <c r="X444" s="17"/>
      <c r="Y444" s="1"/>
      <c r="Z444" s="1"/>
      <c r="AA444" s="3"/>
      <c r="AB444" s="3"/>
      <c r="AC444" s="3"/>
      <c r="AD444" s="3"/>
      <c r="AE444" s="4"/>
      <c r="AF444" s="8"/>
      <c r="AG444" s="1"/>
      <c r="AH444" s="6"/>
      <c r="AI444" s="6"/>
      <c r="AJ444" s="6"/>
      <c r="AK444" s="6"/>
      <c r="AL444" s="6"/>
      <c r="AM444" s="6"/>
      <c r="AN444" s="6"/>
      <c r="AO444" s="1"/>
      <c r="AP444" s="9"/>
      <c r="AQ444" s="2"/>
      <c r="AR444" s="3"/>
      <c r="AS444" s="10"/>
      <c r="AT444" s="1"/>
      <c r="AU444" s="1"/>
      <c r="AV444" s="1"/>
      <c r="AW444" s="1"/>
      <c r="AX444" s="1"/>
      <c r="AY444" s="1"/>
      <c r="AZ444" s="1"/>
      <c r="BA444" s="1"/>
      <c r="BB444" s="1"/>
      <c r="BC444" s="1"/>
      <c r="BD444" s="1"/>
      <c r="BE444" s="1"/>
      <c r="BF444" s="1"/>
      <c r="BG444" s="1"/>
      <c r="BH444" s="1"/>
    </row>
    <row x14ac:dyDescent="0.25" r="445" customHeight="1" ht="17.25">
      <c r="A445" s="1"/>
      <c r="B445" s="1"/>
      <c r="C445" s="1"/>
      <c r="D445" s="1"/>
      <c r="E445" s="2"/>
      <c r="F445" s="2"/>
      <c r="G445" s="2"/>
      <c r="H445" s="1"/>
      <c r="I445" s="3"/>
      <c r="J445" s="2"/>
      <c r="K445" s="4"/>
      <c r="L445" s="2"/>
      <c r="M445" s="5"/>
      <c r="N445" s="5"/>
      <c r="O445" s="6"/>
      <c r="P445" s="3"/>
      <c r="Q445" s="7"/>
      <c r="R445" s="7"/>
      <c r="S445" s="2"/>
      <c r="T445" s="1"/>
      <c r="U445" s="6"/>
      <c r="V445" s="3"/>
      <c r="W445" s="3"/>
      <c r="X445" s="17"/>
      <c r="Y445" s="1"/>
      <c r="Z445" s="1"/>
      <c r="AA445" s="3"/>
      <c r="AB445" s="3"/>
      <c r="AC445" s="3"/>
      <c r="AD445" s="3"/>
      <c r="AE445" s="4"/>
      <c r="AF445" s="8"/>
      <c r="AG445" s="1"/>
      <c r="AH445" s="6"/>
      <c r="AI445" s="6"/>
      <c r="AJ445" s="6"/>
      <c r="AK445" s="6"/>
      <c r="AL445" s="6"/>
      <c r="AM445" s="6"/>
      <c r="AN445" s="6"/>
      <c r="AO445" s="1"/>
      <c r="AP445" s="9"/>
      <c r="AQ445" s="2"/>
      <c r="AR445" s="3"/>
      <c r="AS445" s="10"/>
      <c r="AT445" s="1"/>
      <c r="AU445" s="1"/>
      <c r="AV445" s="1"/>
      <c r="AW445" s="1"/>
      <c r="AX445" s="1"/>
      <c r="AY445" s="1"/>
      <c r="AZ445" s="1"/>
      <c r="BA445" s="1"/>
      <c r="BB445" s="1"/>
      <c r="BC445" s="1"/>
      <c r="BD445" s="1"/>
      <c r="BE445" s="1"/>
      <c r="BF445" s="1"/>
      <c r="BG445" s="1"/>
      <c r="BH445" s="1"/>
    </row>
    <row x14ac:dyDescent="0.25" r="446" customHeight="1" ht="17.25">
      <c r="A446" s="1"/>
      <c r="B446" s="1"/>
      <c r="C446" s="1"/>
      <c r="D446" s="1"/>
      <c r="E446" s="2"/>
      <c r="F446" s="2"/>
      <c r="G446" s="2"/>
      <c r="H446" s="1"/>
      <c r="I446" s="3"/>
      <c r="J446" s="2"/>
      <c r="K446" s="4"/>
      <c r="L446" s="2"/>
      <c r="M446" s="5"/>
      <c r="N446" s="5"/>
      <c r="O446" s="6"/>
      <c r="P446" s="3"/>
      <c r="Q446" s="7"/>
      <c r="R446" s="7"/>
      <c r="S446" s="2"/>
      <c r="T446" s="1"/>
      <c r="U446" s="6"/>
      <c r="V446" s="3"/>
      <c r="W446" s="3"/>
      <c r="X446" s="17"/>
      <c r="Y446" s="1"/>
      <c r="Z446" s="1"/>
      <c r="AA446" s="3"/>
      <c r="AB446" s="3"/>
      <c r="AC446" s="3"/>
      <c r="AD446" s="3"/>
      <c r="AE446" s="4"/>
      <c r="AF446" s="8"/>
      <c r="AG446" s="1"/>
      <c r="AH446" s="6"/>
      <c r="AI446" s="6"/>
      <c r="AJ446" s="6"/>
      <c r="AK446" s="6"/>
      <c r="AL446" s="6"/>
      <c r="AM446" s="6"/>
      <c r="AN446" s="6"/>
      <c r="AO446" s="1"/>
      <c r="AP446" s="9"/>
      <c r="AQ446" s="2"/>
      <c r="AR446" s="3"/>
      <c r="AS446" s="10"/>
      <c r="AT446" s="1"/>
      <c r="AU446" s="1"/>
      <c r="AV446" s="1"/>
      <c r="AW446" s="1"/>
      <c r="AX446" s="1"/>
      <c r="AY446" s="1"/>
      <c r="AZ446" s="1"/>
      <c r="BA446" s="1"/>
      <c r="BB446" s="1"/>
      <c r="BC446" s="1"/>
      <c r="BD446" s="1"/>
      <c r="BE446" s="1"/>
      <c r="BF446" s="1"/>
      <c r="BG446" s="1"/>
      <c r="BH446" s="1"/>
    </row>
    <row x14ac:dyDescent="0.25" r="447" customHeight="1" ht="17.25">
      <c r="A447" s="1"/>
      <c r="B447" s="1"/>
      <c r="C447" s="1"/>
      <c r="D447" s="1"/>
      <c r="E447" s="2"/>
      <c r="F447" s="2"/>
      <c r="G447" s="2"/>
      <c r="H447" s="1"/>
      <c r="I447" s="3"/>
      <c r="J447" s="2"/>
      <c r="K447" s="4"/>
      <c r="L447" s="2"/>
      <c r="M447" s="5"/>
      <c r="N447" s="5"/>
      <c r="O447" s="6"/>
      <c r="P447" s="3"/>
      <c r="Q447" s="7"/>
      <c r="R447" s="7"/>
      <c r="S447" s="2"/>
      <c r="T447" s="1"/>
      <c r="U447" s="6"/>
      <c r="V447" s="3"/>
      <c r="W447" s="3"/>
      <c r="X447" s="17"/>
      <c r="Y447" s="1"/>
      <c r="Z447" s="1"/>
      <c r="AA447" s="3"/>
      <c r="AB447" s="3"/>
      <c r="AC447" s="3"/>
      <c r="AD447" s="3"/>
      <c r="AE447" s="4"/>
      <c r="AF447" s="8"/>
      <c r="AG447" s="1"/>
      <c r="AH447" s="6"/>
      <c r="AI447" s="6"/>
      <c r="AJ447" s="6"/>
      <c r="AK447" s="6"/>
      <c r="AL447" s="6"/>
      <c r="AM447" s="6"/>
      <c r="AN447" s="6"/>
      <c r="AO447" s="1"/>
      <c r="AP447" s="9"/>
      <c r="AQ447" s="2"/>
      <c r="AR447" s="3"/>
      <c r="AS447" s="10"/>
      <c r="AT447" s="1"/>
      <c r="AU447" s="1"/>
      <c r="AV447" s="1"/>
      <c r="AW447" s="1"/>
      <c r="AX447" s="1"/>
      <c r="AY447" s="1"/>
      <c r="AZ447" s="1"/>
      <c r="BA447" s="1"/>
      <c r="BB447" s="1"/>
      <c r="BC447" s="1"/>
      <c r="BD447" s="1"/>
      <c r="BE447" s="1"/>
      <c r="BF447" s="1"/>
      <c r="BG447" s="1"/>
      <c r="BH447" s="1"/>
    </row>
    <row x14ac:dyDescent="0.25" r="448" customHeight="1" ht="17.25">
      <c r="A448" s="1"/>
      <c r="B448" s="1"/>
      <c r="C448" s="1"/>
      <c r="D448" s="1"/>
      <c r="E448" s="2"/>
      <c r="F448" s="2"/>
      <c r="G448" s="2"/>
      <c r="H448" s="1"/>
      <c r="I448" s="3"/>
      <c r="J448" s="2"/>
      <c r="K448" s="4"/>
      <c r="L448" s="2"/>
      <c r="M448" s="5"/>
      <c r="N448" s="5"/>
      <c r="O448" s="6"/>
      <c r="P448" s="3"/>
      <c r="Q448" s="7"/>
      <c r="R448" s="7"/>
      <c r="S448" s="2"/>
      <c r="T448" s="1"/>
      <c r="U448" s="6"/>
      <c r="V448" s="3"/>
      <c r="W448" s="3"/>
      <c r="X448" s="17"/>
      <c r="Y448" s="1"/>
      <c r="Z448" s="1"/>
      <c r="AA448" s="3"/>
      <c r="AB448" s="3"/>
      <c r="AC448" s="3"/>
      <c r="AD448" s="3"/>
      <c r="AE448" s="4"/>
      <c r="AF448" s="8"/>
      <c r="AG448" s="1"/>
      <c r="AH448" s="6"/>
      <c r="AI448" s="6"/>
      <c r="AJ448" s="6"/>
      <c r="AK448" s="6"/>
      <c r="AL448" s="6"/>
      <c r="AM448" s="6"/>
      <c r="AN448" s="6"/>
      <c r="AO448" s="1"/>
      <c r="AP448" s="9"/>
      <c r="AQ448" s="2"/>
      <c r="AR448" s="3"/>
      <c r="AS448" s="10"/>
      <c r="AT448" s="1"/>
      <c r="AU448" s="1"/>
      <c r="AV448" s="1"/>
      <c r="AW448" s="1"/>
      <c r="AX448" s="1"/>
      <c r="AY448" s="1"/>
      <c r="AZ448" s="1"/>
      <c r="BA448" s="1"/>
      <c r="BB448" s="1"/>
      <c r="BC448" s="1"/>
      <c r="BD448" s="1"/>
      <c r="BE448" s="1"/>
      <c r="BF448" s="1"/>
      <c r="BG448" s="1"/>
      <c r="BH448" s="1"/>
    </row>
    <row x14ac:dyDescent="0.25" r="449" customHeight="1" ht="17.25">
      <c r="A449" s="1"/>
      <c r="B449" s="1"/>
      <c r="C449" s="1"/>
      <c r="D449" s="1"/>
      <c r="E449" s="2"/>
      <c r="F449" s="2"/>
      <c r="G449" s="2"/>
      <c r="H449" s="1"/>
      <c r="I449" s="3"/>
      <c r="J449" s="2"/>
      <c r="K449" s="4"/>
      <c r="L449" s="2"/>
      <c r="M449" s="5"/>
      <c r="N449" s="5"/>
      <c r="O449" s="6"/>
      <c r="P449" s="3"/>
      <c r="Q449" s="7"/>
      <c r="R449" s="7"/>
      <c r="S449" s="2"/>
      <c r="T449" s="1"/>
      <c r="U449" s="6"/>
      <c r="V449" s="3"/>
      <c r="W449" s="3"/>
      <c r="X449" s="17"/>
      <c r="Y449" s="1"/>
      <c r="Z449" s="1"/>
      <c r="AA449" s="3"/>
      <c r="AB449" s="3"/>
      <c r="AC449" s="3"/>
      <c r="AD449" s="3"/>
      <c r="AE449" s="4"/>
      <c r="AF449" s="8"/>
      <c r="AG449" s="1"/>
      <c r="AH449" s="6"/>
      <c r="AI449" s="6"/>
      <c r="AJ449" s="6"/>
      <c r="AK449" s="6"/>
      <c r="AL449" s="6"/>
      <c r="AM449" s="6"/>
      <c r="AN449" s="6"/>
      <c r="AO449" s="1"/>
      <c r="AP449" s="9"/>
      <c r="AQ449" s="2"/>
      <c r="AR449" s="3"/>
      <c r="AS449" s="10"/>
      <c r="AT449" s="1"/>
      <c r="AU449" s="1"/>
      <c r="AV449" s="1"/>
      <c r="AW449" s="1"/>
      <c r="AX449" s="1"/>
      <c r="AY449" s="1"/>
      <c r="AZ449" s="1"/>
      <c r="BA449" s="1"/>
      <c r="BB449" s="1"/>
      <c r="BC449" s="1"/>
      <c r="BD449" s="1"/>
      <c r="BE449" s="1"/>
      <c r="BF449" s="1"/>
      <c r="BG449" s="1"/>
      <c r="BH449" s="1"/>
    </row>
    <row x14ac:dyDescent="0.25" r="450" customHeight="1" ht="17.25">
      <c r="A450" s="1"/>
      <c r="B450" s="1"/>
      <c r="C450" s="1"/>
      <c r="D450" s="1"/>
      <c r="E450" s="2"/>
      <c r="F450" s="2"/>
      <c r="G450" s="2"/>
      <c r="H450" s="1"/>
      <c r="I450" s="3"/>
      <c r="J450" s="2"/>
      <c r="K450" s="4"/>
      <c r="L450" s="2"/>
      <c r="M450" s="5"/>
      <c r="N450" s="5"/>
      <c r="O450" s="6"/>
      <c r="P450" s="3"/>
      <c r="Q450" s="7"/>
      <c r="R450" s="7"/>
      <c r="S450" s="2"/>
      <c r="T450" s="1"/>
      <c r="U450" s="6"/>
      <c r="V450" s="3"/>
      <c r="W450" s="3"/>
      <c r="X450" s="17"/>
      <c r="Y450" s="1"/>
      <c r="Z450" s="1"/>
      <c r="AA450" s="3"/>
      <c r="AB450" s="3"/>
      <c r="AC450" s="3"/>
      <c r="AD450" s="3"/>
      <c r="AE450" s="4"/>
      <c r="AF450" s="8"/>
      <c r="AG450" s="1"/>
      <c r="AH450" s="6"/>
      <c r="AI450" s="6"/>
      <c r="AJ450" s="6"/>
      <c r="AK450" s="6"/>
      <c r="AL450" s="6"/>
      <c r="AM450" s="6"/>
      <c r="AN450" s="6"/>
      <c r="AO450" s="1"/>
      <c r="AP450" s="9"/>
      <c r="AQ450" s="2"/>
      <c r="AR450" s="3"/>
      <c r="AS450" s="10"/>
      <c r="AT450" s="1"/>
      <c r="AU450" s="1"/>
      <c r="AV450" s="1"/>
      <c r="AW450" s="1"/>
      <c r="AX450" s="1"/>
      <c r="AY450" s="1"/>
      <c r="AZ450" s="1"/>
      <c r="BA450" s="1"/>
      <c r="BB450" s="1"/>
      <c r="BC450" s="1"/>
      <c r="BD450" s="1"/>
      <c r="BE450" s="1"/>
      <c r="BF450" s="1"/>
      <c r="BG450" s="1"/>
      <c r="BH450" s="1"/>
    </row>
    <row x14ac:dyDescent="0.25" r="451" customHeight="1" ht="17.25">
      <c r="A451" s="1"/>
      <c r="B451" s="1"/>
      <c r="C451" s="1"/>
      <c r="D451" s="1"/>
      <c r="E451" s="2"/>
      <c r="F451" s="2"/>
      <c r="G451" s="2"/>
      <c r="H451" s="1"/>
      <c r="I451" s="3"/>
      <c r="J451" s="2"/>
      <c r="K451" s="4"/>
      <c r="L451" s="2"/>
      <c r="M451" s="5"/>
      <c r="N451" s="5"/>
      <c r="O451" s="6"/>
      <c r="P451" s="3"/>
      <c r="Q451" s="7"/>
      <c r="R451" s="7"/>
      <c r="S451" s="2"/>
      <c r="T451" s="1"/>
      <c r="U451" s="6"/>
      <c r="V451" s="3"/>
      <c r="W451" s="3"/>
      <c r="X451" s="17"/>
      <c r="Y451" s="1"/>
      <c r="Z451" s="1"/>
      <c r="AA451" s="3"/>
      <c r="AB451" s="3"/>
      <c r="AC451" s="3"/>
      <c r="AD451" s="3"/>
      <c r="AE451" s="4"/>
      <c r="AF451" s="8"/>
      <c r="AG451" s="1"/>
      <c r="AH451" s="6"/>
      <c r="AI451" s="6"/>
      <c r="AJ451" s="6"/>
      <c r="AK451" s="6"/>
      <c r="AL451" s="6"/>
      <c r="AM451" s="6"/>
      <c r="AN451" s="6"/>
      <c r="AO451" s="1"/>
      <c r="AP451" s="9"/>
      <c r="AQ451" s="2"/>
      <c r="AR451" s="3"/>
      <c r="AS451" s="10"/>
      <c r="AT451" s="1"/>
      <c r="AU451" s="1"/>
      <c r="AV451" s="1"/>
      <c r="AW451" s="1"/>
      <c r="AX451" s="1"/>
      <c r="AY451" s="1"/>
      <c r="AZ451" s="1"/>
      <c r="BA451" s="1"/>
      <c r="BB451" s="1"/>
      <c r="BC451" s="1"/>
      <c r="BD451" s="1"/>
      <c r="BE451" s="1"/>
      <c r="BF451" s="1"/>
      <c r="BG451" s="1"/>
      <c r="BH451" s="1"/>
    </row>
    <row x14ac:dyDescent="0.25" r="452" customHeight="1" ht="17.25">
      <c r="A452" s="1"/>
      <c r="B452" s="1"/>
      <c r="C452" s="1"/>
      <c r="D452" s="1"/>
      <c r="E452" s="2"/>
      <c r="F452" s="2"/>
      <c r="G452" s="2"/>
      <c r="H452" s="1"/>
      <c r="I452" s="3"/>
      <c r="J452" s="2"/>
      <c r="K452" s="4"/>
      <c r="L452" s="2"/>
      <c r="M452" s="5"/>
      <c r="N452" s="5"/>
      <c r="O452" s="6"/>
      <c r="P452" s="3"/>
      <c r="Q452" s="7"/>
      <c r="R452" s="7"/>
      <c r="S452" s="2"/>
      <c r="T452" s="1"/>
      <c r="U452" s="6"/>
      <c r="V452" s="3"/>
      <c r="W452" s="3"/>
      <c r="X452" s="17"/>
      <c r="Y452" s="1"/>
      <c r="Z452" s="1"/>
      <c r="AA452" s="3"/>
      <c r="AB452" s="3"/>
      <c r="AC452" s="3"/>
      <c r="AD452" s="3"/>
      <c r="AE452" s="4"/>
      <c r="AF452" s="8"/>
      <c r="AG452" s="1"/>
      <c r="AH452" s="6"/>
      <c r="AI452" s="6"/>
      <c r="AJ452" s="6"/>
      <c r="AK452" s="6"/>
      <c r="AL452" s="6"/>
      <c r="AM452" s="6"/>
      <c r="AN452" s="6"/>
      <c r="AO452" s="1"/>
      <c r="AP452" s="9"/>
      <c r="AQ452" s="2"/>
      <c r="AR452" s="3"/>
      <c r="AS452" s="10"/>
      <c r="AT452" s="1"/>
      <c r="AU452" s="1"/>
      <c r="AV452" s="1"/>
      <c r="AW452" s="1"/>
      <c r="AX452" s="1"/>
      <c r="AY452" s="1"/>
      <c r="AZ452" s="1"/>
      <c r="BA452" s="1"/>
      <c r="BB452" s="1"/>
      <c r="BC452" s="1"/>
      <c r="BD452" s="1"/>
      <c r="BE452" s="1"/>
      <c r="BF452" s="1"/>
      <c r="BG452" s="1"/>
      <c r="BH452" s="1"/>
    </row>
    <row x14ac:dyDescent="0.25" r="453" customHeight="1" ht="17.25">
      <c r="A453" s="1"/>
      <c r="B453" s="1"/>
      <c r="C453" s="1"/>
      <c r="D453" s="1"/>
      <c r="E453" s="2"/>
      <c r="F453" s="2"/>
      <c r="G453" s="2"/>
      <c r="H453" s="1"/>
      <c r="I453" s="3"/>
      <c r="J453" s="2"/>
      <c r="K453" s="4"/>
      <c r="L453" s="2"/>
      <c r="M453" s="5"/>
      <c r="N453" s="5"/>
      <c r="O453" s="6"/>
      <c r="P453" s="3"/>
      <c r="Q453" s="7"/>
      <c r="R453" s="7"/>
      <c r="S453" s="2"/>
      <c r="T453" s="1"/>
      <c r="U453" s="6"/>
      <c r="V453" s="3"/>
      <c r="W453" s="3"/>
      <c r="X453" s="17"/>
      <c r="Y453" s="1"/>
      <c r="Z453" s="1"/>
      <c r="AA453" s="3"/>
      <c r="AB453" s="3"/>
      <c r="AC453" s="3"/>
      <c r="AD453" s="3"/>
      <c r="AE453" s="4"/>
      <c r="AF453" s="8"/>
      <c r="AG453" s="1"/>
      <c r="AH453" s="6"/>
      <c r="AI453" s="6"/>
      <c r="AJ453" s="6"/>
      <c r="AK453" s="6"/>
      <c r="AL453" s="6"/>
      <c r="AM453" s="6"/>
      <c r="AN453" s="6"/>
      <c r="AO453" s="1"/>
      <c r="AP453" s="9"/>
      <c r="AQ453" s="2"/>
      <c r="AR453" s="3"/>
      <c r="AS453" s="10"/>
      <c r="AT453" s="1"/>
      <c r="AU453" s="1"/>
      <c r="AV453" s="1"/>
      <c r="AW453" s="1"/>
      <c r="AX453" s="1"/>
      <c r="AY453" s="1"/>
      <c r="AZ453" s="1"/>
      <c r="BA453" s="1"/>
      <c r="BB453" s="1"/>
      <c r="BC453" s="1"/>
      <c r="BD453" s="1"/>
      <c r="BE453" s="1"/>
      <c r="BF453" s="1"/>
      <c r="BG453" s="1"/>
      <c r="BH453" s="1"/>
    </row>
    <row x14ac:dyDescent="0.25" r="454" customHeight="1" ht="17.25">
      <c r="A454" s="1"/>
      <c r="B454" s="1"/>
      <c r="C454" s="1"/>
      <c r="D454" s="1"/>
      <c r="E454" s="2"/>
      <c r="F454" s="2"/>
      <c r="G454" s="2"/>
      <c r="H454" s="1"/>
      <c r="I454" s="3"/>
      <c r="J454" s="2"/>
      <c r="K454" s="4"/>
      <c r="L454" s="2"/>
      <c r="M454" s="5"/>
      <c r="N454" s="5"/>
      <c r="O454" s="6"/>
      <c r="P454" s="3"/>
      <c r="Q454" s="7"/>
      <c r="R454" s="7"/>
      <c r="S454" s="2"/>
      <c r="T454" s="1"/>
      <c r="U454" s="6"/>
      <c r="V454" s="3"/>
      <c r="W454" s="3"/>
      <c r="X454" s="17"/>
      <c r="Y454" s="1"/>
      <c r="Z454" s="1"/>
      <c r="AA454" s="3"/>
      <c r="AB454" s="3"/>
      <c r="AC454" s="3"/>
      <c r="AD454" s="3"/>
      <c r="AE454" s="4"/>
      <c r="AF454" s="8"/>
      <c r="AG454" s="1"/>
      <c r="AH454" s="6"/>
      <c r="AI454" s="6"/>
      <c r="AJ454" s="6"/>
      <c r="AK454" s="6"/>
      <c r="AL454" s="6"/>
      <c r="AM454" s="6"/>
      <c r="AN454" s="6"/>
      <c r="AO454" s="1"/>
      <c r="AP454" s="9"/>
      <c r="AQ454" s="2"/>
      <c r="AR454" s="3"/>
      <c r="AS454" s="10"/>
      <c r="AT454" s="1"/>
      <c r="AU454" s="1"/>
      <c r="AV454" s="1"/>
      <c r="AW454" s="1"/>
      <c r="AX454" s="1"/>
      <c r="AY454" s="1"/>
      <c r="AZ454" s="1"/>
      <c r="BA454" s="1"/>
      <c r="BB454" s="1"/>
      <c r="BC454" s="1"/>
      <c r="BD454" s="1"/>
      <c r="BE454" s="1"/>
      <c r="BF454" s="1"/>
      <c r="BG454" s="1"/>
      <c r="BH454" s="1"/>
    </row>
    <row x14ac:dyDescent="0.25" r="455" customHeight="1" ht="17.25">
      <c r="A455" s="1"/>
      <c r="B455" s="1"/>
      <c r="C455" s="1"/>
      <c r="D455" s="1"/>
      <c r="E455" s="2"/>
      <c r="F455" s="2"/>
      <c r="G455" s="2"/>
      <c r="H455" s="1"/>
      <c r="I455" s="3"/>
      <c r="J455" s="2"/>
      <c r="K455" s="4"/>
      <c r="L455" s="2"/>
      <c r="M455" s="5"/>
      <c r="N455" s="5"/>
      <c r="O455" s="6"/>
      <c r="P455" s="3"/>
      <c r="Q455" s="7"/>
      <c r="R455" s="7"/>
      <c r="S455" s="2"/>
      <c r="T455" s="1"/>
      <c r="U455" s="6"/>
      <c r="V455" s="3"/>
      <c r="W455" s="3"/>
      <c r="X455" s="17"/>
      <c r="Y455" s="1"/>
      <c r="Z455" s="1"/>
      <c r="AA455" s="3"/>
      <c r="AB455" s="3"/>
      <c r="AC455" s="3"/>
      <c r="AD455" s="3"/>
      <c r="AE455" s="4"/>
      <c r="AF455" s="8"/>
      <c r="AG455" s="1"/>
      <c r="AH455" s="6"/>
      <c r="AI455" s="6"/>
      <c r="AJ455" s="6"/>
      <c r="AK455" s="6"/>
      <c r="AL455" s="6"/>
      <c r="AM455" s="6"/>
      <c r="AN455" s="6"/>
      <c r="AO455" s="1"/>
      <c r="AP455" s="9"/>
      <c r="AQ455" s="2"/>
      <c r="AR455" s="3"/>
      <c r="AS455" s="10"/>
      <c r="AT455" s="1"/>
      <c r="AU455" s="1"/>
      <c r="AV455" s="1"/>
      <c r="AW455" s="1"/>
      <c r="AX455" s="1"/>
      <c r="AY455" s="1"/>
      <c r="AZ455" s="1"/>
      <c r="BA455" s="1"/>
      <c r="BB455" s="1"/>
      <c r="BC455" s="1"/>
      <c r="BD455" s="1"/>
      <c r="BE455" s="1"/>
      <c r="BF455" s="1"/>
      <c r="BG455" s="1"/>
      <c r="BH455" s="1"/>
    </row>
    <row x14ac:dyDescent="0.25" r="456" customHeight="1" ht="17.25">
      <c r="A456" s="1"/>
      <c r="B456" s="1"/>
      <c r="C456" s="1"/>
      <c r="D456" s="1"/>
      <c r="E456" s="2"/>
      <c r="F456" s="2"/>
      <c r="G456" s="2"/>
      <c r="H456" s="1"/>
      <c r="I456" s="3"/>
      <c r="J456" s="2"/>
      <c r="K456" s="4"/>
      <c r="L456" s="2"/>
      <c r="M456" s="5"/>
      <c r="N456" s="5"/>
      <c r="O456" s="6"/>
      <c r="P456" s="3"/>
      <c r="Q456" s="7"/>
      <c r="R456" s="7"/>
      <c r="S456" s="2"/>
      <c r="T456" s="1"/>
      <c r="U456" s="6"/>
      <c r="V456" s="3"/>
      <c r="W456" s="3"/>
      <c r="X456" s="17"/>
      <c r="Y456" s="1"/>
      <c r="Z456" s="1"/>
      <c r="AA456" s="3"/>
      <c r="AB456" s="3"/>
      <c r="AC456" s="3"/>
      <c r="AD456" s="3"/>
      <c r="AE456" s="4"/>
      <c r="AF456" s="8"/>
      <c r="AG456" s="1"/>
      <c r="AH456" s="6"/>
      <c r="AI456" s="6"/>
      <c r="AJ456" s="6"/>
      <c r="AK456" s="6"/>
      <c r="AL456" s="6"/>
      <c r="AM456" s="6"/>
      <c r="AN456" s="6"/>
      <c r="AO456" s="1"/>
      <c r="AP456" s="9"/>
      <c r="AQ456" s="2"/>
      <c r="AR456" s="3"/>
      <c r="AS456" s="10"/>
      <c r="AT456" s="1"/>
      <c r="AU456" s="1"/>
      <c r="AV456" s="1"/>
      <c r="AW456" s="1"/>
      <c r="AX456" s="1"/>
      <c r="AY456" s="1"/>
      <c r="AZ456" s="1"/>
      <c r="BA456" s="1"/>
      <c r="BB456" s="1"/>
      <c r="BC456" s="1"/>
      <c r="BD456" s="1"/>
      <c r="BE456" s="1"/>
      <c r="BF456" s="1"/>
      <c r="BG456" s="1"/>
      <c r="BH456" s="1"/>
    </row>
    <row x14ac:dyDescent="0.25" r="457" customHeight="1" ht="17.25">
      <c r="A457" s="1"/>
      <c r="B457" s="1"/>
      <c r="C457" s="1"/>
      <c r="D457" s="1"/>
      <c r="E457" s="2"/>
      <c r="F457" s="2"/>
      <c r="G457" s="2"/>
      <c r="H457" s="1"/>
      <c r="I457" s="3"/>
      <c r="J457" s="2"/>
      <c r="K457" s="4"/>
      <c r="L457" s="2"/>
      <c r="M457" s="5"/>
      <c r="N457" s="5"/>
      <c r="O457" s="6"/>
      <c r="P457" s="3"/>
      <c r="Q457" s="7"/>
      <c r="R457" s="7"/>
      <c r="S457" s="2"/>
      <c r="T457" s="1"/>
      <c r="U457" s="6"/>
      <c r="V457" s="3"/>
      <c r="W457" s="3"/>
      <c r="X457" s="17"/>
      <c r="Y457" s="1"/>
      <c r="Z457" s="1"/>
      <c r="AA457" s="3"/>
      <c r="AB457" s="3"/>
      <c r="AC457" s="3"/>
      <c r="AD457" s="3"/>
      <c r="AE457" s="4"/>
      <c r="AF457" s="8"/>
      <c r="AG457" s="1"/>
      <c r="AH457" s="6"/>
      <c r="AI457" s="6"/>
      <c r="AJ457" s="6"/>
      <c r="AK457" s="6"/>
      <c r="AL457" s="6"/>
      <c r="AM457" s="6"/>
      <c r="AN457" s="6"/>
      <c r="AO457" s="1"/>
      <c r="AP457" s="9"/>
      <c r="AQ457" s="2"/>
      <c r="AR457" s="3"/>
      <c r="AS457" s="10"/>
      <c r="AT457" s="1"/>
      <c r="AU457" s="1"/>
      <c r="AV457" s="1"/>
      <c r="AW457" s="1"/>
      <c r="AX457" s="1"/>
      <c r="AY457" s="1"/>
      <c r="AZ457" s="1"/>
      <c r="BA457" s="1"/>
      <c r="BB457" s="1"/>
      <c r="BC457" s="1"/>
      <c r="BD457" s="1"/>
      <c r="BE457" s="1"/>
      <c r="BF457" s="1"/>
      <c r="BG457" s="1"/>
      <c r="BH457" s="1"/>
    </row>
    <row x14ac:dyDescent="0.25" r="458" customHeight="1" ht="17.25">
      <c r="A458" s="1"/>
      <c r="B458" s="1"/>
      <c r="C458" s="1"/>
      <c r="D458" s="1"/>
      <c r="E458" s="2"/>
      <c r="F458" s="2"/>
      <c r="G458" s="2"/>
      <c r="H458" s="1"/>
      <c r="I458" s="3"/>
      <c r="J458" s="2"/>
      <c r="K458" s="4"/>
      <c r="L458" s="2"/>
      <c r="M458" s="5"/>
      <c r="N458" s="5"/>
      <c r="O458" s="6"/>
      <c r="P458" s="3"/>
      <c r="Q458" s="7"/>
      <c r="R458" s="7"/>
      <c r="S458" s="2"/>
      <c r="T458" s="1"/>
      <c r="U458" s="6"/>
      <c r="V458" s="3"/>
      <c r="W458" s="3"/>
      <c r="X458" s="17"/>
      <c r="Y458" s="1"/>
      <c r="Z458" s="1"/>
      <c r="AA458" s="3"/>
      <c r="AB458" s="3"/>
      <c r="AC458" s="3"/>
      <c r="AD458" s="3"/>
      <c r="AE458" s="4"/>
      <c r="AF458" s="8"/>
      <c r="AG458" s="1"/>
      <c r="AH458" s="6"/>
      <c r="AI458" s="6"/>
      <c r="AJ458" s="6"/>
      <c r="AK458" s="6"/>
      <c r="AL458" s="6"/>
      <c r="AM458" s="6"/>
      <c r="AN458" s="6"/>
      <c r="AO458" s="1"/>
      <c r="AP458" s="9"/>
      <c r="AQ458" s="2"/>
      <c r="AR458" s="3"/>
      <c r="AS458" s="10"/>
      <c r="AT458" s="1"/>
      <c r="AU458" s="1"/>
      <c r="AV458" s="1"/>
      <c r="AW458" s="1"/>
      <c r="AX458" s="1"/>
      <c r="AY458" s="1"/>
      <c r="AZ458" s="1"/>
      <c r="BA458" s="1"/>
      <c r="BB458" s="1"/>
      <c r="BC458" s="1"/>
      <c r="BD458" s="1"/>
      <c r="BE458" s="1"/>
      <c r="BF458" s="1"/>
      <c r="BG458" s="1"/>
      <c r="BH458" s="1"/>
    </row>
    <row x14ac:dyDescent="0.25" r="459" customHeight="1" ht="17.25">
      <c r="A459" s="1"/>
      <c r="B459" s="1"/>
      <c r="C459" s="1"/>
      <c r="D459" s="1"/>
      <c r="E459" s="2"/>
      <c r="F459" s="2"/>
      <c r="G459" s="2"/>
      <c r="H459" s="1"/>
      <c r="I459" s="3"/>
      <c r="J459" s="2"/>
      <c r="K459" s="4"/>
      <c r="L459" s="2"/>
      <c r="M459" s="5"/>
      <c r="N459" s="5"/>
      <c r="O459" s="6"/>
      <c r="P459" s="3"/>
      <c r="Q459" s="7"/>
      <c r="R459" s="7"/>
      <c r="S459" s="2"/>
      <c r="T459" s="1"/>
      <c r="U459" s="6"/>
      <c r="V459" s="3"/>
      <c r="W459" s="3"/>
      <c r="X459" s="17"/>
      <c r="Y459" s="1"/>
      <c r="Z459" s="1"/>
      <c r="AA459" s="3"/>
      <c r="AB459" s="3"/>
      <c r="AC459" s="3"/>
      <c r="AD459" s="3"/>
      <c r="AE459" s="4"/>
      <c r="AF459" s="8"/>
      <c r="AG459" s="1"/>
      <c r="AH459" s="6"/>
      <c r="AI459" s="6"/>
      <c r="AJ459" s="6"/>
      <c r="AK459" s="6"/>
      <c r="AL459" s="6"/>
      <c r="AM459" s="6"/>
      <c r="AN459" s="6"/>
      <c r="AO459" s="1"/>
      <c r="AP459" s="9"/>
      <c r="AQ459" s="2"/>
      <c r="AR459" s="3"/>
      <c r="AS459" s="10"/>
      <c r="AT459" s="1"/>
      <c r="AU459" s="1"/>
      <c r="AV459" s="1"/>
      <c r="AW459" s="1"/>
      <c r="AX459" s="1"/>
      <c r="AY459" s="1"/>
      <c r="AZ459" s="1"/>
      <c r="BA459" s="1"/>
      <c r="BB459" s="1"/>
      <c r="BC459" s="1"/>
      <c r="BD459" s="1"/>
      <c r="BE459" s="1"/>
      <c r="BF459" s="1"/>
      <c r="BG459" s="1"/>
      <c r="BH459" s="1"/>
    </row>
    <row x14ac:dyDescent="0.25" r="460" customHeight="1" ht="17.25">
      <c r="A460" s="1"/>
      <c r="B460" s="1"/>
      <c r="C460" s="1"/>
      <c r="D460" s="1"/>
      <c r="E460" s="2"/>
      <c r="F460" s="2"/>
      <c r="G460" s="2"/>
      <c r="H460" s="1"/>
      <c r="I460" s="3"/>
      <c r="J460" s="2"/>
      <c r="K460" s="4"/>
      <c r="L460" s="2"/>
      <c r="M460" s="5"/>
      <c r="N460" s="5"/>
      <c r="O460" s="6"/>
      <c r="P460" s="3"/>
      <c r="Q460" s="7"/>
      <c r="R460" s="7"/>
      <c r="S460" s="2"/>
      <c r="T460" s="1"/>
      <c r="U460" s="6"/>
      <c r="V460" s="3"/>
      <c r="W460" s="3"/>
      <c r="X460" s="17"/>
      <c r="Y460" s="1"/>
      <c r="Z460" s="1"/>
      <c r="AA460" s="3"/>
      <c r="AB460" s="3"/>
      <c r="AC460" s="3"/>
      <c r="AD460" s="3"/>
      <c r="AE460" s="4"/>
      <c r="AF460" s="8"/>
      <c r="AG460" s="1"/>
      <c r="AH460" s="6"/>
      <c r="AI460" s="6"/>
      <c r="AJ460" s="6"/>
      <c r="AK460" s="6"/>
      <c r="AL460" s="6"/>
      <c r="AM460" s="6"/>
      <c r="AN460" s="6"/>
      <c r="AO460" s="1"/>
      <c r="AP460" s="9"/>
      <c r="AQ460" s="2"/>
      <c r="AR460" s="3"/>
      <c r="AS460" s="10"/>
      <c r="AT460" s="1"/>
      <c r="AU460" s="1"/>
      <c r="AV460" s="1"/>
      <c r="AW460" s="1"/>
      <c r="AX460" s="1"/>
      <c r="AY460" s="1"/>
      <c r="AZ460" s="1"/>
      <c r="BA460" s="1"/>
      <c r="BB460" s="1"/>
      <c r="BC460" s="1"/>
      <c r="BD460" s="1"/>
      <c r="BE460" s="1"/>
      <c r="BF460" s="1"/>
      <c r="BG460" s="1"/>
      <c r="BH460" s="1"/>
    </row>
    <row x14ac:dyDescent="0.25" r="461" customHeight="1" ht="17.25">
      <c r="A461" s="1"/>
      <c r="B461" s="1"/>
      <c r="C461" s="1"/>
      <c r="D461" s="1"/>
      <c r="E461" s="2"/>
      <c r="F461" s="2"/>
      <c r="G461" s="2"/>
      <c r="H461" s="1"/>
      <c r="I461" s="3"/>
      <c r="J461" s="2"/>
      <c r="K461" s="4"/>
      <c r="L461" s="2"/>
      <c r="M461" s="5"/>
      <c r="N461" s="5"/>
      <c r="O461" s="6"/>
      <c r="P461" s="3"/>
      <c r="Q461" s="7"/>
      <c r="R461" s="7"/>
      <c r="S461" s="2"/>
      <c r="T461" s="1"/>
      <c r="U461" s="6"/>
      <c r="V461" s="3"/>
      <c r="W461" s="3"/>
      <c r="X461" s="17"/>
      <c r="Y461" s="1"/>
      <c r="Z461" s="1"/>
      <c r="AA461" s="3"/>
      <c r="AB461" s="3"/>
      <c r="AC461" s="3"/>
      <c r="AD461" s="3"/>
      <c r="AE461" s="4"/>
      <c r="AF461" s="8"/>
      <c r="AG461" s="1"/>
      <c r="AH461" s="6"/>
      <c r="AI461" s="6"/>
      <c r="AJ461" s="6"/>
      <c r="AK461" s="6"/>
      <c r="AL461" s="6"/>
      <c r="AM461" s="6"/>
      <c r="AN461" s="6"/>
      <c r="AO461" s="1"/>
      <c r="AP461" s="9"/>
      <c r="AQ461" s="2"/>
      <c r="AR461" s="3"/>
      <c r="AS461" s="10"/>
      <c r="AT461" s="1"/>
      <c r="AU461" s="1"/>
      <c r="AV461" s="1"/>
      <c r="AW461" s="1"/>
      <c r="AX461" s="1"/>
      <c r="AY461" s="1"/>
      <c r="AZ461" s="1"/>
      <c r="BA461" s="1"/>
      <c r="BB461" s="1"/>
      <c r="BC461" s="1"/>
      <c r="BD461" s="1"/>
      <c r="BE461" s="1"/>
      <c r="BF461" s="1"/>
      <c r="BG461" s="1"/>
      <c r="BH461" s="1"/>
    </row>
    <row x14ac:dyDescent="0.25" r="462" customHeight="1" ht="17.25">
      <c r="A462" s="1"/>
      <c r="B462" s="1"/>
      <c r="C462" s="1"/>
      <c r="D462" s="1"/>
      <c r="E462" s="2"/>
      <c r="F462" s="2"/>
      <c r="G462" s="2"/>
      <c r="H462" s="1"/>
      <c r="I462" s="3"/>
      <c r="J462" s="2"/>
      <c r="K462" s="4"/>
      <c r="L462" s="2"/>
      <c r="M462" s="5"/>
      <c r="N462" s="5"/>
      <c r="O462" s="6"/>
      <c r="P462" s="3"/>
      <c r="Q462" s="7"/>
      <c r="R462" s="7"/>
      <c r="S462" s="2"/>
      <c r="T462" s="1"/>
      <c r="U462" s="6"/>
      <c r="V462" s="3"/>
      <c r="W462" s="3"/>
      <c r="X462" s="17"/>
      <c r="Y462" s="1"/>
      <c r="Z462" s="1"/>
      <c r="AA462" s="3"/>
      <c r="AB462" s="3"/>
      <c r="AC462" s="3"/>
      <c r="AD462" s="3"/>
      <c r="AE462" s="4"/>
      <c r="AF462" s="8"/>
      <c r="AG462" s="1"/>
      <c r="AH462" s="6"/>
      <c r="AI462" s="6"/>
      <c r="AJ462" s="6"/>
      <c r="AK462" s="6"/>
      <c r="AL462" s="6"/>
      <c r="AM462" s="6"/>
      <c r="AN462" s="6"/>
      <c r="AO462" s="1"/>
      <c r="AP462" s="9"/>
      <c r="AQ462" s="2"/>
      <c r="AR462" s="3"/>
      <c r="AS462" s="10"/>
      <c r="AT462" s="1"/>
      <c r="AU462" s="1"/>
      <c r="AV462" s="1"/>
      <c r="AW462" s="1"/>
      <c r="AX462" s="1"/>
      <c r="AY462" s="1"/>
      <c r="AZ462" s="1"/>
      <c r="BA462" s="1"/>
      <c r="BB462" s="1"/>
      <c r="BC462" s="1"/>
      <c r="BD462" s="1"/>
      <c r="BE462" s="1"/>
      <c r="BF462" s="1"/>
      <c r="BG462" s="1"/>
      <c r="BH462" s="1"/>
    </row>
    <row x14ac:dyDescent="0.25" r="463" customHeight="1" ht="17.25">
      <c r="A463" s="1"/>
      <c r="B463" s="1"/>
      <c r="C463" s="1"/>
      <c r="D463" s="1"/>
      <c r="E463" s="2"/>
      <c r="F463" s="2"/>
      <c r="G463" s="2"/>
      <c r="H463" s="1"/>
      <c r="I463" s="3"/>
      <c r="J463" s="2"/>
      <c r="K463" s="4"/>
      <c r="L463" s="2"/>
      <c r="M463" s="5"/>
      <c r="N463" s="5"/>
      <c r="O463" s="6"/>
      <c r="P463" s="3"/>
      <c r="Q463" s="7"/>
      <c r="R463" s="7"/>
      <c r="S463" s="2"/>
      <c r="T463" s="1"/>
      <c r="U463" s="6"/>
      <c r="V463" s="3"/>
      <c r="W463" s="3"/>
      <c r="X463" s="17"/>
      <c r="Y463" s="1"/>
      <c r="Z463" s="1"/>
      <c r="AA463" s="3"/>
      <c r="AB463" s="3"/>
      <c r="AC463" s="3"/>
      <c r="AD463" s="3"/>
      <c r="AE463" s="4"/>
      <c r="AF463" s="8"/>
      <c r="AG463" s="1"/>
      <c r="AH463" s="6"/>
      <c r="AI463" s="6"/>
      <c r="AJ463" s="6"/>
      <c r="AK463" s="6"/>
      <c r="AL463" s="6"/>
      <c r="AM463" s="6"/>
      <c r="AN463" s="6"/>
      <c r="AO463" s="1"/>
      <c r="AP463" s="9"/>
      <c r="AQ463" s="2"/>
      <c r="AR463" s="3"/>
      <c r="AS463" s="10"/>
      <c r="AT463" s="1"/>
      <c r="AU463" s="1"/>
      <c r="AV463" s="1"/>
      <c r="AW463" s="1"/>
      <c r="AX463" s="1"/>
      <c r="AY463" s="1"/>
      <c r="AZ463" s="1"/>
      <c r="BA463" s="1"/>
      <c r="BB463" s="1"/>
      <c r="BC463" s="1"/>
      <c r="BD463" s="1"/>
      <c r="BE463" s="1"/>
      <c r="BF463" s="1"/>
      <c r="BG463" s="1"/>
      <c r="BH463" s="1"/>
    </row>
    <row x14ac:dyDescent="0.25" r="464" customHeight="1" ht="17.25">
      <c r="A464" s="1"/>
      <c r="B464" s="1"/>
      <c r="C464" s="1"/>
      <c r="D464" s="1"/>
      <c r="E464" s="2"/>
      <c r="F464" s="2"/>
      <c r="G464" s="2"/>
      <c r="H464" s="1"/>
      <c r="I464" s="3"/>
      <c r="J464" s="2"/>
      <c r="K464" s="4"/>
      <c r="L464" s="2"/>
      <c r="M464" s="5"/>
      <c r="N464" s="5"/>
      <c r="O464" s="6"/>
      <c r="P464" s="3"/>
      <c r="Q464" s="7"/>
      <c r="R464" s="7"/>
      <c r="S464" s="2"/>
      <c r="T464" s="1"/>
      <c r="U464" s="6"/>
      <c r="V464" s="3"/>
      <c r="W464" s="3"/>
      <c r="X464" s="17"/>
      <c r="Y464" s="1"/>
      <c r="Z464" s="1"/>
      <c r="AA464" s="3"/>
      <c r="AB464" s="3"/>
      <c r="AC464" s="3"/>
      <c r="AD464" s="3"/>
      <c r="AE464" s="4"/>
      <c r="AF464" s="8"/>
      <c r="AG464" s="1"/>
      <c r="AH464" s="6"/>
      <c r="AI464" s="6"/>
      <c r="AJ464" s="6"/>
      <c r="AK464" s="6"/>
      <c r="AL464" s="6"/>
      <c r="AM464" s="6"/>
      <c r="AN464" s="6"/>
      <c r="AO464" s="1"/>
      <c r="AP464" s="9"/>
      <c r="AQ464" s="2"/>
      <c r="AR464" s="3"/>
      <c r="AS464" s="10"/>
      <c r="AT464" s="1"/>
      <c r="AU464" s="1"/>
      <c r="AV464" s="1"/>
      <c r="AW464" s="1"/>
      <c r="AX464" s="1"/>
      <c r="AY464" s="1"/>
      <c r="AZ464" s="1"/>
      <c r="BA464" s="1"/>
      <c r="BB464" s="1"/>
      <c r="BC464" s="1"/>
      <c r="BD464" s="1"/>
      <c r="BE464" s="1"/>
      <c r="BF464" s="1"/>
      <c r="BG464" s="1"/>
      <c r="BH464" s="1"/>
    </row>
    <row x14ac:dyDescent="0.25" r="465" customHeight="1" ht="17.25">
      <c r="A465" s="1"/>
      <c r="B465" s="1"/>
      <c r="C465" s="1"/>
      <c r="D465" s="1"/>
      <c r="E465" s="2"/>
      <c r="F465" s="2"/>
      <c r="G465" s="2"/>
      <c r="H465" s="1"/>
      <c r="I465" s="3"/>
      <c r="J465" s="2"/>
      <c r="K465" s="4"/>
      <c r="L465" s="2"/>
      <c r="M465" s="5"/>
      <c r="N465" s="5"/>
      <c r="O465" s="6"/>
      <c r="P465" s="3"/>
      <c r="Q465" s="7"/>
      <c r="R465" s="7"/>
      <c r="S465" s="2"/>
      <c r="T465" s="1"/>
      <c r="U465" s="6"/>
      <c r="V465" s="3"/>
      <c r="W465" s="3"/>
      <c r="X465" s="17"/>
      <c r="Y465" s="1"/>
      <c r="Z465" s="1"/>
      <c r="AA465" s="3"/>
      <c r="AB465" s="3"/>
      <c r="AC465" s="3"/>
      <c r="AD465" s="3"/>
      <c r="AE465" s="4"/>
      <c r="AF465" s="8"/>
      <c r="AG465" s="1"/>
      <c r="AH465" s="6"/>
      <c r="AI465" s="6"/>
      <c r="AJ465" s="6"/>
      <c r="AK465" s="6"/>
      <c r="AL465" s="6"/>
      <c r="AM465" s="6"/>
      <c r="AN465" s="6"/>
      <c r="AO465" s="1"/>
      <c r="AP465" s="9"/>
      <c r="AQ465" s="2"/>
      <c r="AR465" s="3"/>
      <c r="AS465" s="10"/>
      <c r="AT465" s="1"/>
      <c r="AU465" s="1"/>
      <c r="AV465" s="1"/>
      <c r="AW465" s="1"/>
      <c r="AX465" s="1"/>
      <c r="AY465" s="1"/>
      <c r="AZ465" s="1"/>
      <c r="BA465" s="1"/>
      <c r="BB465" s="1"/>
      <c r="BC465" s="1"/>
      <c r="BD465" s="1"/>
      <c r="BE465" s="1"/>
      <c r="BF465" s="1"/>
      <c r="BG465" s="1"/>
      <c r="BH465" s="1"/>
    </row>
    <row x14ac:dyDescent="0.25" r="466" customHeight="1" ht="17.25">
      <c r="A466" s="1"/>
      <c r="B466" s="1"/>
      <c r="C466" s="1"/>
      <c r="D466" s="1"/>
      <c r="E466" s="2"/>
      <c r="F466" s="2"/>
      <c r="G466" s="2"/>
      <c r="H466" s="1"/>
      <c r="I466" s="3"/>
      <c r="J466" s="2"/>
      <c r="K466" s="4"/>
      <c r="L466" s="2"/>
      <c r="M466" s="5"/>
      <c r="N466" s="5"/>
      <c r="O466" s="6"/>
      <c r="P466" s="3"/>
      <c r="Q466" s="7"/>
      <c r="R466" s="7"/>
      <c r="S466" s="2"/>
      <c r="T466" s="1"/>
      <c r="U466" s="6"/>
      <c r="V466" s="3"/>
      <c r="W466" s="3"/>
      <c r="X466" s="17"/>
      <c r="Y466" s="1"/>
      <c r="Z466" s="1"/>
      <c r="AA466" s="3"/>
      <c r="AB466" s="3"/>
      <c r="AC466" s="3"/>
      <c r="AD466" s="3"/>
      <c r="AE466" s="4"/>
      <c r="AF466" s="8"/>
      <c r="AG466" s="1"/>
      <c r="AH466" s="6"/>
      <c r="AI466" s="6"/>
      <c r="AJ466" s="6"/>
      <c r="AK466" s="6"/>
      <c r="AL466" s="6"/>
      <c r="AM466" s="6"/>
      <c r="AN466" s="6"/>
      <c r="AO466" s="1"/>
      <c r="AP466" s="9"/>
      <c r="AQ466" s="2"/>
      <c r="AR466" s="3"/>
      <c r="AS466" s="10"/>
      <c r="AT466" s="1"/>
      <c r="AU466" s="1"/>
      <c r="AV466" s="1"/>
      <c r="AW466" s="1"/>
      <c r="AX466" s="1"/>
      <c r="AY466" s="1"/>
      <c r="AZ466" s="1"/>
      <c r="BA466" s="1"/>
      <c r="BB466" s="1"/>
      <c r="BC466" s="1"/>
      <c r="BD466" s="1"/>
      <c r="BE466" s="1"/>
      <c r="BF466" s="1"/>
      <c r="BG466" s="1"/>
      <c r="BH466" s="1"/>
    </row>
    <row x14ac:dyDescent="0.25" r="467" customHeight="1" ht="17.25">
      <c r="A467" s="1"/>
      <c r="B467" s="1"/>
      <c r="C467" s="1"/>
      <c r="D467" s="1"/>
      <c r="E467" s="2"/>
      <c r="F467" s="2"/>
      <c r="G467" s="2"/>
      <c r="H467" s="1"/>
      <c r="I467" s="3"/>
      <c r="J467" s="2"/>
      <c r="K467" s="4"/>
      <c r="L467" s="2"/>
      <c r="M467" s="5"/>
      <c r="N467" s="5"/>
      <c r="O467" s="6"/>
      <c r="P467" s="3"/>
      <c r="Q467" s="7"/>
      <c r="R467" s="7"/>
      <c r="S467" s="2"/>
      <c r="T467" s="1"/>
      <c r="U467" s="6"/>
      <c r="V467" s="3"/>
      <c r="W467" s="3"/>
      <c r="X467" s="17"/>
      <c r="Y467" s="1"/>
      <c r="Z467" s="1"/>
      <c r="AA467" s="3"/>
      <c r="AB467" s="3"/>
      <c r="AC467" s="3"/>
      <c r="AD467" s="3"/>
      <c r="AE467" s="4"/>
      <c r="AF467" s="8"/>
      <c r="AG467" s="1"/>
      <c r="AH467" s="6"/>
      <c r="AI467" s="6"/>
      <c r="AJ467" s="6"/>
      <c r="AK467" s="6"/>
      <c r="AL467" s="6"/>
      <c r="AM467" s="6"/>
      <c r="AN467" s="6"/>
      <c r="AO467" s="1"/>
      <c r="AP467" s="9"/>
      <c r="AQ467" s="2"/>
      <c r="AR467" s="3"/>
      <c r="AS467" s="10"/>
      <c r="AT467" s="1"/>
      <c r="AU467" s="1"/>
      <c r="AV467" s="1"/>
      <c r="AW467" s="1"/>
      <c r="AX467" s="1"/>
      <c r="AY467" s="1"/>
      <c r="AZ467" s="1"/>
      <c r="BA467" s="1"/>
      <c r="BB467" s="1"/>
      <c r="BC467" s="1"/>
      <c r="BD467" s="1"/>
      <c r="BE467" s="1"/>
      <c r="BF467" s="1"/>
      <c r="BG467" s="1"/>
      <c r="BH467" s="1"/>
    </row>
    <row x14ac:dyDescent="0.25" r="468" customHeight="1" ht="17.25">
      <c r="A468" s="1"/>
      <c r="B468" s="1"/>
      <c r="C468" s="1"/>
      <c r="D468" s="1"/>
      <c r="E468" s="2"/>
      <c r="F468" s="2"/>
      <c r="G468" s="2"/>
      <c r="H468" s="1"/>
      <c r="I468" s="3"/>
      <c r="J468" s="2"/>
      <c r="K468" s="4"/>
      <c r="L468" s="2"/>
      <c r="M468" s="5"/>
      <c r="N468" s="5"/>
      <c r="O468" s="6"/>
      <c r="P468" s="3"/>
      <c r="Q468" s="7"/>
      <c r="R468" s="7"/>
      <c r="S468" s="2"/>
      <c r="T468" s="1"/>
      <c r="U468" s="6"/>
      <c r="V468" s="3"/>
      <c r="W468" s="3"/>
      <c r="X468" s="17"/>
      <c r="Y468" s="1"/>
      <c r="Z468" s="1"/>
      <c r="AA468" s="3"/>
      <c r="AB468" s="3"/>
      <c r="AC468" s="3"/>
      <c r="AD468" s="3"/>
      <c r="AE468" s="4"/>
      <c r="AF468" s="8"/>
      <c r="AG468" s="1"/>
      <c r="AH468" s="6"/>
      <c r="AI468" s="6"/>
      <c r="AJ468" s="6"/>
      <c r="AK468" s="6"/>
      <c r="AL468" s="6"/>
      <c r="AM468" s="6"/>
      <c r="AN468" s="6"/>
      <c r="AO468" s="1"/>
      <c r="AP468" s="9"/>
      <c r="AQ468" s="2"/>
      <c r="AR468" s="3"/>
      <c r="AS468" s="10"/>
      <c r="AT468" s="1"/>
      <c r="AU468" s="1"/>
      <c r="AV468" s="1"/>
      <c r="AW468" s="1"/>
      <c r="AX468" s="1"/>
      <c r="AY468" s="1"/>
      <c r="AZ468" s="1"/>
      <c r="BA468" s="1"/>
      <c r="BB468" s="1"/>
      <c r="BC468" s="1"/>
      <c r="BD468" s="1"/>
      <c r="BE468" s="1"/>
      <c r="BF468" s="1"/>
      <c r="BG468" s="1"/>
      <c r="BH468" s="1"/>
    </row>
    <row x14ac:dyDescent="0.25" r="469" customHeight="1" ht="17.25">
      <c r="A469" s="1"/>
      <c r="B469" s="1"/>
      <c r="C469" s="1"/>
      <c r="D469" s="1"/>
      <c r="E469" s="2"/>
      <c r="F469" s="2"/>
      <c r="G469" s="2"/>
      <c r="H469" s="1"/>
      <c r="I469" s="3"/>
      <c r="J469" s="2"/>
      <c r="K469" s="4"/>
      <c r="L469" s="2"/>
      <c r="M469" s="5"/>
      <c r="N469" s="5"/>
      <c r="O469" s="6"/>
      <c r="P469" s="3"/>
      <c r="Q469" s="7"/>
      <c r="R469" s="7"/>
      <c r="S469" s="2"/>
      <c r="T469" s="1"/>
      <c r="U469" s="6"/>
      <c r="V469" s="3"/>
      <c r="W469" s="3"/>
      <c r="X469" s="17"/>
      <c r="Y469" s="1"/>
      <c r="Z469" s="1"/>
      <c r="AA469" s="3"/>
      <c r="AB469" s="3"/>
      <c r="AC469" s="3"/>
      <c r="AD469" s="3"/>
      <c r="AE469" s="4"/>
      <c r="AF469" s="8"/>
      <c r="AG469" s="1"/>
      <c r="AH469" s="6"/>
      <c r="AI469" s="6"/>
      <c r="AJ469" s="6"/>
      <c r="AK469" s="6"/>
      <c r="AL469" s="6"/>
      <c r="AM469" s="6"/>
      <c r="AN469" s="6"/>
      <c r="AO469" s="1"/>
      <c r="AP469" s="9"/>
      <c r="AQ469" s="2"/>
      <c r="AR469" s="3"/>
      <c r="AS469" s="10"/>
      <c r="AT469" s="1"/>
      <c r="AU469" s="1"/>
      <c r="AV469" s="1"/>
      <c r="AW469" s="1"/>
      <c r="AX469" s="1"/>
      <c r="AY469" s="1"/>
      <c r="AZ469" s="1"/>
      <c r="BA469" s="1"/>
      <c r="BB469" s="1"/>
      <c r="BC469" s="1"/>
      <c r="BD469" s="1"/>
      <c r="BE469" s="1"/>
      <c r="BF469" s="1"/>
      <c r="BG469" s="1"/>
      <c r="BH469" s="1"/>
    </row>
    <row x14ac:dyDescent="0.25" r="470" customHeight="1" ht="17.25">
      <c r="A470" s="1"/>
      <c r="B470" s="1"/>
      <c r="C470" s="1"/>
      <c r="D470" s="1"/>
      <c r="E470" s="2"/>
      <c r="F470" s="2"/>
      <c r="G470" s="2"/>
      <c r="H470" s="1"/>
      <c r="I470" s="3"/>
      <c r="J470" s="2"/>
      <c r="K470" s="4"/>
      <c r="L470" s="2"/>
      <c r="M470" s="5"/>
      <c r="N470" s="5"/>
      <c r="O470" s="6"/>
      <c r="P470" s="3"/>
      <c r="Q470" s="7"/>
      <c r="R470" s="7"/>
      <c r="S470" s="2"/>
      <c r="T470" s="1"/>
      <c r="U470" s="6"/>
      <c r="V470" s="3"/>
      <c r="W470" s="3"/>
      <c r="X470" s="17"/>
      <c r="Y470" s="1"/>
      <c r="Z470" s="1"/>
      <c r="AA470" s="3"/>
      <c r="AB470" s="3"/>
      <c r="AC470" s="3"/>
      <c r="AD470" s="3"/>
      <c r="AE470" s="4"/>
      <c r="AF470" s="8"/>
      <c r="AG470" s="1"/>
      <c r="AH470" s="6"/>
      <c r="AI470" s="6"/>
      <c r="AJ470" s="6"/>
      <c r="AK470" s="6"/>
      <c r="AL470" s="6"/>
      <c r="AM470" s="6"/>
      <c r="AN470" s="6"/>
      <c r="AO470" s="1"/>
      <c r="AP470" s="9"/>
      <c r="AQ470" s="2"/>
      <c r="AR470" s="3"/>
      <c r="AS470" s="10"/>
      <c r="AT470" s="1"/>
      <c r="AU470" s="1"/>
      <c r="AV470" s="1"/>
      <c r="AW470" s="1"/>
      <c r="AX470" s="1"/>
      <c r="AY470" s="1"/>
      <c r="AZ470" s="1"/>
      <c r="BA470" s="1"/>
      <c r="BB470" s="1"/>
      <c r="BC470" s="1"/>
      <c r="BD470" s="1"/>
      <c r="BE470" s="1"/>
      <c r="BF470" s="1"/>
      <c r="BG470" s="1"/>
      <c r="BH470" s="1"/>
    </row>
    <row x14ac:dyDescent="0.25" r="471" customHeight="1" ht="17.25">
      <c r="A471" s="1"/>
      <c r="B471" s="1"/>
      <c r="C471" s="1"/>
      <c r="D471" s="1"/>
      <c r="E471" s="2"/>
      <c r="F471" s="2"/>
      <c r="G471" s="2"/>
      <c r="H471" s="1"/>
      <c r="I471" s="3"/>
      <c r="J471" s="2"/>
      <c r="K471" s="4"/>
      <c r="L471" s="2"/>
      <c r="M471" s="5"/>
      <c r="N471" s="5"/>
      <c r="O471" s="6"/>
      <c r="P471" s="3"/>
      <c r="Q471" s="7"/>
      <c r="R471" s="7"/>
      <c r="S471" s="2"/>
      <c r="T471" s="1"/>
      <c r="U471" s="6"/>
      <c r="V471" s="3"/>
      <c r="W471" s="3"/>
      <c r="X471" s="17"/>
      <c r="Y471" s="1"/>
      <c r="Z471" s="1"/>
      <c r="AA471" s="3"/>
      <c r="AB471" s="3"/>
      <c r="AC471" s="3"/>
      <c r="AD471" s="3"/>
      <c r="AE471" s="4"/>
      <c r="AF471" s="8"/>
      <c r="AG471" s="1"/>
      <c r="AH471" s="6"/>
      <c r="AI471" s="6"/>
      <c r="AJ471" s="6"/>
      <c r="AK471" s="6"/>
      <c r="AL471" s="6"/>
      <c r="AM471" s="6"/>
      <c r="AN471" s="6"/>
      <c r="AO471" s="1"/>
      <c r="AP471" s="9"/>
      <c r="AQ471" s="2"/>
      <c r="AR471" s="3"/>
      <c r="AS471" s="10"/>
      <c r="AT471" s="1"/>
      <c r="AU471" s="1"/>
      <c r="AV471" s="1"/>
      <c r="AW471" s="1"/>
      <c r="AX471" s="1"/>
      <c r="AY471" s="1"/>
      <c r="AZ471" s="1"/>
      <c r="BA471" s="1"/>
      <c r="BB471" s="1"/>
      <c r="BC471" s="1"/>
      <c r="BD471" s="1"/>
      <c r="BE471" s="1"/>
      <c r="BF471" s="1"/>
      <c r="BG471" s="1"/>
      <c r="BH471" s="1"/>
    </row>
    <row x14ac:dyDescent="0.25" r="472" customHeight="1" ht="17.25">
      <c r="A472" s="1"/>
      <c r="B472" s="1"/>
      <c r="C472" s="1"/>
      <c r="D472" s="1"/>
      <c r="E472" s="2"/>
      <c r="F472" s="2"/>
      <c r="G472" s="2"/>
      <c r="H472" s="1"/>
      <c r="I472" s="3"/>
      <c r="J472" s="2"/>
      <c r="K472" s="4"/>
      <c r="L472" s="2"/>
      <c r="M472" s="5"/>
      <c r="N472" s="5"/>
      <c r="O472" s="6"/>
      <c r="P472" s="3"/>
      <c r="Q472" s="7"/>
      <c r="R472" s="7"/>
      <c r="S472" s="2"/>
      <c r="T472" s="1"/>
      <c r="U472" s="6"/>
      <c r="V472" s="3"/>
      <c r="W472" s="3"/>
      <c r="X472" s="17"/>
      <c r="Y472" s="1"/>
      <c r="Z472" s="1"/>
      <c r="AA472" s="3"/>
      <c r="AB472" s="3"/>
      <c r="AC472" s="3"/>
      <c r="AD472" s="3"/>
      <c r="AE472" s="4"/>
      <c r="AF472" s="8"/>
      <c r="AG472" s="1"/>
      <c r="AH472" s="6"/>
      <c r="AI472" s="6"/>
      <c r="AJ472" s="6"/>
      <c r="AK472" s="6"/>
      <c r="AL472" s="6"/>
      <c r="AM472" s="6"/>
      <c r="AN472" s="6"/>
      <c r="AO472" s="1"/>
      <c r="AP472" s="9"/>
      <c r="AQ472" s="2"/>
      <c r="AR472" s="3"/>
      <c r="AS472" s="10"/>
      <c r="AT472" s="1"/>
      <c r="AU472" s="1"/>
      <c r="AV472" s="1"/>
      <c r="AW472" s="1"/>
      <c r="AX472" s="1"/>
      <c r="AY472" s="1"/>
      <c r="AZ472" s="1"/>
      <c r="BA472" s="1"/>
      <c r="BB472" s="1"/>
      <c r="BC472" s="1"/>
      <c r="BD472" s="1"/>
      <c r="BE472" s="1"/>
      <c r="BF472" s="1"/>
      <c r="BG472" s="1"/>
      <c r="BH472" s="1"/>
    </row>
    <row x14ac:dyDescent="0.25" r="473" customHeight="1" ht="17.25">
      <c r="A473" s="1"/>
      <c r="B473" s="1"/>
      <c r="C473" s="1"/>
      <c r="D473" s="1"/>
      <c r="E473" s="2"/>
      <c r="F473" s="2"/>
      <c r="G473" s="2"/>
      <c r="H473" s="1"/>
      <c r="I473" s="3"/>
      <c r="J473" s="2"/>
      <c r="K473" s="4"/>
      <c r="L473" s="2"/>
      <c r="M473" s="5"/>
      <c r="N473" s="5"/>
      <c r="O473" s="6"/>
      <c r="P473" s="3"/>
      <c r="Q473" s="7"/>
      <c r="R473" s="7"/>
      <c r="S473" s="2"/>
      <c r="T473" s="1"/>
      <c r="U473" s="6"/>
      <c r="V473" s="3"/>
      <c r="W473" s="3"/>
      <c r="X473" s="17"/>
      <c r="Y473" s="1"/>
      <c r="Z473" s="1"/>
      <c r="AA473" s="3"/>
      <c r="AB473" s="3"/>
      <c r="AC473" s="3"/>
      <c r="AD473" s="3"/>
      <c r="AE473" s="4"/>
      <c r="AF473" s="8"/>
      <c r="AG473" s="1"/>
      <c r="AH473" s="6"/>
      <c r="AI473" s="6"/>
      <c r="AJ473" s="6"/>
      <c r="AK473" s="6"/>
      <c r="AL473" s="6"/>
      <c r="AM473" s="6"/>
      <c r="AN473" s="6"/>
      <c r="AO473" s="1"/>
      <c r="AP473" s="9"/>
      <c r="AQ473" s="2"/>
      <c r="AR473" s="3"/>
      <c r="AS473" s="10"/>
      <c r="AT473" s="1"/>
      <c r="AU473" s="1"/>
      <c r="AV473" s="1"/>
      <c r="AW473" s="1"/>
      <c r="AX473" s="1"/>
      <c r="AY473" s="1"/>
      <c r="AZ473" s="1"/>
      <c r="BA473" s="1"/>
      <c r="BB473" s="1"/>
      <c r="BC473" s="1"/>
      <c r="BD473" s="1"/>
      <c r="BE473" s="1"/>
      <c r="BF473" s="1"/>
      <c r="BG473" s="1"/>
      <c r="BH473" s="1"/>
    </row>
    <row x14ac:dyDescent="0.25" r="474" customHeight="1" ht="17.25">
      <c r="A474" s="1"/>
      <c r="B474" s="1"/>
      <c r="C474" s="1"/>
      <c r="D474" s="1"/>
      <c r="E474" s="2"/>
      <c r="F474" s="2"/>
      <c r="G474" s="2"/>
      <c r="H474" s="1"/>
      <c r="I474" s="3"/>
      <c r="J474" s="2"/>
      <c r="K474" s="4"/>
      <c r="L474" s="2"/>
      <c r="M474" s="5"/>
      <c r="N474" s="5"/>
      <c r="O474" s="6"/>
      <c r="P474" s="3"/>
      <c r="Q474" s="7"/>
      <c r="R474" s="7"/>
      <c r="S474" s="2"/>
      <c r="T474" s="1"/>
      <c r="U474" s="6"/>
      <c r="V474" s="3"/>
      <c r="W474" s="3"/>
      <c r="X474" s="17"/>
      <c r="Y474" s="1"/>
      <c r="Z474" s="1"/>
      <c r="AA474" s="3"/>
      <c r="AB474" s="3"/>
      <c r="AC474" s="3"/>
      <c r="AD474" s="3"/>
      <c r="AE474" s="4"/>
      <c r="AF474" s="8"/>
      <c r="AG474" s="1"/>
      <c r="AH474" s="6"/>
      <c r="AI474" s="6"/>
      <c r="AJ474" s="6"/>
      <c r="AK474" s="6"/>
      <c r="AL474" s="6"/>
      <c r="AM474" s="6"/>
      <c r="AN474" s="6"/>
      <c r="AO474" s="1"/>
      <c r="AP474" s="9"/>
      <c r="AQ474" s="2"/>
      <c r="AR474" s="3"/>
      <c r="AS474" s="10"/>
      <c r="AT474" s="1"/>
      <c r="AU474" s="1"/>
      <c r="AV474" s="1"/>
      <c r="AW474" s="1"/>
      <c r="AX474" s="1"/>
      <c r="AY474" s="1"/>
      <c r="AZ474" s="1"/>
      <c r="BA474" s="1"/>
      <c r="BB474" s="1"/>
      <c r="BC474" s="1"/>
      <c r="BD474" s="1"/>
      <c r="BE474" s="1"/>
      <c r="BF474" s="1"/>
      <c r="BG474" s="1"/>
      <c r="BH474" s="1"/>
    </row>
    <row x14ac:dyDescent="0.25" r="475" customHeight="1" ht="17.25">
      <c r="A475" s="1"/>
      <c r="B475" s="1"/>
      <c r="C475" s="1"/>
      <c r="D475" s="1"/>
      <c r="E475" s="2"/>
      <c r="F475" s="2"/>
      <c r="G475" s="2"/>
      <c r="H475" s="1"/>
      <c r="I475" s="3"/>
      <c r="J475" s="2"/>
      <c r="K475" s="4"/>
      <c r="L475" s="2"/>
      <c r="M475" s="5"/>
      <c r="N475" s="5"/>
      <c r="O475" s="6"/>
      <c r="P475" s="3"/>
      <c r="Q475" s="7"/>
      <c r="R475" s="7"/>
      <c r="S475" s="2"/>
      <c r="T475" s="1"/>
      <c r="U475" s="6"/>
      <c r="V475" s="3"/>
      <c r="W475" s="3"/>
      <c r="X475" s="17"/>
      <c r="Y475" s="1"/>
      <c r="Z475" s="1"/>
      <c r="AA475" s="3"/>
      <c r="AB475" s="3"/>
      <c r="AC475" s="3"/>
      <c r="AD475" s="3"/>
      <c r="AE475" s="4"/>
      <c r="AF475" s="8"/>
      <c r="AG475" s="1"/>
      <c r="AH475" s="6"/>
      <c r="AI475" s="6"/>
      <c r="AJ475" s="6"/>
      <c r="AK475" s="6"/>
      <c r="AL475" s="6"/>
      <c r="AM475" s="6"/>
      <c r="AN475" s="6"/>
      <c r="AO475" s="1"/>
      <c r="AP475" s="9"/>
      <c r="AQ475" s="2"/>
      <c r="AR475" s="3"/>
      <c r="AS475" s="10"/>
      <c r="AT475" s="1"/>
      <c r="AU475" s="1"/>
      <c r="AV475" s="1"/>
      <c r="AW475" s="1"/>
      <c r="AX475" s="1"/>
      <c r="AY475" s="1"/>
      <c r="AZ475" s="1"/>
      <c r="BA475" s="1"/>
      <c r="BB475" s="1"/>
      <c r="BC475" s="1"/>
      <c r="BD475" s="1"/>
      <c r="BE475" s="1"/>
      <c r="BF475" s="1"/>
      <c r="BG475" s="1"/>
      <c r="BH475" s="1"/>
    </row>
    <row x14ac:dyDescent="0.25" r="476" customHeight="1" ht="17.25">
      <c r="A476" s="1"/>
      <c r="B476" s="1"/>
      <c r="C476" s="1"/>
      <c r="D476" s="1"/>
      <c r="E476" s="2"/>
      <c r="F476" s="2"/>
      <c r="G476" s="2"/>
      <c r="H476" s="1"/>
      <c r="I476" s="3"/>
      <c r="J476" s="2"/>
      <c r="K476" s="4"/>
      <c r="L476" s="2"/>
      <c r="M476" s="5"/>
      <c r="N476" s="5"/>
      <c r="O476" s="6"/>
      <c r="P476" s="3"/>
      <c r="Q476" s="7"/>
      <c r="R476" s="7"/>
      <c r="S476" s="2"/>
      <c r="T476" s="1"/>
      <c r="U476" s="6"/>
      <c r="V476" s="3"/>
      <c r="W476" s="3"/>
      <c r="X476" s="17"/>
      <c r="Y476" s="1"/>
      <c r="Z476" s="1"/>
      <c r="AA476" s="3"/>
      <c r="AB476" s="3"/>
      <c r="AC476" s="3"/>
      <c r="AD476" s="3"/>
      <c r="AE476" s="4"/>
      <c r="AF476" s="8"/>
      <c r="AG476" s="1"/>
      <c r="AH476" s="6"/>
      <c r="AI476" s="6"/>
      <c r="AJ476" s="6"/>
      <c r="AK476" s="6"/>
      <c r="AL476" s="6"/>
      <c r="AM476" s="6"/>
      <c r="AN476" s="6"/>
      <c r="AO476" s="1"/>
      <c r="AP476" s="9"/>
      <c r="AQ476" s="2"/>
      <c r="AR476" s="3"/>
      <c r="AS476" s="10"/>
      <c r="AT476" s="1"/>
      <c r="AU476" s="1"/>
      <c r="AV476" s="1"/>
      <c r="AW476" s="1"/>
      <c r="AX476" s="1"/>
      <c r="AY476" s="1"/>
      <c r="AZ476" s="1"/>
      <c r="BA476" s="1"/>
      <c r="BB476" s="1"/>
      <c r="BC476" s="1"/>
      <c r="BD476" s="1"/>
      <c r="BE476" s="1"/>
      <c r="BF476" s="1"/>
      <c r="BG476" s="1"/>
      <c r="BH476" s="1"/>
    </row>
    <row x14ac:dyDescent="0.25" r="477" customHeight="1" ht="17.25">
      <c r="A477" s="1"/>
      <c r="B477" s="1"/>
      <c r="C477" s="1"/>
      <c r="D477" s="1"/>
      <c r="E477" s="2"/>
      <c r="F477" s="2"/>
      <c r="G477" s="2"/>
      <c r="H477" s="1"/>
      <c r="I477" s="3"/>
      <c r="J477" s="2"/>
      <c r="K477" s="4"/>
      <c r="L477" s="2"/>
      <c r="M477" s="5"/>
      <c r="N477" s="5"/>
      <c r="O477" s="6"/>
      <c r="P477" s="3"/>
      <c r="Q477" s="7"/>
      <c r="R477" s="7"/>
      <c r="S477" s="2"/>
      <c r="T477" s="1"/>
      <c r="U477" s="6"/>
      <c r="V477" s="3"/>
      <c r="W477" s="3"/>
      <c r="X477" s="17"/>
      <c r="Y477" s="1"/>
      <c r="Z477" s="1"/>
      <c r="AA477" s="3"/>
      <c r="AB477" s="3"/>
      <c r="AC477" s="3"/>
      <c r="AD477" s="3"/>
      <c r="AE477" s="4"/>
      <c r="AF477" s="8"/>
      <c r="AG477" s="1"/>
      <c r="AH477" s="6"/>
      <c r="AI477" s="6"/>
      <c r="AJ477" s="6"/>
      <c r="AK477" s="6"/>
      <c r="AL477" s="6"/>
      <c r="AM477" s="6"/>
      <c r="AN477" s="6"/>
      <c r="AO477" s="1"/>
      <c r="AP477" s="9"/>
      <c r="AQ477" s="2"/>
      <c r="AR477" s="3"/>
      <c r="AS477" s="10"/>
      <c r="AT477" s="1"/>
      <c r="AU477" s="1"/>
      <c r="AV477" s="1"/>
      <c r="AW477" s="1"/>
      <c r="AX477" s="1"/>
      <c r="AY477" s="1"/>
      <c r="AZ477" s="1"/>
      <c r="BA477" s="1"/>
      <c r="BB477" s="1"/>
      <c r="BC477" s="1"/>
      <c r="BD477" s="1"/>
      <c r="BE477" s="1"/>
      <c r="BF477" s="1"/>
      <c r="BG477" s="1"/>
      <c r="BH477" s="1"/>
    </row>
    <row x14ac:dyDescent="0.25" r="478" customHeight="1" ht="17.25">
      <c r="A478" s="1"/>
      <c r="B478" s="1"/>
      <c r="C478" s="1"/>
      <c r="D478" s="1"/>
      <c r="E478" s="2"/>
      <c r="F478" s="2"/>
      <c r="G478" s="2"/>
      <c r="H478" s="1"/>
      <c r="I478" s="3"/>
      <c r="J478" s="2"/>
      <c r="K478" s="4"/>
      <c r="L478" s="2"/>
      <c r="M478" s="5"/>
      <c r="N478" s="5"/>
      <c r="O478" s="6"/>
      <c r="P478" s="3"/>
      <c r="Q478" s="7"/>
      <c r="R478" s="7"/>
      <c r="S478" s="2"/>
      <c r="T478" s="1"/>
      <c r="U478" s="6"/>
      <c r="V478" s="3"/>
      <c r="W478" s="3"/>
      <c r="X478" s="17"/>
      <c r="Y478" s="1"/>
      <c r="Z478" s="1"/>
      <c r="AA478" s="3"/>
      <c r="AB478" s="3"/>
      <c r="AC478" s="3"/>
      <c r="AD478" s="3"/>
      <c r="AE478" s="4"/>
      <c r="AF478" s="8"/>
      <c r="AG478" s="1"/>
      <c r="AH478" s="6"/>
      <c r="AI478" s="6"/>
      <c r="AJ478" s="6"/>
      <c r="AK478" s="6"/>
      <c r="AL478" s="6"/>
      <c r="AM478" s="6"/>
      <c r="AN478" s="6"/>
      <c r="AO478" s="1"/>
      <c r="AP478" s="9"/>
      <c r="AQ478" s="2"/>
      <c r="AR478" s="3"/>
      <c r="AS478" s="10"/>
      <c r="AT478" s="1"/>
      <c r="AU478" s="1"/>
      <c r="AV478" s="1"/>
      <c r="AW478" s="1"/>
      <c r="AX478" s="1"/>
      <c r="AY478" s="1"/>
      <c r="AZ478" s="1"/>
      <c r="BA478" s="1"/>
      <c r="BB478" s="1"/>
      <c r="BC478" s="1"/>
      <c r="BD478" s="1"/>
      <c r="BE478" s="1"/>
      <c r="BF478" s="1"/>
      <c r="BG478" s="1"/>
      <c r="BH478" s="1"/>
    </row>
    <row x14ac:dyDescent="0.25" r="479" customHeight="1" ht="17.25">
      <c r="A479" s="1"/>
      <c r="B479" s="1"/>
      <c r="C479" s="1"/>
      <c r="D479" s="1"/>
      <c r="E479" s="2"/>
      <c r="F479" s="2"/>
      <c r="G479" s="2"/>
      <c r="H479" s="1"/>
      <c r="I479" s="3"/>
      <c r="J479" s="2"/>
      <c r="K479" s="4"/>
      <c r="L479" s="2"/>
      <c r="M479" s="5"/>
      <c r="N479" s="5"/>
      <c r="O479" s="6"/>
      <c r="P479" s="3"/>
      <c r="Q479" s="7"/>
      <c r="R479" s="7"/>
      <c r="S479" s="2"/>
      <c r="T479" s="1"/>
      <c r="U479" s="6"/>
      <c r="V479" s="3"/>
      <c r="W479" s="3"/>
      <c r="X479" s="17"/>
      <c r="Y479" s="1"/>
      <c r="Z479" s="1"/>
      <c r="AA479" s="3"/>
      <c r="AB479" s="3"/>
      <c r="AC479" s="3"/>
      <c r="AD479" s="3"/>
      <c r="AE479" s="4"/>
      <c r="AF479" s="8"/>
      <c r="AG479" s="1"/>
      <c r="AH479" s="6"/>
      <c r="AI479" s="6"/>
      <c r="AJ479" s="6"/>
      <c r="AK479" s="6"/>
      <c r="AL479" s="6"/>
      <c r="AM479" s="6"/>
      <c r="AN479" s="6"/>
      <c r="AO479" s="1"/>
      <c r="AP479" s="9"/>
      <c r="AQ479" s="2"/>
      <c r="AR479" s="3"/>
      <c r="AS479" s="10"/>
      <c r="AT479" s="1"/>
      <c r="AU479" s="1"/>
      <c r="AV479" s="1"/>
      <c r="AW479" s="1"/>
      <c r="AX479" s="1"/>
      <c r="AY479" s="1"/>
      <c r="AZ479" s="1"/>
      <c r="BA479" s="1"/>
      <c r="BB479" s="1"/>
      <c r="BC479" s="1"/>
      <c r="BD479" s="1"/>
      <c r="BE479" s="1"/>
      <c r="BF479" s="1"/>
      <c r="BG479" s="1"/>
      <c r="BH479" s="1"/>
    </row>
    <row x14ac:dyDescent="0.25" r="480" customHeight="1" ht="17.25">
      <c r="A480" s="1"/>
      <c r="B480" s="1"/>
      <c r="C480" s="1"/>
      <c r="D480" s="1"/>
      <c r="E480" s="2"/>
      <c r="F480" s="2"/>
      <c r="G480" s="2"/>
      <c r="H480" s="1"/>
      <c r="I480" s="3"/>
      <c r="J480" s="2"/>
      <c r="K480" s="4"/>
      <c r="L480" s="2"/>
      <c r="M480" s="5"/>
      <c r="N480" s="5"/>
      <c r="O480" s="6"/>
      <c r="P480" s="3"/>
      <c r="Q480" s="7"/>
      <c r="R480" s="7"/>
      <c r="S480" s="2"/>
      <c r="T480" s="1"/>
      <c r="U480" s="6"/>
      <c r="V480" s="3"/>
      <c r="W480" s="3"/>
      <c r="X480" s="17"/>
      <c r="Y480" s="1"/>
      <c r="Z480" s="1"/>
      <c r="AA480" s="3"/>
      <c r="AB480" s="3"/>
      <c r="AC480" s="3"/>
      <c r="AD480" s="3"/>
      <c r="AE480" s="4"/>
      <c r="AF480" s="8"/>
      <c r="AG480" s="1"/>
      <c r="AH480" s="6"/>
      <c r="AI480" s="6"/>
      <c r="AJ480" s="6"/>
      <c r="AK480" s="6"/>
      <c r="AL480" s="6"/>
      <c r="AM480" s="6"/>
      <c r="AN480" s="6"/>
      <c r="AO480" s="1"/>
      <c r="AP480" s="9"/>
      <c r="AQ480" s="2"/>
      <c r="AR480" s="3"/>
      <c r="AS480" s="10"/>
      <c r="AT480" s="1"/>
      <c r="AU480" s="1"/>
      <c r="AV480" s="1"/>
      <c r="AW480" s="1"/>
      <c r="AX480" s="1"/>
      <c r="AY480" s="1"/>
      <c r="AZ480" s="1"/>
      <c r="BA480" s="1"/>
      <c r="BB480" s="1"/>
      <c r="BC480" s="1"/>
      <c r="BD480" s="1"/>
      <c r="BE480" s="1"/>
      <c r="BF480" s="1"/>
      <c r="BG480" s="1"/>
      <c r="BH480" s="1"/>
    </row>
    <row x14ac:dyDescent="0.25" r="481" customHeight="1" ht="17.25">
      <c r="A481" s="1"/>
      <c r="B481" s="1"/>
      <c r="C481" s="1"/>
      <c r="D481" s="1"/>
      <c r="E481" s="2"/>
      <c r="F481" s="2"/>
      <c r="G481" s="2"/>
      <c r="H481" s="1"/>
      <c r="I481" s="3"/>
      <c r="J481" s="2"/>
      <c r="K481" s="4"/>
      <c r="L481" s="2"/>
      <c r="M481" s="5"/>
      <c r="N481" s="5"/>
      <c r="O481" s="6"/>
      <c r="P481" s="3"/>
      <c r="Q481" s="7"/>
      <c r="R481" s="7"/>
      <c r="S481" s="2"/>
      <c r="T481" s="1"/>
      <c r="U481" s="6"/>
      <c r="V481" s="3"/>
      <c r="W481" s="3"/>
      <c r="X481" s="17"/>
      <c r="Y481" s="1"/>
      <c r="Z481" s="1"/>
      <c r="AA481" s="3"/>
      <c r="AB481" s="3"/>
      <c r="AC481" s="3"/>
      <c r="AD481" s="3"/>
      <c r="AE481" s="4"/>
      <c r="AF481" s="8"/>
      <c r="AG481" s="1"/>
      <c r="AH481" s="6"/>
      <c r="AI481" s="6"/>
      <c r="AJ481" s="6"/>
      <c r="AK481" s="6"/>
      <c r="AL481" s="6"/>
      <c r="AM481" s="6"/>
      <c r="AN481" s="6"/>
      <c r="AO481" s="1"/>
      <c r="AP481" s="9"/>
      <c r="AQ481" s="2"/>
      <c r="AR481" s="3"/>
      <c r="AS481" s="10"/>
      <c r="AT481" s="1"/>
      <c r="AU481" s="1"/>
      <c r="AV481" s="1"/>
      <c r="AW481" s="1"/>
      <c r="AX481" s="1"/>
      <c r="AY481" s="1"/>
      <c r="AZ481" s="1"/>
      <c r="BA481" s="1"/>
      <c r="BB481" s="1"/>
      <c r="BC481" s="1"/>
      <c r="BD481" s="1"/>
      <c r="BE481" s="1"/>
      <c r="BF481" s="1"/>
      <c r="BG481" s="1"/>
      <c r="BH481" s="1"/>
    </row>
    <row x14ac:dyDescent="0.25" r="482" customHeight="1" ht="17.25">
      <c r="A482" s="1"/>
      <c r="B482" s="1"/>
      <c r="C482" s="1"/>
      <c r="D482" s="1"/>
      <c r="E482" s="2"/>
      <c r="F482" s="2"/>
      <c r="G482" s="2"/>
      <c r="H482" s="1"/>
      <c r="I482" s="3"/>
      <c r="J482" s="2"/>
      <c r="K482" s="4"/>
      <c r="L482" s="2"/>
      <c r="M482" s="5"/>
      <c r="N482" s="5"/>
      <c r="O482" s="6"/>
      <c r="P482" s="3"/>
      <c r="Q482" s="7"/>
      <c r="R482" s="7"/>
      <c r="S482" s="2"/>
      <c r="T482" s="1"/>
      <c r="U482" s="6"/>
      <c r="V482" s="3"/>
      <c r="W482" s="3"/>
      <c r="X482" s="17"/>
      <c r="Y482" s="1"/>
      <c r="Z482" s="1"/>
      <c r="AA482" s="3"/>
      <c r="AB482" s="3"/>
      <c r="AC482" s="3"/>
      <c r="AD482" s="3"/>
      <c r="AE482" s="4"/>
      <c r="AF482" s="8"/>
      <c r="AG482" s="1"/>
      <c r="AH482" s="6"/>
      <c r="AI482" s="6"/>
      <c r="AJ482" s="6"/>
      <c r="AK482" s="6"/>
      <c r="AL482" s="6"/>
      <c r="AM482" s="6"/>
      <c r="AN482" s="6"/>
      <c r="AO482" s="1"/>
      <c r="AP482" s="9"/>
      <c r="AQ482" s="2"/>
      <c r="AR482" s="3"/>
      <c r="AS482" s="10"/>
      <c r="AT482" s="1"/>
      <c r="AU482" s="1"/>
      <c r="AV482" s="1"/>
      <c r="AW482" s="1"/>
      <c r="AX482" s="1"/>
      <c r="AY482" s="1"/>
      <c r="AZ482" s="1"/>
      <c r="BA482" s="1"/>
      <c r="BB482" s="1"/>
      <c r="BC482" s="1"/>
      <c r="BD482" s="1"/>
      <c r="BE482" s="1"/>
      <c r="BF482" s="1"/>
      <c r="BG482" s="1"/>
      <c r="BH482" s="1"/>
    </row>
    <row x14ac:dyDescent="0.25" r="483" customHeight="1" ht="17.25">
      <c r="A483" s="1"/>
      <c r="B483" s="1"/>
      <c r="C483" s="1"/>
      <c r="D483" s="1"/>
      <c r="E483" s="2"/>
      <c r="F483" s="2"/>
      <c r="G483" s="2"/>
      <c r="H483" s="1"/>
      <c r="I483" s="3"/>
      <c r="J483" s="2"/>
      <c r="K483" s="4"/>
      <c r="L483" s="2"/>
      <c r="M483" s="5"/>
      <c r="N483" s="5"/>
      <c r="O483" s="6"/>
      <c r="P483" s="3"/>
      <c r="Q483" s="7"/>
      <c r="R483" s="7"/>
      <c r="S483" s="2"/>
      <c r="T483" s="1"/>
      <c r="U483" s="6"/>
      <c r="V483" s="3"/>
      <c r="W483" s="3"/>
      <c r="X483" s="17"/>
      <c r="Y483" s="1"/>
      <c r="Z483" s="1"/>
      <c r="AA483" s="3"/>
      <c r="AB483" s="3"/>
      <c r="AC483" s="3"/>
      <c r="AD483" s="3"/>
      <c r="AE483" s="4"/>
      <c r="AF483" s="8"/>
      <c r="AG483" s="1"/>
      <c r="AH483" s="6"/>
      <c r="AI483" s="6"/>
      <c r="AJ483" s="6"/>
      <c r="AK483" s="6"/>
      <c r="AL483" s="6"/>
      <c r="AM483" s="6"/>
      <c r="AN483" s="6"/>
      <c r="AO483" s="1"/>
      <c r="AP483" s="9"/>
      <c r="AQ483" s="2"/>
      <c r="AR483" s="3"/>
      <c r="AS483" s="10"/>
      <c r="AT483" s="1"/>
      <c r="AU483" s="1"/>
      <c r="AV483" s="1"/>
      <c r="AW483" s="1"/>
      <c r="AX483" s="1"/>
      <c r="AY483" s="1"/>
      <c r="AZ483" s="1"/>
      <c r="BA483" s="1"/>
      <c r="BB483" s="1"/>
      <c r="BC483" s="1"/>
      <c r="BD483" s="1"/>
      <c r="BE483" s="1"/>
      <c r="BF483" s="1"/>
      <c r="BG483" s="1"/>
      <c r="BH483" s="1"/>
    </row>
    <row x14ac:dyDescent="0.25" r="484" customHeight="1" ht="17.25">
      <c r="A484" s="1"/>
      <c r="B484" s="1"/>
      <c r="C484" s="1"/>
      <c r="D484" s="1"/>
      <c r="E484" s="2"/>
      <c r="F484" s="2"/>
      <c r="G484" s="2"/>
      <c r="H484" s="1"/>
      <c r="I484" s="3"/>
      <c r="J484" s="2"/>
      <c r="K484" s="4"/>
      <c r="L484" s="2"/>
      <c r="M484" s="5"/>
      <c r="N484" s="5"/>
      <c r="O484" s="6"/>
      <c r="P484" s="3"/>
      <c r="Q484" s="7"/>
      <c r="R484" s="7"/>
      <c r="S484" s="2"/>
      <c r="T484" s="1"/>
      <c r="U484" s="6"/>
      <c r="V484" s="3"/>
      <c r="W484" s="3"/>
      <c r="X484" s="17"/>
      <c r="Y484" s="1"/>
      <c r="Z484" s="1"/>
      <c r="AA484" s="3"/>
      <c r="AB484" s="3"/>
      <c r="AC484" s="3"/>
      <c r="AD484" s="3"/>
      <c r="AE484" s="4"/>
      <c r="AF484" s="8"/>
      <c r="AG484" s="1"/>
      <c r="AH484" s="6"/>
      <c r="AI484" s="6"/>
      <c r="AJ484" s="6"/>
      <c r="AK484" s="6"/>
      <c r="AL484" s="6"/>
      <c r="AM484" s="6"/>
      <c r="AN484" s="6"/>
      <c r="AO484" s="1"/>
      <c r="AP484" s="9"/>
      <c r="AQ484" s="2"/>
      <c r="AR484" s="3"/>
      <c r="AS484" s="10"/>
      <c r="AT484" s="1"/>
      <c r="AU484" s="1"/>
      <c r="AV484" s="1"/>
      <c r="AW484" s="1"/>
      <c r="AX484" s="1"/>
      <c r="AY484" s="1"/>
      <c r="AZ484" s="1"/>
      <c r="BA484" s="1"/>
      <c r="BB484" s="1"/>
      <c r="BC484" s="1"/>
      <c r="BD484" s="1"/>
      <c r="BE484" s="1"/>
      <c r="BF484" s="1"/>
      <c r="BG484" s="1"/>
      <c r="BH484" s="1"/>
    </row>
    <row x14ac:dyDescent="0.25" r="485" customHeight="1" ht="17.25">
      <c r="A485" s="1"/>
      <c r="B485" s="1"/>
      <c r="C485" s="1"/>
      <c r="D485" s="1"/>
      <c r="E485" s="2"/>
      <c r="F485" s="2"/>
      <c r="G485" s="2"/>
      <c r="H485" s="1"/>
      <c r="I485" s="3"/>
      <c r="J485" s="2"/>
      <c r="K485" s="4"/>
      <c r="L485" s="2"/>
      <c r="M485" s="5"/>
      <c r="N485" s="5"/>
      <c r="O485" s="6"/>
      <c r="P485" s="3"/>
      <c r="Q485" s="7"/>
      <c r="R485" s="7"/>
      <c r="S485" s="2"/>
      <c r="T485" s="1"/>
      <c r="U485" s="6"/>
      <c r="V485" s="3"/>
      <c r="W485" s="3"/>
      <c r="X485" s="17"/>
      <c r="Y485" s="1"/>
      <c r="Z485" s="1"/>
      <c r="AA485" s="3"/>
      <c r="AB485" s="3"/>
      <c r="AC485" s="3"/>
      <c r="AD485" s="3"/>
      <c r="AE485" s="4"/>
      <c r="AF485" s="8"/>
      <c r="AG485" s="1"/>
      <c r="AH485" s="6"/>
      <c r="AI485" s="6"/>
      <c r="AJ485" s="6"/>
      <c r="AK485" s="6"/>
      <c r="AL485" s="6"/>
      <c r="AM485" s="6"/>
      <c r="AN485" s="6"/>
      <c r="AO485" s="1"/>
      <c r="AP485" s="9"/>
      <c r="AQ485" s="2"/>
      <c r="AR485" s="3"/>
      <c r="AS485" s="10"/>
      <c r="AT485" s="1"/>
      <c r="AU485" s="1"/>
      <c r="AV485" s="1"/>
      <c r="AW485" s="1"/>
      <c r="AX485" s="1"/>
      <c r="AY485" s="1"/>
      <c r="AZ485" s="1"/>
      <c r="BA485" s="1"/>
      <c r="BB485" s="1"/>
      <c r="BC485" s="1"/>
      <c r="BD485" s="1"/>
      <c r="BE485" s="1"/>
      <c r="BF485" s="1"/>
      <c r="BG485" s="1"/>
      <c r="BH485" s="1"/>
    </row>
    <row x14ac:dyDescent="0.25" r="486" customHeight="1" ht="17.25">
      <c r="A486" s="1"/>
      <c r="B486" s="1"/>
      <c r="C486" s="1"/>
      <c r="D486" s="1"/>
      <c r="E486" s="2"/>
      <c r="F486" s="2"/>
      <c r="G486" s="2"/>
      <c r="H486" s="1"/>
      <c r="I486" s="3"/>
      <c r="J486" s="2"/>
      <c r="K486" s="4"/>
      <c r="L486" s="2"/>
      <c r="M486" s="5"/>
      <c r="N486" s="5"/>
      <c r="O486" s="6"/>
      <c r="P486" s="3"/>
      <c r="Q486" s="7"/>
      <c r="R486" s="7"/>
      <c r="S486" s="2"/>
      <c r="T486" s="1"/>
      <c r="U486" s="6"/>
      <c r="V486" s="3"/>
      <c r="W486" s="3"/>
      <c r="X486" s="17"/>
      <c r="Y486" s="1"/>
      <c r="Z486" s="1"/>
      <c r="AA486" s="3"/>
      <c r="AB486" s="3"/>
      <c r="AC486" s="3"/>
      <c r="AD486" s="3"/>
      <c r="AE486" s="4"/>
      <c r="AF486" s="8"/>
      <c r="AG486" s="1"/>
      <c r="AH486" s="6"/>
      <c r="AI486" s="6"/>
      <c r="AJ486" s="6"/>
      <c r="AK486" s="6"/>
      <c r="AL486" s="6"/>
      <c r="AM486" s="6"/>
      <c r="AN486" s="6"/>
      <c r="AO486" s="1"/>
      <c r="AP486" s="9"/>
      <c r="AQ486" s="2"/>
      <c r="AR486" s="3"/>
      <c r="AS486" s="10"/>
      <c r="AT486" s="1"/>
      <c r="AU486" s="1"/>
      <c r="AV486" s="1"/>
      <c r="AW486" s="1"/>
      <c r="AX486" s="1"/>
      <c r="AY486" s="1"/>
      <c r="AZ486" s="1"/>
      <c r="BA486" s="1"/>
      <c r="BB486" s="1"/>
      <c r="BC486" s="1"/>
      <c r="BD486" s="1"/>
      <c r="BE486" s="1"/>
      <c r="BF486" s="1"/>
      <c r="BG486" s="1"/>
      <c r="BH486" s="1"/>
    </row>
    <row x14ac:dyDescent="0.25" r="487" customHeight="1" ht="17.25">
      <c r="A487" s="1"/>
      <c r="B487" s="1"/>
      <c r="C487" s="1"/>
      <c r="D487" s="1"/>
      <c r="E487" s="2"/>
      <c r="F487" s="2"/>
      <c r="G487" s="2"/>
      <c r="H487" s="1"/>
      <c r="I487" s="3"/>
      <c r="J487" s="2"/>
      <c r="K487" s="4"/>
      <c r="L487" s="2"/>
      <c r="M487" s="5"/>
      <c r="N487" s="5"/>
      <c r="O487" s="6"/>
      <c r="P487" s="3"/>
      <c r="Q487" s="7"/>
      <c r="R487" s="7"/>
      <c r="S487" s="2"/>
      <c r="T487" s="1"/>
      <c r="U487" s="6"/>
      <c r="V487" s="3"/>
      <c r="W487" s="3"/>
      <c r="X487" s="17"/>
      <c r="Y487" s="1"/>
      <c r="Z487" s="1"/>
      <c r="AA487" s="3"/>
      <c r="AB487" s="3"/>
      <c r="AC487" s="3"/>
      <c r="AD487" s="3"/>
      <c r="AE487" s="4"/>
      <c r="AF487" s="8"/>
      <c r="AG487" s="1"/>
      <c r="AH487" s="6"/>
      <c r="AI487" s="6"/>
      <c r="AJ487" s="6"/>
      <c r="AK487" s="6"/>
      <c r="AL487" s="6"/>
      <c r="AM487" s="6"/>
      <c r="AN487" s="6"/>
      <c r="AO487" s="1"/>
      <c r="AP487" s="9"/>
      <c r="AQ487" s="2"/>
      <c r="AR487" s="3"/>
      <c r="AS487" s="10"/>
      <c r="AT487" s="1"/>
      <c r="AU487" s="1"/>
      <c r="AV487" s="1"/>
      <c r="AW487" s="1"/>
      <c r="AX487" s="1"/>
      <c r="AY487" s="1"/>
      <c r="AZ487" s="1"/>
      <c r="BA487" s="1"/>
      <c r="BB487" s="1"/>
      <c r="BC487" s="1"/>
      <c r="BD487" s="1"/>
      <c r="BE487" s="1"/>
      <c r="BF487" s="1"/>
      <c r="BG487" s="1"/>
      <c r="BH487" s="1"/>
    </row>
    <row x14ac:dyDescent="0.25" r="488" customHeight="1" ht="17.25">
      <c r="A488" s="1"/>
      <c r="B488" s="1"/>
      <c r="C488" s="1"/>
      <c r="D488" s="1"/>
      <c r="E488" s="2"/>
      <c r="F488" s="2"/>
      <c r="G488" s="2"/>
      <c r="H488" s="1"/>
      <c r="I488" s="3"/>
      <c r="J488" s="2"/>
      <c r="K488" s="4"/>
      <c r="L488" s="2"/>
      <c r="M488" s="5"/>
      <c r="N488" s="5"/>
      <c r="O488" s="6"/>
      <c r="P488" s="3"/>
      <c r="Q488" s="7"/>
      <c r="R488" s="7"/>
      <c r="S488" s="2"/>
      <c r="T488" s="1"/>
      <c r="U488" s="6"/>
      <c r="V488" s="3"/>
      <c r="W488" s="3"/>
      <c r="X488" s="17"/>
      <c r="Y488" s="1"/>
      <c r="Z488" s="1"/>
      <c r="AA488" s="3"/>
      <c r="AB488" s="3"/>
      <c r="AC488" s="3"/>
      <c r="AD488" s="3"/>
      <c r="AE488" s="4"/>
      <c r="AF488" s="8"/>
      <c r="AG488" s="1"/>
      <c r="AH488" s="6"/>
      <c r="AI488" s="6"/>
      <c r="AJ488" s="6"/>
      <c r="AK488" s="6"/>
      <c r="AL488" s="6"/>
      <c r="AM488" s="6"/>
      <c r="AN488" s="6"/>
      <c r="AO488" s="1"/>
      <c r="AP488" s="9"/>
      <c r="AQ488" s="2"/>
      <c r="AR488" s="3"/>
      <c r="AS488" s="10"/>
      <c r="AT488" s="1"/>
      <c r="AU488" s="1"/>
      <c r="AV488" s="1"/>
      <c r="AW488" s="1"/>
      <c r="AX488" s="1"/>
      <c r="AY488" s="1"/>
      <c r="AZ488" s="1"/>
      <c r="BA488" s="1"/>
      <c r="BB488" s="1"/>
      <c r="BC488" s="1"/>
      <c r="BD488" s="1"/>
      <c r="BE488" s="1"/>
      <c r="BF488" s="1"/>
      <c r="BG488" s="1"/>
      <c r="BH488" s="1"/>
    </row>
    <row x14ac:dyDescent="0.25" r="489" customHeight="1" ht="17.25">
      <c r="A489" s="1"/>
      <c r="B489" s="1"/>
      <c r="C489" s="1"/>
      <c r="D489" s="1"/>
      <c r="E489" s="2"/>
      <c r="F489" s="2"/>
      <c r="G489" s="2"/>
      <c r="H489" s="1"/>
      <c r="I489" s="3"/>
      <c r="J489" s="2"/>
      <c r="K489" s="4"/>
      <c r="L489" s="2"/>
      <c r="M489" s="5"/>
      <c r="N489" s="5"/>
      <c r="O489" s="6"/>
      <c r="P489" s="3"/>
      <c r="Q489" s="7"/>
      <c r="R489" s="7"/>
      <c r="S489" s="2"/>
      <c r="T489" s="1"/>
      <c r="U489" s="6"/>
      <c r="V489" s="3"/>
      <c r="W489" s="3"/>
      <c r="X489" s="17"/>
      <c r="Y489" s="1"/>
      <c r="Z489" s="1"/>
      <c r="AA489" s="3"/>
      <c r="AB489" s="3"/>
      <c r="AC489" s="3"/>
      <c r="AD489" s="3"/>
      <c r="AE489" s="4"/>
      <c r="AF489" s="8"/>
      <c r="AG489" s="1"/>
      <c r="AH489" s="6"/>
      <c r="AI489" s="6"/>
      <c r="AJ489" s="6"/>
      <c r="AK489" s="6"/>
      <c r="AL489" s="6"/>
      <c r="AM489" s="6"/>
      <c r="AN489" s="6"/>
      <c r="AO489" s="1"/>
      <c r="AP489" s="9"/>
      <c r="AQ489" s="2"/>
      <c r="AR489" s="3"/>
      <c r="AS489" s="10"/>
      <c r="AT489" s="1"/>
      <c r="AU489" s="1"/>
      <c r="AV489" s="1"/>
      <c r="AW489" s="1"/>
      <c r="AX489" s="1"/>
      <c r="AY489" s="1"/>
      <c r="AZ489" s="1"/>
      <c r="BA489" s="1"/>
      <c r="BB489" s="1"/>
      <c r="BC489" s="1"/>
      <c r="BD489" s="1"/>
      <c r="BE489" s="1"/>
      <c r="BF489" s="1"/>
      <c r="BG489" s="1"/>
      <c r="BH489" s="1"/>
    </row>
    <row x14ac:dyDescent="0.25" r="490" customHeight="1" ht="17.25">
      <c r="A490" s="1"/>
      <c r="B490" s="1"/>
      <c r="C490" s="1"/>
      <c r="D490" s="1"/>
      <c r="E490" s="2"/>
      <c r="F490" s="2"/>
      <c r="G490" s="2"/>
      <c r="H490" s="1"/>
      <c r="I490" s="3"/>
      <c r="J490" s="2"/>
      <c r="K490" s="4"/>
      <c r="L490" s="2"/>
      <c r="M490" s="5"/>
      <c r="N490" s="5"/>
      <c r="O490" s="6"/>
      <c r="P490" s="3"/>
      <c r="Q490" s="7"/>
      <c r="R490" s="7"/>
      <c r="S490" s="2"/>
      <c r="T490" s="1"/>
      <c r="U490" s="6"/>
      <c r="V490" s="3"/>
      <c r="W490" s="3"/>
      <c r="X490" s="17"/>
      <c r="Y490" s="1"/>
      <c r="Z490" s="1"/>
      <c r="AA490" s="3"/>
      <c r="AB490" s="3"/>
      <c r="AC490" s="3"/>
      <c r="AD490" s="3"/>
      <c r="AE490" s="4"/>
      <c r="AF490" s="8"/>
      <c r="AG490" s="1"/>
      <c r="AH490" s="6"/>
      <c r="AI490" s="6"/>
      <c r="AJ490" s="6"/>
      <c r="AK490" s="6"/>
      <c r="AL490" s="6"/>
      <c r="AM490" s="6"/>
      <c r="AN490" s="6"/>
      <c r="AO490" s="1"/>
      <c r="AP490" s="9"/>
      <c r="AQ490" s="2"/>
      <c r="AR490" s="3"/>
      <c r="AS490" s="10"/>
      <c r="AT490" s="1"/>
      <c r="AU490" s="1"/>
      <c r="AV490" s="1"/>
      <c r="AW490" s="1"/>
      <c r="AX490" s="1"/>
      <c r="AY490" s="1"/>
      <c r="AZ490" s="1"/>
      <c r="BA490" s="1"/>
      <c r="BB490" s="1"/>
      <c r="BC490" s="1"/>
      <c r="BD490" s="1"/>
      <c r="BE490" s="1"/>
      <c r="BF490" s="1"/>
      <c r="BG490" s="1"/>
      <c r="BH490" s="1"/>
    </row>
    <row x14ac:dyDescent="0.25" r="491" customHeight="1" ht="17.25">
      <c r="A491" s="1"/>
      <c r="B491" s="1"/>
      <c r="C491" s="1"/>
      <c r="D491" s="1"/>
      <c r="E491" s="2"/>
      <c r="F491" s="2"/>
      <c r="G491" s="2"/>
      <c r="H491" s="1"/>
      <c r="I491" s="3"/>
      <c r="J491" s="2"/>
      <c r="K491" s="4"/>
      <c r="L491" s="2"/>
      <c r="M491" s="5"/>
      <c r="N491" s="5"/>
      <c r="O491" s="6"/>
      <c r="P491" s="3"/>
      <c r="Q491" s="7"/>
      <c r="R491" s="7"/>
      <c r="S491" s="2"/>
      <c r="T491" s="1"/>
      <c r="U491" s="6"/>
      <c r="V491" s="3"/>
      <c r="W491" s="3"/>
      <c r="X491" s="17"/>
      <c r="Y491" s="1"/>
      <c r="Z491" s="1"/>
      <c r="AA491" s="3"/>
      <c r="AB491" s="3"/>
      <c r="AC491" s="3"/>
      <c r="AD491" s="3"/>
      <c r="AE491" s="4"/>
      <c r="AF491" s="8"/>
      <c r="AG491" s="1"/>
      <c r="AH491" s="6"/>
      <c r="AI491" s="6"/>
      <c r="AJ491" s="6"/>
      <c r="AK491" s="6"/>
      <c r="AL491" s="6"/>
      <c r="AM491" s="6"/>
      <c r="AN491" s="6"/>
      <c r="AO491" s="1"/>
      <c r="AP491" s="9"/>
      <c r="AQ491" s="2"/>
      <c r="AR491" s="3"/>
      <c r="AS491" s="10"/>
      <c r="AT491" s="1"/>
      <c r="AU491" s="1"/>
      <c r="AV491" s="1"/>
      <c r="AW491" s="1"/>
      <c r="AX491" s="1"/>
      <c r="AY491" s="1"/>
      <c r="AZ491" s="1"/>
      <c r="BA491" s="1"/>
      <c r="BB491" s="1"/>
      <c r="BC491" s="1"/>
      <c r="BD491" s="1"/>
      <c r="BE491" s="1"/>
      <c r="BF491" s="1"/>
      <c r="BG491" s="1"/>
      <c r="BH491" s="1"/>
    </row>
    <row x14ac:dyDescent="0.25" r="492" customHeight="1" ht="17.25">
      <c r="A492" s="1"/>
      <c r="B492" s="1"/>
      <c r="C492" s="1"/>
      <c r="D492" s="1"/>
      <c r="E492" s="2"/>
      <c r="F492" s="2"/>
      <c r="G492" s="2"/>
      <c r="H492" s="1"/>
      <c r="I492" s="3"/>
      <c r="J492" s="2"/>
      <c r="K492" s="4"/>
      <c r="L492" s="2"/>
      <c r="M492" s="5"/>
      <c r="N492" s="5"/>
      <c r="O492" s="6"/>
      <c r="P492" s="3"/>
      <c r="Q492" s="7"/>
      <c r="R492" s="7"/>
      <c r="S492" s="2"/>
      <c r="T492" s="1"/>
      <c r="U492" s="6"/>
      <c r="V492" s="3"/>
      <c r="W492" s="3"/>
      <c r="X492" s="17"/>
      <c r="Y492" s="1"/>
      <c r="Z492" s="1"/>
      <c r="AA492" s="3"/>
      <c r="AB492" s="3"/>
      <c r="AC492" s="3"/>
      <c r="AD492" s="3"/>
      <c r="AE492" s="4"/>
      <c r="AF492" s="8"/>
      <c r="AG492" s="1"/>
      <c r="AH492" s="6"/>
      <c r="AI492" s="6"/>
      <c r="AJ492" s="6"/>
      <c r="AK492" s="6"/>
      <c r="AL492" s="6"/>
      <c r="AM492" s="6"/>
      <c r="AN492" s="6"/>
      <c r="AO492" s="1"/>
      <c r="AP492" s="9"/>
      <c r="AQ492" s="2"/>
      <c r="AR492" s="3"/>
      <c r="AS492" s="10"/>
      <c r="AT492" s="1"/>
      <c r="AU492" s="1"/>
      <c r="AV492" s="1"/>
      <c r="AW492" s="1"/>
      <c r="AX492" s="1"/>
      <c r="AY492" s="1"/>
      <c r="AZ492" s="1"/>
      <c r="BA492" s="1"/>
      <c r="BB492" s="1"/>
      <c r="BC492" s="1"/>
      <c r="BD492" s="1"/>
      <c r="BE492" s="1"/>
      <c r="BF492" s="1"/>
      <c r="BG492" s="1"/>
      <c r="BH492" s="1"/>
    </row>
    <row x14ac:dyDescent="0.25" r="493" customHeight="1" ht="17.25">
      <c r="A493" s="1"/>
      <c r="B493" s="1"/>
      <c r="C493" s="1"/>
      <c r="D493" s="1"/>
      <c r="E493" s="2"/>
      <c r="F493" s="2"/>
      <c r="G493" s="2"/>
      <c r="H493" s="1"/>
      <c r="I493" s="3"/>
      <c r="J493" s="2"/>
      <c r="K493" s="4"/>
      <c r="L493" s="2"/>
      <c r="M493" s="5"/>
      <c r="N493" s="5"/>
      <c r="O493" s="6"/>
      <c r="P493" s="3"/>
      <c r="Q493" s="7"/>
      <c r="R493" s="7"/>
      <c r="S493" s="2"/>
      <c r="T493" s="1"/>
      <c r="U493" s="6"/>
      <c r="V493" s="3"/>
      <c r="W493" s="3"/>
      <c r="X493" s="17"/>
      <c r="Y493" s="1"/>
      <c r="Z493" s="1"/>
      <c r="AA493" s="3"/>
      <c r="AB493" s="3"/>
      <c r="AC493" s="3"/>
      <c r="AD493" s="3"/>
      <c r="AE493" s="4"/>
      <c r="AF493" s="8"/>
      <c r="AG493" s="1"/>
      <c r="AH493" s="6"/>
      <c r="AI493" s="6"/>
      <c r="AJ493" s="6"/>
      <c r="AK493" s="6"/>
      <c r="AL493" s="6"/>
      <c r="AM493" s="6"/>
      <c r="AN493" s="6"/>
      <c r="AO493" s="1"/>
      <c r="AP493" s="9"/>
      <c r="AQ493" s="2"/>
      <c r="AR493" s="3"/>
      <c r="AS493" s="10"/>
      <c r="AT493" s="1"/>
      <c r="AU493" s="1"/>
      <c r="AV493" s="1"/>
      <c r="AW493" s="1"/>
      <c r="AX493" s="1"/>
      <c r="AY493" s="1"/>
      <c r="AZ493" s="1"/>
      <c r="BA493" s="1"/>
      <c r="BB493" s="1"/>
      <c r="BC493" s="1"/>
      <c r="BD493" s="1"/>
      <c r="BE493" s="1"/>
      <c r="BF493" s="1"/>
      <c r="BG493" s="1"/>
      <c r="BH493" s="1"/>
    </row>
    <row x14ac:dyDescent="0.25" r="494" customHeight="1" ht="17.25">
      <c r="A494" s="1"/>
      <c r="B494" s="1"/>
      <c r="C494" s="1"/>
      <c r="D494" s="1"/>
      <c r="E494" s="2"/>
      <c r="F494" s="2"/>
      <c r="G494" s="2"/>
      <c r="H494" s="1"/>
      <c r="I494" s="3"/>
      <c r="J494" s="2"/>
      <c r="K494" s="4"/>
      <c r="L494" s="2"/>
      <c r="M494" s="5"/>
      <c r="N494" s="5"/>
      <c r="O494" s="6"/>
      <c r="P494" s="3"/>
      <c r="Q494" s="7"/>
      <c r="R494" s="7"/>
      <c r="S494" s="2"/>
      <c r="T494" s="1"/>
      <c r="U494" s="6"/>
      <c r="V494" s="3"/>
      <c r="W494" s="3"/>
      <c r="X494" s="17"/>
      <c r="Y494" s="1"/>
      <c r="Z494" s="1"/>
      <c r="AA494" s="3"/>
      <c r="AB494" s="3"/>
      <c r="AC494" s="3"/>
      <c r="AD494" s="3"/>
      <c r="AE494" s="4"/>
      <c r="AF494" s="8"/>
      <c r="AG494" s="1"/>
      <c r="AH494" s="6"/>
      <c r="AI494" s="6"/>
      <c r="AJ494" s="6"/>
      <c r="AK494" s="6"/>
      <c r="AL494" s="6"/>
      <c r="AM494" s="6"/>
      <c r="AN494" s="6"/>
      <c r="AO494" s="1"/>
      <c r="AP494" s="9"/>
      <c r="AQ494" s="2"/>
      <c r="AR494" s="3"/>
      <c r="AS494" s="10"/>
      <c r="AT494" s="1"/>
      <c r="AU494" s="1"/>
      <c r="AV494" s="1"/>
      <c r="AW494" s="1"/>
      <c r="AX494" s="1"/>
      <c r="AY494" s="1"/>
      <c r="AZ494" s="1"/>
      <c r="BA494" s="1"/>
      <c r="BB494" s="1"/>
      <c r="BC494" s="1"/>
      <c r="BD494" s="1"/>
      <c r="BE494" s="1"/>
      <c r="BF494" s="1"/>
      <c r="BG494" s="1"/>
      <c r="BH494" s="1"/>
    </row>
    <row x14ac:dyDescent="0.25" r="495" customHeight="1" ht="17.25">
      <c r="A495" s="1"/>
      <c r="B495" s="1"/>
      <c r="C495" s="1"/>
      <c r="D495" s="1"/>
      <c r="E495" s="2"/>
      <c r="F495" s="2"/>
      <c r="G495" s="2"/>
      <c r="H495" s="1"/>
      <c r="I495" s="3"/>
      <c r="J495" s="2"/>
      <c r="K495" s="4"/>
      <c r="L495" s="2"/>
      <c r="M495" s="5"/>
      <c r="N495" s="5"/>
      <c r="O495" s="6"/>
      <c r="P495" s="3"/>
      <c r="Q495" s="7"/>
      <c r="R495" s="7"/>
      <c r="S495" s="2"/>
      <c r="T495" s="1"/>
      <c r="U495" s="6"/>
      <c r="V495" s="3"/>
      <c r="W495" s="3"/>
      <c r="X495" s="17"/>
      <c r="Y495" s="1"/>
      <c r="Z495" s="1"/>
      <c r="AA495" s="3"/>
      <c r="AB495" s="3"/>
      <c r="AC495" s="3"/>
      <c r="AD495" s="3"/>
      <c r="AE495" s="4"/>
      <c r="AF495" s="8"/>
      <c r="AG495" s="1"/>
      <c r="AH495" s="6"/>
      <c r="AI495" s="6"/>
      <c r="AJ495" s="6"/>
      <c r="AK495" s="6"/>
      <c r="AL495" s="6"/>
      <c r="AM495" s="6"/>
      <c r="AN495" s="6"/>
      <c r="AO495" s="1"/>
      <c r="AP495" s="9"/>
      <c r="AQ495" s="2"/>
      <c r="AR495" s="3"/>
      <c r="AS495" s="10"/>
      <c r="AT495" s="1"/>
      <c r="AU495" s="1"/>
      <c r="AV495" s="1"/>
      <c r="AW495" s="1"/>
      <c r="AX495" s="1"/>
      <c r="AY495" s="1"/>
      <c r="AZ495" s="1"/>
      <c r="BA495" s="1"/>
      <c r="BB495" s="1"/>
      <c r="BC495" s="1"/>
      <c r="BD495" s="1"/>
      <c r="BE495" s="1"/>
      <c r="BF495" s="1"/>
      <c r="BG495" s="1"/>
      <c r="BH495" s="1"/>
    </row>
    <row x14ac:dyDescent="0.25" r="496" customHeight="1" ht="17.25">
      <c r="A496" s="1"/>
      <c r="B496" s="1"/>
      <c r="C496" s="1"/>
      <c r="D496" s="1"/>
      <c r="E496" s="2"/>
      <c r="F496" s="2"/>
      <c r="G496" s="2"/>
      <c r="H496" s="1"/>
      <c r="I496" s="3"/>
      <c r="J496" s="2"/>
      <c r="K496" s="4"/>
      <c r="L496" s="2"/>
      <c r="M496" s="5"/>
      <c r="N496" s="5"/>
      <c r="O496" s="6"/>
      <c r="P496" s="3"/>
      <c r="Q496" s="7"/>
      <c r="R496" s="7"/>
      <c r="S496" s="2"/>
      <c r="T496" s="1"/>
      <c r="U496" s="6"/>
      <c r="V496" s="3"/>
      <c r="W496" s="3"/>
      <c r="X496" s="17"/>
      <c r="Y496" s="1"/>
      <c r="Z496" s="1"/>
      <c r="AA496" s="3"/>
      <c r="AB496" s="3"/>
      <c r="AC496" s="3"/>
      <c r="AD496" s="3"/>
      <c r="AE496" s="4"/>
      <c r="AF496" s="8"/>
      <c r="AG496" s="1"/>
      <c r="AH496" s="6"/>
      <c r="AI496" s="6"/>
      <c r="AJ496" s="6"/>
      <c r="AK496" s="6"/>
      <c r="AL496" s="6"/>
      <c r="AM496" s="6"/>
      <c r="AN496" s="6"/>
      <c r="AO496" s="1"/>
      <c r="AP496" s="9"/>
      <c r="AQ496" s="2"/>
      <c r="AR496" s="3"/>
      <c r="AS496" s="10"/>
      <c r="AT496" s="1"/>
      <c r="AU496" s="1"/>
      <c r="AV496" s="1"/>
      <c r="AW496" s="1"/>
      <c r="AX496" s="1"/>
      <c r="AY496" s="1"/>
      <c r="AZ496" s="1"/>
      <c r="BA496" s="1"/>
      <c r="BB496" s="1"/>
      <c r="BC496" s="1"/>
      <c r="BD496" s="1"/>
      <c r="BE496" s="1"/>
      <c r="BF496" s="1"/>
      <c r="BG496" s="1"/>
      <c r="BH496" s="1"/>
    </row>
    <row x14ac:dyDescent="0.25" r="497" customHeight="1" ht="17.25">
      <c r="A497" s="1"/>
      <c r="B497" s="1"/>
      <c r="C497" s="1"/>
      <c r="D497" s="1"/>
      <c r="E497" s="2"/>
      <c r="F497" s="2"/>
      <c r="G497" s="2"/>
      <c r="H497" s="1"/>
      <c r="I497" s="3"/>
      <c r="J497" s="2"/>
      <c r="K497" s="4"/>
      <c r="L497" s="2"/>
      <c r="M497" s="5"/>
      <c r="N497" s="5"/>
      <c r="O497" s="6"/>
      <c r="P497" s="3"/>
      <c r="Q497" s="7"/>
      <c r="R497" s="7"/>
      <c r="S497" s="2"/>
      <c r="T497" s="1"/>
      <c r="U497" s="6"/>
      <c r="V497" s="3"/>
      <c r="W497" s="3"/>
      <c r="X497" s="17"/>
      <c r="Y497" s="1"/>
      <c r="Z497" s="1"/>
      <c r="AA497" s="3"/>
      <c r="AB497" s="3"/>
      <c r="AC497" s="3"/>
      <c r="AD497" s="3"/>
      <c r="AE497" s="4"/>
      <c r="AF497" s="8"/>
      <c r="AG497" s="1"/>
      <c r="AH497" s="6"/>
      <c r="AI497" s="6"/>
      <c r="AJ497" s="6"/>
      <c r="AK497" s="6"/>
      <c r="AL497" s="6"/>
      <c r="AM497" s="6"/>
      <c r="AN497" s="6"/>
      <c r="AO497" s="1"/>
      <c r="AP497" s="9"/>
      <c r="AQ497" s="2"/>
      <c r="AR497" s="3"/>
      <c r="AS497" s="10"/>
      <c r="AT497" s="1"/>
      <c r="AU497" s="1"/>
      <c r="AV497" s="1"/>
      <c r="AW497" s="1"/>
      <c r="AX497" s="1"/>
      <c r="AY497" s="1"/>
      <c r="AZ497" s="1"/>
      <c r="BA497" s="1"/>
      <c r="BB497" s="1"/>
      <c r="BC497" s="1"/>
      <c r="BD497" s="1"/>
      <c r="BE497" s="1"/>
      <c r="BF497" s="1"/>
      <c r="BG497" s="1"/>
      <c r="BH497" s="1"/>
    </row>
    <row x14ac:dyDescent="0.25" r="498" customHeight="1" ht="17.25">
      <c r="A498" s="1"/>
      <c r="B498" s="1"/>
      <c r="C498" s="1"/>
      <c r="D498" s="1"/>
      <c r="E498" s="2"/>
      <c r="F498" s="2"/>
      <c r="G498" s="2"/>
      <c r="H498" s="1"/>
      <c r="I498" s="3"/>
      <c r="J498" s="2"/>
      <c r="K498" s="4"/>
      <c r="L498" s="2"/>
      <c r="M498" s="5"/>
      <c r="N498" s="5"/>
      <c r="O498" s="6"/>
      <c r="P498" s="3"/>
      <c r="Q498" s="7"/>
      <c r="R498" s="7"/>
      <c r="S498" s="2"/>
      <c r="T498" s="1"/>
      <c r="U498" s="6"/>
      <c r="V498" s="3"/>
      <c r="W498" s="3"/>
      <c r="X498" s="17"/>
      <c r="Y498" s="1"/>
      <c r="Z498" s="1"/>
      <c r="AA498" s="3"/>
      <c r="AB498" s="3"/>
      <c r="AC498" s="3"/>
      <c r="AD498" s="3"/>
      <c r="AE498" s="4"/>
      <c r="AF498" s="8"/>
      <c r="AG498" s="1"/>
      <c r="AH498" s="6"/>
      <c r="AI498" s="6"/>
      <c r="AJ498" s="6"/>
      <c r="AK498" s="6"/>
      <c r="AL498" s="6"/>
      <c r="AM498" s="6"/>
      <c r="AN498" s="6"/>
      <c r="AO498" s="1"/>
      <c r="AP498" s="9"/>
      <c r="AQ498" s="2"/>
      <c r="AR498" s="3"/>
      <c r="AS498" s="10"/>
      <c r="AT498" s="1"/>
      <c r="AU498" s="1"/>
      <c r="AV498" s="1"/>
      <c r="AW498" s="1"/>
      <c r="AX498" s="1"/>
      <c r="AY498" s="1"/>
      <c r="AZ498" s="1"/>
      <c r="BA498" s="1"/>
      <c r="BB498" s="1"/>
      <c r="BC498" s="1"/>
      <c r="BD498" s="1"/>
      <c r="BE498" s="1"/>
      <c r="BF498" s="1"/>
      <c r="BG498" s="1"/>
      <c r="BH498" s="1"/>
    </row>
    <row x14ac:dyDescent="0.25" r="499" customHeight="1" ht="17.25">
      <c r="A499" s="1"/>
      <c r="B499" s="1"/>
      <c r="C499" s="1"/>
      <c r="D499" s="1"/>
      <c r="E499" s="2"/>
      <c r="F499" s="2"/>
      <c r="G499" s="2"/>
      <c r="H499" s="1"/>
      <c r="I499" s="3"/>
      <c r="J499" s="2"/>
      <c r="K499" s="4"/>
      <c r="L499" s="2"/>
      <c r="M499" s="5"/>
      <c r="N499" s="5"/>
      <c r="O499" s="6"/>
      <c r="P499" s="3"/>
      <c r="Q499" s="7"/>
      <c r="R499" s="7"/>
      <c r="S499" s="2"/>
      <c r="T499" s="1"/>
      <c r="U499" s="6"/>
      <c r="V499" s="3"/>
      <c r="W499" s="3"/>
      <c r="X499" s="17"/>
      <c r="Y499" s="1"/>
      <c r="Z499" s="1"/>
      <c r="AA499" s="3"/>
      <c r="AB499" s="3"/>
      <c r="AC499" s="3"/>
      <c r="AD499" s="3"/>
      <c r="AE499" s="4"/>
      <c r="AF499" s="8"/>
      <c r="AG499" s="1"/>
      <c r="AH499" s="6"/>
      <c r="AI499" s="6"/>
      <c r="AJ499" s="6"/>
      <c r="AK499" s="6"/>
      <c r="AL499" s="6"/>
      <c r="AM499" s="6"/>
      <c r="AN499" s="6"/>
      <c r="AO499" s="1"/>
      <c r="AP499" s="9"/>
      <c r="AQ499" s="2"/>
      <c r="AR499" s="3"/>
      <c r="AS499" s="10"/>
      <c r="AT499" s="1"/>
      <c r="AU499" s="1"/>
      <c r="AV499" s="1"/>
      <c r="AW499" s="1"/>
      <c r="AX499" s="1"/>
      <c r="AY499" s="1"/>
      <c r="AZ499" s="1"/>
      <c r="BA499" s="1"/>
      <c r="BB499" s="1"/>
      <c r="BC499" s="1"/>
      <c r="BD499" s="1"/>
      <c r="BE499" s="1"/>
      <c r="BF499" s="1"/>
      <c r="BG499" s="1"/>
      <c r="BH499" s="1"/>
    </row>
    <row x14ac:dyDescent="0.25" r="500" customHeight="1" ht="17.25">
      <c r="A500" s="1"/>
      <c r="B500" s="1"/>
      <c r="C500" s="1"/>
      <c r="D500" s="1"/>
      <c r="E500" s="2"/>
      <c r="F500" s="2"/>
      <c r="G500" s="2"/>
      <c r="H500" s="1"/>
      <c r="I500" s="3"/>
      <c r="J500" s="2"/>
      <c r="K500" s="4"/>
      <c r="L500" s="2"/>
      <c r="M500" s="5"/>
      <c r="N500" s="5"/>
      <c r="O500" s="6"/>
      <c r="P500" s="3"/>
      <c r="Q500" s="7"/>
      <c r="R500" s="7"/>
      <c r="S500" s="2"/>
      <c r="T500" s="1"/>
      <c r="U500" s="6"/>
      <c r="V500" s="3"/>
      <c r="W500" s="3"/>
      <c r="X500" s="17"/>
      <c r="Y500" s="1"/>
      <c r="Z500" s="1"/>
      <c r="AA500" s="3"/>
      <c r="AB500" s="3"/>
      <c r="AC500" s="3"/>
      <c r="AD500" s="3"/>
      <c r="AE500" s="4"/>
      <c r="AF500" s="8"/>
      <c r="AG500" s="1"/>
      <c r="AH500" s="6"/>
      <c r="AI500" s="6"/>
      <c r="AJ500" s="6"/>
      <c r="AK500" s="6"/>
      <c r="AL500" s="6"/>
      <c r="AM500" s="6"/>
      <c r="AN500" s="6"/>
      <c r="AO500" s="1"/>
      <c r="AP500" s="9"/>
      <c r="AQ500" s="2"/>
      <c r="AR500" s="3"/>
      <c r="AS500" s="10"/>
      <c r="AT500" s="1"/>
      <c r="AU500" s="1"/>
      <c r="AV500" s="1"/>
      <c r="AW500" s="1"/>
      <c r="AX500" s="1"/>
      <c r="AY500" s="1"/>
      <c r="AZ500" s="1"/>
      <c r="BA500" s="1"/>
      <c r="BB500" s="1"/>
      <c r="BC500" s="1"/>
      <c r="BD500" s="1"/>
      <c r="BE500" s="1"/>
      <c r="BF500" s="1"/>
      <c r="BG500" s="1"/>
      <c r="BH500" s="1"/>
    </row>
    <row x14ac:dyDescent="0.25" r="501" customHeight="1" ht="17.25">
      <c r="A501" s="1"/>
      <c r="B501" s="1"/>
      <c r="C501" s="1"/>
      <c r="D501" s="1"/>
      <c r="E501" s="2"/>
      <c r="F501" s="2"/>
      <c r="G501" s="2"/>
      <c r="H501" s="1"/>
      <c r="I501" s="3"/>
      <c r="J501" s="2"/>
      <c r="K501" s="4"/>
      <c r="L501" s="2"/>
      <c r="M501" s="5"/>
      <c r="N501" s="5"/>
      <c r="O501" s="6"/>
      <c r="P501" s="3"/>
      <c r="Q501" s="7"/>
      <c r="R501" s="7"/>
      <c r="S501" s="2"/>
      <c r="T501" s="1"/>
      <c r="U501" s="6"/>
      <c r="V501" s="3"/>
      <c r="W501" s="3"/>
      <c r="X501" s="17"/>
      <c r="Y501" s="1"/>
      <c r="Z501" s="1"/>
      <c r="AA501" s="3"/>
      <c r="AB501" s="3"/>
      <c r="AC501" s="3"/>
      <c r="AD501" s="3"/>
      <c r="AE501" s="4"/>
      <c r="AF501" s="8"/>
      <c r="AG501" s="1"/>
      <c r="AH501" s="6"/>
      <c r="AI501" s="6"/>
      <c r="AJ501" s="6"/>
      <c r="AK501" s="6"/>
      <c r="AL501" s="6"/>
      <c r="AM501" s="6"/>
      <c r="AN501" s="6"/>
      <c r="AO501" s="1"/>
      <c r="AP501" s="9"/>
      <c r="AQ501" s="2"/>
      <c r="AR501" s="3"/>
      <c r="AS501" s="10"/>
      <c r="AT501" s="1"/>
      <c r="AU501" s="1"/>
      <c r="AV501" s="1"/>
      <c r="AW501" s="1"/>
      <c r="AX501" s="1"/>
      <c r="AY501" s="1"/>
      <c r="AZ501" s="1"/>
      <c r="BA501" s="1"/>
      <c r="BB501" s="1"/>
      <c r="BC501" s="1"/>
      <c r="BD501" s="1"/>
      <c r="BE501" s="1"/>
      <c r="BF501" s="1"/>
      <c r="BG501" s="1"/>
      <c r="BH501" s="1"/>
    </row>
    <row x14ac:dyDescent="0.25" r="502" customHeight="1" ht="17.25">
      <c r="A502" s="1"/>
      <c r="B502" s="1"/>
      <c r="C502" s="1"/>
      <c r="D502" s="1"/>
      <c r="E502" s="2"/>
      <c r="F502" s="2"/>
      <c r="G502" s="2"/>
      <c r="H502" s="1"/>
      <c r="I502" s="3"/>
      <c r="J502" s="2"/>
      <c r="K502" s="4"/>
      <c r="L502" s="2"/>
      <c r="M502" s="5"/>
      <c r="N502" s="5"/>
      <c r="O502" s="6"/>
      <c r="P502" s="3"/>
      <c r="Q502" s="7"/>
      <c r="R502" s="7"/>
      <c r="S502" s="2"/>
      <c r="T502" s="1"/>
      <c r="U502" s="6"/>
      <c r="V502" s="3"/>
      <c r="W502" s="3"/>
      <c r="X502" s="17"/>
      <c r="Y502" s="1"/>
      <c r="Z502" s="1"/>
      <c r="AA502" s="3"/>
      <c r="AB502" s="3"/>
      <c r="AC502" s="3"/>
      <c r="AD502" s="3"/>
      <c r="AE502" s="4"/>
      <c r="AF502" s="8"/>
      <c r="AG502" s="1"/>
      <c r="AH502" s="6"/>
      <c r="AI502" s="6"/>
      <c r="AJ502" s="6"/>
      <c r="AK502" s="6"/>
      <c r="AL502" s="6"/>
      <c r="AM502" s="6"/>
      <c r="AN502" s="6"/>
      <c r="AO502" s="1"/>
      <c r="AP502" s="9"/>
      <c r="AQ502" s="2"/>
      <c r="AR502" s="3"/>
      <c r="AS502" s="10"/>
      <c r="AT502" s="1"/>
      <c r="AU502" s="1"/>
      <c r="AV502" s="1"/>
      <c r="AW502" s="1"/>
      <c r="AX502" s="1"/>
      <c r="AY502" s="1"/>
      <c r="AZ502" s="1"/>
      <c r="BA502" s="1"/>
      <c r="BB502" s="1"/>
      <c r="BC502" s="1"/>
      <c r="BD502" s="1"/>
      <c r="BE502" s="1"/>
      <c r="BF502" s="1"/>
      <c r="BG502" s="1"/>
      <c r="BH502" s="1"/>
    </row>
    <row x14ac:dyDescent="0.25" r="503" customHeight="1" ht="17.25">
      <c r="A503" s="1"/>
      <c r="B503" s="1"/>
      <c r="C503" s="1"/>
      <c r="D503" s="1"/>
      <c r="E503" s="2"/>
      <c r="F503" s="2"/>
      <c r="G503" s="2"/>
      <c r="H503" s="1"/>
      <c r="I503" s="3"/>
      <c r="J503" s="2"/>
      <c r="K503" s="4"/>
      <c r="L503" s="2"/>
      <c r="M503" s="5"/>
      <c r="N503" s="5"/>
      <c r="O503" s="6"/>
      <c r="P503" s="3"/>
      <c r="Q503" s="7"/>
      <c r="R503" s="7"/>
      <c r="S503" s="2"/>
      <c r="T503" s="1"/>
      <c r="U503" s="6"/>
      <c r="V503" s="3"/>
      <c r="W503" s="3"/>
      <c r="X503" s="17"/>
      <c r="Y503" s="1"/>
      <c r="Z503" s="1"/>
      <c r="AA503" s="3"/>
      <c r="AB503" s="3"/>
      <c r="AC503" s="3"/>
      <c r="AD503" s="3"/>
      <c r="AE503" s="4"/>
      <c r="AF503" s="8"/>
      <c r="AG503" s="1"/>
      <c r="AH503" s="6"/>
      <c r="AI503" s="6"/>
      <c r="AJ503" s="6"/>
      <c r="AK503" s="6"/>
      <c r="AL503" s="6"/>
      <c r="AM503" s="6"/>
      <c r="AN503" s="6"/>
      <c r="AO503" s="1"/>
      <c r="AP503" s="9"/>
      <c r="AQ503" s="2"/>
      <c r="AR503" s="3"/>
      <c r="AS503" s="10"/>
      <c r="AT503" s="1"/>
      <c r="AU503" s="1"/>
      <c r="AV503" s="1"/>
      <c r="AW503" s="1"/>
      <c r="AX503" s="1"/>
      <c r="AY503" s="1"/>
      <c r="AZ503" s="1"/>
      <c r="BA503" s="1"/>
      <c r="BB503" s="1"/>
      <c r="BC503" s="1"/>
      <c r="BD503" s="1"/>
      <c r="BE503" s="1"/>
      <c r="BF503" s="1"/>
      <c r="BG503" s="1"/>
      <c r="BH503" s="1"/>
    </row>
    <row x14ac:dyDescent="0.25" r="504" customHeight="1" ht="17.25">
      <c r="A504" s="1"/>
      <c r="B504" s="1"/>
      <c r="C504" s="1"/>
      <c r="D504" s="1"/>
      <c r="E504" s="2"/>
      <c r="F504" s="2"/>
      <c r="G504" s="2"/>
      <c r="H504" s="1"/>
      <c r="I504" s="3"/>
      <c r="J504" s="2"/>
      <c r="K504" s="4"/>
      <c r="L504" s="2"/>
      <c r="M504" s="5"/>
      <c r="N504" s="5"/>
      <c r="O504" s="6"/>
      <c r="P504" s="3"/>
      <c r="Q504" s="7"/>
      <c r="R504" s="7"/>
      <c r="S504" s="2"/>
      <c r="T504" s="1"/>
      <c r="U504" s="6"/>
      <c r="V504" s="3"/>
      <c r="W504" s="3"/>
      <c r="X504" s="17"/>
      <c r="Y504" s="1"/>
      <c r="Z504" s="1"/>
      <c r="AA504" s="3"/>
      <c r="AB504" s="3"/>
      <c r="AC504" s="3"/>
      <c r="AD504" s="3"/>
      <c r="AE504" s="4"/>
      <c r="AF504" s="8"/>
      <c r="AG504" s="1"/>
      <c r="AH504" s="6"/>
      <c r="AI504" s="6"/>
      <c r="AJ504" s="6"/>
      <c r="AK504" s="6"/>
      <c r="AL504" s="6"/>
      <c r="AM504" s="6"/>
      <c r="AN504" s="6"/>
      <c r="AO504" s="1"/>
      <c r="AP504" s="9"/>
      <c r="AQ504" s="2"/>
      <c r="AR504" s="3"/>
      <c r="AS504" s="10"/>
      <c r="AT504" s="1"/>
      <c r="AU504" s="1"/>
      <c r="AV504" s="1"/>
      <c r="AW504" s="1"/>
      <c r="AX504" s="1"/>
      <c r="AY504" s="1"/>
      <c r="AZ504" s="1"/>
      <c r="BA504" s="1"/>
      <c r="BB504" s="1"/>
      <c r="BC504" s="1"/>
      <c r="BD504" s="1"/>
      <c r="BE504" s="1"/>
      <c r="BF504" s="1"/>
      <c r="BG504" s="1"/>
      <c r="BH504" s="1"/>
    </row>
    <row x14ac:dyDescent="0.25" r="505" customHeight="1" ht="17.25">
      <c r="A505" s="1"/>
      <c r="B505" s="1"/>
      <c r="C505" s="1"/>
      <c r="D505" s="1"/>
      <c r="E505" s="2"/>
      <c r="F505" s="2"/>
      <c r="G505" s="2"/>
      <c r="H505" s="1"/>
      <c r="I505" s="3"/>
      <c r="J505" s="2"/>
      <c r="K505" s="4"/>
      <c r="L505" s="2"/>
      <c r="M505" s="5"/>
      <c r="N505" s="5"/>
      <c r="O505" s="6"/>
      <c r="P505" s="3"/>
      <c r="Q505" s="7"/>
      <c r="R505" s="7"/>
      <c r="S505" s="2"/>
      <c r="T505" s="1"/>
      <c r="U505" s="6"/>
      <c r="V505" s="3"/>
      <c r="W505" s="3"/>
      <c r="X505" s="17"/>
      <c r="Y505" s="1"/>
      <c r="Z505" s="1"/>
      <c r="AA505" s="3"/>
      <c r="AB505" s="3"/>
      <c r="AC505" s="3"/>
      <c r="AD505" s="3"/>
      <c r="AE505" s="4"/>
      <c r="AF505" s="8"/>
      <c r="AG505" s="1"/>
      <c r="AH505" s="6"/>
      <c r="AI505" s="6"/>
      <c r="AJ505" s="6"/>
      <c r="AK505" s="6"/>
      <c r="AL505" s="6"/>
      <c r="AM505" s="6"/>
      <c r="AN505" s="6"/>
      <c r="AO505" s="1"/>
      <c r="AP505" s="9"/>
      <c r="AQ505" s="2"/>
      <c r="AR505" s="3"/>
      <c r="AS505" s="10"/>
      <c r="AT505" s="1"/>
      <c r="AU505" s="1"/>
      <c r="AV505" s="1"/>
      <c r="AW505" s="1"/>
      <c r="AX505" s="1"/>
      <c r="AY505" s="1"/>
      <c r="AZ505" s="1"/>
      <c r="BA505" s="1"/>
      <c r="BB505" s="1"/>
      <c r="BC505" s="1"/>
      <c r="BD505" s="1"/>
      <c r="BE505" s="1"/>
      <c r="BF505" s="1"/>
      <c r="BG505" s="1"/>
      <c r="BH505" s="1"/>
    </row>
    <row x14ac:dyDescent="0.25" r="506" customHeight="1" ht="17.25">
      <c r="A506" s="1"/>
      <c r="B506" s="1"/>
      <c r="C506" s="1"/>
      <c r="D506" s="1"/>
      <c r="E506" s="2"/>
      <c r="F506" s="2"/>
      <c r="G506" s="2"/>
      <c r="H506" s="1"/>
      <c r="I506" s="3"/>
      <c r="J506" s="2"/>
      <c r="K506" s="4"/>
      <c r="L506" s="2"/>
      <c r="M506" s="5"/>
      <c r="N506" s="5"/>
      <c r="O506" s="6"/>
      <c r="P506" s="3"/>
      <c r="Q506" s="7"/>
      <c r="R506" s="7"/>
      <c r="S506" s="2"/>
      <c r="T506" s="1"/>
      <c r="U506" s="6"/>
      <c r="V506" s="3"/>
      <c r="W506" s="3"/>
      <c r="X506" s="17"/>
      <c r="Y506" s="1"/>
      <c r="Z506" s="1"/>
      <c r="AA506" s="3"/>
      <c r="AB506" s="3"/>
      <c r="AC506" s="3"/>
      <c r="AD506" s="3"/>
      <c r="AE506" s="4"/>
      <c r="AF506" s="8"/>
      <c r="AG506" s="1"/>
      <c r="AH506" s="6"/>
      <c r="AI506" s="6"/>
      <c r="AJ506" s="6"/>
      <c r="AK506" s="6"/>
      <c r="AL506" s="6"/>
      <c r="AM506" s="6"/>
      <c r="AN506" s="6"/>
      <c r="AO506" s="1"/>
      <c r="AP506" s="9"/>
      <c r="AQ506" s="2"/>
      <c r="AR506" s="3"/>
      <c r="AS506" s="10"/>
      <c r="AT506" s="1"/>
      <c r="AU506" s="1"/>
      <c r="AV506" s="1"/>
      <c r="AW506" s="1"/>
      <c r="AX506" s="1"/>
      <c r="AY506" s="1"/>
      <c r="AZ506" s="1"/>
      <c r="BA506" s="1"/>
      <c r="BB506" s="1"/>
      <c r="BC506" s="1"/>
      <c r="BD506" s="1"/>
      <c r="BE506" s="1"/>
      <c r="BF506" s="1"/>
      <c r="BG506" s="1"/>
      <c r="BH506" s="1"/>
    </row>
    <row x14ac:dyDescent="0.25" r="507" customHeight="1" ht="17.25">
      <c r="A507" s="1"/>
      <c r="B507" s="1"/>
      <c r="C507" s="1"/>
      <c r="D507" s="1"/>
      <c r="E507" s="2"/>
      <c r="F507" s="2"/>
      <c r="G507" s="2"/>
      <c r="H507" s="1"/>
      <c r="I507" s="3"/>
      <c r="J507" s="2"/>
      <c r="K507" s="4"/>
      <c r="L507" s="2"/>
      <c r="M507" s="5"/>
      <c r="N507" s="5"/>
      <c r="O507" s="6"/>
      <c r="P507" s="3"/>
      <c r="Q507" s="7"/>
      <c r="R507" s="7"/>
      <c r="S507" s="2"/>
      <c r="T507" s="1"/>
      <c r="U507" s="6"/>
      <c r="V507" s="3"/>
      <c r="W507" s="3"/>
      <c r="X507" s="17"/>
      <c r="Y507" s="1"/>
      <c r="Z507" s="1"/>
      <c r="AA507" s="3"/>
      <c r="AB507" s="3"/>
      <c r="AC507" s="3"/>
      <c r="AD507" s="3"/>
      <c r="AE507" s="4"/>
      <c r="AF507" s="8"/>
      <c r="AG507" s="1"/>
      <c r="AH507" s="6"/>
      <c r="AI507" s="6"/>
      <c r="AJ507" s="6"/>
      <c r="AK507" s="6"/>
      <c r="AL507" s="6"/>
      <c r="AM507" s="6"/>
      <c r="AN507" s="6"/>
      <c r="AO507" s="1"/>
      <c r="AP507" s="9"/>
      <c r="AQ507" s="2"/>
      <c r="AR507" s="3"/>
      <c r="AS507" s="10"/>
      <c r="AT507" s="1"/>
      <c r="AU507" s="1"/>
      <c r="AV507" s="1"/>
      <c r="AW507" s="1"/>
      <c r="AX507" s="1"/>
      <c r="AY507" s="1"/>
      <c r="AZ507" s="1"/>
      <c r="BA507" s="1"/>
      <c r="BB507" s="1"/>
      <c r="BC507" s="1"/>
      <c r="BD507" s="1"/>
      <c r="BE507" s="1"/>
      <c r="BF507" s="1"/>
      <c r="BG507" s="1"/>
      <c r="BH507" s="1"/>
    </row>
    <row x14ac:dyDescent="0.25" r="508" customHeight="1" ht="17.25">
      <c r="A508" s="1"/>
      <c r="B508" s="1"/>
      <c r="C508" s="1"/>
      <c r="D508" s="1"/>
      <c r="E508" s="2"/>
      <c r="F508" s="2"/>
      <c r="G508" s="2"/>
      <c r="H508" s="1"/>
      <c r="I508" s="3"/>
      <c r="J508" s="2"/>
      <c r="K508" s="4"/>
      <c r="L508" s="2"/>
      <c r="M508" s="5"/>
      <c r="N508" s="5"/>
      <c r="O508" s="6"/>
      <c r="P508" s="3"/>
      <c r="Q508" s="7"/>
      <c r="R508" s="7"/>
      <c r="S508" s="2"/>
      <c r="T508" s="1"/>
      <c r="U508" s="6"/>
      <c r="V508" s="3"/>
      <c r="W508" s="3"/>
      <c r="X508" s="17"/>
      <c r="Y508" s="1"/>
      <c r="Z508" s="1"/>
      <c r="AA508" s="3"/>
      <c r="AB508" s="3"/>
      <c r="AC508" s="3"/>
      <c r="AD508" s="3"/>
      <c r="AE508" s="4"/>
      <c r="AF508" s="8"/>
      <c r="AG508" s="1"/>
      <c r="AH508" s="6"/>
      <c r="AI508" s="6"/>
      <c r="AJ508" s="6"/>
      <c r="AK508" s="6"/>
      <c r="AL508" s="6"/>
      <c r="AM508" s="6"/>
      <c r="AN508" s="6"/>
      <c r="AO508" s="1"/>
      <c r="AP508" s="9"/>
      <c r="AQ508" s="2"/>
      <c r="AR508" s="3"/>
      <c r="AS508" s="10"/>
      <c r="AT508" s="1"/>
      <c r="AU508" s="1"/>
      <c r="AV508" s="1"/>
      <c r="AW508" s="1"/>
      <c r="AX508" s="1"/>
      <c r="AY508" s="1"/>
      <c r="AZ508" s="1"/>
      <c r="BA508" s="1"/>
      <c r="BB508" s="1"/>
      <c r="BC508" s="1"/>
      <c r="BD508" s="1"/>
      <c r="BE508" s="1"/>
      <c r="BF508" s="1"/>
      <c r="BG508" s="1"/>
      <c r="BH508" s="1"/>
    </row>
    <row x14ac:dyDescent="0.25" r="509" customHeight="1" ht="17.25">
      <c r="A509" s="1"/>
      <c r="B509" s="1"/>
      <c r="C509" s="1"/>
      <c r="D509" s="1"/>
      <c r="E509" s="2"/>
      <c r="F509" s="2"/>
      <c r="G509" s="2"/>
      <c r="H509" s="1"/>
      <c r="I509" s="3"/>
      <c r="J509" s="2"/>
      <c r="K509" s="4"/>
      <c r="L509" s="2"/>
      <c r="M509" s="5"/>
      <c r="N509" s="5"/>
      <c r="O509" s="6"/>
      <c r="P509" s="3"/>
      <c r="Q509" s="7"/>
      <c r="R509" s="7"/>
      <c r="S509" s="2"/>
      <c r="T509" s="1"/>
      <c r="U509" s="6"/>
      <c r="V509" s="3"/>
      <c r="W509" s="3"/>
      <c r="X509" s="17"/>
      <c r="Y509" s="1"/>
      <c r="Z509" s="1"/>
      <c r="AA509" s="3"/>
      <c r="AB509" s="3"/>
      <c r="AC509" s="3"/>
      <c r="AD509" s="3"/>
      <c r="AE509" s="4"/>
      <c r="AF509" s="8"/>
      <c r="AG509" s="1"/>
      <c r="AH509" s="6"/>
      <c r="AI509" s="6"/>
      <c r="AJ509" s="6"/>
      <c r="AK509" s="6"/>
      <c r="AL509" s="6"/>
      <c r="AM509" s="6"/>
      <c r="AN509" s="6"/>
      <c r="AO509" s="1"/>
      <c r="AP509" s="9"/>
      <c r="AQ509" s="2"/>
      <c r="AR509" s="3"/>
      <c r="AS509" s="10"/>
      <c r="AT509" s="1"/>
      <c r="AU509" s="1"/>
      <c r="AV509" s="1"/>
      <c r="AW509" s="1"/>
      <c r="AX509" s="1"/>
      <c r="AY509" s="1"/>
      <c r="AZ509" s="1"/>
      <c r="BA509" s="1"/>
      <c r="BB509" s="1"/>
      <c r="BC509" s="1"/>
      <c r="BD509" s="1"/>
      <c r="BE509" s="1"/>
      <c r="BF509" s="1"/>
      <c r="BG509" s="1"/>
      <c r="BH509" s="1"/>
    </row>
    <row x14ac:dyDescent="0.25" r="510" customHeight="1" ht="17.25">
      <c r="A510" s="1"/>
      <c r="B510" s="1"/>
      <c r="C510" s="1"/>
      <c r="D510" s="1"/>
      <c r="E510" s="2"/>
      <c r="F510" s="2"/>
      <c r="G510" s="2"/>
      <c r="H510" s="1"/>
      <c r="I510" s="3"/>
      <c r="J510" s="2"/>
      <c r="K510" s="4"/>
      <c r="L510" s="2"/>
      <c r="M510" s="5"/>
      <c r="N510" s="5"/>
      <c r="O510" s="6"/>
      <c r="P510" s="3"/>
      <c r="Q510" s="7"/>
      <c r="R510" s="7"/>
      <c r="S510" s="2"/>
      <c r="T510" s="1"/>
      <c r="U510" s="6"/>
      <c r="V510" s="3"/>
      <c r="W510" s="3"/>
      <c r="X510" s="17"/>
      <c r="Y510" s="1"/>
      <c r="Z510" s="1"/>
      <c r="AA510" s="3"/>
      <c r="AB510" s="3"/>
      <c r="AC510" s="3"/>
      <c r="AD510" s="3"/>
      <c r="AE510" s="4"/>
      <c r="AF510" s="8"/>
      <c r="AG510" s="1"/>
      <c r="AH510" s="6"/>
      <c r="AI510" s="6"/>
      <c r="AJ510" s="6"/>
      <c r="AK510" s="6"/>
      <c r="AL510" s="6"/>
      <c r="AM510" s="6"/>
      <c r="AN510" s="6"/>
      <c r="AO510" s="1"/>
      <c r="AP510" s="9"/>
      <c r="AQ510" s="2"/>
      <c r="AR510" s="3"/>
      <c r="AS510" s="10"/>
      <c r="AT510" s="1"/>
      <c r="AU510" s="1"/>
      <c r="AV510" s="1"/>
      <c r="AW510" s="1"/>
      <c r="AX510" s="1"/>
      <c r="AY510" s="1"/>
      <c r="AZ510" s="1"/>
      <c r="BA510" s="1"/>
      <c r="BB510" s="1"/>
      <c r="BC510" s="1"/>
      <c r="BD510" s="1"/>
      <c r="BE510" s="1"/>
      <c r="BF510" s="1"/>
      <c r="BG510" s="1"/>
      <c r="BH510" s="1"/>
    </row>
    <row x14ac:dyDescent="0.25" r="511" customHeight="1" ht="17.25">
      <c r="A511" s="1"/>
      <c r="B511" s="1"/>
      <c r="C511" s="1"/>
      <c r="D511" s="1"/>
      <c r="E511" s="2"/>
      <c r="F511" s="2"/>
      <c r="G511" s="2"/>
      <c r="H511" s="1"/>
      <c r="I511" s="3"/>
      <c r="J511" s="2"/>
      <c r="K511" s="4"/>
      <c r="L511" s="2"/>
      <c r="M511" s="5"/>
      <c r="N511" s="5"/>
      <c r="O511" s="6"/>
      <c r="P511" s="3"/>
      <c r="Q511" s="7"/>
      <c r="R511" s="7"/>
      <c r="S511" s="2"/>
      <c r="T511" s="1"/>
      <c r="U511" s="6"/>
      <c r="V511" s="3"/>
      <c r="W511" s="3"/>
      <c r="X511" s="17"/>
      <c r="Y511" s="1"/>
      <c r="Z511" s="1"/>
      <c r="AA511" s="3"/>
      <c r="AB511" s="3"/>
      <c r="AC511" s="3"/>
      <c r="AD511" s="3"/>
      <c r="AE511" s="4"/>
      <c r="AF511" s="8"/>
      <c r="AG511" s="1"/>
      <c r="AH511" s="6"/>
      <c r="AI511" s="6"/>
      <c r="AJ511" s="6"/>
      <c r="AK511" s="6"/>
      <c r="AL511" s="6"/>
      <c r="AM511" s="6"/>
      <c r="AN511" s="6"/>
      <c r="AO511" s="1"/>
      <c r="AP511" s="9"/>
      <c r="AQ511" s="2"/>
      <c r="AR511" s="3"/>
      <c r="AS511" s="10"/>
      <c r="AT511" s="1"/>
      <c r="AU511" s="1"/>
      <c r="AV511" s="1"/>
      <c r="AW511" s="1"/>
      <c r="AX511" s="1"/>
      <c r="AY511" s="1"/>
      <c r="AZ511" s="1"/>
      <c r="BA511" s="1"/>
      <c r="BB511" s="1"/>
      <c r="BC511" s="1"/>
      <c r="BD511" s="1"/>
      <c r="BE511" s="1"/>
      <c r="BF511" s="1"/>
      <c r="BG511" s="1"/>
      <c r="BH511" s="1"/>
    </row>
    <row x14ac:dyDescent="0.25" r="512" customHeight="1" ht="17.25">
      <c r="A512" s="1"/>
      <c r="B512" s="1"/>
      <c r="C512" s="1"/>
      <c r="D512" s="1"/>
      <c r="E512" s="2"/>
      <c r="F512" s="2"/>
      <c r="G512" s="2"/>
      <c r="H512" s="1"/>
      <c r="I512" s="3"/>
      <c r="J512" s="2"/>
      <c r="K512" s="4"/>
      <c r="L512" s="2"/>
      <c r="M512" s="5"/>
      <c r="N512" s="5"/>
      <c r="O512" s="6"/>
      <c r="P512" s="3"/>
      <c r="Q512" s="7"/>
      <c r="R512" s="7"/>
      <c r="S512" s="2"/>
      <c r="T512" s="1"/>
      <c r="U512" s="6"/>
      <c r="V512" s="3"/>
      <c r="W512" s="3"/>
      <c r="X512" s="17"/>
      <c r="Y512" s="1"/>
      <c r="Z512" s="1"/>
      <c r="AA512" s="3"/>
      <c r="AB512" s="3"/>
      <c r="AC512" s="3"/>
      <c r="AD512" s="3"/>
      <c r="AE512" s="4"/>
      <c r="AF512" s="8"/>
      <c r="AG512" s="1"/>
      <c r="AH512" s="6"/>
      <c r="AI512" s="6"/>
      <c r="AJ512" s="6"/>
      <c r="AK512" s="6"/>
      <c r="AL512" s="6"/>
      <c r="AM512" s="6"/>
      <c r="AN512" s="6"/>
      <c r="AO512" s="1"/>
      <c r="AP512" s="9"/>
      <c r="AQ512" s="2"/>
      <c r="AR512" s="3"/>
      <c r="AS512" s="10"/>
      <c r="AT512" s="1"/>
      <c r="AU512" s="1"/>
      <c r="AV512" s="1"/>
      <c r="AW512" s="1"/>
      <c r="AX512" s="1"/>
      <c r="AY512" s="1"/>
      <c r="AZ512" s="1"/>
      <c r="BA512" s="1"/>
      <c r="BB512" s="1"/>
      <c r="BC512" s="1"/>
      <c r="BD512" s="1"/>
      <c r="BE512" s="1"/>
      <c r="BF512" s="1"/>
      <c r="BG512" s="1"/>
      <c r="BH512" s="1"/>
    </row>
    <row x14ac:dyDescent="0.25" r="513" customHeight="1" ht="17.25">
      <c r="A513" s="1"/>
      <c r="B513" s="1"/>
      <c r="C513" s="1"/>
      <c r="D513" s="1"/>
      <c r="E513" s="2"/>
      <c r="F513" s="2"/>
      <c r="G513" s="2"/>
      <c r="H513" s="1"/>
      <c r="I513" s="3"/>
      <c r="J513" s="2"/>
      <c r="K513" s="4"/>
      <c r="L513" s="2"/>
      <c r="M513" s="5"/>
      <c r="N513" s="5"/>
      <c r="O513" s="6"/>
      <c r="P513" s="3"/>
      <c r="Q513" s="7"/>
      <c r="R513" s="7"/>
      <c r="S513" s="2"/>
      <c r="T513" s="1"/>
      <c r="U513" s="6"/>
      <c r="V513" s="3"/>
      <c r="W513" s="3"/>
      <c r="X513" s="17"/>
      <c r="Y513" s="1"/>
      <c r="Z513" s="1"/>
      <c r="AA513" s="3"/>
      <c r="AB513" s="3"/>
      <c r="AC513" s="3"/>
      <c r="AD513" s="3"/>
      <c r="AE513" s="4"/>
      <c r="AF513" s="8"/>
      <c r="AG513" s="1"/>
      <c r="AH513" s="6"/>
      <c r="AI513" s="6"/>
      <c r="AJ513" s="6"/>
      <c r="AK513" s="6"/>
      <c r="AL513" s="6"/>
      <c r="AM513" s="6"/>
      <c r="AN513" s="6"/>
      <c r="AO513" s="1"/>
      <c r="AP513" s="9"/>
      <c r="AQ513" s="2"/>
      <c r="AR513" s="3"/>
      <c r="AS513" s="10"/>
      <c r="AT513" s="1"/>
      <c r="AU513" s="1"/>
      <c r="AV513" s="1"/>
      <c r="AW513" s="1"/>
      <c r="AX513" s="1"/>
      <c r="AY513" s="1"/>
      <c r="AZ513" s="1"/>
      <c r="BA513" s="1"/>
      <c r="BB513" s="1"/>
      <c r="BC513" s="1"/>
      <c r="BD513" s="1"/>
      <c r="BE513" s="1"/>
      <c r="BF513" s="1"/>
      <c r="BG513" s="1"/>
      <c r="BH513" s="1"/>
    </row>
    <row x14ac:dyDescent="0.25" r="514" customHeight="1" ht="17.25">
      <c r="A514" s="1"/>
      <c r="B514" s="1"/>
      <c r="C514" s="1"/>
      <c r="D514" s="1"/>
      <c r="E514" s="2"/>
      <c r="F514" s="2"/>
      <c r="G514" s="2"/>
      <c r="H514" s="1"/>
      <c r="I514" s="3"/>
      <c r="J514" s="2"/>
      <c r="K514" s="4"/>
      <c r="L514" s="2"/>
      <c r="M514" s="5"/>
      <c r="N514" s="5"/>
      <c r="O514" s="6"/>
      <c r="P514" s="3"/>
      <c r="Q514" s="7"/>
      <c r="R514" s="7"/>
      <c r="S514" s="2"/>
      <c r="T514" s="1"/>
      <c r="U514" s="6"/>
      <c r="V514" s="3"/>
      <c r="W514" s="3"/>
      <c r="X514" s="17"/>
      <c r="Y514" s="1"/>
      <c r="Z514" s="1"/>
      <c r="AA514" s="3"/>
      <c r="AB514" s="3"/>
      <c r="AC514" s="3"/>
      <c r="AD514" s="3"/>
      <c r="AE514" s="4"/>
      <c r="AF514" s="8"/>
      <c r="AG514" s="1"/>
      <c r="AH514" s="6"/>
      <c r="AI514" s="6"/>
      <c r="AJ514" s="6"/>
      <c r="AK514" s="6"/>
      <c r="AL514" s="6"/>
      <c r="AM514" s="6"/>
      <c r="AN514" s="6"/>
      <c r="AO514" s="1"/>
      <c r="AP514" s="9"/>
      <c r="AQ514" s="2"/>
      <c r="AR514" s="3"/>
      <c r="AS514" s="10"/>
      <c r="AT514" s="1"/>
      <c r="AU514" s="1"/>
      <c r="AV514" s="1"/>
      <c r="AW514" s="1"/>
      <c r="AX514" s="1"/>
      <c r="AY514" s="1"/>
      <c r="AZ514" s="1"/>
      <c r="BA514" s="1"/>
      <c r="BB514" s="1"/>
      <c r="BC514" s="1"/>
      <c r="BD514" s="1"/>
      <c r="BE514" s="1"/>
      <c r="BF514" s="1"/>
      <c r="BG514" s="1"/>
      <c r="BH514" s="1"/>
    </row>
    <row x14ac:dyDescent="0.25" r="515" customHeight="1" ht="17.25">
      <c r="A515" s="1"/>
      <c r="B515" s="1"/>
      <c r="C515" s="1"/>
      <c r="D515" s="1"/>
      <c r="E515" s="2"/>
      <c r="F515" s="2"/>
      <c r="G515" s="2"/>
      <c r="H515" s="1"/>
      <c r="I515" s="3"/>
      <c r="J515" s="2"/>
      <c r="K515" s="4"/>
      <c r="L515" s="2"/>
      <c r="M515" s="5"/>
      <c r="N515" s="5"/>
      <c r="O515" s="6"/>
      <c r="P515" s="3"/>
      <c r="Q515" s="7"/>
      <c r="R515" s="7"/>
      <c r="S515" s="2"/>
      <c r="T515" s="1"/>
      <c r="U515" s="6"/>
      <c r="V515" s="3"/>
      <c r="W515" s="3"/>
      <c r="X515" s="17"/>
      <c r="Y515" s="1"/>
      <c r="Z515" s="1"/>
      <c r="AA515" s="3"/>
      <c r="AB515" s="3"/>
      <c r="AC515" s="3"/>
      <c r="AD515" s="3"/>
      <c r="AE515" s="4"/>
      <c r="AF515" s="8"/>
      <c r="AG515" s="1"/>
      <c r="AH515" s="6"/>
      <c r="AI515" s="6"/>
      <c r="AJ515" s="6"/>
      <c r="AK515" s="6"/>
      <c r="AL515" s="6"/>
      <c r="AM515" s="6"/>
      <c r="AN515" s="6"/>
      <c r="AO515" s="1"/>
      <c r="AP515" s="9"/>
      <c r="AQ515" s="2"/>
      <c r="AR515" s="3"/>
      <c r="AS515" s="10"/>
      <c r="AT515" s="1"/>
      <c r="AU515" s="1"/>
      <c r="AV515" s="1"/>
      <c r="AW515" s="1"/>
      <c r="AX515" s="1"/>
      <c r="AY515" s="1"/>
      <c r="AZ515" s="1"/>
      <c r="BA515" s="1"/>
      <c r="BB515" s="1"/>
      <c r="BC515" s="1"/>
      <c r="BD515" s="1"/>
      <c r="BE515" s="1"/>
      <c r="BF515" s="1"/>
      <c r="BG515" s="1"/>
      <c r="BH515" s="1"/>
    </row>
    <row x14ac:dyDescent="0.25" r="516" customHeight="1" ht="17.25">
      <c r="A516" s="1"/>
      <c r="B516" s="1"/>
      <c r="C516" s="1"/>
      <c r="D516" s="1"/>
      <c r="E516" s="2"/>
      <c r="F516" s="2"/>
      <c r="G516" s="2"/>
      <c r="H516" s="1"/>
      <c r="I516" s="3"/>
      <c r="J516" s="2"/>
      <c r="K516" s="4"/>
      <c r="L516" s="2"/>
      <c r="M516" s="5"/>
      <c r="N516" s="5"/>
      <c r="O516" s="6"/>
      <c r="P516" s="3"/>
      <c r="Q516" s="7"/>
      <c r="R516" s="7"/>
      <c r="S516" s="2"/>
      <c r="T516" s="1"/>
      <c r="U516" s="6"/>
      <c r="V516" s="3"/>
      <c r="W516" s="3"/>
      <c r="X516" s="17"/>
      <c r="Y516" s="1"/>
      <c r="Z516" s="1"/>
      <c r="AA516" s="3"/>
      <c r="AB516" s="3"/>
      <c r="AC516" s="3"/>
      <c r="AD516" s="3"/>
      <c r="AE516" s="4"/>
      <c r="AF516" s="8"/>
      <c r="AG516" s="1"/>
      <c r="AH516" s="6"/>
      <c r="AI516" s="6"/>
      <c r="AJ516" s="6"/>
      <c r="AK516" s="6"/>
      <c r="AL516" s="6"/>
      <c r="AM516" s="6"/>
      <c r="AN516" s="6"/>
      <c r="AO516" s="1"/>
      <c r="AP516" s="9"/>
      <c r="AQ516" s="2"/>
      <c r="AR516" s="3"/>
      <c r="AS516" s="10"/>
      <c r="AT516" s="1"/>
      <c r="AU516" s="1"/>
      <c r="AV516" s="1"/>
      <c r="AW516" s="1"/>
      <c r="AX516" s="1"/>
      <c r="AY516" s="1"/>
      <c r="AZ516" s="1"/>
      <c r="BA516" s="1"/>
      <c r="BB516" s="1"/>
      <c r="BC516" s="1"/>
      <c r="BD516" s="1"/>
      <c r="BE516" s="1"/>
      <c r="BF516" s="1"/>
      <c r="BG516" s="1"/>
      <c r="BH516" s="1"/>
    </row>
    <row x14ac:dyDescent="0.25" r="517" customHeight="1" ht="17.25">
      <c r="A517" s="1"/>
      <c r="B517" s="1"/>
      <c r="C517" s="1"/>
      <c r="D517" s="1"/>
      <c r="E517" s="2"/>
      <c r="F517" s="2"/>
      <c r="G517" s="2"/>
      <c r="H517" s="1"/>
      <c r="I517" s="3"/>
      <c r="J517" s="2"/>
      <c r="K517" s="4"/>
      <c r="L517" s="2"/>
      <c r="M517" s="5"/>
      <c r="N517" s="5"/>
      <c r="O517" s="6"/>
      <c r="P517" s="3"/>
      <c r="Q517" s="7"/>
      <c r="R517" s="7"/>
      <c r="S517" s="2"/>
      <c r="T517" s="1"/>
      <c r="U517" s="6"/>
      <c r="V517" s="3"/>
      <c r="W517" s="3"/>
      <c r="X517" s="17"/>
      <c r="Y517" s="1"/>
      <c r="Z517" s="1"/>
      <c r="AA517" s="3"/>
      <c r="AB517" s="3"/>
      <c r="AC517" s="3"/>
      <c r="AD517" s="3"/>
      <c r="AE517" s="4"/>
      <c r="AF517" s="8"/>
      <c r="AG517" s="1"/>
      <c r="AH517" s="6"/>
      <c r="AI517" s="6"/>
      <c r="AJ517" s="6"/>
      <c r="AK517" s="6"/>
      <c r="AL517" s="6"/>
      <c r="AM517" s="6"/>
      <c r="AN517" s="6"/>
      <c r="AO517" s="1"/>
      <c r="AP517" s="9"/>
      <c r="AQ517" s="2"/>
      <c r="AR517" s="3"/>
      <c r="AS517" s="10"/>
      <c r="AT517" s="1"/>
      <c r="AU517" s="1"/>
      <c r="AV517" s="1"/>
      <c r="AW517" s="1"/>
      <c r="AX517" s="1"/>
      <c r="AY517" s="1"/>
      <c r="AZ517" s="1"/>
      <c r="BA517" s="1"/>
      <c r="BB517" s="1"/>
      <c r="BC517" s="1"/>
      <c r="BD517" s="1"/>
      <c r="BE517" s="1"/>
      <c r="BF517" s="1"/>
      <c r="BG517" s="1"/>
      <c r="BH517" s="1"/>
    </row>
    <row x14ac:dyDescent="0.25" r="518" customHeight="1" ht="17.25">
      <c r="A518" s="1"/>
      <c r="B518" s="1"/>
      <c r="C518" s="1"/>
      <c r="D518" s="1"/>
      <c r="E518" s="2"/>
      <c r="F518" s="2"/>
      <c r="G518" s="2"/>
      <c r="H518" s="1"/>
      <c r="I518" s="3"/>
      <c r="J518" s="2"/>
      <c r="K518" s="4"/>
      <c r="L518" s="2"/>
      <c r="M518" s="5"/>
      <c r="N518" s="5"/>
      <c r="O518" s="6"/>
      <c r="P518" s="3"/>
      <c r="Q518" s="7"/>
      <c r="R518" s="7"/>
      <c r="S518" s="2"/>
      <c r="T518" s="1"/>
      <c r="U518" s="6"/>
      <c r="V518" s="3"/>
      <c r="W518" s="3"/>
      <c r="X518" s="17"/>
      <c r="Y518" s="1"/>
      <c r="Z518" s="1"/>
      <c r="AA518" s="3"/>
      <c r="AB518" s="3"/>
      <c r="AC518" s="3"/>
      <c r="AD518" s="3"/>
      <c r="AE518" s="4"/>
      <c r="AF518" s="8"/>
      <c r="AG518" s="1"/>
      <c r="AH518" s="6"/>
      <c r="AI518" s="6"/>
      <c r="AJ518" s="6"/>
      <c r="AK518" s="6"/>
      <c r="AL518" s="6"/>
      <c r="AM518" s="6"/>
      <c r="AN518" s="6"/>
      <c r="AO518" s="1"/>
      <c r="AP518" s="9"/>
      <c r="AQ518" s="2"/>
      <c r="AR518" s="3"/>
      <c r="AS518" s="10"/>
      <c r="AT518" s="1"/>
      <c r="AU518" s="1"/>
      <c r="AV518" s="1"/>
      <c r="AW518" s="1"/>
      <c r="AX518" s="1"/>
      <c r="AY518" s="1"/>
      <c r="AZ518" s="1"/>
      <c r="BA518" s="1"/>
      <c r="BB518" s="1"/>
      <c r="BC518" s="1"/>
      <c r="BD518" s="1"/>
      <c r="BE518" s="1"/>
      <c r="BF518" s="1"/>
      <c r="BG518" s="1"/>
      <c r="BH518" s="1"/>
    </row>
    <row x14ac:dyDescent="0.25" r="519" customHeight="1" ht="17.25">
      <c r="A519" s="1"/>
      <c r="B519" s="1"/>
      <c r="C519" s="1"/>
      <c r="D519" s="1"/>
      <c r="E519" s="2"/>
      <c r="F519" s="2"/>
      <c r="G519" s="2"/>
      <c r="H519" s="1"/>
      <c r="I519" s="3"/>
      <c r="J519" s="2"/>
      <c r="K519" s="4"/>
      <c r="L519" s="2"/>
      <c r="M519" s="5"/>
      <c r="N519" s="5"/>
      <c r="O519" s="6"/>
      <c r="P519" s="3"/>
      <c r="Q519" s="7"/>
      <c r="R519" s="7"/>
      <c r="S519" s="2"/>
      <c r="T519" s="1"/>
      <c r="U519" s="6"/>
      <c r="V519" s="3"/>
      <c r="W519" s="3"/>
      <c r="X519" s="17"/>
      <c r="Y519" s="1"/>
      <c r="Z519" s="1"/>
      <c r="AA519" s="3"/>
      <c r="AB519" s="3"/>
      <c r="AC519" s="3"/>
      <c r="AD519" s="3"/>
      <c r="AE519" s="4"/>
      <c r="AF519" s="8"/>
      <c r="AG519" s="1"/>
      <c r="AH519" s="6"/>
      <c r="AI519" s="6"/>
      <c r="AJ519" s="6"/>
      <c r="AK519" s="6"/>
      <c r="AL519" s="6"/>
      <c r="AM519" s="6"/>
      <c r="AN519" s="6"/>
      <c r="AO519" s="1"/>
      <c r="AP519" s="9"/>
      <c r="AQ519" s="2"/>
      <c r="AR519" s="3"/>
      <c r="AS519" s="10"/>
      <c r="AT519" s="1"/>
      <c r="AU519" s="1"/>
      <c r="AV519" s="1"/>
      <c r="AW519" s="1"/>
      <c r="AX519" s="1"/>
      <c r="AY519" s="1"/>
      <c r="AZ519" s="1"/>
      <c r="BA519" s="1"/>
      <c r="BB519" s="1"/>
      <c r="BC519" s="1"/>
      <c r="BD519" s="1"/>
      <c r="BE519" s="1"/>
      <c r="BF519" s="1"/>
      <c r="BG519" s="1"/>
      <c r="BH519" s="1"/>
    </row>
    <row x14ac:dyDescent="0.25" r="520" customHeight="1" ht="17.25">
      <c r="A520" s="1"/>
      <c r="B520" s="1"/>
      <c r="C520" s="1"/>
      <c r="D520" s="1"/>
      <c r="E520" s="2"/>
      <c r="F520" s="2"/>
      <c r="G520" s="2"/>
      <c r="H520" s="1"/>
      <c r="I520" s="3"/>
      <c r="J520" s="2"/>
      <c r="K520" s="4"/>
      <c r="L520" s="2"/>
      <c r="M520" s="5"/>
      <c r="N520" s="5"/>
      <c r="O520" s="6"/>
      <c r="P520" s="3"/>
      <c r="Q520" s="7"/>
      <c r="R520" s="7"/>
      <c r="S520" s="2"/>
      <c r="T520" s="1"/>
      <c r="U520" s="6"/>
      <c r="V520" s="3"/>
      <c r="W520" s="3"/>
      <c r="X520" s="17"/>
      <c r="Y520" s="1"/>
      <c r="Z520" s="1"/>
      <c r="AA520" s="3"/>
      <c r="AB520" s="3"/>
      <c r="AC520" s="3"/>
      <c r="AD520" s="3"/>
      <c r="AE520" s="4"/>
      <c r="AF520" s="8"/>
      <c r="AG520" s="1"/>
      <c r="AH520" s="6"/>
      <c r="AI520" s="6"/>
      <c r="AJ520" s="6"/>
      <c r="AK520" s="6"/>
      <c r="AL520" s="6"/>
      <c r="AM520" s="6"/>
      <c r="AN520" s="6"/>
      <c r="AO520" s="1"/>
      <c r="AP520" s="9"/>
      <c r="AQ520" s="2"/>
      <c r="AR520" s="3"/>
      <c r="AS520" s="10"/>
      <c r="AT520" s="1"/>
      <c r="AU520" s="1"/>
      <c r="AV520" s="1"/>
      <c r="AW520" s="1"/>
      <c r="AX520" s="1"/>
      <c r="AY520" s="1"/>
      <c r="AZ520" s="1"/>
      <c r="BA520" s="1"/>
      <c r="BB520" s="1"/>
      <c r="BC520" s="1"/>
      <c r="BD520" s="1"/>
      <c r="BE520" s="1"/>
      <c r="BF520" s="1"/>
      <c r="BG520" s="1"/>
      <c r="BH520" s="1"/>
    </row>
    <row x14ac:dyDescent="0.25" r="521" customHeight="1" ht="17.25">
      <c r="A521" s="1"/>
      <c r="B521" s="1"/>
      <c r="C521" s="1"/>
      <c r="D521" s="1"/>
      <c r="E521" s="2"/>
      <c r="F521" s="2"/>
      <c r="G521" s="2"/>
      <c r="H521" s="1"/>
      <c r="I521" s="3"/>
      <c r="J521" s="2"/>
      <c r="K521" s="4"/>
      <c r="L521" s="2"/>
      <c r="M521" s="5"/>
      <c r="N521" s="5"/>
      <c r="O521" s="6"/>
      <c r="P521" s="3"/>
      <c r="Q521" s="7"/>
      <c r="R521" s="7"/>
      <c r="S521" s="2"/>
      <c r="T521" s="1"/>
      <c r="U521" s="6"/>
      <c r="V521" s="3"/>
      <c r="W521" s="3"/>
      <c r="X521" s="17"/>
      <c r="Y521" s="1"/>
      <c r="Z521" s="1"/>
      <c r="AA521" s="3"/>
      <c r="AB521" s="3"/>
      <c r="AC521" s="3"/>
      <c r="AD521" s="3"/>
      <c r="AE521" s="4"/>
      <c r="AF521" s="8"/>
      <c r="AG521" s="1"/>
      <c r="AH521" s="6"/>
      <c r="AI521" s="6"/>
      <c r="AJ521" s="6"/>
      <c r="AK521" s="6"/>
      <c r="AL521" s="6"/>
      <c r="AM521" s="6"/>
      <c r="AN521" s="6"/>
      <c r="AO521" s="1"/>
      <c r="AP521" s="9"/>
      <c r="AQ521" s="2"/>
      <c r="AR521" s="3"/>
      <c r="AS521" s="10"/>
      <c r="AT521" s="1"/>
      <c r="AU521" s="1"/>
      <c r="AV521" s="1"/>
      <c r="AW521" s="1"/>
      <c r="AX521" s="1"/>
      <c r="AY521" s="1"/>
      <c r="AZ521" s="1"/>
      <c r="BA521" s="1"/>
      <c r="BB521" s="1"/>
      <c r="BC521" s="1"/>
      <c r="BD521" s="1"/>
      <c r="BE521" s="1"/>
      <c r="BF521" s="1"/>
      <c r="BG521" s="1"/>
      <c r="BH521" s="1"/>
    </row>
    <row x14ac:dyDescent="0.25" r="522" customHeight="1" ht="17.25">
      <c r="A522" s="1"/>
      <c r="B522" s="1"/>
      <c r="C522" s="1"/>
      <c r="D522" s="1"/>
      <c r="E522" s="2"/>
      <c r="F522" s="2"/>
      <c r="G522" s="2"/>
      <c r="H522" s="1"/>
      <c r="I522" s="3"/>
      <c r="J522" s="2"/>
      <c r="K522" s="4"/>
      <c r="L522" s="2"/>
      <c r="M522" s="5"/>
      <c r="N522" s="5"/>
      <c r="O522" s="6"/>
      <c r="P522" s="3"/>
      <c r="Q522" s="7"/>
      <c r="R522" s="7"/>
      <c r="S522" s="2"/>
      <c r="T522" s="1"/>
      <c r="U522" s="6"/>
      <c r="V522" s="3"/>
      <c r="W522" s="3"/>
      <c r="X522" s="17"/>
      <c r="Y522" s="1"/>
      <c r="Z522" s="1"/>
      <c r="AA522" s="3"/>
      <c r="AB522" s="3"/>
      <c r="AC522" s="3"/>
      <c r="AD522" s="3"/>
      <c r="AE522" s="4"/>
      <c r="AF522" s="8"/>
      <c r="AG522" s="1"/>
      <c r="AH522" s="6"/>
      <c r="AI522" s="6"/>
      <c r="AJ522" s="6"/>
      <c r="AK522" s="6"/>
      <c r="AL522" s="6"/>
      <c r="AM522" s="6"/>
      <c r="AN522" s="6"/>
      <c r="AO522" s="1"/>
      <c r="AP522" s="9"/>
      <c r="AQ522" s="2"/>
      <c r="AR522" s="3"/>
      <c r="AS522" s="10"/>
      <c r="AT522" s="1"/>
      <c r="AU522" s="1"/>
      <c r="AV522" s="1"/>
      <c r="AW522" s="1"/>
      <c r="AX522" s="1"/>
      <c r="AY522" s="1"/>
      <c r="AZ522" s="1"/>
      <c r="BA522" s="1"/>
      <c r="BB522" s="1"/>
      <c r="BC522" s="1"/>
      <c r="BD522" s="1"/>
      <c r="BE522" s="1"/>
      <c r="BF522" s="1"/>
      <c r="BG522" s="1"/>
      <c r="BH522" s="1"/>
    </row>
    <row x14ac:dyDescent="0.25" r="523" customHeight="1" ht="17.25">
      <c r="A523" s="1"/>
      <c r="B523" s="1"/>
      <c r="C523" s="1"/>
      <c r="D523" s="1"/>
      <c r="E523" s="2"/>
      <c r="F523" s="2"/>
      <c r="G523" s="2"/>
      <c r="H523" s="1"/>
      <c r="I523" s="3"/>
      <c r="J523" s="2"/>
      <c r="K523" s="4"/>
      <c r="L523" s="2"/>
      <c r="M523" s="5"/>
      <c r="N523" s="5"/>
      <c r="O523" s="6"/>
      <c r="P523" s="3"/>
      <c r="Q523" s="7"/>
      <c r="R523" s="7"/>
      <c r="S523" s="2"/>
      <c r="T523" s="1"/>
      <c r="U523" s="6"/>
      <c r="V523" s="3"/>
      <c r="W523" s="3"/>
      <c r="X523" s="17"/>
      <c r="Y523" s="1"/>
      <c r="Z523" s="1"/>
      <c r="AA523" s="3"/>
      <c r="AB523" s="3"/>
      <c r="AC523" s="3"/>
      <c r="AD523" s="3"/>
      <c r="AE523" s="4"/>
      <c r="AF523" s="8"/>
      <c r="AG523" s="1"/>
      <c r="AH523" s="6"/>
      <c r="AI523" s="6"/>
      <c r="AJ523" s="6"/>
      <c r="AK523" s="6"/>
      <c r="AL523" s="6"/>
      <c r="AM523" s="6"/>
      <c r="AN523" s="6"/>
      <c r="AO523" s="1"/>
      <c r="AP523" s="9"/>
      <c r="AQ523" s="2"/>
      <c r="AR523" s="3"/>
      <c r="AS523" s="10"/>
      <c r="AT523" s="1"/>
      <c r="AU523" s="1"/>
      <c r="AV523" s="1"/>
      <c r="AW523" s="1"/>
      <c r="AX523" s="1"/>
      <c r="AY523" s="1"/>
      <c r="AZ523" s="1"/>
      <c r="BA523" s="1"/>
      <c r="BB523" s="1"/>
      <c r="BC523" s="1"/>
      <c r="BD523" s="1"/>
      <c r="BE523" s="1"/>
      <c r="BF523" s="1"/>
      <c r="BG523" s="1"/>
      <c r="BH523" s="1"/>
    </row>
    <row x14ac:dyDescent="0.25" r="524" customHeight="1" ht="17.25">
      <c r="A524" s="1"/>
      <c r="B524" s="1"/>
      <c r="C524" s="1"/>
      <c r="D524" s="1"/>
      <c r="E524" s="2"/>
      <c r="F524" s="2"/>
      <c r="G524" s="2"/>
      <c r="H524" s="1"/>
      <c r="I524" s="3"/>
      <c r="J524" s="2"/>
      <c r="K524" s="4"/>
      <c r="L524" s="2"/>
      <c r="M524" s="5"/>
      <c r="N524" s="5"/>
      <c r="O524" s="6"/>
      <c r="P524" s="3"/>
      <c r="Q524" s="7"/>
      <c r="R524" s="7"/>
      <c r="S524" s="2"/>
      <c r="T524" s="1"/>
      <c r="U524" s="6"/>
      <c r="V524" s="3"/>
      <c r="W524" s="3"/>
      <c r="X524" s="17"/>
      <c r="Y524" s="1"/>
      <c r="Z524" s="1"/>
      <c r="AA524" s="3"/>
      <c r="AB524" s="3"/>
      <c r="AC524" s="3"/>
      <c r="AD524" s="3"/>
      <c r="AE524" s="4"/>
      <c r="AF524" s="8"/>
      <c r="AG524" s="1"/>
      <c r="AH524" s="6"/>
      <c r="AI524" s="6"/>
      <c r="AJ524" s="6"/>
      <c r="AK524" s="6"/>
      <c r="AL524" s="6"/>
      <c r="AM524" s="6"/>
      <c r="AN524" s="6"/>
      <c r="AO524" s="1"/>
      <c r="AP524" s="9"/>
      <c r="AQ524" s="2"/>
      <c r="AR524" s="3"/>
      <c r="AS524" s="10"/>
      <c r="AT524" s="1"/>
      <c r="AU524" s="1"/>
      <c r="AV524" s="1"/>
      <c r="AW524" s="1"/>
      <c r="AX524" s="1"/>
      <c r="AY524" s="1"/>
      <c r="AZ524" s="1"/>
      <c r="BA524" s="1"/>
      <c r="BB524" s="1"/>
      <c r="BC524" s="1"/>
      <c r="BD524" s="1"/>
      <c r="BE524" s="1"/>
      <c r="BF524" s="1"/>
      <c r="BG524" s="1"/>
      <c r="BH524" s="1"/>
    </row>
    <row x14ac:dyDescent="0.25" r="525" customHeight="1" ht="17.25">
      <c r="A525" s="1"/>
      <c r="B525" s="1"/>
      <c r="C525" s="1"/>
      <c r="D525" s="1"/>
      <c r="E525" s="2"/>
      <c r="F525" s="2"/>
      <c r="G525" s="2"/>
      <c r="H525" s="1"/>
      <c r="I525" s="3"/>
      <c r="J525" s="2"/>
      <c r="K525" s="4"/>
      <c r="L525" s="2"/>
      <c r="M525" s="5"/>
      <c r="N525" s="5"/>
      <c r="O525" s="6"/>
      <c r="P525" s="3"/>
      <c r="Q525" s="7"/>
      <c r="R525" s="7"/>
      <c r="S525" s="2"/>
      <c r="T525" s="1"/>
      <c r="U525" s="6"/>
      <c r="V525" s="3"/>
      <c r="W525" s="3"/>
      <c r="X525" s="17"/>
      <c r="Y525" s="1"/>
      <c r="Z525" s="1"/>
      <c r="AA525" s="3"/>
      <c r="AB525" s="3"/>
      <c r="AC525" s="3"/>
      <c r="AD525" s="3"/>
      <c r="AE525" s="4"/>
      <c r="AF525" s="8"/>
      <c r="AG525" s="1"/>
      <c r="AH525" s="6"/>
      <c r="AI525" s="6"/>
      <c r="AJ525" s="6"/>
      <c r="AK525" s="6"/>
      <c r="AL525" s="6"/>
      <c r="AM525" s="6"/>
      <c r="AN525" s="6"/>
      <c r="AO525" s="1"/>
      <c r="AP525" s="9"/>
      <c r="AQ525" s="2"/>
      <c r="AR525" s="3"/>
      <c r="AS525" s="10"/>
      <c r="AT525" s="1"/>
      <c r="AU525" s="1"/>
      <c r="AV525" s="1"/>
      <c r="AW525" s="1"/>
      <c r="AX525" s="1"/>
      <c r="AY525" s="1"/>
      <c r="AZ525" s="1"/>
      <c r="BA525" s="1"/>
      <c r="BB525" s="1"/>
      <c r="BC525" s="1"/>
      <c r="BD525" s="1"/>
      <c r="BE525" s="1"/>
      <c r="BF525" s="1"/>
      <c r="BG525" s="1"/>
      <c r="BH525" s="1"/>
    </row>
    <row x14ac:dyDescent="0.25" r="526" customHeight="1" ht="17.25">
      <c r="A526" s="1"/>
      <c r="B526" s="1"/>
      <c r="C526" s="1"/>
      <c r="D526" s="1"/>
      <c r="E526" s="2"/>
      <c r="F526" s="2"/>
      <c r="G526" s="2"/>
      <c r="H526" s="1"/>
      <c r="I526" s="3"/>
      <c r="J526" s="2"/>
      <c r="K526" s="4"/>
      <c r="L526" s="2"/>
      <c r="M526" s="5"/>
      <c r="N526" s="5"/>
      <c r="O526" s="6"/>
      <c r="P526" s="3"/>
      <c r="Q526" s="7"/>
      <c r="R526" s="7"/>
      <c r="S526" s="2"/>
      <c r="T526" s="1"/>
      <c r="U526" s="6"/>
      <c r="V526" s="3"/>
      <c r="W526" s="3"/>
      <c r="X526" s="17"/>
      <c r="Y526" s="1"/>
      <c r="Z526" s="1"/>
      <c r="AA526" s="3"/>
      <c r="AB526" s="3"/>
      <c r="AC526" s="3"/>
      <c r="AD526" s="3"/>
      <c r="AE526" s="4"/>
      <c r="AF526" s="8"/>
      <c r="AG526" s="1"/>
      <c r="AH526" s="6"/>
      <c r="AI526" s="6"/>
      <c r="AJ526" s="6"/>
      <c r="AK526" s="6"/>
      <c r="AL526" s="6"/>
      <c r="AM526" s="6"/>
      <c r="AN526" s="6"/>
      <c r="AO526" s="1"/>
      <c r="AP526" s="9"/>
      <c r="AQ526" s="2"/>
      <c r="AR526" s="3"/>
      <c r="AS526" s="10"/>
      <c r="AT526" s="1"/>
      <c r="AU526" s="1"/>
      <c r="AV526" s="1"/>
      <c r="AW526" s="1"/>
      <c r="AX526" s="1"/>
      <c r="AY526" s="1"/>
      <c r="AZ526" s="1"/>
      <c r="BA526" s="1"/>
      <c r="BB526" s="1"/>
      <c r="BC526" s="1"/>
      <c r="BD526" s="1"/>
      <c r="BE526" s="1"/>
      <c r="BF526" s="1"/>
      <c r="BG526" s="1"/>
      <c r="BH526" s="1"/>
    </row>
    <row x14ac:dyDescent="0.25" r="527" customHeight="1" ht="17.25">
      <c r="A527" s="1"/>
      <c r="B527" s="1"/>
      <c r="C527" s="1"/>
      <c r="D527" s="1"/>
      <c r="E527" s="2"/>
      <c r="F527" s="2"/>
      <c r="G527" s="2"/>
      <c r="H527" s="1"/>
      <c r="I527" s="3"/>
      <c r="J527" s="2"/>
      <c r="K527" s="4"/>
      <c r="L527" s="2"/>
      <c r="M527" s="5"/>
      <c r="N527" s="5"/>
      <c r="O527" s="6"/>
      <c r="P527" s="3"/>
      <c r="Q527" s="7"/>
      <c r="R527" s="7"/>
      <c r="S527" s="2"/>
      <c r="T527" s="1"/>
      <c r="U527" s="6"/>
      <c r="V527" s="3"/>
      <c r="W527" s="3"/>
      <c r="X527" s="17"/>
      <c r="Y527" s="1"/>
      <c r="Z527" s="1"/>
      <c r="AA527" s="3"/>
      <c r="AB527" s="3"/>
      <c r="AC527" s="3"/>
      <c r="AD527" s="3"/>
      <c r="AE527" s="4"/>
      <c r="AF527" s="8"/>
      <c r="AG527" s="1"/>
      <c r="AH527" s="6"/>
      <c r="AI527" s="6"/>
      <c r="AJ527" s="6"/>
      <c r="AK527" s="6"/>
      <c r="AL527" s="6"/>
      <c r="AM527" s="6"/>
      <c r="AN527" s="6"/>
      <c r="AO527" s="1"/>
      <c r="AP527" s="9"/>
      <c r="AQ527" s="2"/>
      <c r="AR527" s="3"/>
      <c r="AS527" s="10"/>
      <c r="AT527" s="1"/>
      <c r="AU527" s="1"/>
      <c r="AV527" s="1"/>
      <c r="AW527" s="1"/>
      <c r="AX527" s="1"/>
      <c r="AY527" s="1"/>
      <c r="AZ527" s="1"/>
      <c r="BA527" s="1"/>
      <c r="BB527" s="1"/>
      <c r="BC527" s="1"/>
      <c r="BD527" s="1"/>
      <c r="BE527" s="1"/>
      <c r="BF527" s="1"/>
      <c r="BG527" s="1"/>
      <c r="BH527" s="1"/>
    </row>
    <row x14ac:dyDescent="0.25" r="528" customHeight="1" ht="17.25">
      <c r="A528" s="1"/>
      <c r="B528" s="1"/>
      <c r="C528" s="1"/>
      <c r="D528" s="1"/>
      <c r="E528" s="2"/>
      <c r="F528" s="2"/>
      <c r="G528" s="2"/>
      <c r="H528" s="1"/>
      <c r="I528" s="3"/>
      <c r="J528" s="2"/>
      <c r="K528" s="4"/>
      <c r="L528" s="2"/>
      <c r="M528" s="5"/>
      <c r="N528" s="5"/>
      <c r="O528" s="6"/>
      <c r="P528" s="3"/>
      <c r="Q528" s="7"/>
      <c r="R528" s="7"/>
      <c r="S528" s="2"/>
      <c r="T528" s="1"/>
      <c r="U528" s="6"/>
      <c r="V528" s="3"/>
      <c r="W528" s="3"/>
      <c r="X528" s="17"/>
      <c r="Y528" s="1"/>
      <c r="Z528" s="1"/>
      <c r="AA528" s="3"/>
      <c r="AB528" s="3"/>
      <c r="AC528" s="3"/>
      <c r="AD528" s="3"/>
      <c r="AE528" s="4"/>
      <c r="AF528" s="8"/>
      <c r="AG528" s="1"/>
      <c r="AH528" s="6"/>
      <c r="AI528" s="6"/>
      <c r="AJ528" s="6"/>
      <c r="AK528" s="6"/>
      <c r="AL528" s="6"/>
      <c r="AM528" s="6"/>
      <c r="AN528" s="6"/>
      <c r="AO528" s="1"/>
      <c r="AP528" s="9"/>
      <c r="AQ528" s="2"/>
      <c r="AR528" s="3"/>
      <c r="AS528" s="10"/>
      <c r="AT528" s="1"/>
      <c r="AU528" s="1"/>
      <c r="AV528" s="1"/>
      <c r="AW528" s="1"/>
      <c r="AX528" s="1"/>
      <c r="AY528" s="1"/>
      <c r="AZ528" s="1"/>
      <c r="BA528" s="1"/>
      <c r="BB528" s="1"/>
      <c r="BC528" s="1"/>
      <c r="BD528" s="1"/>
      <c r="BE528" s="1"/>
      <c r="BF528" s="1"/>
      <c r="BG528" s="1"/>
      <c r="BH528" s="1"/>
    </row>
    <row x14ac:dyDescent="0.25" r="529" customHeight="1" ht="17.25">
      <c r="A529" s="1"/>
      <c r="B529" s="1"/>
      <c r="C529" s="1"/>
      <c r="D529" s="1"/>
      <c r="E529" s="2"/>
      <c r="F529" s="2"/>
      <c r="G529" s="2"/>
      <c r="H529" s="1"/>
      <c r="I529" s="3"/>
      <c r="J529" s="2"/>
      <c r="K529" s="4"/>
      <c r="L529" s="2"/>
      <c r="M529" s="5"/>
      <c r="N529" s="5"/>
      <c r="O529" s="6"/>
      <c r="P529" s="3"/>
      <c r="Q529" s="7"/>
      <c r="R529" s="7"/>
      <c r="S529" s="2"/>
      <c r="T529" s="1"/>
      <c r="U529" s="6"/>
      <c r="V529" s="3"/>
      <c r="W529" s="3"/>
      <c r="X529" s="17"/>
      <c r="Y529" s="1"/>
      <c r="Z529" s="1"/>
      <c r="AA529" s="3"/>
      <c r="AB529" s="3"/>
      <c r="AC529" s="3"/>
      <c r="AD529" s="3"/>
      <c r="AE529" s="4"/>
      <c r="AF529" s="8"/>
      <c r="AG529" s="1"/>
      <c r="AH529" s="6"/>
      <c r="AI529" s="6"/>
      <c r="AJ529" s="6"/>
      <c r="AK529" s="6"/>
      <c r="AL529" s="6"/>
      <c r="AM529" s="6"/>
      <c r="AN529" s="6"/>
      <c r="AO529" s="1"/>
      <c r="AP529" s="9"/>
      <c r="AQ529" s="2"/>
      <c r="AR529" s="3"/>
      <c r="AS529" s="10"/>
      <c r="AT529" s="1"/>
      <c r="AU529" s="1"/>
      <c r="AV529" s="1"/>
      <c r="AW529" s="1"/>
      <c r="AX529" s="1"/>
      <c r="AY529" s="1"/>
      <c r="AZ529" s="1"/>
      <c r="BA529" s="1"/>
      <c r="BB529" s="1"/>
      <c r="BC529" s="1"/>
      <c r="BD529" s="1"/>
      <c r="BE529" s="1"/>
      <c r="BF529" s="1"/>
      <c r="BG529" s="1"/>
      <c r="BH529" s="1"/>
    </row>
    <row x14ac:dyDescent="0.25" r="530" customHeight="1" ht="17.25">
      <c r="A530" s="1"/>
      <c r="B530" s="1"/>
      <c r="C530" s="1"/>
      <c r="D530" s="1"/>
      <c r="E530" s="2"/>
      <c r="F530" s="2"/>
      <c r="G530" s="2"/>
      <c r="H530" s="1"/>
      <c r="I530" s="3"/>
      <c r="J530" s="2"/>
      <c r="K530" s="4"/>
      <c r="L530" s="2"/>
      <c r="M530" s="5"/>
      <c r="N530" s="5"/>
      <c r="O530" s="6"/>
      <c r="P530" s="3"/>
      <c r="Q530" s="7"/>
      <c r="R530" s="7"/>
      <c r="S530" s="2"/>
      <c r="T530" s="1"/>
      <c r="U530" s="6"/>
      <c r="V530" s="3"/>
      <c r="W530" s="3"/>
      <c r="X530" s="17"/>
      <c r="Y530" s="1"/>
      <c r="Z530" s="1"/>
      <c r="AA530" s="3"/>
      <c r="AB530" s="3"/>
      <c r="AC530" s="3"/>
      <c r="AD530" s="3"/>
      <c r="AE530" s="4"/>
      <c r="AF530" s="8"/>
      <c r="AG530" s="1"/>
      <c r="AH530" s="6"/>
      <c r="AI530" s="6"/>
      <c r="AJ530" s="6"/>
      <c r="AK530" s="6"/>
      <c r="AL530" s="6"/>
      <c r="AM530" s="6"/>
      <c r="AN530" s="6"/>
      <c r="AO530" s="1"/>
      <c r="AP530" s="9"/>
      <c r="AQ530" s="2"/>
      <c r="AR530" s="3"/>
      <c r="AS530" s="10"/>
      <c r="AT530" s="1"/>
      <c r="AU530" s="1"/>
      <c r="AV530" s="1"/>
      <c r="AW530" s="1"/>
      <c r="AX530" s="1"/>
      <c r="AY530" s="1"/>
      <c r="AZ530" s="1"/>
      <c r="BA530" s="1"/>
      <c r="BB530" s="1"/>
      <c r="BC530" s="1"/>
      <c r="BD530" s="1"/>
      <c r="BE530" s="1"/>
      <c r="BF530" s="1"/>
      <c r="BG530" s="1"/>
      <c r="BH530" s="1"/>
    </row>
    <row x14ac:dyDescent="0.25" r="531" customHeight="1" ht="17.25">
      <c r="A531" s="1"/>
      <c r="B531" s="1"/>
      <c r="C531" s="1"/>
      <c r="D531" s="1"/>
      <c r="E531" s="2"/>
      <c r="F531" s="2"/>
      <c r="G531" s="2"/>
      <c r="H531" s="1"/>
      <c r="I531" s="3"/>
      <c r="J531" s="2"/>
      <c r="K531" s="4"/>
      <c r="L531" s="2"/>
      <c r="M531" s="5"/>
      <c r="N531" s="5"/>
      <c r="O531" s="6"/>
      <c r="P531" s="3"/>
      <c r="Q531" s="7"/>
      <c r="R531" s="7"/>
      <c r="S531" s="2"/>
      <c r="T531" s="1"/>
      <c r="U531" s="6"/>
      <c r="V531" s="3"/>
      <c r="W531" s="3"/>
      <c r="X531" s="17"/>
      <c r="Y531" s="1"/>
      <c r="Z531" s="1"/>
      <c r="AA531" s="3"/>
      <c r="AB531" s="3"/>
      <c r="AC531" s="3"/>
      <c r="AD531" s="3"/>
      <c r="AE531" s="4"/>
      <c r="AF531" s="8"/>
      <c r="AG531" s="1"/>
      <c r="AH531" s="6"/>
      <c r="AI531" s="6"/>
      <c r="AJ531" s="6"/>
      <c r="AK531" s="6"/>
      <c r="AL531" s="6"/>
      <c r="AM531" s="6"/>
      <c r="AN531" s="6"/>
      <c r="AO531" s="1"/>
      <c r="AP531" s="9"/>
      <c r="AQ531" s="2"/>
      <c r="AR531" s="3"/>
      <c r="AS531" s="10"/>
      <c r="AT531" s="1"/>
      <c r="AU531" s="1"/>
      <c r="AV531" s="1"/>
      <c r="AW531" s="1"/>
      <c r="AX531" s="1"/>
      <c r="AY531" s="1"/>
      <c r="AZ531" s="1"/>
      <c r="BA531" s="1"/>
      <c r="BB531" s="1"/>
      <c r="BC531" s="1"/>
      <c r="BD531" s="1"/>
      <c r="BE531" s="1"/>
      <c r="BF531" s="1"/>
      <c r="BG531" s="1"/>
      <c r="BH531" s="1"/>
    </row>
    <row x14ac:dyDescent="0.25" r="532" customHeight="1" ht="17.25">
      <c r="A532" s="1"/>
      <c r="B532" s="1"/>
      <c r="C532" s="1"/>
      <c r="D532" s="1"/>
      <c r="E532" s="2"/>
      <c r="F532" s="2"/>
      <c r="G532" s="2"/>
      <c r="H532" s="1"/>
      <c r="I532" s="3"/>
      <c r="J532" s="2"/>
      <c r="K532" s="4"/>
      <c r="L532" s="2"/>
      <c r="M532" s="5"/>
      <c r="N532" s="5"/>
      <c r="O532" s="6"/>
      <c r="P532" s="3"/>
      <c r="Q532" s="7"/>
      <c r="R532" s="7"/>
      <c r="S532" s="2"/>
      <c r="T532" s="1"/>
      <c r="U532" s="6"/>
      <c r="V532" s="3"/>
      <c r="W532" s="3"/>
      <c r="X532" s="17"/>
      <c r="Y532" s="1"/>
      <c r="Z532" s="1"/>
      <c r="AA532" s="3"/>
      <c r="AB532" s="3"/>
      <c r="AC532" s="3"/>
      <c r="AD532" s="3"/>
      <c r="AE532" s="4"/>
      <c r="AF532" s="8"/>
      <c r="AG532" s="1"/>
      <c r="AH532" s="6"/>
      <c r="AI532" s="6"/>
      <c r="AJ532" s="6"/>
      <c r="AK532" s="6"/>
      <c r="AL532" s="6"/>
      <c r="AM532" s="6"/>
      <c r="AN532" s="6"/>
      <c r="AO532" s="1"/>
      <c r="AP532" s="9"/>
      <c r="AQ532" s="2"/>
      <c r="AR532" s="3"/>
      <c r="AS532" s="10"/>
      <c r="AT532" s="1"/>
      <c r="AU532" s="1"/>
      <c r="AV532" s="1"/>
      <c r="AW532" s="1"/>
      <c r="AX532" s="1"/>
      <c r="AY532" s="1"/>
      <c r="AZ532" s="1"/>
      <c r="BA532" s="1"/>
      <c r="BB532" s="1"/>
      <c r="BC532" s="1"/>
      <c r="BD532" s="1"/>
      <c r="BE532" s="1"/>
      <c r="BF532" s="1"/>
      <c r="BG532" s="1"/>
      <c r="BH532" s="1"/>
    </row>
  </sheetData>
  <mergeCells count="41">
    <mergeCell ref="K17:M17"/>
    <mergeCell ref="J18:J22"/>
    <mergeCell ref="K18:K22"/>
    <mergeCell ref="L18:L22"/>
    <mergeCell ref="M18:M22"/>
    <mergeCell ref="N18:N22"/>
    <mergeCell ref="O18:O22"/>
    <mergeCell ref="P18:P22"/>
    <mergeCell ref="Q18:S21"/>
    <mergeCell ref="T18:T22"/>
    <mergeCell ref="U18:U22"/>
    <mergeCell ref="V18:V22"/>
    <mergeCell ref="W18:W22"/>
    <mergeCell ref="AA18:AA22"/>
    <mergeCell ref="AB18:AB22"/>
    <mergeCell ref="AC18:AC22"/>
    <mergeCell ref="AD18:AD22"/>
    <mergeCell ref="AE18:AE22"/>
    <mergeCell ref="AF18:AF22"/>
    <mergeCell ref="AH18:AM21"/>
    <mergeCell ref="AN18:AN21"/>
    <mergeCell ref="AP18:AR18"/>
    <mergeCell ref="AP19:AP22"/>
    <mergeCell ref="AQ19:AQ22"/>
    <mergeCell ref="AR19:AR22"/>
    <mergeCell ref="I23:I88"/>
    <mergeCell ref="AP29:AS29"/>
    <mergeCell ref="I89:I154"/>
    <mergeCell ref="AH89:AM89"/>
    <mergeCell ref="AE90:AE128"/>
    <mergeCell ref="AH90:AN90"/>
    <mergeCell ref="AE129:AE155"/>
    <mergeCell ref="I155:I220"/>
    <mergeCell ref="AE156:AE179"/>
    <mergeCell ref="AE180:AE186"/>
    <mergeCell ref="AE187:AE191"/>
    <mergeCell ref="AE192:AE226"/>
    <mergeCell ref="I221:I286"/>
    <mergeCell ref="I287:I352"/>
    <mergeCell ref="I353:I418"/>
    <mergeCell ref="K420:L420"/>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6</vt:i4>
      </vt:variant>
    </vt:vector>
  </HeadingPairs>
  <TitlesOfParts>
    <vt:vector baseType="lpstr" size="6">
      <vt:lpstr>Planning</vt:lpstr>
      <vt:lpstr>Progress</vt:lpstr>
      <vt:lpstr>Verses per Chapter</vt:lpstr>
      <vt:lpstr>Harvest</vt:lpstr>
      <vt:lpstr>Copy Progress to Planning</vt:lpstr>
      <vt:lpstr>Calculations</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2022-05-23T19:31:54.188Z</dcterms:created>
  <dcterms:modified xsi:type="dcterms:W3CDTF">2022-05-23T19:31:54.188Z</dcterms:modified>
</cp:coreProperties>
</file>