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Email" sheetId="1" r:id="rId1"/>
    <sheet name="E-Subscribers" sheetId="2" r:id="rId2"/>
    <sheet name="Google" sheetId="3" r:id="rId3"/>
    <sheet name="Calc" sheetId="4" r:id="rId4"/>
    <sheet name="DASHBOARD" sheetId="5" r:id="rId5"/>
    <sheet name="©" sheetId="6" r:id="rId6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65" formatCode="dddd\,\ mmmm\ dd\,\ yyyy"/>
    <numFmt numFmtId="170" formatCode="\+0;\-0;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workbookViewId="0" rightToLeft="0"/>
  </sheetViews>
  <sheetData>
    <row r="1">
      <c r="A1" t="str">
        <v>DATE</v>
      </c>
      <c r="B1" t="str">
        <v>TIME</v>
      </c>
      <c r="C1" t="str">
        <v>CAMPAIGN</v>
      </c>
      <c r="D1" t="str">
        <v>SENT</v>
      </c>
      <c r="E1" t="str">
        <v>OPENS</v>
      </c>
      <c r="F1" t="str">
        <v>OPENS PER</v>
      </c>
      <c r="G1" t="str">
        <v>CLICKS</v>
      </c>
      <c r="H1" t="str">
        <v>CLICKS PER</v>
      </c>
      <c r="I1" t="str">
        <v>BOUNCES</v>
      </c>
      <c r="J1" t="str">
        <v>UNSUBS</v>
      </c>
    </row>
    <row r="2">
      <c r="A2">
        <v>44929</v>
      </c>
      <c r="B2">
        <v>0.375</v>
      </c>
      <c r="C2" t="str">
        <v>Awareness Email Marketing Campaigns</v>
      </c>
      <c r="D2">
        <v>5000</v>
      </c>
      <c r="E2">
        <v>3080</v>
      </c>
      <c r="F2">
        <f>E2/D2</f>
        <v>0.616</v>
      </c>
      <c r="G2">
        <v>665</v>
      </c>
      <c r="H2">
        <f>G2/E2</f>
        <v>0.2159090909090909</v>
      </c>
      <c r="I2">
        <v>15</v>
      </c>
      <c r="J2">
        <v>1</v>
      </c>
    </row>
    <row r="3">
      <c r="A3">
        <v>44931</v>
      </c>
      <c r="B3">
        <v>0.4166666666666667</v>
      </c>
      <c r="C3" t="str">
        <v>Lead Nurturing Email Marketing Campaign</v>
      </c>
      <c r="D3">
        <v>5050</v>
      </c>
      <c r="E3">
        <v>3200</v>
      </c>
      <c r="F3">
        <f>E3/D3</f>
        <v>0.6336633663366337</v>
      </c>
      <c r="G3">
        <v>714</v>
      </c>
      <c r="H3">
        <f>G3/E3</f>
        <v>0.223125</v>
      </c>
      <c r="I3">
        <v>125</v>
      </c>
      <c r="J3">
        <v>52</v>
      </c>
    </row>
    <row r="4">
      <c r="A4">
        <v>44932</v>
      </c>
      <c r="B4">
        <v>0.3333333333333333</v>
      </c>
      <c r="C4" t="str">
        <v>Revenue Generation Email Marketing Campaign</v>
      </c>
      <c r="D4">
        <v>5100</v>
      </c>
      <c r="E4">
        <v>3500</v>
      </c>
      <c r="F4">
        <f>E4/D4</f>
        <v>0.6862745098039216</v>
      </c>
      <c r="G4">
        <v>745</v>
      </c>
      <c r="H4">
        <f>G4/E4</f>
        <v>0.21285714285714286</v>
      </c>
      <c r="I4">
        <v>201</v>
      </c>
      <c r="J4">
        <v>21</v>
      </c>
    </row>
    <row r="5">
      <c r="A5">
        <v>44936</v>
      </c>
      <c r="B5">
        <v>0.3333333333333333</v>
      </c>
      <c r="C5" t="str">
        <v>Weekly Newsletter</v>
      </c>
      <c r="D5">
        <v>5200</v>
      </c>
      <c r="E5">
        <v>1800</v>
      </c>
      <c r="F5">
        <f>E5/D5</f>
        <v>0.34615384615384615</v>
      </c>
      <c r="G5">
        <v>150</v>
      </c>
      <c r="H5">
        <f>G5/E5</f>
        <v>0.08333333333333333</v>
      </c>
      <c r="I5">
        <v>35</v>
      </c>
      <c r="J5">
        <v>30</v>
      </c>
    </row>
    <row r="6">
      <c r="A6">
        <v>44938</v>
      </c>
      <c r="B6">
        <v>0.4166666666666667</v>
      </c>
      <c r="C6" t="str">
        <v>Marketing Campaign: Engagement</v>
      </c>
      <c r="D6">
        <v>5250</v>
      </c>
      <c r="E6">
        <v>3215</v>
      </c>
      <c r="F6">
        <f>E6/D6</f>
        <v>0.6123809523809524</v>
      </c>
      <c r="G6">
        <v>256</v>
      </c>
      <c r="H6">
        <f>G6/E6</f>
        <v>0.0796267496111975</v>
      </c>
      <c r="I6">
        <v>55</v>
      </c>
      <c r="J6">
        <v>21</v>
      </c>
    </row>
    <row r="7">
      <c r="A7">
        <v>44942</v>
      </c>
      <c r="B7">
        <v>0.375</v>
      </c>
      <c r="C7" t="str">
        <v>Marketing Campaign: Update</v>
      </c>
      <c r="D7">
        <v>5300</v>
      </c>
      <c r="E7">
        <v>3217</v>
      </c>
      <c r="F7">
        <f>E7/D7</f>
        <v>0.6069811320754717</v>
      </c>
      <c r="G7">
        <v>625</v>
      </c>
      <c r="H7">
        <f>G7/E7</f>
        <v>0.19428038545228474</v>
      </c>
      <c r="I7">
        <v>104</v>
      </c>
      <c r="J7">
        <v>50</v>
      </c>
    </row>
    <row r="8">
      <c r="A8">
        <v>44943</v>
      </c>
      <c r="B8">
        <v>0.3333333333333333</v>
      </c>
      <c r="C8" t="str">
        <v>Weekly Newsletter</v>
      </c>
      <c r="D8">
        <v>5400</v>
      </c>
      <c r="E8">
        <v>1714</v>
      </c>
      <c r="F8">
        <f>E8/D8</f>
        <v>0.3174074074074074</v>
      </c>
      <c r="G8">
        <v>98</v>
      </c>
      <c r="H8">
        <f>G8/E8</f>
        <v>0.057176196032672114</v>
      </c>
      <c r="I8">
        <v>11</v>
      </c>
      <c r="J8">
        <v>5</v>
      </c>
    </row>
    <row r="9">
      <c r="A9">
        <v>44949</v>
      </c>
      <c r="B9">
        <v>0.375</v>
      </c>
      <c r="C9" t="str">
        <v>Marketing Campaign: Promotion</v>
      </c>
      <c r="D9">
        <v>5400</v>
      </c>
      <c r="E9">
        <v>2568</v>
      </c>
      <c r="F9">
        <f>E9/D9</f>
        <v>0.47555555555555556</v>
      </c>
      <c r="G9">
        <v>152</v>
      </c>
      <c r="H9">
        <f>G9/E9</f>
        <v>0.059190031152647975</v>
      </c>
      <c r="I9">
        <v>22</v>
      </c>
      <c r="J9">
        <v>15</v>
      </c>
    </row>
    <row r="10">
      <c r="A10">
        <v>44950</v>
      </c>
      <c r="B10">
        <v>0.3333333333333333</v>
      </c>
      <c r="C10" t="str">
        <v>Weekly Newsletter</v>
      </c>
      <c r="D10">
        <v>5450</v>
      </c>
      <c r="E10">
        <v>1522</v>
      </c>
      <c r="F10">
        <f>E10/D10</f>
        <v>0.27926605504587154</v>
      </c>
      <c r="G10">
        <v>214</v>
      </c>
      <c r="H10">
        <f>G10/E10</f>
        <v>0.14060446780551905</v>
      </c>
      <c r="I10">
        <v>41</v>
      </c>
      <c r="J10">
        <v>22</v>
      </c>
    </row>
    <row r="11">
      <c r="A11">
        <v>44957</v>
      </c>
      <c r="B11">
        <v>0.3333333333333333</v>
      </c>
      <c r="C11" t="str">
        <v>Weekly Newsletter</v>
      </c>
      <c r="D11">
        <v>5500</v>
      </c>
      <c r="E11">
        <v>1425</v>
      </c>
      <c r="F11">
        <f>E11/D11</f>
        <v>0.2590909090909091</v>
      </c>
      <c r="G11">
        <v>87</v>
      </c>
      <c r="H11">
        <f>G11/E11</f>
        <v>0.061052631578947365</v>
      </c>
      <c r="I11">
        <v>14</v>
      </c>
      <c r="J11">
        <v>7</v>
      </c>
    </row>
    <row r="12">
      <c r="A12">
        <v>44964</v>
      </c>
      <c r="B12">
        <v>0.3333333333333333</v>
      </c>
      <c r="C12" t="str">
        <v>Weekly Newsletter</v>
      </c>
      <c r="D12">
        <v>5550</v>
      </c>
      <c r="E12">
        <v>1877</v>
      </c>
      <c r="F12">
        <f>E12/D12</f>
        <v>0.3381981981981982</v>
      </c>
      <c r="G12">
        <v>59</v>
      </c>
      <c r="H12">
        <f>G12/E12</f>
        <v>0.03143313798614811</v>
      </c>
      <c r="I12">
        <v>11</v>
      </c>
      <c r="J12">
        <v>6</v>
      </c>
    </row>
    <row r="13">
      <c r="A13">
        <v>44966</v>
      </c>
      <c r="B13">
        <v>0.4166666666666667</v>
      </c>
      <c r="C13" t="str">
        <v>Re-Engagement Campaign</v>
      </c>
      <c r="D13">
        <v>5600</v>
      </c>
      <c r="E13">
        <v>3895</v>
      </c>
      <c r="F13">
        <f>E13/D13</f>
        <v>0.6955357142857143</v>
      </c>
      <c r="G13">
        <v>356</v>
      </c>
      <c r="H13">
        <f>G13/E13</f>
        <v>0.09139922978177151</v>
      </c>
      <c r="I13">
        <v>77</v>
      </c>
      <c r="J13">
        <v>75</v>
      </c>
    </row>
    <row r="14">
      <c r="A14">
        <v>44971</v>
      </c>
      <c r="B14">
        <v>0.3333333333333333</v>
      </c>
      <c r="C14" t="str">
        <v>Weekly Newsletter</v>
      </c>
      <c r="D14">
        <v>5600</v>
      </c>
      <c r="E14">
        <v>2014</v>
      </c>
      <c r="F14">
        <f>E14/D14</f>
        <v>0.35964285714285715</v>
      </c>
      <c r="G14">
        <v>117</v>
      </c>
      <c r="H14">
        <f>G14/E14</f>
        <v>0.05809334657398212</v>
      </c>
      <c r="I14">
        <v>25</v>
      </c>
      <c r="J14">
        <v>14</v>
      </c>
    </row>
    <row r="15">
      <c r="A15">
        <v>44972</v>
      </c>
      <c r="B15">
        <v>0.375</v>
      </c>
      <c r="C15" t="str">
        <v>Marketing Campaign: Customer Delight</v>
      </c>
      <c r="D15">
        <v>5650</v>
      </c>
      <c r="E15">
        <v>3557</v>
      </c>
      <c r="F15">
        <f>E15/D15</f>
        <v>0.6295575221238938</v>
      </c>
      <c r="G15">
        <v>541</v>
      </c>
      <c r="H15">
        <f>G15/E15</f>
        <v>0.15209446162496487</v>
      </c>
      <c r="I15">
        <v>117</v>
      </c>
      <c r="J15">
        <v>60</v>
      </c>
    </row>
    <row r="16">
      <c r="A16">
        <v>44974</v>
      </c>
      <c r="B16">
        <v>0.375</v>
      </c>
      <c r="C16" t="str">
        <v>Marketing Campaign: Email Preferences</v>
      </c>
      <c r="D16">
        <v>5700</v>
      </c>
      <c r="E16">
        <v>3218</v>
      </c>
      <c r="F16">
        <f>E16/D16</f>
        <v>0.5645614035087719</v>
      </c>
      <c r="G16">
        <v>488</v>
      </c>
      <c r="H16">
        <f>G16/E16</f>
        <v>0.15164698570540708</v>
      </c>
      <c r="I16">
        <v>163</v>
      </c>
      <c r="J16">
        <v>106</v>
      </c>
    </row>
    <row r="17">
      <c r="A17">
        <v>44978</v>
      </c>
      <c r="B17">
        <v>0.3333333333333333</v>
      </c>
      <c r="C17" t="str">
        <v>Weekly Newsletter</v>
      </c>
      <c r="D17">
        <v>5700</v>
      </c>
      <c r="E17">
        <v>1855</v>
      </c>
      <c r="F17">
        <f>E17/D17</f>
        <v>0.3254385964912281</v>
      </c>
      <c r="G17">
        <v>99</v>
      </c>
      <c r="H17">
        <f>G17/E17</f>
        <v>0.053369272237196765</v>
      </c>
      <c r="I17">
        <v>22</v>
      </c>
      <c r="J17">
        <v>17</v>
      </c>
    </row>
    <row r="18">
      <c r="A18">
        <v>44985</v>
      </c>
      <c r="B18">
        <v>0.3333333333333333</v>
      </c>
      <c r="C18" t="str">
        <v>Weekly Newsletter</v>
      </c>
      <c r="D18">
        <v>5750</v>
      </c>
      <c r="E18">
        <v>1654</v>
      </c>
      <c r="F18">
        <f>E18/D18</f>
        <v>0.2876521739130435</v>
      </c>
      <c r="G18">
        <v>85</v>
      </c>
      <c r="H18">
        <f>G18/E18</f>
        <v>0.051390568319226115</v>
      </c>
      <c r="I18">
        <v>14</v>
      </c>
      <c r="J18">
        <v>19</v>
      </c>
    </row>
    <row r="19">
      <c r="A19">
        <v>44988</v>
      </c>
      <c r="B19">
        <v>0.4166666666666667</v>
      </c>
      <c r="C19" t="str">
        <v>VIP Anouncement</v>
      </c>
      <c r="D19">
        <v>5780</v>
      </c>
      <c r="E19">
        <v>3796</v>
      </c>
      <c r="F19">
        <f>E19/D19</f>
        <v>0.6567474048442906</v>
      </c>
      <c r="G19">
        <v>365</v>
      </c>
      <c r="H19">
        <f>G19/E19</f>
        <v>0.09615384615384616</v>
      </c>
      <c r="I19">
        <v>88</v>
      </c>
      <c r="J19">
        <v>90</v>
      </c>
    </row>
    <row r="20">
      <c r="A20">
        <v>44992</v>
      </c>
      <c r="B20">
        <v>0.375</v>
      </c>
      <c r="C20" t="str">
        <v>Weekly Newsletter</v>
      </c>
      <c r="D20">
        <v>5800</v>
      </c>
      <c r="E20">
        <v>2006</v>
      </c>
      <c r="F20">
        <f>E20/D20</f>
        <v>0.34586206896551724</v>
      </c>
      <c r="G20">
        <v>144</v>
      </c>
      <c r="H20">
        <f>G20/E20</f>
        <v>0.07178464606181456</v>
      </c>
      <c r="I20">
        <v>33</v>
      </c>
      <c r="J20">
        <v>28</v>
      </c>
    </row>
    <row r="21">
      <c r="A21">
        <v>44998</v>
      </c>
      <c r="B21">
        <v>0.4166666666666667</v>
      </c>
      <c r="C21" t="str">
        <v>Solo Send: Special Offers</v>
      </c>
      <c r="D21">
        <v>5840</v>
      </c>
      <c r="E21">
        <v>4325</v>
      </c>
      <c r="F21">
        <f>E21/D21</f>
        <v>0.740582191780822</v>
      </c>
      <c r="G21">
        <v>388</v>
      </c>
      <c r="H21">
        <f>G21/E21</f>
        <v>0.08971098265895953</v>
      </c>
      <c r="I21">
        <v>94</v>
      </c>
      <c r="J21">
        <v>66</v>
      </c>
    </row>
    <row r="22">
      <c r="A22">
        <v>44999</v>
      </c>
      <c r="B22">
        <v>0.3333333333333333</v>
      </c>
      <c r="C22" t="str">
        <v>Weekly Newsletter</v>
      </c>
      <c r="D22">
        <v>6020</v>
      </c>
      <c r="E22">
        <v>2135</v>
      </c>
      <c r="F22">
        <f>E22/D22</f>
        <v>0.3546511627906977</v>
      </c>
      <c r="G22">
        <v>125</v>
      </c>
      <c r="H22">
        <f>G22/E22</f>
        <v>0.0585480093676815</v>
      </c>
      <c r="I22">
        <v>20</v>
      </c>
      <c r="J22">
        <v>14</v>
      </c>
    </row>
    <row r="23">
      <c r="A23">
        <v>45001</v>
      </c>
      <c r="B23">
        <v>0.4166666666666667</v>
      </c>
      <c r="C23" t="str">
        <v>Daily customer Update</v>
      </c>
      <c r="D23">
        <v>6040</v>
      </c>
      <c r="E23">
        <v>1450</v>
      </c>
      <c r="F23">
        <f>E23/D23</f>
        <v>0.24006622516556292</v>
      </c>
      <c r="G23">
        <v>102</v>
      </c>
      <c r="H23">
        <f>G23/E23</f>
        <v>0.0703448275862069</v>
      </c>
      <c r="I23">
        <v>13</v>
      </c>
      <c r="J23">
        <v>6</v>
      </c>
    </row>
    <row r="24">
      <c r="A24">
        <v>45006</v>
      </c>
      <c r="B24">
        <v>0.3333333333333333</v>
      </c>
      <c r="C24" t="str">
        <v>Weekly Newsletter</v>
      </c>
      <c r="D24">
        <v>6250</v>
      </c>
      <c r="E24">
        <v>2359</v>
      </c>
      <c r="F24">
        <f>E24/D24</f>
        <v>0.37744</v>
      </c>
      <c r="G24">
        <v>225</v>
      </c>
      <c r="H24">
        <f>G24/E24</f>
        <v>0.0953793980500212</v>
      </c>
      <c r="I24">
        <v>44</v>
      </c>
      <c r="J24">
        <v>41</v>
      </c>
    </row>
    <row r="25">
      <c r="A25">
        <v>45007</v>
      </c>
      <c r="B25">
        <v>0.4166666666666667</v>
      </c>
      <c r="C25" t="str">
        <v>Course is now 50% off</v>
      </c>
      <c r="D25">
        <v>6260</v>
      </c>
      <c r="E25">
        <v>3996</v>
      </c>
      <c r="F25">
        <f>E25/D25</f>
        <v>0.6383386581469649</v>
      </c>
      <c r="G25">
        <v>418</v>
      </c>
      <c r="H25">
        <f>G25/E25</f>
        <v>0.1046046046046046</v>
      </c>
      <c r="I25">
        <v>98</v>
      </c>
      <c r="J25">
        <v>85</v>
      </c>
    </row>
    <row r="26">
      <c r="A26">
        <v>45009</v>
      </c>
      <c r="B26">
        <v>0.375</v>
      </c>
      <c r="C26" t="str">
        <v>Promise of Responsive Service</v>
      </c>
      <c r="D26">
        <v>6510</v>
      </c>
      <c r="E26">
        <v>4187</v>
      </c>
      <c r="F26">
        <f>E26/D26</f>
        <v>0.6431643625192013</v>
      </c>
      <c r="G26">
        <v>705</v>
      </c>
      <c r="H26">
        <f>G26/E26</f>
        <v>0.16837831382851684</v>
      </c>
      <c r="I26">
        <v>177</v>
      </c>
      <c r="J26">
        <v>103</v>
      </c>
    </row>
    <row r="27">
      <c r="A27">
        <v>45013</v>
      </c>
      <c r="B27">
        <v>0.3333333333333333</v>
      </c>
      <c r="C27" t="str">
        <v>Weekly Newsletter</v>
      </c>
      <c r="D27">
        <v>6550</v>
      </c>
      <c r="E27">
        <v>1541</v>
      </c>
      <c r="F27">
        <f>E27/D27</f>
        <v>0.23526717557251908</v>
      </c>
      <c r="G27">
        <v>145</v>
      </c>
      <c r="H27">
        <f>G27/E27</f>
        <v>0.09409474367293964</v>
      </c>
      <c r="I27">
        <v>36</v>
      </c>
      <c r="J27">
        <v>31</v>
      </c>
    </row>
  </sheetData>
  <pageMargins left="0.7" right="0.7" top="0.75" bottom="0.75" header="0.3" footer="0.3"/>
  <ignoredErrors>
    <ignoredError numberStoredAsText="1" sqref="A1:J2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91"/>
  <sheetViews>
    <sheetView workbookViewId="0" rightToLeft="0"/>
  </sheetViews>
  <sheetData>
    <row r="1">
      <c r="A1" t="str">
        <v>DATE</v>
      </c>
      <c r="B1" t="str">
        <v>SUBSCRIBED</v>
      </c>
    </row>
    <row r="2">
      <c r="A2">
        <v>44927</v>
      </c>
      <c r="B2">
        <v>2000</v>
      </c>
    </row>
    <row r="3">
      <c r="A3">
        <v>44928</v>
      </c>
      <c r="B3">
        <v>5000</v>
      </c>
    </row>
    <row r="4">
      <c r="A4">
        <v>44929</v>
      </c>
      <c r="B4">
        <v>5018</v>
      </c>
    </row>
    <row r="5">
      <c r="A5">
        <v>44930</v>
      </c>
      <c r="B5">
        <v>5027</v>
      </c>
    </row>
    <row r="6">
      <c r="A6">
        <v>44931</v>
      </c>
      <c r="B6">
        <v>5050</v>
      </c>
    </row>
    <row r="7">
      <c r="A7">
        <v>44932</v>
      </c>
      <c r="B7">
        <v>5100</v>
      </c>
    </row>
    <row r="8">
      <c r="A8">
        <v>44933</v>
      </c>
      <c r="B8">
        <v>5104</v>
      </c>
    </row>
    <row r="9">
      <c r="A9">
        <v>44934</v>
      </c>
      <c r="B9">
        <v>5107</v>
      </c>
    </row>
    <row r="10">
      <c r="A10">
        <v>44935</v>
      </c>
      <c r="B10">
        <v>5145</v>
      </c>
    </row>
    <row r="11">
      <c r="A11">
        <v>44936</v>
      </c>
      <c r="B11">
        <v>5200</v>
      </c>
    </row>
    <row r="12">
      <c r="A12">
        <v>44937</v>
      </c>
      <c r="B12">
        <v>5254</v>
      </c>
    </row>
    <row r="13">
      <c r="A13">
        <v>44938</v>
      </c>
      <c r="B13">
        <v>5250</v>
      </c>
    </row>
    <row r="14">
      <c r="A14">
        <v>44939</v>
      </c>
      <c r="B14">
        <v>5357</v>
      </c>
    </row>
    <row r="15">
      <c r="A15">
        <v>44940</v>
      </c>
      <c r="B15">
        <v>5353</v>
      </c>
    </row>
    <row r="16">
      <c r="A16">
        <v>44941</v>
      </c>
      <c r="B16">
        <v>5325</v>
      </c>
    </row>
    <row r="17">
      <c r="A17">
        <v>44942</v>
      </c>
      <c r="B17">
        <v>5350</v>
      </c>
    </row>
    <row r="18">
      <c r="A18">
        <v>44943</v>
      </c>
      <c r="B18">
        <v>5400</v>
      </c>
    </row>
    <row r="19">
      <c r="A19">
        <v>44944</v>
      </c>
      <c r="B19">
        <v>5420</v>
      </c>
    </row>
    <row r="20">
      <c r="A20">
        <v>44945</v>
      </c>
      <c r="B20">
        <v>5417</v>
      </c>
    </row>
    <row r="21">
      <c r="A21">
        <v>44946</v>
      </c>
      <c r="B21">
        <v>5412</v>
      </c>
    </row>
    <row r="22">
      <c r="A22">
        <v>44947</v>
      </c>
      <c r="B22">
        <v>5408</v>
      </c>
    </row>
    <row r="23">
      <c r="A23">
        <v>44948</v>
      </c>
      <c r="B23">
        <v>5404</v>
      </c>
    </row>
    <row r="24">
      <c r="A24">
        <v>44949</v>
      </c>
      <c r="B24">
        <v>5400</v>
      </c>
    </row>
    <row r="25">
      <c r="A25">
        <v>44950</v>
      </c>
      <c r="B25">
        <v>5450</v>
      </c>
    </row>
    <row r="26">
      <c r="A26">
        <v>44951</v>
      </c>
      <c r="B26">
        <v>5512</v>
      </c>
    </row>
    <row r="27">
      <c r="A27">
        <v>44952</v>
      </c>
      <c r="B27">
        <v>5510</v>
      </c>
    </row>
    <row r="28">
      <c r="A28">
        <v>44953</v>
      </c>
      <c r="B28">
        <v>5504</v>
      </c>
    </row>
    <row r="29">
      <c r="A29">
        <v>44954</v>
      </c>
      <c r="B29">
        <v>5503</v>
      </c>
    </row>
    <row r="30">
      <c r="A30">
        <v>44955</v>
      </c>
      <c r="B30">
        <v>5502</v>
      </c>
    </row>
    <row r="31">
      <c r="A31">
        <v>44956</v>
      </c>
      <c r="B31">
        <v>5501</v>
      </c>
    </row>
    <row r="32">
      <c r="A32">
        <v>44957</v>
      </c>
      <c r="B32">
        <v>5500</v>
      </c>
    </row>
    <row r="33">
      <c r="A33">
        <v>44958</v>
      </c>
      <c r="B33">
        <v>5589</v>
      </c>
    </row>
    <row r="34">
      <c r="A34">
        <v>44959</v>
      </c>
      <c r="B34">
        <v>5584</v>
      </c>
    </row>
    <row r="35">
      <c r="A35">
        <v>44960</v>
      </c>
      <c r="B35">
        <v>5575</v>
      </c>
    </row>
    <row r="36">
      <c r="A36">
        <v>44961</v>
      </c>
      <c r="B36">
        <v>5572</v>
      </c>
    </row>
    <row r="37">
      <c r="A37">
        <v>44962</v>
      </c>
      <c r="B37">
        <v>5571</v>
      </c>
    </row>
    <row r="38">
      <c r="A38">
        <v>44963</v>
      </c>
      <c r="B38">
        <v>5560</v>
      </c>
    </row>
    <row r="39">
      <c r="A39">
        <v>44964</v>
      </c>
      <c r="B39">
        <v>5550</v>
      </c>
    </row>
    <row r="40">
      <c r="A40">
        <v>44965</v>
      </c>
      <c r="B40">
        <v>5640</v>
      </c>
    </row>
    <row r="41">
      <c r="A41">
        <v>44966</v>
      </c>
      <c r="B41">
        <v>5600</v>
      </c>
    </row>
    <row r="42">
      <c r="A42">
        <v>44967</v>
      </c>
      <c r="B42">
        <v>5625</v>
      </c>
    </row>
    <row r="43">
      <c r="A43">
        <v>44968</v>
      </c>
      <c r="B43">
        <v>5618</v>
      </c>
    </row>
    <row r="44">
      <c r="A44">
        <v>44969</v>
      </c>
      <c r="B44">
        <v>5609</v>
      </c>
    </row>
    <row r="45">
      <c r="A45">
        <v>44970</v>
      </c>
      <c r="B45">
        <v>5602</v>
      </c>
    </row>
    <row r="46">
      <c r="A46">
        <v>44971</v>
      </c>
      <c r="B46">
        <v>5600</v>
      </c>
    </row>
    <row r="47">
      <c r="A47">
        <v>44972</v>
      </c>
      <c r="B47">
        <v>5650</v>
      </c>
    </row>
    <row r="48">
      <c r="A48">
        <v>44973</v>
      </c>
      <c r="B48">
        <v>5722</v>
      </c>
    </row>
    <row r="49">
      <c r="A49">
        <v>44974</v>
      </c>
      <c r="B49">
        <v>5700</v>
      </c>
    </row>
    <row r="50">
      <c r="A50">
        <v>44975</v>
      </c>
      <c r="B50">
        <v>5714</v>
      </c>
    </row>
    <row r="51">
      <c r="A51">
        <v>44976</v>
      </c>
      <c r="B51">
        <v>5708</v>
      </c>
    </row>
    <row r="52">
      <c r="A52">
        <v>44977</v>
      </c>
      <c r="B52">
        <v>5703</v>
      </c>
    </row>
    <row r="53">
      <c r="A53">
        <v>44978</v>
      </c>
      <c r="B53">
        <v>5700</v>
      </c>
    </row>
    <row r="54">
      <c r="A54">
        <v>44979</v>
      </c>
      <c r="B54">
        <v>5814</v>
      </c>
    </row>
    <row r="55">
      <c r="A55">
        <v>44980</v>
      </c>
      <c r="B55">
        <v>5801</v>
      </c>
    </row>
    <row r="56">
      <c r="A56">
        <v>44981</v>
      </c>
      <c r="B56">
        <v>5789</v>
      </c>
    </row>
    <row r="57">
      <c r="A57">
        <v>44982</v>
      </c>
      <c r="B57">
        <v>5788</v>
      </c>
    </row>
    <row r="58">
      <c r="A58">
        <v>44983</v>
      </c>
      <c r="B58">
        <v>5780</v>
      </c>
    </row>
    <row r="59">
      <c r="A59">
        <v>44984</v>
      </c>
      <c r="B59">
        <v>5772</v>
      </c>
    </row>
    <row r="60">
      <c r="A60">
        <v>44985</v>
      </c>
      <c r="B60">
        <v>5750</v>
      </c>
    </row>
    <row r="61">
      <c r="A61">
        <v>44986</v>
      </c>
      <c r="B61">
        <v>5805</v>
      </c>
    </row>
    <row r="62">
      <c r="A62">
        <v>44987</v>
      </c>
      <c r="B62">
        <v>5799</v>
      </c>
    </row>
    <row r="63">
      <c r="A63">
        <v>44988</v>
      </c>
      <c r="B63">
        <v>5780</v>
      </c>
    </row>
    <row r="64">
      <c r="A64">
        <v>44989</v>
      </c>
      <c r="B64">
        <v>5822</v>
      </c>
    </row>
    <row r="65">
      <c r="A65">
        <v>44990</v>
      </c>
      <c r="B65">
        <v>5814</v>
      </c>
    </row>
    <row r="66">
      <c r="A66">
        <v>44991</v>
      </c>
      <c r="B66">
        <v>5804</v>
      </c>
    </row>
    <row r="67">
      <c r="A67">
        <v>44992</v>
      </c>
      <c r="B67">
        <v>5800</v>
      </c>
    </row>
    <row r="68">
      <c r="A68">
        <v>44993</v>
      </c>
      <c r="B68">
        <v>5870</v>
      </c>
    </row>
    <row r="69">
      <c r="A69">
        <v>44994</v>
      </c>
      <c r="B69">
        <v>5866</v>
      </c>
    </row>
    <row r="70">
      <c r="A70">
        <v>44995</v>
      </c>
      <c r="B70">
        <v>5860</v>
      </c>
    </row>
    <row r="71">
      <c r="A71">
        <v>44996</v>
      </c>
      <c r="B71">
        <v>5852</v>
      </c>
    </row>
    <row r="72">
      <c r="A72">
        <v>44997</v>
      </c>
      <c r="B72">
        <v>5844</v>
      </c>
    </row>
    <row r="73">
      <c r="A73">
        <v>44998</v>
      </c>
      <c r="B73">
        <v>5840</v>
      </c>
    </row>
    <row r="74">
      <c r="A74">
        <v>44999</v>
      </c>
      <c r="B74">
        <v>6020</v>
      </c>
    </row>
    <row r="75">
      <c r="A75">
        <v>45000</v>
      </c>
      <c r="B75">
        <v>6045</v>
      </c>
    </row>
    <row r="76">
      <c r="A76">
        <v>45001</v>
      </c>
      <c r="B76">
        <v>6040</v>
      </c>
    </row>
    <row r="77">
      <c r="A77">
        <v>45002</v>
      </c>
      <c r="B77">
        <v>6318</v>
      </c>
    </row>
    <row r="78">
      <c r="A78">
        <v>45003</v>
      </c>
      <c r="B78">
        <v>6302</v>
      </c>
    </row>
    <row r="79">
      <c r="A79">
        <v>45004</v>
      </c>
      <c r="B79">
        <v>6288</v>
      </c>
    </row>
    <row r="80">
      <c r="A80">
        <v>45005</v>
      </c>
      <c r="B80">
        <v>6264</v>
      </c>
    </row>
    <row r="81">
      <c r="A81">
        <v>45006</v>
      </c>
      <c r="B81">
        <v>6250</v>
      </c>
    </row>
    <row r="82">
      <c r="A82">
        <v>45007</v>
      </c>
      <c r="B82">
        <v>6260</v>
      </c>
    </row>
    <row r="83">
      <c r="A83">
        <v>45008</v>
      </c>
      <c r="B83">
        <v>6522</v>
      </c>
    </row>
    <row r="84">
      <c r="A84">
        <v>45009</v>
      </c>
      <c r="B84">
        <v>6510</v>
      </c>
    </row>
    <row r="85">
      <c r="A85">
        <v>45010</v>
      </c>
      <c r="B85">
        <v>6623</v>
      </c>
    </row>
    <row r="86">
      <c r="A86">
        <v>45011</v>
      </c>
      <c r="B86">
        <v>6601</v>
      </c>
    </row>
    <row r="87">
      <c r="A87">
        <v>45012</v>
      </c>
      <c r="B87">
        <v>6575</v>
      </c>
    </row>
    <row r="88">
      <c r="A88">
        <v>45013</v>
      </c>
      <c r="B88">
        <v>6550</v>
      </c>
    </row>
    <row r="89">
      <c r="A89">
        <v>45014</v>
      </c>
      <c r="B89">
        <v>6548</v>
      </c>
    </row>
    <row r="90">
      <c r="A90">
        <v>45015</v>
      </c>
      <c r="B90">
        <v>6540</v>
      </c>
    </row>
    <row r="91">
      <c r="A91">
        <v>45016</v>
      </c>
      <c r="B91">
        <v>6537</v>
      </c>
    </row>
  </sheetData>
  <pageMargins left="0.7" right="0.7" top="0.75" bottom="0.75" header="0.3" footer="0.3"/>
  <ignoredErrors>
    <ignoredError numberStoredAsText="1" sqref="A1:B9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91"/>
  <sheetViews>
    <sheetView workbookViewId="0" rightToLeft="0"/>
  </sheetViews>
  <sheetData>
    <row r="1">
      <c r="A1" t="str">
        <v>DATE</v>
      </c>
      <c r="B1" t="str">
        <v>DIRECT</v>
      </c>
      <c r="C1" t="str">
        <v>ORGANIC</v>
      </c>
      <c r="D1" t="str">
        <v>REFERRAL</v>
      </c>
      <c r="E1" t="str">
        <v>PAID</v>
      </c>
      <c r="F1" t="str">
        <v>OTHER</v>
      </c>
      <c r="G1" t="str">
        <v>TOTAL SESSIONS</v>
      </c>
    </row>
    <row r="2">
      <c r="A2">
        <v>44927</v>
      </c>
      <c r="B2">
        <v>20</v>
      </c>
      <c r="C2">
        <v>30</v>
      </c>
      <c r="D2">
        <v>17</v>
      </c>
      <c r="E2">
        <v>7</v>
      </c>
      <c r="F2">
        <v>44</v>
      </c>
      <c r="G2">
        <f>SUM(B2:F2)</f>
        <v>118</v>
      </c>
    </row>
    <row r="3">
      <c r="A3">
        <v>44928</v>
      </c>
      <c r="B3">
        <v>25</v>
      </c>
      <c r="C3">
        <v>26</v>
      </c>
      <c r="D3">
        <v>16</v>
      </c>
      <c r="E3">
        <v>11</v>
      </c>
      <c r="F3">
        <v>36</v>
      </c>
      <c r="G3">
        <f>SUM(B3:F3)</f>
        <v>114</v>
      </c>
    </row>
    <row r="4">
      <c r="A4">
        <v>44929</v>
      </c>
      <c r="B4">
        <v>123</v>
      </c>
      <c r="C4">
        <v>89</v>
      </c>
      <c r="D4">
        <v>73</v>
      </c>
      <c r="E4">
        <v>15</v>
      </c>
      <c r="F4">
        <v>182</v>
      </c>
      <c r="G4">
        <f>SUM(B4:F4)</f>
        <v>482</v>
      </c>
    </row>
    <row r="5">
      <c r="A5">
        <v>44930</v>
      </c>
      <c r="B5">
        <v>107</v>
      </c>
      <c r="C5">
        <v>99</v>
      </c>
      <c r="D5">
        <v>87</v>
      </c>
      <c r="E5">
        <v>46</v>
      </c>
      <c r="F5">
        <v>188</v>
      </c>
      <c r="G5">
        <f>SUM(B5:F5)</f>
        <v>527</v>
      </c>
    </row>
    <row r="6">
      <c r="A6">
        <v>44931</v>
      </c>
      <c r="B6">
        <v>111</v>
      </c>
      <c r="C6">
        <v>93</v>
      </c>
      <c r="D6">
        <v>87</v>
      </c>
      <c r="E6">
        <v>27</v>
      </c>
      <c r="F6">
        <v>143</v>
      </c>
      <c r="G6">
        <f>SUM(B6:F6)</f>
        <v>461</v>
      </c>
    </row>
    <row r="7">
      <c r="A7">
        <v>44932</v>
      </c>
      <c r="B7">
        <v>140</v>
      </c>
      <c r="C7">
        <v>147</v>
      </c>
      <c r="D7">
        <v>151</v>
      </c>
      <c r="E7">
        <v>14</v>
      </c>
      <c r="F7">
        <v>118</v>
      </c>
      <c r="G7">
        <f>SUM(B7:F7)</f>
        <v>570</v>
      </c>
    </row>
    <row r="8">
      <c r="A8">
        <v>44933</v>
      </c>
      <c r="B8">
        <v>55</v>
      </c>
      <c r="C8">
        <v>39</v>
      </c>
      <c r="D8">
        <v>33</v>
      </c>
      <c r="E8">
        <v>28</v>
      </c>
      <c r="F8">
        <v>37</v>
      </c>
      <c r="G8">
        <f>SUM(B8:F8)</f>
        <v>192</v>
      </c>
    </row>
    <row r="9">
      <c r="A9">
        <v>44934</v>
      </c>
      <c r="B9">
        <v>57</v>
      </c>
      <c r="C9">
        <v>45</v>
      </c>
      <c r="D9">
        <v>46</v>
      </c>
      <c r="E9">
        <v>11</v>
      </c>
      <c r="F9">
        <v>48</v>
      </c>
      <c r="G9">
        <f>SUM(B9:F9)</f>
        <v>207</v>
      </c>
    </row>
    <row r="10">
      <c r="A10">
        <v>44935</v>
      </c>
      <c r="B10">
        <v>140</v>
      </c>
      <c r="C10">
        <v>152</v>
      </c>
      <c r="D10">
        <v>152</v>
      </c>
      <c r="E10">
        <v>24</v>
      </c>
      <c r="F10">
        <v>133</v>
      </c>
      <c r="G10">
        <f>SUM(B10:F10)</f>
        <v>601</v>
      </c>
    </row>
    <row r="11">
      <c r="A11">
        <v>44936</v>
      </c>
      <c r="B11">
        <v>137</v>
      </c>
      <c r="C11">
        <v>130</v>
      </c>
      <c r="D11">
        <v>119</v>
      </c>
      <c r="E11">
        <v>46</v>
      </c>
      <c r="F11">
        <v>89</v>
      </c>
      <c r="G11">
        <f>SUM(B11:F11)</f>
        <v>521</v>
      </c>
    </row>
    <row r="12">
      <c r="A12">
        <v>44937</v>
      </c>
      <c r="B12">
        <v>109</v>
      </c>
      <c r="C12">
        <v>113</v>
      </c>
      <c r="D12">
        <v>102</v>
      </c>
      <c r="E12">
        <v>55</v>
      </c>
      <c r="F12">
        <v>128</v>
      </c>
      <c r="G12">
        <f>SUM(B12:F12)</f>
        <v>507</v>
      </c>
    </row>
    <row r="13">
      <c r="A13">
        <v>44938</v>
      </c>
      <c r="B13">
        <v>101</v>
      </c>
      <c r="C13">
        <v>101</v>
      </c>
      <c r="D13">
        <v>98</v>
      </c>
      <c r="E13">
        <v>22</v>
      </c>
      <c r="F13">
        <v>136</v>
      </c>
      <c r="G13">
        <f>SUM(B13:F13)</f>
        <v>458</v>
      </c>
    </row>
    <row r="14">
      <c r="A14">
        <v>44939</v>
      </c>
      <c r="B14">
        <v>120</v>
      </c>
      <c r="C14">
        <v>95</v>
      </c>
      <c r="D14">
        <v>85</v>
      </c>
      <c r="E14">
        <v>39</v>
      </c>
      <c r="F14">
        <v>197</v>
      </c>
      <c r="G14">
        <f>SUM(B14:F14)</f>
        <v>536</v>
      </c>
    </row>
    <row r="15">
      <c r="A15">
        <v>44940</v>
      </c>
      <c r="B15">
        <v>50</v>
      </c>
      <c r="C15">
        <v>52</v>
      </c>
      <c r="D15">
        <v>47</v>
      </c>
      <c r="E15">
        <v>15</v>
      </c>
      <c r="F15">
        <v>93</v>
      </c>
      <c r="G15">
        <f>SUM(B15:F15)</f>
        <v>257</v>
      </c>
    </row>
    <row r="16">
      <c r="A16">
        <v>44941</v>
      </c>
      <c r="B16">
        <v>42</v>
      </c>
      <c r="C16">
        <v>45</v>
      </c>
      <c r="D16">
        <v>45</v>
      </c>
      <c r="E16">
        <v>17</v>
      </c>
      <c r="F16">
        <v>60</v>
      </c>
      <c r="G16">
        <f>SUM(B16:F16)</f>
        <v>209</v>
      </c>
    </row>
    <row r="17">
      <c r="A17">
        <v>44942</v>
      </c>
      <c r="B17">
        <v>114</v>
      </c>
      <c r="C17">
        <v>82</v>
      </c>
      <c r="D17">
        <v>73</v>
      </c>
      <c r="E17">
        <v>50</v>
      </c>
      <c r="F17">
        <v>81</v>
      </c>
      <c r="G17">
        <f>SUM(B17:F17)</f>
        <v>400</v>
      </c>
    </row>
    <row r="18">
      <c r="A18">
        <v>44943</v>
      </c>
      <c r="B18">
        <v>120</v>
      </c>
      <c r="C18">
        <v>92</v>
      </c>
      <c r="D18">
        <v>85</v>
      </c>
      <c r="E18">
        <v>28</v>
      </c>
      <c r="F18">
        <v>133</v>
      </c>
      <c r="G18">
        <f>SUM(B18:F18)</f>
        <v>458</v>
      </c>
    </row>
    <row r="19">
      <c r="A19">
        <v>44944</v>
      </c>
      <c r="B19">
        <v>93</v>
      </c>
      <c r="C19">
        <v>80</v>
      </c>
      <c r="D19">
        <v>65</v>
      </c>
      <c r="E19">
        <v>34</v>
      </c>
      <c r="F19">
        <v>133</v>
      </c>
      <c r="G19">
        <f>SUM(B19:F19)</f>
        <v>405</v>
      </c>
    </row>
    <row r="20">
      <c r="A20">
        <v>44945</v>
      </c>
      <c r="B20">
        <v>103</v>
      </c>
      <c r="C20">
        <v>95</v>
      </c>
      <c r="D20">
        <v>85</v>
      </c>
      <c r="E20">
        <v>51</v>
      </c>
      <c r="F20">
        <v>193</v>
      </c>
      <c r="G20">
        <f>SUM(B20:F20)</f>
        <v>527</v>
      </c>
    </row>
    <row r="21">
      <c r="A21">
        <v>44946</v>
      </c>
      <c r="B21">
        <v>102</v>
      </c>
      <c r="C21">
        <v>65</v>
      </c>
      <c r="D21">
        <v>65</v>
      </c>
      <c r="E21">
        <v>55</v>
      </c>
      <c r="F21">
        <v>124</v>
      </c>
      <c r="G21">
        <f>SUM(B21:F21)</f>
        <v>411</v>
      </c>
    </row>
    <row r="22">
      <c r="A22">
        <v>44947</v>
      </c>
      <c r="B22">
        <v>51</v>
      </c>
      <c r="C22">
        <v>37</v>
      </c>
      <c r="D22">
        <v>38</v>
      </c>
      <c r="E22">
        <v>26</v>
      </c>
      <c r="F22">
        <v>43</v>
      </c>
      <c r="G22">
        <f>SUM(B22:F22)</f>
        <v>195</v>
      </c>
    </row>
    <row r="23">
      <c r="A23">
        <v>44948</v>
      </c>
      <c r="B23">
        <v>59</v>
      </c>
      <c r="C23">
        <v>54</v>
      </c>
      <c r="D23">
        <v>56</v>
      </c>
      <c r="E23">
        <v>29</v>
      </c>
      <c r="F23">
        <v>77</v>
      </c>
      <c r="G23">
        <f>SUM(B23:F23)</f>
        <v>275</v>
      </c>
    </row>
    <row r="24">
      <c r="A24">
        <v>44949</v>
      </c>
      <c r="B24">
        <v>122</v>
      </c>
      <c r="C24">
        <v>88</v>
      </c>
      <c r="D24">
        <v>89</v>
      </c>
      <c r="E24">
        <v>35</v>
      </c>
      <c r="F24">
        <v>107</v>
      </c>
      <c r="G24">
        <f>SUM(B24:F24)</f>
        <v>441</v>
      </c>
    </row>
    <row r="25">
      <c r="A25">
        <v>44950</v>
      </c>
      <c r="B25">
        <v>87</v>
      </c>
      <c r="C25">
        <v>70</v>
      </c>
      <c r="D25">
        <v>62</v>
      </c>
      <c r="E25">
        <v>17</v>
      </c>
      <c r="F25">
        <v>183</v>
      </c>
      <c r="G25">
        <f>SUM(B25:F25)</f>
        <v>419</v>
      </c>
    </row>
    <row r="26">
      <c r="A26">
        <v>44951</v>
      </c>
      <c r="B26">
        <v>128</v>
      </c>
      <c r="C26">
        <v>111</v>
      </c>
      <c r="D26">
        <v>100</v>
      </c>
      <c r="E26">
        <v>30</v>
      </c>
      <c r="F26">
        <v>157</v>
      </c>
      <c r="G26">
        <f>SUM(B26:F26)</f>
        <v>526</v>
      </c>
    </row>
    <row r="27">
      <c r="A27">
        <v>44952</v>
      </c>
      <c r="B27">
        <v>112</v>
      </c>
      <c r="C27">
        <v>121</v>
      </c>
      <c r="D27">
        <v>112</v>
      </c>
      <c r="E27">
        <v>35</v>
      </c>
      <c r="F27">
        <v>102</v>
      </c>
      <c r="G27">
        <f>SUM(B27:F27)</f>
        <v>482</v>
      </c>
    </row>
    <row r="28">
      <c r="A28">
        <v>44953</v>
      </c>
      <c r="B28">
        <v>97</v>
      </c>
      <c r="C28">
        <v>97</v>
      </c>
      <c r="D28">
        <v>83</v>
      </c>
      <c r="E28">
        <v>31</v>
      </c>
      <c r="F28">
        <v>167</v>
      </c>
      <c r="G28">
        <f>SUM(B28:F28)</f>
        <v>475</v>
      </c>
    </row>
    <row r="29">
      <c r="A29">
        <v>44954</v>
      </c>
      <c r="B29">
        <v>55</v>
      </c>
      <c r="C29">
        <v>54</v>
      </c>
      <c r="D29">
        <v>55</v>
      </c>
      <c r="E29">
        <v>8</v>
      </c>
      <c r="F29">
        <v>63</v>
      </c>
      <c r="G29">
        <f>SUM(B29:F29)</f>
        <v>235</v>
      </c>
    </row>
    <row r="30">
      <c r="A30">
        <v>44955</v>
      </c>
      <c r="B30">
        <v>54</v>
      </c>
      <c r="C30">
        <v>59</v>
      </c>
      <c r="D30">
        <v>62</v>
      </c>
      <c r="E30">
        <v>22</v>
      </c>
      <c r="F30">
        <v>71</v>
      </c>
      <c r="G30">
        <f>SUM(B30:F30)</f>
        <v>268</v>
      </c>
    </row>
    <row r="31">
      <c r="A31">
        <v>44956</v>
      </c>
      <c r="B31">
        <v>131</v>
      </c>
      <c r="C31">
        <v>100</v>
      </c>
      <c r="D31">
        <v>100</v>
      </c>
      <c r="E31">
        <v>28</v>
      </c>
      <c r="F31">
        <v>180</v>
      </c>
      <c r="G31">
        <f>SUM(B31:F31)</f>
        <v>539</v>
      </c>
    </row>
    <row r="32">
      <c r="A32">
        <v>44957</v>
      </c>
      <c r="B32">
        <v>108</v>
      </c>
      <c r="C32">
        <v>114</v>
      </c>
      <c r="D32">
        <v>120</v>
      </c>
      <c r="E32">
        <v>47</v>
      </c>
      <c r="F32">
        <v>150</v>
      </c>
      <c r="G32">
        <f>SUM(B32:F32)</f>
        <v>539</v>
      </c>
    </row>
    <row r="33">
      <c r="A33">
        <v>44958</v>
      </c>
      <c r="B33">
        <v>126</v>
      </c>
      <c r="C33">
        <v>84</v>
      </c>
      <c r="D33">
        <v>86</v>
      </c>
      <c r="E33">
        <v>49</v>
      </c>
      <c r="F33">
        <v>162</v>
      </c>
      <c r="G33">
        <f>SUM(B33:F33)</f>
        <v>507</v>
      </c>
    </row>
    <row r="34">
      <c r="A34">
        <v>44959</v>
      </c>
      <c r="B34">
        <v>116</v>
      </c>
      <c r="C34">
        <v>72</v>
      </c>
      <c r="D34">
        <v>59</v>
      </c>
      <c r="E34">
        <v>54</v>
      </c>
      <c r="F34">
        <v>142</v>
      </c>
      <c r="G34">
        <f>SUM(B34:F34)</f>
        <v>443</v>
      </c>
    </row>
    <row r="35">
      <c r="A35">
        <v>44960</v>
      </c>
      <c r="B35">
        <v>102</v>
      </c>
      <c r="C35">
        <v>68</v>
      </c>
      <c r="D35">
        <v>58</v>
      </c>
      <c r="E35">
        <v>40</v>
      </c>
      <c r="F35">
        <v>85</v>
      </c>
      <c r="G35">
        <f>SUM(B35:F35)</f>
        <v>353</v>
      </c>
    </row>
    <row r="36">
      <c r="A36">
        <v>44961</v>
      </c>
      <c r="B36">
        <v>60</v>
      </c>
      <c r="C36">
        <v>61</v>
      </c>
      <c r="D36">
        <v>61</v>
      </c>
      <c r="E36">
        <v>29</v>
      </c>
      <c r="F36">
        <v>67</v>
      </c>
      <c r="G36">
        <f>SUM(B36:F36)</f>
        <v>278</v>
      </c>
    </row>
    <row r="37">
      <c r="A37">
        <v>44962</v>
      </c>
      <c r="B37">
        <v>55</v>
      </c>
      <c r="C37">
        <v>49</v>
      </c>
      <c r="D37">
        <v>43</v>
      </c>
      <c r="E37">
        <v>26</v>
      </c>
      <c r="F37">
        <v>70</v>
      </c>
      <c r="G37">
        <f>SUM(B37:F37)</f>
        <v>243</v>
      </c>
    </row>
    <row r="38">
      <c r="A38">
        <v>44963</v>
      </c>
      <c r="B38">
        <v>100</v>
      </c>
      <c r="C38">
        <v>77</v>
      </c>
      <c r="D38">
        <v>77</v>
      </c>
      <c r="E38">
        <v>14</v>
      </c>
      <c r="F38">
        <v>135</v>
      </c>
      <c r="G38">
        <f>SUM(B38:F38)</f>
        <v>403</v>
      </c>
    </row>
    <row r="39">
      <c r="A39">
        <v>44964</v>
      </c>
      <c r="B39">
        <v>117</v>
      </c>
      <c r="C39">
        <v>76</v>
      </c>
      <c r="D39">
        <v>70</v>
      </c>
      <c r="E39">
        <v>49</v>
      </c>
      <c r="F39">
        <v>170</v>
      </c>
      <c r="G39">
        <f>SUM(B39:F39)</f>
        <v>482</v>
      </c>
    </row>
    <row r="40">
      <c r="A40">
        <v>44965</v>
      </c>
      <c r="B40">
        <v>124</v>
      </c>
      <c r="C40">
        <v>104</v>
      </c>
      <c r="D40">
        <v>88</v>
      </c>
      <c r="E40">
        <v>58</v>
      </c>
      <c r="F40">
        <v>148</v>
      </c>
      <c r="G40">
        <f>SUM(B40:F40)</f>
        <v>522</v>
      </c>
    </row>
    <row r="41">
      <c r="A41">
        <v>44966</v>
      </c>
      <c r="B41">
        <v>140</v>
      </c>
      <c r="C41">
        <v>147</v>
      </c>
      <c r="D41">
        <v>147</v>
      </c>
      <c r="E41">
        <v>31</v>
      </c>
      <c r="F41">
        <v>200</v>
      </c>
      <c r="G41">
        <f>SUM(B41:F41)</f>
        <v>665</v>
      </c>
    </row>
    <row r="42">
      <c r="A42">
        <v>44967</v>
      </c>
      <c r="B42">
        <v>88</v>
      </c>
      <c r="C42">
        <v>91</v>
      </c>
      <c r="D42">
        <v>84</v>
      </c>
      <c r="E42">
        <v>22</v>
      </c>
      <c r="F42">
        <v>188</v>
      </c>
      <c r="G42">
        <f>SUM(B42:F42)</f>
        <v>473</v>
      </c>
    </row>
    <row r="43">
      <c r="A43">
        <v>44968</v>
      </c>
      <c r="B43">
        <v>45</v>
      </c>
      <c r="C43">
        <v>46</v>
      </c>
      <c r="D43">
        <v>44</v>
      </c>
      <c r="E43">
        <v>10</v>
      </c>
      <c r="F43">
        <v>88</v>
      </c>
      <c r="G43">
        <f>SUM(B43:F43)</f>
        <v>233</v>
      </c>
    </row>
    <row r="44">
      <c r="A44">
        <v>44969</v>
      </c>
      <c r="B44">
        <v>45</v>
      </c>
      <c r="C44">
        <v>24</v>
      </c>
      <c r="D44">
        <v>27</v>
      </c>
      <c r="E44">
        <v>17</v>
      </c>
      <c r="F44">
        <v>98</v>
      </c>
      <c r="G44">
        <f>SUM(B44:F44)</f>
        <v>211</v>
      </c>
    </row>
    <row r="45">
      <c r="A45">
        <v>44970</v>
      </c>
      <c r="B45">
        <v>94</v>
      </c>
      <c r="C45">
        <v>96</v>
      </c>
      <c r="D45">
        <v>101</v>
      </c>
      <c r="E45">
        <v>58</v>
      </c>
      <c r="F45">
        <v>95</v>
      </c>
      <c r="G45">
        <f>SUM(B45:F45)</f>
        <v>444</v>
      </c>
    </row>
    <row r="46">
      <c r="A46">
        <v>44971</v>
      </c>
      <c r="B46">
        <v>90</v>
      </c>
      <c r="C46">
        <v>47</v>
      </c>
      <c r="D46">
        <v>44</v>
      </c>
      <c r="E46">
        <v>32</v>
      </c>
      <c r="F46">
        <v>145</v>
      </c>
      <c r="G46">
        <f>SUM(B46:F46)</f>
        <v>358</v>
      </c>
    </row>
    <row r="47">
      <c r="A47">
        <v>44972</v>
      </c>
      <c r="B47">
        <v>139</v>
      </c>
      <c r="C47">
        <v>134</v>
      </c>
      <c r="D47">
        <v>126</v>
      </c>
      <c r="E47">
        <v>41</v>
      </c>
      <c r="F47">
        <v>206</v>
      </c>
      <c r="G47">
        <f>SUM(B47:F47)</f>
        <v>646</v>
      </c>
    </row>
    <row r="48">
      <c r="A48">
        <v>44973</v>
      </c>
      <c r="B48">
        <v>119</v>
      </c>
      <c r="C48">
        <v>83</v>
      </c>
      <c r="D48">
        <v>67</v>
      </c>
      <c r="E48">
        <v>40</v>
      </c>
      <c r="F48">
        <v>146</v>
      </c>
      <c r="G48">
        <f>SUM(B48:F48)</f>
        <v>455</v>
      </c>
    </row>
    <row r="49">
      <c r="A49">
        <v>44974</v>
      </c>
      <c r="B49">
        <v>128</v>
      </c>
      <c r="C49">
        <v>133</v>
      </c>
      <c r="D49">
        <v>136</v>
      </c>
      <c r="E49">
        <v>13</v>
      </c>
      <c r="F49">
        <v>125</v>
      </c>
      <c r="G49">
        <f>SUM(B49:F49)</f>
        <v>535</v>
      </c>
    </row>
    <row r="50">
      <c r="A50">
        <v>44975</v>
      </c>
      <c r="B50">
        <v>67</v>
      </c>
      <c r="C50">
        <v>64</v>
      </c>
      <c r="D50">
        <v>60</v>
      </c>
      <c r="E50">
        <v>11</v>
      </c>
      <c r="F50">
        <v>66</v>
      </c>
      <c r="G50">
        <f>SUM(B50:F50)</f>
        <v>268</v>
      </c>
    </row>
    <row r="51">
      <c r="A51">
        <v>44976</v>
      </c>
      <c r="B51">
        <v>68</v>
      </c>
      <c r="C51">
        <v>72</v>
      </c>
      <c r="D51">
        <v>65</v>
      </c>
      <c r="E51">
        <v>13</v>
      </c>
      <c r="F51">
        <v>90</v>
      </c>
      <c r="G51">
        <f>SUM(B51:F51)</f>
        <v>308</v>
      </c>
    </row>
    <row r="52">
      <c r="A52">
        <v>44977</v>
      </c>
      <c r="B52">
        <v>135</v>
      </c>
      <c r="C52">
        <v>103</v>
      </c>
      <c r="D52">
        <v>101</v>
      </c>
      <c r="E52">
        <v>18</v>
      </c>
      <c r="F52">
        <v>112</v>
      </c>
      <c r="G52">
        <f>SUM(B52:F52)</f>
        <v>469</v>
      </c>
    </row>
    <row r="53">
      <c r="A53">
        <v>44978</v>
      </c>
      <c r="B53">
        <v>112</v>
      </c>
      <c r="C53">
        <v>95</v>
      </c>
      <c r="D53">
        <v>100</v>
      </c>
      <c r="E53">
        <v>54</v>
      </c>
      <c r="F53">
        <v>169</v>
      </c>
      <c r="G53">
        <f>SUM(B53:F53)</f>
        <v>530</v>
      </c>
    </row>
    <row r="54">
      <c r="A54">
        <v>44979</v>
      </c>
      <c r="B54">
        <v>107</v>
      </c>
      <c r="C54">
        <v>69</v>
      </c>
      <c r="D54">
        <v>71</v>
      </c>
      <c r="E54">
        <v>32</v>
      </c>
      <c r="F54">
        <v>169</v>
      </c>
      <c r="G54">
        <f>SUM(B54:F54)</f>
        <v>448</v>
      </c>
    </row>
    <row r="55">
      <c r="A55">
        <v>44980</v>
      </c>
      <c r="B55">
        <v>118</v>
      </c>
      <c r="C55">
        <v>127</v>
      </c>
      <c r="D55">
        <v>117</v>
      </c>
      <c r="E55">
        <v>49</v>
      </c>
      <c r="F55">
        <v>72</v>
      </c>
      <c r="G55">
        <f>SUM(B55:F55)</f>
        <v>483</v>
      </c>
    </row>
    <row r="56">
      <c r="A56">
        <v>44981</v>
      </c>
      <c r="B56">
        <v>138</v>
      </c>
      <c r="C56">
        <v>126</v>
      </c>
      <c r="D56">
        <v>130</v>
      </c>
      <c r="E56">
        <v>53</v>
      </c>
      <c r="F56">
        <v>204</v>
      </c>
      <c r="G56">
        <f>SUM(B56:F56)</f>
        <v>651</v>
      </c>
    </row>
    <row r="57">
      <c r="A57">
        <v>44982</v>
      </c>
      <c r="B57">
        <v>62</v>
      </c>
      <c r="C57">
        <v>61</v>
      </c>
      <c r="D57">
        <v>61</v>
      </c>
      <c r="E57">
        <v>33</v>
      </c>
      <c r="F57">
        <v>67</v>
      </c>
      <c r="G57">
        <f>SUM(B57:F57)</f>
        <v>284</v>
      </c>
    </row>
    <row r="58">
      <c r="A58">
        <v>44983</v>
      </c>
      <c r="B58">
        <v>55</v>
      </c>
      <c r="C58">
        <v>49</v>
      </c>
      <c r="D58">
        <v>46</v>
      </c>
      <c r="E58">
        <v>26</v>
      </c>
      <c r="F58">
        <v>70</v>
      </c>
      <c r="G58">
        <f>SUM(B58:F58)</f>
        <v>246</v>
      </c>
    </row>
    <row r="59">
      <c r="A59">
        <v>44984</v>
      </c>
      <c r="B59">
        <v>125</v>
      </c>
      <c r="C59">
        <v>107</v>
      </c>
      <c r="D59">
        <v>99</v>
      </c>
      <c r="E59">
        <v>17</v>
      </c>
      <c r="F59">
        <v>98</v>
      </c>
      <c r="G59">
        <f>SUM(B59:F59)</f>
        <v>446</v>
      </c>
    </row>
    <row r="60">
      <c r="A60">
        <v>44985</v>
      </c>
      <c r="B60">
        <v>111</v>
      </c>
      <c r="C60">
        <v>102</v>
      </c>
      <c r="D60">
        <v>87</v>
      </c>
      <c r="E60">
        <v>21</v>
      </c>
      <c r="F60">
        <v>87</v>
      </c>
      <c r="G60">
        <f>SUM(B60:F60)</f>
        <v>408</v>
      </c>
    </row>
    <row r="61">
      <c r="A61">
        <v>44986</v>
      </c>
      <c r="B61">
        <v>98</v>
      </c>
      <c r="C61">
        <v>77</v>
      </c>
      <c r="D61">
        <v>69</v>
      </c>
      <c r="E61">
        <v>47</v>
      </c>
      <c r="F61">
        <v>80</v>
      </c>
      <c r="G61">
        <f>SUM(B61:F61)</f>
        <v>371</v>
      </c>
    </row>
    <row r="62">
      <c r="A62">
        <v>44987</v>
      </c>
      <c r="B62">
        <v>89</v>
      </c>
      <c r="C62">
        <v>73</v>
      </c>
      <c r="D62">
        <v>57</v>
      </c>
      <c r="E62">
        <v>27</v>
      </c>
      <c r="F62">
        <v>130</v>
      </c>
      <c r="G62">
        <f>SUM(B62:F62)</f>
        <v>376</v>
      </c>
    </row>
    <row r="63">
      <c r="A63">
        <v>44988</v>
      </c>
      <c r="B63">
        <v>91</v>
      </c>
      <c r="C63">
        <v>102</v>
      </c>
      <c r="D63">
        <v>104</v>
      </c>
      <c r="E63">
        <v>53</v>
      </c>
      <c r="F63">
        <v>182</v>
      </c>
      <c r="G63">
        <f>SUM(B63:F63)</f>
        <v>532</v>
      </c>
    </row>
    <row r="64">
      <c r="A64">
        <v>44989</v>
      </c>
      <c r="B64">
        <v>53</v>
      </c>
      <c r="C64">
        <v>46</v>
      </c>
      <c r="D64">
        <v>44</v>
      </c>
      <c r="E64">
        <v>10</v>
      </c>
      <c r="F64">
        <v>88</v>
      </c>
      <c r="G64">
        <f>SUM(B64:F64)</f>
        <v>241</v>
      </c>
    </row>
    <row r="65">
      <c r="A65">
        <v>44990</v>
      </c>
      <c r="B65">
        <v>52</v>
      </c>
      <c r="C65">
        <v>24</v>
      </c>
      <c r="D65">
        <v>31</v>
      </c>
      <c r="E65">
        <v>16</v>
      </c>
      <c r="F65">
        <v>98</v>
      </c>
      <c r="G65">
        <f>SUM(B65:F65)</f>
        <v>221</v>
      </c>
    </row>
    <row r="66">
      <c r="A66">
        <v>44991</v>
      </c>
      <c r="B66">
        <v>128</v>
      </c>
      <c r="C66">
        <v>104</v>
      </c>
      <c r="D66">
        <v>90</v>
      </c>
      <c r="E66">
        <v>27</v>
      </c>
      <c r="F66">
        <v>206</v>
      </c>
      <c r="G66">
        <f>SUM(B66:F66)</f>
        <v>555</v>
      </c>
    </row>
    <row r="67">
      <c r="A67">
        <v>44992</v>
      </c>
      <c r="B67">
        <v>140</v>
      </c>
      <c r="C67">
        <v>101</v>
      </c>
      <c r="D67">
        <v>92</v>
      </c>
      <c r="E67">
        <v>32</v>
      </c>
      <c r="F67">
        <v>113</v>
      </c>
      <c r="G67">
        <f>SUM(B67:F67)</f>
        <v>478</v>
      </c>
    </row>
    <row r="68">
      <c r="A68">
        <v>44993</v>
      </c>
      <c r="B68">
        <v>125</v>
      </c>
      <c r="C68">
        <v>117</v>
      </c>
      <c r="D68">
        <v>118</v>
      </c>
      <c r="E68">
        <v>33</v>
      </c>
      <c r="F68">
        <v>108</v>
      </c>
      <c r="G68">
        <f>SUM(B68:F68)</f>
        <v>501</v>
      </c>
    </row>
    <row r="69">
      <c r="A69">
        <v>44994</v>
      </c>
      <c r="B69">
        <v>108</v>
      </c>
      <c r="C69">
        <v>103</v>
      </c>
      <c r="D69">
        <v>95</v>
      </c>
      <c r="E69">
        <v>12</v>
      </c>
      <c r="F69">
        <v>87</v>
      </c>
      <c r="G69">
        <f>SUM(B69:F69)</f>
        <v>405</v>
      </c>
    </row>
    <row r="70">
      <c r="A70">
        <v>44995</v>
      </c>
      <c r="B70">
        <v>95</v>
      </c>
      <c r="C70">
        <v>74</v>
      </c>
      <c r="D70">
        <v>77</v>
      </c>
      <c r="E70">
        <v>54</v>
      </c>
      <c r="F70">
        <v>173</v>
      </c>
      <c r="G70">
        <f>SUM(B70:F70)</f>
        <v>473</v>
      </c>
    </row>
    <row r="71">
      <c r="A71">
        <v>44996</v>
      </c>
      <c r="B71">
        <v>54</v>
      </c>
      <c r="C71">
        <v>52</v>
      </c>
      <c r="D71">
        <v>47</v>
      </c>
      <c r="E71">
        <v>18</v>
      </c>
      <c r="F71">
        <v>93</v>
      </c>
      <c r="G71">
        <f>SUM(B71:F71)</f>
        <v>264</v>
      </c>
    </row>
    <row r="72">
      <c r="A72">
        <v>44997</v>
      </c>
      <c r="B72">
        <v>43</v>
      </c>
      <c r="C72">
        <v>45</v>
      </c>
      <c r="D72">
        <v>51</v>
      </c>
      <c r="E72">
        <v>17</v>
      </c>
      <c r="F72">
        <v>60</v>
      </c>
      <c r="G72">
        <f>SUM(B72:F72)</f>
        <v>216</v>
      </c>
    </row>
    <row r="73">
      <c r="A73">
        <v>44998</v>
      </c>
      <c r="B73">
        <v>128</v>
      </c>
      <c r="C73">
        <v>116</v>
      </c>
      <c r="D73">
        <v>100</v>
      </c>
      <c r="E73">
        <v>11</v>
      </c>
      <c r="F73">
        <v>98</v>
      </c>
      <c r="G73">
        <f>SUM(B73:F73)</f>
        <v>453</v>
      </c>
    </row>
    <row r="74">
      <c r="A74">
        <v>44999</v>
      </c>
      <c r="B74">
        <v>102</v>
      </c>
      <c r="C74">
        <v>88</v>
      </c>
      <c r="D74">
        <v>85</v>
      </c>
      <c r="E74">
        <v>18</v>
      </c>
      <c r="F74">
        <v>207</v>
      </c>
      <c r="G74">
        <f>SUM(B74:F74)</f>
        <v>500</v>
      </c>
    </row>
    <row r="75">
      <c r="A75">
        <v>45000</v>
      </c>
      <c r="B75">
        <v>95</v>
      </c>
      <c r="C75">
        <v>74</v>
      </c>
      <c r="D75">
        <v>61</v>
      </c>
      <c r="E75">
        <v>27</v>
      </c>
      <c r="F75">
        <v>179</v>
      </c>
      <c r="G75">
        <f>SUM(B75:F75)</f>
        <v>436</v>
      </c>
    </row>
    <row r="76">
      <c r="A76">
        <v>45001</v>
      </c>
      <c r="B76">
        <v>137</v>
      </c>
      <c r="C76">
        <v>135</v>
      </c>
      <c r="D76">
        <v>121</v>
      </c>
      <c r="E76">
        <v>56</v>
      </c>
      <c r="F76">
        <v>96</v>
      </c>
      <c r="G76">
        <f>SUM(B76:F76)</f>
        <v>545</v>
      </c>
    </row>
    <row r="77">
      <c r="A77">
        <v>45002</v>
      </c>
      <c r="B77">
        <v>133</v>
      </c>
      <c r="C77">
        <v>89</v>
      </c>
      <c r="D77">
        <v>80</v>
      </c>
      <c r="E77">
        <v>24</v>
      </c>
      <c r="F77">
        <v>159</v>
      </c>
      <c r="G77">
        <f>SUM(B77:F77)</f>
        <v>485</v>
      </c>
    </row>
    <row r="78">
      <c r="A78">
        <v>45003</v>
      </c>
      <c r="B78">
        <v>63</v>
      </c>
      <c r="C78">
        <v>61</v>
      </c>
      <c r="D78">
        <v>70</v>
      </c>
      <c r="E78">
        <v>33</v>
      </c>
      <c r="F78">
        <v>67</v>
      </c>
      <c r="G78">
        <f>SUM(B78:F78)</f>
        <v>294</v>
      </c>
    </row>
    <row r="79">
      <c r="A79">
        <v>45004</v>
      </c>
      <c r="B79">
        <v>52</v>
      </c>
      <c r="C79">
        <v>54</v>
      </c>
      <c r="D79">
        <v>46</v>
      </c>
      <c r="E79">
        <v>24</v>
      </c>
      <c r="F79">
        <v>70</v>
      </c>
      <c r="G79">
        <f>SUM(B79:F79)</f>
        <v>246</v>
      </c>
    </row>
    <row r="80">
      <c r="A80">
        <v>45005</v>
      </c>
      <c r="B80">
        <v>88</v>
      </c>
      <c r="C80">
        <v>46</v>
      </c>
      <c r="D80">
        <v>44</v>
      </c>
      <c r="E80">
        <v>29</v>
      </c>
      <c r="F80">
        <v>85</v>
      </c>
      <c r="G80">
        <f>SUM(B80:F80)</f>
        <v>292</v>
      </c>
    </row>
    <row r="81">
      <c r="A81">
        <v>45006</v>
      </c>
      <c r="B81">
        <v>86</v>
      </c>
      <c r="C81">
        <v>96</v>
      </c>
      <c r="D81">
        <v>83</v>
      </c>
      <c r="E81">
        <v>19</v>
      </c>
      <c r="F81">
        <v>175</v>
      </c>
      <c r="G81">
        <f>SUM(B81:F81)</f>
        <v>459</v>
      </c>
    </row>
    <row r="82">
      <c r="A82">
        <v>45007</v>
      </c>
      <c r="B82">
        <v>100</v>
      </c>
      <c r="C82">
        <v>74</v>
      </c>
      <c r="D82">
        <v>62</v>
      </c>
      <c r="E82">
        <v>46</v>
      </c>
      <c r="F82">
        <v>205</v>
      </c>
      <c r="G82">
        <f>SUM(B82:F82)</f>
        <v>487</v>
      </c>
    </row>
    <row r="83">
      <c r="A83">
        <v>45008</v>
      </c>
      <c r="B83">
        <v>85</v>
      </c>
      <c r="C83">
        <v>47</v>
      </c>
      <c r="D83">
        <v>45</v>
      </c>
      <c r="E83">
        <v>35</v>
      </c>
      <c r="F83">
        <v>135</v>
      </c>
      <c r="G83">
        <f>SUM(B83:F83)</f>
        <v>347</v>
      </c>
    </row>
    <row r="84">
      <c r="A84">
        <v>45009</v>
      </c>
      <c r="B84">
        <v>96</v>
      </c>
      <c r="C84">
        <v>69</v>
      </c>
      <c r="D84">
        <v>57</v>
      </c>
      <c r="E84">
        <v>39</v>
      </c>
      <c r="F84">
        <v>174</v>
      </c>
      <c r="G84">
        <f>SUM(B84:F84)</f>
        <v>435</v>
      </c>
    </row>
    <row r="85">
      <c r="A85">
        <v>45010</v>
      </c>
      <c r="B85">
        <v>62</v>
      </c>
      <c r="C85">
        <v>61</v>
      </c>
      <c r="D85">
        <v>53</v>
      </c>
      <c r="E85">
        <v>33</v>
      </c>
      <c r="F85">
        <v>67</v>
      </c>
      <c r="G85">
        <f>SUM(B85:F85)</f>
        <v>276</v>
      </c>
    </row>
    <row r="86">
      <c r="A86">
        <v>45011</v>
      </c>
      <c r="B86">
        <v>58</v>
      </c>
      <c r="C86">
        <v>54</v>
      </c>
      <c r="D86">
        <v>46</v>
      </c>
      <c r="E86">
        <v>28</v>
      </c>
      <c r="F86">
        <v>70</v>
      </c>
      <c r="G86">
        <f>SUM(B86:F86)</f>
        <v>256</v>
      </c>
    </row>
    <row r="87">
      <c r="A87">
        <v>45012</v>
      </c>
      <c r="B87">
        <v>89</v>
      </c>
      <c r="C87">
        <v>87</v>
      </c>
      <c r="D87">
        <v>82</v>
      </c>
      <c r="E87">
        <v>26</v>
      </c>
      <c r="F87">
        <v>124</v>
      </c>
      <c r="G87">
        <f>SUM(B87:F87)</f>
        <v>408</v>
      </c>
    </row>
    <row r="88">
      <c r="A88">
        <v>45013</v>
      </c>
      <c r="B88">
        <v>122</v>
      </c>
      <c r="C88">
        <v>103</v>
      </c>
      <c r="D88">
        <v>88</v>
      </c>
      <c r="E88">
        <v>47</v>
      </c>
      <c r="F88">
        <v>178</v>
      </c>
      <c r="G88">
        <f>SUM(B88:F88)</f>
        <v>538</v>
      </c>
    </row>
    <row r="89">
      <c r="A89">
        <v>45014</v>
      </c>
      <c r="B89">
        <v>133</v>
      </c>
      <c r="C89">
        <v>108</v>
      </c>
      <c r="D89">
        <v>100</v>
      </c>
      <c r="E89">
        <v>46</v>
      </c>
      <c r="F89">
        <v>141</v>
      </c>
      <c r="G89">
        <f>SUM(B89:F89)</f>
        <v>528</v>
      </c>
    </row>
    <row r="90">
      <c r="A90">
        <v>45015</v>
      </c>
      <c r="B90">
        <v>126</v>
      </c>
      <c r="C90">
        <v>123</v>
      </c>
      <c r="D90">
        <v>118</v>
      </c>
      <c r="E90">
        <v>12</v>
      </c>
      <c r="F90">
        <v>181</v>
      </c>
      <c r="G90">
        <f>SUM(B90:F90)</f>
        <v>560</v>
      </c>
    </row>
    <row r="91">
      <c r="A91">
        <v>45016</v>
      </c>
      <c r="B91">
        <v>115</v>
      </c>
      <c r="C91">
        <v>70</v>
      </c>
      <c r="D91">
        <v>73</v>
      </c>
      <c r="E91">
        <v>20</v>
      </c>
      <c r="F91">
        <v>73</v>
      </c>
      <c r="G91">
        <f>SUM(B91:F91)</f>
        <v>351</v>
      </c>
    </row>
  </sheetData>
  <pageMargins left="0.7" right="0.7" top="0.75" bottom="0.75" header="0.3" footer="0.3"/>
  <ignoredErrors>
    <ignoredError numberStoredAsText="1" sqref="A1:G9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N41"/>
  <sheetViews>
    <sheetView workbookViewId="0" rightToLeft="0"/>
  </sheetViews>
  <sheetData>
    <row r="1">
      <c r="B1" t="str">
        <v>Subscribers</v>
      </c>
      <c r="F1" t="str">
        <v>Sessions Last 30 Days</v>
      </c>
    </row>
    <row r="2">
      <c r="B2">
        <f>INDEX(ESub[],ROWS(ESub[SUBSCRIBED]),2)</f>
        <v>6537</v>
      </c>
      <c r="F2">
        <f>SUM(K11:K40)</f>
        <v>12158</v>
      </c>
    </row>
    <row r="4">
      <c r="B4" t="str">
        <v>Subscribers Yesterday</v>
      </c>
      <c r="C4" t="str">
        <v>Difference</v>
      </c>
      <c r="F4" t="str">
        <v>Sessions Yesterday</v>
      </c>
      <c r="G4" t="str">
        <v>Difference</v>
      </c>
    </row>
    <row r="5">
      <c r="B5">
        <f>INDEX(ESub[],ROWS(ESub[SUBSCRIBED])-1,2)</f>
        <v>6540</v>
      </c>
      <c r="C5">
        <f>B2-B5</f>
        <v>-3</v>
      </c>
      <c r="F5">
        <f>F2-K40+N17</f>
        <v>12178</v>
      </c>
      <c r="G5">
        <f>F2-F5</f>
        <v>-20</v>
      </c>
    </row>
    <row r="7">
      <c r="B7" t="str">
        <v>Subscribers Week Before</v>
      </c>
      <c r="C7" t="str">
        <v>Difference</v>
      </c>
      <c r="F7" t="str">
        <v>Sessions Week Before</v>
      </c>
      <c r="G7" t="str">
        <v>Difference</v>
      </c>
    </row>
    <row r="8">
      <c r="B8">
        <f>INDEX(ESub[],ROWS(ESub[SUBSCRIBED])-7,2)</f>
        <v>6510</v>
      </c>
      <c r="C8">
        <f>B2-B8</f>
        <v>27</v>
      </c>
      <c r="F8">
        <f>F2-SUM(K34:K40)+SUM(N11:N17)</f>
        <v>12130</v>
      </c>
      <c r="G8">
        <f>F2-F8</f>
        <v>28</v>
      </c>
    </row>
    <row r="10">
      <c r="B10" t="str">
        <v>Subscribers Last 30 Days</v>
      </c>
      <c r="F10" t="str">
        <v>DIRECT</v>
      </c>
      <c r="G10" t="str">
        <v>ORGANIC</v>
      </c>
      <c r="H10" t="str">
        <v>REFERRAL</v>
      </c>
      <c r="I10" t="str">
        <v>PAID</v>
      </c>
      <c r="J10" t="str">
        <v>OTHER</v>
      </c>
      <c r="K10" t="str">
        <v>TOTAL SESSIONS</v>
      </c>
      <c r="M10" t="str">
        <v>7 Days before - sessions</v>
      </c>
    </row>
    <row r="11">
      <c r="A11">
        <f>INDEX(ESub[],ROWS(ESub[SUBSCRIBED])-29,1)</f>
        <v>44987</v>
      </c>
      <c r="B11">
        <f>INDEX(ESub[],ROWS(ESub[SUBSCRIBED])-29,2)</f>
        <v>5799</v>
      </c>
      <c r="E11">
        <f>INDEX(Google[], ROWS(Google[DATE])+ROW(Calc!E11)-40, COLUMN(Calc!E11)-4)</f>
        <v>44987</v>
      </c>
      <c r="F11">
        <f>INDEX(Google[], ROWS(Google[DATE])+ROW(Calc!F11)-40, COLUMN(Calc!F11)-4)</f>
        <v>89</v>
      </c>
      <c r="G11">
        <f>INDEX(Google[], ROWS(Google[DATE])+ROW(Calc!G11)-40, COLUMN(Calc!G11)-4)</f>
        <v>73</v>
      </c>
      <c r="H11">
        <f>INDEX(Google[], ROWS(Google[DATE])+ROW(Calc!H11)-40, COLUMN(Calc!H11)-4)</f>
        <v>57</v>
      </c>
      <c r="I11">
        <f>INDEX(Google[], ROWS(Google[DATE])+ROW(Calc!I11)-40, COLUMN(Calc!I11)-4)</f>
        <v>27</v>
      </c>
      <c r="J11">
        <f>INDEX(Google[], ROWS(Google[DATE])+ROW(Calc!J11)-40, COLUMN(Calc!J11)-4)</f>
        <v>130</v>
      </c>
      <c r="K11">
        <f>INDEX(Google[], ROWS(Google[DATE])+ROW(Calc!K11)-40, COLUMN(Calc!K11)-4)</f>
        <v>376</v>
      </c>
      <c r="M11">
        <f>INDEX(Google[], ROWS(Google[DATE])+ROW(Calc!M11)-47, COLUMN(Calc!M11)-12)</f>
        <v>44980</v>
      </c>
      <c r="N11">
        <f>INDEX(Google[], ROWS(Google[DATE])+ROW(Calc!N11)-47, COLUMN(Calc!N11)-7)</f>
        <v>483</v>
      </c>
    </row>
    <row r="12">
      <c r="A12">
        <f>INDEX(ESub[],ROWS(ESub[SUBSCRIBED])-28,1)</f>
        <v>44988</v>
      </c>
      <c r="B12">
        <f>INDEX(ESub[],ROWS(ESub[SUBSCRIBED])-28,2)</f>
        <v>5780</v>
      </c>
      <c r="E12">
        <f>INDEX(Google[], ROWS(Google[DATE])+ROW(Calc!E12)-40, COLUMN(Calc!E12)-4)</f>
        <v>44988</v>
      </c>
      <c r="F12">
        <f>INDEX(Google[], ROWS(Google[DATE])+ROW(Calc!F12)-40, COLUMN(Calc!F12)-4)</f>
        <v>91</v>
      </c>
      <c r="G12">
        <f>INDEX(Google[], ROWS(Google[DATE])+ROW(Calc!G12)-40, COLUMN(Calc!G12)-4)</f>
        <v>102</v>
      </c>
      <c r="H12">
        <f>INDEX(Google[], ROWS(Google[DATE])+ROW(Calc!H12)-40, COLUMN(Calc!H12)-4)</f>
        <v>104</v>
      </c>
      <c r="I12">
        <f>INDEX(Google[], ROWS(Google[DATE])+ROW(Calc!I12)-40, COLUMN(Calc!I12)-4)</f>
        <v>53</v>
      </c>
      <c r="J12">
        <f>INDEX(Google[], ROWS(Google[DATE])+ROW(Calc!J12)-40, COLUMN(Calc!J12)-4)</f>
        <v>182</v>
      </c>
      <c r="K12">
        <f>INDEX(Google[], ROWS(Google[DATE])+ROW(Calc!K12)-40, COLUMN(Calc!K12)-4)</f>
        <v>532</v>
      </c>
      <c r="M12">
        <f>INDEX(Google[], ROWS(Google[DATE])+ROW(Calc!M12)-47, COLUMN(Calc!M12)-12)</f>
        <v>44981</v>
      </c>
      <c r="N12">
        <f>INDEX(Google[], ROWS(Google[DATE])+ROW(Calc!N12)-47, COLUMN(Calc!N12)-7)</f>
        <v>651</v>
      </c>
    </row>
    <row r="13">
      <c r="A13">
        <f>INDEX(ESub[],ROWS(ESub[SUBSCRIBED])-27,1)</f>
        <v>44989</v>
      </c>
      <c r="B13">
        <f>INDEX(ESub[],ROWS(ESub[SUBSCRIBED])-27,2)</f>
        <v>5822</v>
      </c>
      <c r="E13">
        <f>INDEX(Google[], ROWS(Google[DATE])+ROW(Calc!E13)-40, COLUMN(Calc!E13)-4)</f>
        <v>44989</v>
      </c>
      <c r="F13">
        <f>INDEX(Google[], ROWS(Google[DATE])+ROW(Calc!F13)-40, COLUMN(Calc!F13)-4)</f>
        <v>53</v>
      </c>
      <c r="G13">
        <f>INDEX(Google[], ROWS(Google[DATE])+ROW(Calc!G13)-40, COLUMN(Calc!G13)-4)</f>
        <v>46</v>
      </c>
      <c r="H13">
        <f>INDEX(Google[], ROWS(Google[DATE])+ROW(Calc!H13)-40, COLUMN(Calc!H13)-4)</f>
        <v>44</v>
      </c>
      <c r="I13">
        <f>INDEX(Google[], ROWS(Google[DATE])+ROW(Calc!I13)-40, COLUMN(Calc!I13)-4)</f>
        <v>10</v>
      </c>
      <c r="J13">
        <f>INDEX(Google[], ROWS(Google[DATE])+ROW(Calc!J13)-40, COLUMN(Calc!J13)-4)</f>
        <v>88</v>
      </c>
      <c r="K13">
        <f>INDEX(Google[], ROWS(Google[DATE])+ROW(Calc!K13)-40, COLUMN(Calc!K13)-4)</f>
        <v>241</v>
      </c>
      <c r="M13">
        <f>INDEX(Google[], ROWS(Google[DATE])+ROW(Calc!M13)-47, COLUMN(Calc!M13)-12)</f>
        <v>44982</v>
      </c>
      <c r="N13">
        <f>INDEX(Google[], ROWS(Google[DATE])+ROW(Calc!N13)-47, COLUMN(Calc!N13)-7)</f>
        <v>284</v>
      </c>
    </row>
    <row r="14">
      <c r="A14">
        <f>INDEX(ESub[],ROWS(ESub[SUBSCRIBED])-26,1)</f>
        <v>44990</v>
      </c>
      <c r="B14">
        <f>INDEX(ESub[],ROWS(ESub[SUBSCRIBED])-26,2)</f>
        <v>5814</v>
      </c>
      <c r="E14">
        <f>INDEX(Google[], ROWS(Google[DATE])+ROW(Calc!E14)-40, COLUMN(Calc!E14)-4)</f>
        <v>44990</v>
      </c>
      <c r="F14">
        <f>INDEX(Google[], ROWS(Google[DATE])+ROW(Calc!F14)-40, COLUMN(Calc!F14)-4)</f>
        <v>52</v>
      </c>
      <c r="G14">
        <f>INDEX(Google[], ROWS(Google[DATE])+ROW(Calc!G14)-40, COLUMN(Calc!G14)-4)</f>
        <v>24</v>
      </c>
      <c r="H14">
        <f>INDEX(Google[], ROWS(Google[DATE])+ROW(Calc!H14)-40, COLUMN(Calc!H14)-4)</f>
        <v>31</v>
      </c>
      <c r="I14">
        <f>INDEX(Google[], ROWS(Google[DATE])+ROW(Calc!I14)-40, COLUMN(Calc!I14)-4)</f>
        <v>16</v>
      </c>
      <c r="J14">
        <f>INDEX(Google[], ROWS(Google[DATE])+ROW(Calc!J14)-40, COLUMN(Calc!J14)-4)</f>
        <v>98</v>
      </c>
      <c r="K14">
        <f>INDEX(Google[], ROWS(Google[DATE])+ROW(Calc!K14)-40, COLUMN(Calc!K14)-4)</f>
        <v>221</v>
      </c>
      <c r="M14">
        <f>INDEX(Google[], ROWS(Google[DATE])+ROW(Calc!M14)-47, COLUMN(Calc!M14)-12)</f>
        <v>44983</v>
      </c>
      <c r="N14">
        <f>INDEX(Google[], ROWS(Google[DATE])+ROW(Calc!N14)-47, COLUMN(Calc!N14)-7)</f>
        <v>246</v>
      </c>
    </row>
    <row r="15">
      <c r="A15">
        <f>INDEX(ESub[],ROWS(ESub[SUBSCRIBED])-25,1)</f>
        <v>44991</v>
      </c>
      <c r="B15">
        <f>INDEX(ESub[],ROWS(ESub[SUBSCRIBED])-25,2)</f>
        <v>5804</v>
      </c>
      <c r="E15">
        <f>INDEX(Google[], ROWS(Google[DATE])+ROW(Calc!E15)-40, COLUMN(Calc!E15)-4)</f>
        <v>44991</v>
      </c>
      <c r="F15">
        <f>INDEX(Google[], ROWS(Google[DATE])+ROW(Calc!F15)-40, COLUMN(Calc!F15)-4)</f>
        <v>128</v>
      </c>
      <c r="G15">
        <f>INDEX(Google[], ROWS(Google[DATE])+ROW(Calc!G15)-40, COLUMN(Calc!G15)-4)</f>
        <v>104</v>
      </c>
      <c r="H15">
        <f>INDEX(Google[], ROWS(Google[DATE])+ROW(Calc!H15)-40, COLUMN(Calc!H15)-4)</f>
        <v>90</v>
      </c>
      <c r="I15">
        <f>INDEX(Google[], ROWS(Google[DATE])+ROW(Calc!I15)-40, COLUMN(Calc!I15)-4)</f>
        <v>27</v>
      </c>
      <c r="J15">
        <f>INDEX(Google[], ROWS(Google[DATE])+ROW(Calc!J15)-40, COLUMN(Calc!J15)-4)</f>
        <v>206</v>
      </c>
      <c r="K15">
        <f>INDEX(Google[], ROWS(Google[DATE])+ROW(Calc!K15)-40, COLUMN(Calc!K15)-4)</f>
        <v>555</v>
      </c>
      <c r="M15">
        <f>INDEX(Google[], ROWS(Google[DATE])+ROW(Calc!M15)-47, COLUMN(Calc!M15)-12)</f>
        <v>44984</v>
      </c>
      <c r="N15">
        <f>INDEX(Google[], ROWS(Google[DATE])+ROW(Calc!N15)-47, COLUMN(Calc!N15)-7)</f>
        <v>446</v>
      </c>
    </row>
    <row r="16">
      <c r="A16">
        <f>INDEX(ESub[],ROWS(ESub[SUBSCRIBED])-24,1)</f>
        <v>44992</v>
      </c>
      <c r="B16">
        <f>INDEX(ESub[],ROWS(ESub[SUBSCRIBED])-24,2)</f>
        <v>5800</v>
      </c>
      <c r="E16">
        <f>INDEX(Google[], ROWS(Google[DATE])+ROW(Calc!E16)-40, COLUMN(Calc!E16)-4)</f>
        <v>44992</v>
      </c>
      <c r="F16">
        <f>INDEX(Google[], ROWS(Google[DATE])+ROW(Calc!F16)-40, COLUMN(Calc!F16)-4)</f>
        <v>140</v>
      </c>
      <c r="G16">
        <f>INDEX(Google[], ROWS(Google[DATE])+ROW(Calc!G16)-40, COLUMN(Calc!G16)-4)</f>
        <v>101</v>
      </c>
      <c r="H16">
        <f>INDEX(Google[], ROWS(Google[DATE])+ROW(Calc!H16)-40, COLUMN(Calc!H16)-4)</f>
        <v>92</v>
      </c>
      <c r="I16">
        <f>INDEX(Google[], ROWS(Google[DATE])+ROW(Calc!I16)-40, COLUMN(Calc!I16)-4)</f>
        <v>32</v>
      </c>
      <c r="J16">
        <f>INDEX(Google[], ROWS(Google[DATE])+ROW(Calc!J16)-40, COLUMN(Calc!J16)-4)</f>
        <v>113</v>
      </c>
      <c r="K16">
        <f>INDEX(Google[], ROWS(Google[DATE])+ROW(Calc!K16)-40, COLUMN(Calc!K16)-4)</f>
        <v>478</v>
      </c>
      <c r="M16">
        <f>INDEX(Google[], ROWS(Google[DATE])+ROW(Calc!M16)-47, COLUMN(Calc!M16)-12)</f>
        <v>44985</v>
      </c>
      <c r="N16">
        <f>INDEX(Google[], ROWS(Google[DATE])+ROW(Calc!N16)-47, COLUMN(Calc!N16)-7)</f>
        <v>408</v>
      </c>
    </row>
    <row r="17">
      <c r="A17">
        <f>INDEX(ESub[],ROWS(ESub[SUBSCRIBED])-23,1)</f>
        <v>44993</v>
      </c>
      <c r="B17">
        <f>INDEX(ESub[],ROWS(ESub[SUBSCRIBED])-23,2)</f>
        <v>5870</v>
      </c>
      <c r="E17">
        <f>INDEX(Google[], ROWS(Google[DATE])+ROW(Calc!E17)-40, COLUMN(Calc!E17)-4)</f>
        <v>44993</v>
      </c>
      <c r="F17">
        <f>INDEX(Google[], ROWS(Google[DATE])+ROW(Calc!F17)-40, COLUMN(Calc!F17)-4)</f>
        <v>125</v>
      </c>
      <c r="G17">
        <f>INDEX(Google[], ROWS(Google[DATE])+ROW(Calc!G17)-40, COLUMN(Calc!G17)-4)</f>
        <v>117</v>
      </c>
      <c r="H17">
        <f>INDEX(Google[], ROWS(Google[DATE])+ROW(Calc!H17)-40, COLUMN(Calc!H17)-4)</f>
        <v>118</v>
      </c>
      <c r="I17">
        <f>INDEX(Google[], ROWS(Google[DATE])+ROW(Calc!I17)-40, COLUMN(Calc!I17)-4)</f>
        <v>33</v>
      </c>
      <c r="J17">
        <f>INDEX(Google[], ROWS(Google[DATE])+ROW(Calc!J17)-40, COLUMN(Calc!J17)-4)</f>
        <v>108</v>
      </c>
      <c r="K17">
        <f>INDEX(Google[], ROWS(Google[DATE])+ROW(Calc!K17)-40, COLUMN(Calc!K17)-4)</f>
        <v>501</v>
      </c>
      <c r="M17">
        <f>INDEX(Google[], ROWS(Google[DATE])+ROW(Calc!M17)-47, COLUMN(Calc!M17)-12)</f>
        <v>44986</v>
      </c>
      <c r="N17">
        <f>INDEX(Google[], ROWS(Google[DATE])+ROW(Calc!N17)-47, COLUMN(Calc!N17)-7)</f>
        <v>371</v>
      </c>
    </row>
    <row r="18">
      <c r="A18">
        <f>INDEX(ESub[],ROWS(ESub[SUBSCRIBED])-22,1)</f>
        <v>44994</v>
      </c>
      <c r="B18">
        <f>INDEX(ESub[],ROWS(ESub[SUBSCRIBED])-22,2)</f>
        <v>5866</v>
      </c>
      <c r="E18">
        <f>INDEX(Google[], ROWS(Google[DATE])+ROW(Calc!E18)-40, COLUMN(Calc!E18)-4)</f>
        <v>44994</v>
      </c>
      <c r="F18">
        <f>INDEX(Google[], ROWS(Google[DATE])+ROW(Calc!F18)-40, COLUMN(Calc!F18)-4)</f>
        <v>108</v>
      </c>
      <c r="G18">
        <f>INDEX(Google[], ROWS(Google[DATE])+ROW(Calc!G18)-40, COLUMN(Calc!G18)-4)</f>
        <v>103</v>
      </c>
      <c r="H18">
        <f>INDEX(Google[], ROWS(Google[DATE])+ROW(Calc!H18)-40, COLUMN(Calc!H18)-4)</f>
        <v>95</v>
      </c>
      <c r="I18">
        <f>INDEX(Google[], ROWS(Google[DATE])+ROW(Calc!I18)-40, COLUMN(Calc!I18)-4)</f>
        <v>12</v>
      </c>
      <c r="J18">
        <f>INDEX(Google[], ROWS(Google[DATE])+ROW(Calc!J18)-40, COLUMN(Calc!J18)-4)</f>
        <v>87</v>
      </c>
      <c r="K18">
        <f>INDEX(Google[], ROWS(Google[DATE])+ROW(Calc!K18)-40, COLUMN(Calc!K18)-4)</f>
        <v>405</v>
      </c>
    </row>
    <row r="19">
      <c r="A19">
        <f>INDEX(ESub[],ROWS(ESub[SUBSCRIBED])-21,1)</f>
        <v>44995</v>
      </c>
      <c r="B19">
        <f>INDEX(ESub[],ROWS(ESub[SUBSCRIBED])-21,2)</f>
        <v>5860</v>
      </c>
      <c r="E19">
        <f>INDEX(Google[], ROWS(Google[DATE])+ROW(Calc!E19)-40, COLUMN(Calc!E19)-4)</f>
        <v>44995</v>
      </c>
      <c r="F19">
        <f>INDEX(Google[], ROWS(Google[DATE])+ROW(Calc!F19)-40, COLUMN(Calc!F19)-4)</f>
        <v>95</v>
      </c>
      <c r="G19">
        <f>INDEX(Google[], ROWS(Google[DATE])+ROW(Calc!G19)-40, COLUMN(Calc!G19)-4)</f>
        <v>74</v>
      </c>
      <c r="H19">
        <f>INDEX(Google[], ROWS(Google[DATE])+ROW(Calc!H19)-40, COLUMN(Calc!H19)-4)</f>
        <v>77</v>
      </c>
      <c r="I19">
        <f>INDEX(Google[], ROWS(Google[DATE])+ROW(Calc!I19)-40, COLUMN(Calc!I19)-4)</f>
        <v>54</v>
      </c>
      <c r="J19">
        <f>INDEX(Google[], ROWS(Google[DATE])+ROW(Calc!J19)-40, COLUMN(Calc!J19)-4)</f>
        <v>173</v>
      </c>
      <c r="K19">
        <f>INDEX(Google[], ROWS(Google[DATE])+ROW(Calc!K19)-40, COLUMN(Calc!K19)-4)</f>
        <v>473</v>
      </c>
    </row>
    <row r="20">
      <c r="A20">
        <f>INDEX(ESub[],ROWS(ESub[SUBSCRIBED])-20,1)</f>
        <v>44996</v>
      </c>
      <c r="B20">
        <f>INDEX(ESub[],ROWS(ESub[SUBSCRIBED])-20,2)</f>
        <v>5852</v>
      </c>
      <c r="E20">
        <f>INDEX(Google[], ROWS(Google[DATE])+ROW(Calc!E20)-40, COLUMN(Calc!E20)-4)</f>
        <v>44996</v>
      </c>
      <c r="F20">
        <f>INDEX(Google[], ROWS(Google[DATE])+ROW(Calc!F20)-40, COLUMN(Calc!F20)-4)</f>
        <v>54</v>
      </c>
      <c r="G20">
        <f>INDEX(Google[], ROWS(Google[DATE])+ROW(Calc!G20)-40, COLUMN(Calc!G20)-4)</f>
        <v>52</v>
      </c>
      <c r="H20">
        <f>INDEX(Google[], ROWS(Google[DATE])+ROW(Calc!H20)-40, COLUMN(Calc!H20)-4)</f>
        <v>47</v>
      </c>
      <c r="I20">
        <f>INDEX(Google[], ROWS(Google[DATE])+ROW(Calc!I20)-40, COLUMN(Calc!I20)-4)</f>
        <v>18</v>
      </c>
      <c r="J20">
        <f>INDEX(Google[], ROWS(Google[DATE])+ROW(Calc!J20)-40, COLUMN(Calc!J20)-4)</f>
        <v>93</v>
      </c>
      <c r="K20">
        <f>INDEX(Google[], ROWS(Google[DATE])+ROW(Calc!K20)-40, COLUMN(Calc!K20)-4)</f>
        <v>264</v>
      </c>
    </row>
    <row r="21">
      <c r="A21">
        <f>INDEX(ESub[],ROWS(ESub[SUBSCRIBED])-19,1)</f>
        <v>44997</v>
      </c>
      <c r="B21">
        <f>INDEX(ESub[],ROWS(ESub[SUBSCRIBED])-19,2)</f>
        <v>5844</v>
      </c>
      <c r="E21">
        <f>INDEX(Google[], ROWS(Google[DATE])+ROW(Calc!E21)-40, COLUMN(Calc!E21)-4)</f>
        <v>44997</v>
      </c>
      <c r="F21">
        <f>INDEX(Google[], ROWS(Google[DATE])+ROW(Calc!F21)-40, COLUMN(Calc!F21)-4)</f>
        <v>43</v>
      </c>
      <c r="G21">
        <f>INDEX(Google[], ROWS(Google[DATE])+ROW(Calc!G21)-40, COLUMN(Calc!G21)-4)</f>
        <v>45</v>
      </c>
      <c r="H21">
        <f>INDEX(Google[], ROWS(Google[DATE])+ROW(Calc!H21)-40, COLUMN(Calc!H21)-4)</f>
        <v>51</v>
      </c>
      <c r="I21">
        <f>INDEX(Google[], ROWS(Google[DATE])+ROW(Calc!I21)-40, COLUMN(Calc!I21)-4)</f>
        <v>17</v>
      </c>
      <c r="J21">
        <f>INDEX(Google[], ROWS(Google[DATE])+ROW(Calc!J21)-40, COLUMN(Calc!J21)-4)</f>
        <v>60</v>
      </c>
      <c r="K21">
        <f>INDEX(Google[], ROWS(Google[DATE])+ROW(Calc!K21)-40, COLUMN(Calc!K21)-4)</f>
        <v>216</v>
      </c>
    </row>
    <row r="22">
      <c r="A22">
        <f>INDEX(ESub[],ROWS(ESub[SUBSCRIBED])-18,1)</f>
        <v>44998</v>
      </c>
      <c r="B22">
        <f>INDEX(ESub[],ROWS(ESub[SUBSCRIBED])-18,2)</f>
        <v>5840</v>
      </c>
      <c r="E22">
        <f>INDEX(Google[], ROWS(Google[DATE])+ROW(Calc!E22)-40, COLUMN(Calc!E22)-4)</f>
        <v>44998</v>
      </c>
      <c r="F22">
        <f>INDEX(Google[], ROWS(Google[DATE])+ROW(Calc!F22)-40, COLUMN(Calc!F22)-4)</f>
        <v>128</v>
      </c>
      <c r="G22">
        <f>INDEX(Google[], ROWS(Google[DATE])+ROW(Calc!G22)-40, COLUMN(Calc!G22)-4)</f>
        <v>116</v>
      </c>
      <c r="H22">
        <f>INDEX(Google[], ROWS(Google[DATE])+ROW(Calc!H22)-40, COLUMN(Calc!H22)-4)</f>
        <v>100</v>
      </c>
      <c r="I22">
        <f>INDEX(Google[], ROWS(Google[DATE])+ROW(Calc!I22)-40, COLUMN(Calc!I22)-4)</f>
        <v>11</v>
      </c>
      <c r="J22">
        <f>INDEX(Google[], ROWS(Google[DATE])+ROW(Calc!J22)-40, COLUMN(Calc!J22)-4)</f>
        <v>98</v>
      </c>
      <c r="K22">
        <f>INDEX(Google[], ROWS(Google[DATE])+ROW(Calc!K22)-40, COLUMN(Calc!K22)-4)</f>
        <v>453</v>
      </c>
    </row>
    <row r="23">
      <c r="A23">
        <f>INDEX(ESub[],ROWS(ESub[SUBSCRIBED])-17,1)</f>
        <v>44999</v>
      </c>
      <c r="B23">
        <f>INDEX(ESub[],ROWS(ESub[SUBSCRIBED])-17,2)</f>
        <v>6020</v>
      </c>
      <c r="E23">
        <f>INDEX(Google[], ROWS(Google[DATE])+ROW(Calc!E23)-40, COLUMN(Calc!E23)-4)</f>
        <v>44999</v>
      </c>
      <c r="F23">
        <f>INDEX(Google[], ROWS(Google[DATE])+ROW(Calc!F23)-40, COLUMN(Calc!F23)-4)</f>
        <v>102</v>
      </c>
      <c r="G23">
        <f>INDEX(Google[], ROWS(Google[DATE])+ROW(Calc!G23)-40, COLUMN(Calc!G23)-4)</f>
        <v>88</v>
      </c>
      <c r="H23">
        <f>INDEX(Google[], ROWS(Google[DATE])+ROW(Calc!H23)-40, COLUMN(Calc!H23)-4)</f>
        <v>85</v>
      </c>
      <c r="I23">
        <f>INDEX(Google[], ROWS(Google[DATE])+ROW(Calc!I23)-40, COLUMN(Calc!I23)-4)</f>
        <v>18</v>
      </c>
      <c r="J23">
        <f>INDEX(Google[], ROWS(Google[DATE])+ROW(Calc!J23)-40, COLUMN(Calc!J23)-4)</f>
        <v>207</v>
      </c>
      <c r="K23">
        <f>INDEX(Google[], ROWS(Google[DATE])+ROW(Calc!K23)-40, COLUMN(Calc!K23)-4)</f>
        <v>500</v>
      </c>
    </row>
    <row r="24">
      <c r="A24">
        <f>INDEX(ESub[],ROWS(ESub[SUBSCRIBED])-16,1)</f>
        <v>45000</v>
      </c>
      <c r="B24">
        <f>INDEX(ESub[],ROWS(ESub[SUBSCRIBED])-16,2)</f>
        <v>6045</v>
      </c>
      <c r="E24">
        <f>INDEX(Google[], ROWS(Google[DATE])+ROW(Calc!E24)-40, COLUMN(Calc!E24)-4)</f>
        <v>45000</v>
      </c>
      <c r="F24">
        <f>INDEX(Google[], ROWS(Google[DATE])+ROW(Calc!F24)-40, COLUMN(Calc!F24)-4)</f>
        <v>95</v>
      </c>
      <c r="G24">
        <f>INDEX(Google[], ROWS(Google[DATE])+ROW(Calc!G24)-40, COLUMN(Calc!G24)-4)</f>
        <v>74</v>
      </c>
      <c r="H24">
        <f>INDEX(Google[], ROWS(Google[DATE])+ROW(Calc!H24)-40, COLUMN(Calc!H24)-4)</f>
        <v>61</v>
      </c>
      <c r="I24">
        <f>INDEX(Google[], ROWS(Google[DATE])+ROW(Calc!I24)-40, COLUMN(Calc!I24)-4)</f>
        <v>27</v>
      </c>
      <c r="J24">
        <f>INDEX(Google[], ROWS(Google[DATE])+ROW(Calc!J24)-40, COLUMN(Calc!J24)-4)</f>
        <v>179</v>
      </c>
      <c r="K24">
        <f>INDEX(Google[], ROWS(Google[DATE])+ROW(Calc!K24)-40, COLUMN(Calc!K24)-4)</f>
        <v>436</v>
      </c>
    </row>
    <row r="25">
      <c r="A25">
        <f>INDEX(ESub[],ROWS(ESub[SUBSCRIBED])-15,1)</f>
        <v>45001</v>
      </c>
      <c r="B25">
        <f>INDEX(ESub[],ROWS(ESub[SUBSCRIBED])-15,2)</f>
        <v>6040</v>
      </c>
      <c r="E25">
        <f>INDEX(Google[], ROWS(Google[DATE])+ROW(Calc!E25)-40, COLUMN(Calc!E25)-4)</f>
        <v>45001</v>
      </c>
      <c r="F25">
        <f>INDEX(Google[], ROWS(Google[DATE])+ROW(Calc!F25)-40, COLUMN(Calc!F25)-4)</f>
        <v>137</v>
      </c>
      <c r="G25">
        <f>INDEX(Google[], ROWS(Google[DATE])+ROW(Calc!G25)-40, COLUMN(Calc!G25)-4)</f>
        <v>135</v>
      </c>
      <c r="H25">
        <f>INDEX(Google[], ROWS(Google[DATE])+ROW(Calc!H25)-40, COLUMN(Calc!H25)-4)</f>
        <v>121</v>
      </c>
      <c r="I25">
        <f>INDEX(Google[], ROWS(Google[DATE])+ROW(Calc!I25)-40, COLUMN(Calc!I25)-4)</f>
        <v>56</v>
      </c>
      <c r="J25">
        <f>INDEX(Google[], ROWS(Google[DATE])+ROW(Calc!J25)-40, COLUMN(Calc!J25)-4)</f>
        <v>96</v>
      </c>
      <c r="K25">
        <f>INDEX(Google[], ROWS(Google[DATE])+ROW(Calc!K25)-40, COLUMN(Calc!K25)-4)</f>
        <v>545</v>
      </c>
    </row>
    <row r="26">
      <c r="A26">
        <f>INDEX(ESub[],ROWS(ESub[SUBSCRIBED])-14,1)</f>
        <v>45002</v>
      </c>
      <c r="B26">
        <f>INDEX(ESub[],ROWS(ESub[SUBSCRIBED])-14,2)</f>
        <v>6318</v>
      </c>
      <c r="E26">
        <f>INDEX(Google[], ROWS(Google[DATE])+ROW(Calc!E26)-40, COLUMN(Calc!E26)-4)</f>
        <v>45002</v>
      </c>
      <c r="F26">
        <f>INDEX(Google[], ROWS(Google[DATE])+ROW(Calc!F26)-40, COLUMN(Calc!F26)-4)</f>
        <v>133</v>
      </c>
      <c r="G26">
        <f>INDEX(Google[], ROWS(Google[DATE])+ROW(Calc!G26)-40, COLUMN(Calc!G26)-4)</f>
        <v>89</v>
      </c>
      <c r="H26">
        <f>INDEX(Google[], ROWS(Google[DATE])+ROW(Calc!H26)-40, COLUMN(Calc!H26)-4)</f>
        <v>80</v>
      </c>
      <c r="I26">
        <f>INDEX(Google[], ROWS(Google[DATE])+ROW(Calc!I26)-40, COLUMN(Calc!I26)-4)</f>
        <v>24</v>
      </c>
      <c r="J26">
        <f>INDEX(Google[], ROWS(Google[DATE])+ROW(Calc!J26)-40, COLUMN(Calc!J26)-4)</f>
        <v>159</v>
      </c>
      <c r="K26">
        <f>INDEX(Google[], ROWS(Google[DATE])+ROW(Calc!K26)-40, COLUMN(Calc!K26)-4)</f>
        <v>485</v>
      </c>
    </row>
    <row r="27">
      <c r="A27">
        <f>INDEX(ESub[],ROWS(ESub[SUBSCRIBED])-13,1)</f>
        <v>45003</v>
      </c>
      <c r="B27">
        <f>INDEX(ESub[],ROWS(ESub[SUBSCRIBED])-13,2)</f>
        <v>6302</v>
      </c>
      <c r="E27">
        <f>INDEX(Google[], ROWS(Google[DATE])+ROW(Calc!E27)-40, COLUMN(Calc!E27)-4)</f>
        <v>45003</v>
      </c>
      <c r="F27">
        <f>INDEX(Google[], ROWS(Google[DATE])+ROW(Calc!F27)-40, COLUMN(Calc!F27)-4)</f>
        <v>63</v>
      </c>
      <c r="G27">
        <f>INDEX(Google[], ROWS(Google[DATE])+ROW(Calc!G27)-40, COLUMN(Calc!G27)-4)</f>
        <v>61</v>
      </c>
      <c r="H27">
        <f>INDEX(Google[], ROWS(Google[DATE])+ROW(Calc!H27)-40, COLUMN(Calc!H27)-4)</f>
        <v>70</v>
      </c>
      <c r="I27">
        <f>INDEX(Google[], ROWS(Google[DATE])+ROW(Calc!I27)-40, COLUMN(Calc!I27)-4)</f>
        <v>33</v>
      </c>
      <c r="J27">
        <f>INDEX(Google[], ROWS(Google[DATE])+ROW(Calc!J27)-40, COLUMN(Calc!J27)-4)</f>
        <v>67</v>
      </c>
      <c r="K27">
        <f>INDEX(Google[], ROWS(Google[DATE])+ROW(Calc!K27)-40, COLUMN(Calc!K27)-4)</f>
        <v>294</v>
      </c>
    </row>
    <row r="28">
      <c r="A28">
        <f>INDEX(ESub[],ROWS(ESub[SUBSCRIBED])-12,1)</f>
        <v>45004</v>
      </c>
      <c r="B28">
        <f>INDEX(ESub[],ROWS(ESub[SUBSCRIBED])-12,2)</f>
        <v>6288</v>
      </c>
      <c r="E28">
        <f>INDEX(Google[], ROWS(Google[DATE])+ROW(Calc!E28)-40, COLUMN(Calc!E28)-4)</f>
        <v>45004</v>
      </c>
      <c r="F28">
        <f>INDEX(Google[], ROWS(Google[DATE])+ROW(Calc!F28)-40, COLUMN(Calc!F28)-4)</f>
        <v>52</v>
      </c>
      <c r="G28">
        <f>INDEX(Google[], ROWS(Google[DATE])+ROW(Calc!G28)-40, COLUMN(Calc!G28)-4)</f>
        <v>54</v>
      </c>
      <c r="H28">
        <f>INDEX(Google[], ROWS(Google[DATE])+ROW(Calc!H28)-40, COLUMN(Calc!H28)-4)</f>
        <v>46</v>
      </c>
      <c r="I28">
        <f>INDEX(Google[], ROWS(Google[DATE])+ROW(Calc!I28)-40, COLUMN(Calc!I28)-4)</f>
        <v>24</v>
      </c>
      <c r="J28">
        <f>INDEX(Google[], ROWS(Google[DATE])+ROW(Calc!J28)-40, COLUMN(Calc!J28)-4)</f>
        <v>70</v>
      </c>
      <c r="K28">
        <f>INDEX(Google[], ROWS(Google[DATE])+ROW(Calc!K28)-40, COLUMN(Calc!K28)-4)</f>
        <v>246</v>
      </c>
    </row>
    <row r="29">
      <c r="A29">
        <f>INDEX(ESub[],ROWS(ESub[SUBSCRIBED])-11,1)</f>
        <v>45005</v>
      </c>
      <c r="B29">
        <f>INDEX(ESub[],ROWS(ESub[SUBSCRIBED])-11,2)</f>
        <v>6264</v>
      </c>
      <c r="E29">
        <f>INDEX(Google[], ROWS(Google[DATE])+ROW(Calc!E29)-40, COLUMN(Calc!E29)-4)</f>
        <v>45005</v>
      </c>
      <c r="F29">
        <f>INDEX(Google[], ROWS(Google[DATE])+ROW(Calc!F29)-40, COLUMN(Calc!F29)-4)</f>
        <v>88</v>
      </c>
      <c r="G29">
        <f>INDEX(Google[], ROWS(Google[DATE])+ROW(Calc!G29)-40, COLUMN(Calc!G29)-4)</f>
        <v>46</v>
      </c>
      <c r="H29">
        <f>INDEX(Google[], ROWS(Google[DATE])+ROW(Calc!H29)-40, COLUMN(Calc!H29)-4)</f>
        <v>44</v>
      </c>
      <c r="I29">
        <f>INDEX(Google[], ROWS(Google[DATE])+ROW(Calc!I29)-40, COLUMN(Calc!I29)-4)</f>
        <v>29</v>
      </c>
      <c r="J29">
        <f>INDEX(Google[], ROWS(Google[DATE])+ROW(Calc!J29)-40, COLUMN(Calc!J29)-4)</f>
        <v>85</v>
      </c>
      <c r="K29">
        <f>INDEX(Google[], ROWS(Google[DATE])+ROW(Calc!K29)-40, COLUMN(Calc!K29)-4)</f>
        <v>292</v>
      </c>
    </row>
    <row r="30">
      <c r="A30">
        <f>INDEX(ESub[],ROWS(ESub[SUBSCRIBED])-10,1)</f>
        <v>45006</v>
      </c>
      <c r="B30">
        <f>INDEX(ESub[],ROWS(ESub[SUBSCRIBED])-10,2)</f>
        <v>6250</v>
      </c>
      <c r="E30">
        <f>INDEX(Google[], ROWS(Google[DATE])+ROW(Calc!E30)-40, COLUMN(Calc!E30)-4)</f>
        <v>45006</v>
      </c>
      <c r="F30">
        <f>INDEX(Google[], ROWS(Google[DATE])+ROW(Calc!F30)-40, COLUMN(Calc!F30)-4)</f>
        <v>86</v>
      </c>
      <c r="G30">
        <f>INDEX(Google[], ROWS(Google[DATE])+ROW(Calc!G30)-40, COLUMN(Calc!G30)-4)</f>
        <v>96</v>
      </c>
      <c r="H30">
        <f>INDEX(Google[], ROWS(Google[DATE])+ROW(Calc!H30)-40, COLUMN(Calc!H30)-4)</f>
        <v>83</v>
      </c>
      <c r="I30">
        <f>INDEX(Google[], ROWS(Google[DATE])+ROW(Calc!I30)-40, COLUMN(Calc!I30)-4)</f>
        <v>19</v>
      </c>
      <c r="J30">
        <f>INDEX(Google[], ROWS(Google[DATE])+ROW(Calc!J30)-40, COLUMN(Calc!J30)-4)</f>
        <v>175</v>
      </c>
      <c r="K30">
        <f>INDEX(Google[], ROWS(Google[DATE])+ROW(Calc!K30)-40, COLUMN(Calc!K30)-4)</f>
        <v>459</v>
      </c>
    </row>
    <row r="31">
      <c r="A31">
        <f>INDEX(ESub[],ROWS(ESub[SUBSCRIBED])-9,1)</f>
        <v>45007</v>
      </c>
      <c r="B31">
        <f>INDEX(ESub[],ROWS(ESub[SUBSCRIBED])-9,2)</f>
        <v>6260</v>
      </c>
      <c r="E31">
        <f>INDEX(Google[], ROWS(Google[DATE])+ROW(Calc!E31)-40, COLUMN(Calc!E31)-4)</f>
        <v>45007</v>
      </c>
      <c r="F31">
        <f>INDEX(Google[], ROWS(Google[DATE])+ROW(Calc!F31)-40, COLUMN(Calc!F31)-4)</f>
        <v>100</v>
      </c>
      <c r="G31">
        <f>INDEX(Google[], ROWS(Google[DATE])+ROW(Calc!G31)-40, COLUMN(Calc!G31)-4)</f>
        <v>74</v>
      </c>
      <c r="H31">
        <f>INDEX(Google[], ROWS(Google[DATE])+ROW(Calc!H31)-40, COLUMN(Calc!H31)-4)</f>
        <v>62</v>
      </c>
      <c r="I31">
        <f>INDEX(Google[], ROWS(Google[DATE])+ROW(Calc!I31)-40, COLUMN(Calc!I31)-4)</f>
        <v>46</v>
      </c>
      <c r="J31">
        <f>INDEX(Google[], ROWS(Google[DATE])+ROW(Calc!J31)-40, COLUMN(Calc!J31)-4)</f>
        <v>205</v>
      </c>
      <c r="K31">
        <f>INDEX(Google[], ROWS(Google[DATE])+ROW(Calc!K31)-40, COLUMN(Calc!K31)-4)</f>
        <v>487</v>
      </c>
    </row>
    <row r="32">
      <c r="A32">
        <f>INDEX(ESub[],ROWS(ESub[SUBSCRIBED])-8,1)</f>
        <v>45008</v>
      </c>
      <c r="B32">
        <f>INDEX(ESub[],ROWS(ESub[SUBSCRIBED])-8,2)</f>
        <v>6522</v>
      </c>
      <c r="E32">
        <f>INDEX(Google[], ROWS(Google[DATE])+ROW(Calc!E32)-40, COLUMN(Calc!E32)-4)</f>
        <v>45008</v>
      </c>
      <c r="F32">
        <f>INDEX(Google[], ROWS(Google[DATE])+ROW(Calc!F32)-40, COLUMN(Calc!F32)-4)</f>
        <v>85</v>
      </c>
      <c r="G32">
        <f>INDEX(Google[], ROWS(Google[DATE])+ROW(Calc!G32)-40, COLUMN(Calc!G32)-4)</f>
        <v>47</v>
      </c>
      <c r="H32">
        <f>INDEX(Google[], ROWS(Google[DATE])+ROW(Calc!H32)-40, COLUMN(Calc!H32)-4)</f>
        <v>45</v>
      </c>
      <c r="I32">
        <f>INDEX(Google[], ROWS(Google[DATE])+ROW(Calc!I32)-40, COLUMN(Calc!I32)-4)</f>
        <v>35</v>
      </c>
      <c r="J32">
        <f>INDEX(Google[], ROWS(Google[DATE])+ROW(Calc!J32)-40, COLUMN(Calc!J32)-4)</f>
        <v>135</v>
      </c>
      <c r="K32">
        <f>INDEX(Google[], ROWS(Google[DATE])+ROW(Calc!K32)-40, COLUMN(Calc!K32)-4)</f>
        <v>347</v>
      </c>
    </row>
    <row r="33">
      <c r="A33">
        <f>INDEX(ESub[],ROWS(ESub[SUBSCRIBED])-7,1)</f>
        <v>45009</v>
      </c>
      <c r="B33">
        <f>INDEX(ESub[],ROWS(ESub[SUBSCRIBED])-7,2)</f>
        <v>6510</v>
      </c>
      <c r="E33">
        <f>INDEX(Google[], ROWS(Google[DATE])+ROW(Calc!E33)-40, COLUMN(Calc!E33)-4)</f>
        <v>45009</v>
      </c>
      <c r="F33">
        <f>INDEX(Google[], ROWS(Google[DATE])+ROW(Calc!F33)-40, COLUMN(Calc!F33)-4)</f>
        <v>96</v>
      </c>
      <c r="G33">
        <f>INDEX(Google[], ROWS(Google[DATE])+ROW(Calc!G33)-40, COLUMN(Calc!G33)-4)</f>
        <v>69</v>
      </c>
      <c r="H33">
        <f>INDEX(Google[], ROWS(Google[DATE])+ROW(Calc!H33)-40, COLUMN(Calc!H33)-4)</f>
        <v>57</v>
      </c>
      <c r="I33">
        <f>INDEX(Google[], ROWS(Google[DATE])+ROW(Calc!I33)-40, COLUMN(Calc!I33)-4)</f>
        <v>39</v>
      </c>
      <c r="J33">
        <f>INDEX(Google[], ROWS(Google[DATE])+ROW(Calc!J33)-40, COLUMN(Calc!J33)-4)</f>
        <v>174</v>
      </c>
      <c r="K33">
        <f>INDEX(Google[], ROWS(Google[DATE])+ROW(Calc!K33)-40, COLUMN(Calc!K33)-4)</f>
        <v>435</v>
      </c>
    </row>
    <row r="34">
      <c r="A34">
        <f>INDEX(ESub[],ROWS(ESub[SUBSCRIBED])-6,1)</f>
        <v>45010</v>
      </c>
      <c r="B34">
        <f>INDEX(ESub[],ROWS(ESub[SUBSCRIBED])-6,2)</f>
        <v>6623</v>
      </c>
      <c r="E34">
        <f>INDEX(Google[], ROWS(Google[DATE])+ROW(Calc!E34)-40, COLUMN(Calc!E34)-4)</f>
        <v>45010</v>
      </c>
      <c r="F34">
        <f>INDEX(Google[], ROWS(Google[DATE])+ROW(Calc!F34)-40, COLUMN(Calc!F34)-4)</f>
        <v>62</v>
      </c>
      <c r="G34">
        <f>INDEX(Google[], ROWS(Google[DATE])+ROW(Calc!G34)-40, COLUMN(Calc!G34)-4)</f>
        <v>61</v>
      </c>
      <c r="H34">
        <f>INDEX(Google[], ROWS(Google[DATE])+ROW(Calc!H34)-40, COLUMN(Calc!H34)-4)</f>
        <v>53</v>
      </c>
      <c r="I34">
        <f>INDEX(Google[], ROWS(Google[DATE])+ROW(Calc!I34)-40, COLUMN(Calc!I34)-4)</f>
        <v>33</v>
      </c>
      <c r="J34">
        <f>INDEX(Google[], ROWS(Google[DATE])+ROW(Calc!J34)-40, COLUMN(Calc!J34)-4)</f>
        <v>67</v>
      </c>
      <c r="K34">
        <f>INDEX(Google[], ROWS(Google[DATE])+ROW(Calc!K34)-40, COLUMN(Calc!K34)-4)</f>
        <v>276</v>
      </c>
    </row>
    <row r="35">
      <c r="A35">
        <f>INDEX(ESub[],ROWS(ESub[SUBSCRIBED])-5,1)</f>
        <v>45011</v>
      </c>
      <c r="B35">
        <f>INDEX(ESub[],ROWS(ESub[SUBSCRIBED])-5,2)</f>
        <v>6601</v>
      </c>
      <c r="E35">
        <f>INDEX(Google[], ROWS(Google[DATE])+ROW(Calc!E35)-40, COLUMN(Calc!E35)-4)</f>
        <v>45011</v>
      </c>
      <c r="F35">
        <f>INDEX(Google[], ROWS(Google[DATE])+ROW(Calc!F35)-40, COLUMN(Calc!F35)-4)</f>
        <v>58</v>
      </c>
      <c r="G35">
        <f>INDEX(Google[], ROWS(Google[DATE])+ROW(Calc!G35)-40, COLUMN(Calc!G35)-4)</f>
        <v>54</v>
      </c>
      <c r="H35">
        <f>INDEX(Google[], ROWS(Google[DATE])+ROW(Calc!H35)-40, COLUMN(Calc!H35)-4)</f>
        <v>46</v>
      </c>
      <c r="I35">
        <f>INDEX(Google[], ROWS(Google[DATE])+ROW(Calc!I35)-40, COLUMN(Calc!I35)-4)</f>
        <v>28</v>
      </c>
      <c r="J35">
        <f>INDEX(Google[], ROWS(Google[DATE])+ROW(Calc!J35)-40, COLUMN(Calc!J35)-4)</f>
        <v>70</v>
      </c>
      <c r="K35">
        <f>INDEX(Google[], ROWS(Google[DATE])+ROW(Calc!K35)-40, COLUMN(Calc!K35)-4)</f>
        <v>256</v>
      </c>
    </row>
    <row r="36">
      <c r="A36">
        <f>INDEX(ESub[],ROWS(ESub[SUBSCRIBED])-4,1)</f>
        <v>45012</v>
      </c>
      <c r="B36">
        <f>INDEX(ESub[],ROWS(ESub[SUBSCRIBED])-4,2)</f>
        <v>6575</v>
      </c>
      <c r="E36">
        <f>INDEX(Google[], ROWS(Google[DATE])+ROW(Calc!E36)-40, COLUMN(Calc!E36)-4)</f>
        <v>45012</v>
      </c>
      <c r="F36">
        <f>INDEX(Google[], ROWS(Google[DATE])+ROW(Calc!F36)-40, COLUMN(Calc!F36)-4)</f>
        <v>89</v>
      </c>
      <c r="G36">
        <f>INDEX(Google[], ROWS(Google[DATE])+ROW(Calc!G36)-40, COLUMN(Calc!G36)-4)</f>
        <v>87</v>
      </c>
      <c r="H36">
        <f>INDEX(Google[], ROWS(Google[DATE])+ROW(Calc!H36)-40, COLUMN(Calc!H36)-4)</f>
        <v>82</v>
      </c>
      <c r="I36">
        <f>INDEX(Google[], ROWS(Google[DATE])+ROW(Calc!I36)-40, COLUMN(Calc!I36)-4)</f>
        <v>26</v>
      </c>
      <c r="J36">
        <f>INDEX(Google[], ROWS(Google[DATE])+ROW(Calc!J36)-40, COLUMN(Calc!J36)-4)</f>
        <v>124</v>
      </c>
      <c r="K36">
        <f>INDEX(Google[], ROWS(Google[DATE])+ROW(Calc!K36)-40, COLUMN(Calc!K36)-4)</f>
        <v>408</v>
      </c>
    </row>
    <row r="37">
      <c r="A37">
        <f>INDEX(ESub[],ROWS(ESub[SUBSCRIBED])-3,1)</f>
        <v>45013</v>
      </c>
      <c r="B37">
        <f>INDEX(ESub[],ROWS(ESub[SUBSCRIBED])-3,2)</f>
        <v>6550</v>
      </c>
      <c r="E37">
        <f>INDEX(Google[], ROWS(Google[DATE])+ROW(Calc!E37)-40, COLUMN(Calc!E37)-4)</f>
        <v>45013</v>
      </c>
      <c r="F37">
        <f>INDEX(Google[], ROWS(Google[DATE])+ROW(Calc!F37)-40, COLUMN(Calc!F37)-4)</f>
        <v>122</v>
      </c>
      <c r="G37">
        <f>INDEX(Google[], ROWS(Google[DATE])+ROW(Calc!G37)-40, COLUMN(Calc!G37)-4)</f>
        <v>103</v>
      </c>
      <c r="H37">
        <f>INDEX(Google[], ROWS(Google[DATE])+ROW(Calc!H37)-40, COLUMN(Calc!H37)-4)</f>
        <v>88</v>
      </c>
      <c r="I37">
        <f>INDEX(Google[], ROWS(Google[DATE])+ROW(Calc!I37)-40, COLUMN(Calc!I37)-4)</f>
        <v>47</v>
      </c>
      <c r="J37">
        <f>INDEX(Google[], ROWS(Google[DATE])+ROW(Calc!J37)-40, COLUMN(Calc!J37)-4)</f>
        <v>178</v>
      </c>
      <c r="K37">
        <f>INDEX(Google[], ROWS(Google[DATE])+ROW(Calc!K37)-40, COLUMN(Calc!K37)-4)</f>
        <v>538</v>
      </c>
    </row>
    <row r="38">
      <c r="A38">
        <f>INDEX(ESub[],ROWS(ESub[SUBSCRIBED])-2,1)</f>
        <v>45014</v>
      </c>
      <c r="B38">
        <f>INDEX(ESub[],ROWS(ESub[SUBSCRIBED])-2,2)</f>
        <v>6548</v>
      </c>
      <c r="E38">
        <f>INDEX(Google[], ROWS(Google[DATE])+ROW(Calc!E38)-40, COLUMN(Calc!E38)-4)</f>
        <v>45014</v>
      </c>
      <c r="F38">
        <f>INDEX(Google[], ROWS(Google[DATE])+ROW(Calc!F38)-40, COLUMN(Calc!F38)-4)</f>
        <v>133</v>
      </c>
      <c r="G38">
        <f>INDEX(Google[], ROWS(Google[DATE])+ROW(Calc!G38)-40, COLUMN(Calc!G38)-4)</f>
        <v>108</v>
      </c>
      <c r="H38">
        <f>INDEX(Google[], ROWS(Google[DATE])+ROW(Calc!H38)-40, COLUMN(Calc!H38)-4)</f>
        <v>100</v>
      </c>
      <c r="I38">
        <f>INDEX(Google[], ROWS(Google[DATE])+ROW(Calc!I38)-40, COLUMN(Calc!I38)-4)</f>
        <v>46</v>
      </c>
      <c r="J38">
        <f>INDEX(Google[], ROWS(Google[DATE])+ROW(Calc!J38)-40, COLUMN(Calc!J38)-4)</f>
        <v>141</v>
      </c>
      <c r="K38">
        <f>INDEX(Google[], ROWS(Google[DATE])+ROW(Calc!K38)-40, COLUMN(Calc!K38)-4)</f>
        <v>528</v>
      </c>
    </row>
    <row r="39">
      <c r="A39">
        <f>INDEX(ESub[],ROWS(ESub[SUBSCRIBED])-1,1)</f>
        <v>45015</v>
      </c>
      <c r="B39">
        <f>INDEX(ESub[],ROWS(ESub[SUBSCRIBED])-1,2)</f>
        <v>6540</v>
      </c>
      <c r="E39">
        <f>INDEX(Google[], ROWS(Google[DATE])+ROW(Calc!E39)-40, COLUMN(Calc!E39)-4)</f>
        <v>45015</v>
      </c>
      <c r="F39">
        <f>INDEX(Google[], ROWS(Google[DATE])+ROW(Calc!F39)-40, COLUMN(Calc!F39)-4)</f>
        <v>126</v>
      </c>
      <c r="G39">
        <f>INDEX(Google[], ROWS(Google[DATE])+ROW(Calc!G39)-40, COLUMN(Calc!G39)-4)</f>
        <v>123</v>
      </c>
      <c r="H39">
        <f>INDEX(Google[], ROWS(Google[DATE])+ROW(Calc!H39)-40, COLUMN(Calc!H39)-4)</f>
        <v>118</v>
      </c>
      <c r="I39">
        <f>INDEX(Google[], ROWS(Google[DATE])+ROW(Calc!I39)-40, COLUMN(Calc!I39)-4)</f>
        <v>12</v>
      </c>
      <c r="J39">
        <f>INDEX(Google[], ROWS(Google[DATE])+ROW(Calc!J39)-40, COLUMN(Calc!J39)-4)</f>
        <v>181</v>
      </c>
      <c r="K39">
        <f>INDEX(Google[], ROWS(Google[DATE])+ROW(Calc!K39)-40, COLUMN(Calc!K39)-4)</f>
        <v>560</v>
      </c>
    </row>
    <row r="40">
      <c r="A40">
        <f>INDEX(ESub[],ROWS(ESub[SUBSCRIBED]),1)</f>
        <v>45016</v>
      </c>
      <c r="B40">
        <f>INDEX(ESub[],ROWS(ESub[SUBSCRIBED]),2)</f>
        <v>6537</v>
      </c>
      <c r="E40">
        <f>INDEX(Google[], ROWS(Google[DATE])+ROW(Calc!E40)-40, COLUMN(Calc!E40)-4)</f>
        <v>45016</v>
      </c>
      <c r="F40">
        <f>INDEX(Google[], ROWS(Google[DATE])+ROW(Calc!F40)-40, COLUMN(Calc!F40)-4)</f>
        <v>115</v>
      </c>
      <c r="G40">
        <f>INDEX(Google[], ROWS(Google[DATE])+ROW(Calc!G40)-40, COLUMN(Calc!G40)-4)</f>
        <v>70</v>
      </c>
      <c r="H40">
        <f>INDEX(Google[], ROWS(Google[DATE])+ROW(Calc!H40)-40, COLUMN(Calc!H40)-4)</f>
        <v>73</v>
      </c>
      <c r="I40">
        <f>INDEX(Google[], ROWS(Google[DATE])+ROW(Calc!I40)-40, COLUMN(Calc!I40)-4)</f>
        <v>20</v>
      </c>
      <c r="J40">
        <f>INDEX(Google[], ROWS(Google[DATE])+ROW(Calc!J40)-40, COLUMN(Calc!J40)-4)</f>
        <v>73</v>
      </c>
      <c r="K40">
        <f>INDEX(Google[], ROWS(Google[DATE])+ROW(Calc!K40)-40, COLUMN(Calc!K40)-4)</f>
        <v>351</v>
      </c>
    </row>
    <row r="41">
      <c r="F41">
        <f>SUM(F11:F40)</f>
        <v>2848</v>
      </c>
      <c r="G41">
        <f>SUM(G11:G40)</f>
        <v>2396</v>
      </c>
      <c r="H41">
        <f>SUM(H11:H40)</f>
        <v>2220</v>
      </c>
      <c r="I41">
        <f>SUM(I11:I40)</f>
        <v>872</v>
      </c>
      <c r="J41">
        <f>SUM(J11:J40)</f>
        <v>3822</v>
      </c>
      <c r="K41">
        <f>SUM(K11:K40)</f>
        <v>12158</v>
      </c>
    </row>
  </sheetData>
  <mergeCells count="1">
    <mergeCell ref="M10:N10"/>
  </mergeCells>
  <pageMargins left="0.7" right="0.7" top="0.75" bottom="0.75" header="0.3" footer="0.3"/>
  <ignoredErrors>
    <ignoredError numberStoredAsText="1" sqref="A1:N4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S42"/>
  <sheetViews>
    <sheetView workbookViewId="0" rightToLeft="0"/>
  </sheetViews>
  <sheetData>
    <row r="4">
      <c r="H4" t="str">
        <v>CAMPAIGN</v>
      </c>
      <c r="I4" t="str">
        <v>SENT</v>
      </c>
      <c r="J4" t="str">
        <v>OPENS</v>
      </c>
      <c r="K4" t="str">
        <v>CLICKS</v>
      </c>
      <c r="L4" t="str">
        <v>BOUNCES</v>
      </c>
      <c r="M4" t="str">
        <v>UNSUBS</v>
      </c>
    </row>
    <row r="6">
      <c r="H6" t="str">
        <f>INDEX(Campaign[],ROWS(Campaign[CAMPAIGN])-5,3)</f>
        <v>Weekly Newsletter</v>
      </c>
      <c r="I6">
        <f>INDEX(Campaign[],ROWS(Campaign[CAMPAIGN])-5,4)</f>
        <v>6020</v>
      </c>
      <c r="J6">
        <f>INDEX(Campaign[],ROWS(Campaign[CAMPAIGN])-5,5)</f>
        <v>2135</v>
      </c>
      <c r="K6">
        <f>INDEX(Campaign[],ROWS(Campaign[CAMPAIGN])-5,7)</f>
        <v>125</v>
      </c>
      <c r="L6">
        <f>INDEX(Campaign[],ROWS(Campaign[CAMPAIGN])-5,9)</f>
        <v>20</v>
      </c>
      <c r="M6">
        <f>INDEX(Campaign[],ROWS(Campaign[CAMPAIGN])-5,10)</f>
        <v>14</v>
      </c>
    </row>
    <row r="7">
      <c r="H7">
        <f>INDEX(Campaign[],ROWS(Campaign[CAMPAIGN])-5,1)</f>
        <v>44999</v>
      </c>
      <c r="J7">
        <f>INDEX(Campaign[],ROWS(Campaign[CAMPAIGN])-5,6)</f>
        <v>0.3546511627906977</v>
      </c>
      <c r="K7">
        <f>INDEX(Campaign[],ROWS(Campaign[CAMPAIGN])-5,8)</f>
        <v>0.0585480093676815</v>
      </c>
    </row>
    <row r="9">
      <c r="H9" t="str">
        <f>INDEX(Campaign[],ROWS(Campaign[CAMPAIGN])-4,3)</f>
        <v>Daily customer Update</v>
      </c>
      <c r="I9">
        <f>INDEX(Campaign[],ROWS(Campaign[CAMPAIGN])-4,4)</f>
        <v>6040</v>
      </c>
      <c r="J9">
        <f>INDEX(Campaign[],ROWS(Campaign[CAMPAIGN])-4,5)</f>
        <v>1450</v>
      </c>
      <c r="K9">
        <f>INDEX(Campaign[],ROWS(Campaign[CAMPAIGN])-4,7)</f>
        <v>102</v>
      </c>
      <c r="L9">
        <f>INDEX(Campaign[],ROWS(Campaign[CAMPAIGN])-4,9)</f>
        <v>13</v>
      </c>
      <c r="M9">
        <f>INDEX(Campaign[],ROWS(Campaign[CAMPAIGN])-4,10)</f>
        <v>6</v>
      </c>
    </row>
    <row r="10">
      <c r="H10">
        <f>INDEX(Campaign[],ROWS(Campaign[CAMPAIGN])-4,1)</f>
        <v>45001</v>
      </c>
      <c r="J10">
        <f>INDEX(Campaign[],ROWS(Campaign[CAMPAIGN])-4,6)</f>
        <v>0.24006622516556292</v>
      </c>
      <c r="K10">
        <f>INDEX(Campaign[],ROWS(Campaign[CAMPAIGN])-4,8)</f>
        <v>0.0703448275862069</v>
      </c>
    </row>
    <row r="12">
      <c r="H12" t="str">
        <f>INDEX(Campaign[],ROWS(Campaign[CAMPAIGN])-3,3)</f>
        <v>Weekly Newsletter</v>
      </c>
      <c r="I12">
        <f>INDEX(Campaign[],ROWS(Campaign[CAMPAIGN])-3,4)</f>
        <v>6250</v>
      </c>
      <c r="J12">
        <f>INDEX(Campaign[],ROWS(Campaign[CAMPAIGN])-3,5)</f>
        <v>2359</v>
      </c>
      <c r="K12">
        <f>INDEX(Campaign[],ROWS(Campaign[CAMPAIGN])-3,7)</f>
        <v>225</v>
      </c>
      <c r="L12">
        <f>INDEX(Campaign[],ROWS(Campaign[CAMPAIGN])-3,9)</f>
        <v>44</v>
      </c>
      <c r="M12">
        <f>INDEX(Campaign[],ROWS(Campaign[CAMPAIGN])-3,10)</f>
        <v>41</v>
      </c>
    </row>
    <row r="13">
      <c r="H13">
        <f>INDEX(Campaign[],ROWS(Campaign[CAMPAIGN])-3,1)</f>
        <v>45006</v>
      </c>
      <c r="J13">
        <f>INDEX(Campaign[],ROWS(Campaign[CAMPAIGN])-3,6)</f>
        <v>0.37744</v>
      </c>
      <c r="K13">
        <f>INDEX(Campaign[],ROWS(Campaign[CAMPAIGN])-3,8)</f>
        <v>0.0953793980500212</v>
      </c>
    </row>
    <row r="15">
      <c r="H15" t="str">
        <f>INDEX(Campaign[],ROWS(Campaign[CAMPAIGN])-2,3)</f>
        <v>Course is now 50% off</v>
      </c>
      <c r="I15">
        <f>INDEX(Campaign[],ROWS(Campaign[CAMPAIGN])-2,4)</f>
        <v>6260</v>
      </c>
      <c r="J15">
        <f>INDEX(Campaign[],ROWS(Campaign[CAMPAIGN])-2,5)</f>
        <v>3996</v>
      </c>
      <c r="K15">
        <f>INDEX(Campaign[],ROWS(Campaign[CAMPAIGN])-2,7)</f>
        <v>418</v>
      </c>
      <c r="L15">
        <f>INDEX(Campaign[],ROWS(Campaign[CAMPAIGN])-2,9)</f>
        <v>98</v>
      </c>
      <c r="M15">
        <f>INDEX(Campaign[],ROWS(Campaign[CAMPAIGN])-2,10)</f>
        <v>85</v>
      </c>
      <c r="P15" t="str">
        <v>4000</v>
      </c>
    </row>
    <row r="16">
      <c r="H16">
        <f>INDEX(Campaign[],ROWS(Campaign[CAMPAIGN])-2,1)</f>
        <v>45007</v>
      </c>
      <c r="J16">
        <f>INDEX(Campaign[],ROWS(Campaign[CAMPAIGN])-2,6)</f>
        <v>0.6383386581469649</v>
      </c>
      <c r="K16">
        <f>INDEX(Campaign[],ROWS(Campaign[CAMPAIGN])-2,8)</f>
        <v>0.1046046046046046</v>
      </c>
    </row>
    <row r="18">
      <c r="H18" t="str">
        <f>INDEX(Campaign[],ROWS(Campaign[CAMPAIGN])-1,3)</f>
        <v>Promise of Responsive Service</v>
      </c>
      <c r="I18">
        <f>INDEX(Campaign[],ROWS(Campaign[CAMPAIGN])-1,4)</f>
        <v>6510</v>
      </c>
      <c r="J18">
        <f>INDEX(Campaign[],ROWS(Campaign[CAMPAIGN])-1,5)</f>
        <v>4187</v>
      </c>
      <c r="K18">
        <f>INDEX(Campaign[],ROWS(Campaign[CAMPAIGN])-1,7)</f>
        <v>705</v>
      </c>
      <c r="L18">
        <f>INDEX(Campaign[],ROWS(Campaign[CAMPAIGN])-1,9)</f>
        <v>177</v>
      </c>
      <c r="M18">
        <f>INDEX(Campaign[],ROWS(Campaign[CAMPAIGN])-1,10)</f>
        <v>103</v>
      </c>
    </row>
    <row r="19">
      <c r="H19">
        <f>INDEX(Campaign[],ROWS(Campaign[CAMPAIGN])-1,1)</f>
        <v>45009</v>
      </c>
      <c r="J19">
        <f>INDEX(Campaign[],ROWS(Campaign[CAMPAIGN])-1,6)</f>
        <v>0.6431643625192013</v>
      </c>
      <c r="K19">
        <f>INDEX(Campaign[],ROWS(Campaign[CAMPAIGN])-1,8)</f>
        <v>0.16837831382851684</v>
      </c>
    </row>
    <row r="21">
      <c r="H21" t="str">
        <f>INDEX(Campaign[],ROWS(Campaign[CAMPAIGN]),3)</f>
        <v>Weekly Newsletter</v>
      </c>
      <c r="I21">
        <f>INDEX(Campaign[],ROWS(Campaign[CAMPAIGN]),4)</f>
        <v>6550</v>
      </c>
      <c r="J21">
        <f>INDEX(Campaign[],ROWS(Campaign[CAMPAIGN]),5)</f>
        <v>1541</v>
      </c>
      <c r="K21">
        <f>INDEX(Campaign[],ROWS(Campaign[CAMPAIGN]),7)</f>
        <v>145</v>
      </c>
      <c r="L21">
        <f>INDEX(Campaign[],ROWS(Campaign[CAMPAIGN]),9)</f>
        <v>36</v>
      </c>
      <c r="M21">
        <f>INDEX(Campaign[],ROWS(Campaign[CAMPAIGN]),10)</f>
        <v>31</v>
      </c>
    </row>
    <row r="22">
      <c r="H22">
        <f>INDEX(Campaign[],ROWS(Campaign[CAMPAIGN]),1)</f>
        <v>45013</v>
      </c>
      <c r="J22">
        <f>INDEX(Campaign[],ROWS(Campaign[CAMPAIGN]),6)</f>
        <v>0.23526717557251908</v>
      </c>
      <c r="K22">
        <f>INDEX(Campaign[],ROWS(Campaign[CAMPAIGN]),8)</f>
        <v>0.09409474367293964</v>
      </c>
    </row>
  </sheetData>
  <pageMargins left="0" right="0" top="0" bottom="0" header="0" footer="0"/>
  <ignoredErrors>
    <ignoredError numberStoredAsText="1" sqref="A1:S42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B6"/>
  <sheetViews>
    <sheetView workbookViewId="0" rightToLeft="0"/>
  </sheetViews>
  <sheetData>
    <row r="6">
      <c r="B6" t="str">
        <v>© TemplateLab.com</v>
      </c>
    </row>
  </sheetData>
  <hyperlinks>
    <hyperlink ref="B6" r:id="rId1"/>
  </hyperlinks>
  <pageMargins left="0.7" right="0.7" top="0.75" bottom="0.75" header="0.3" footer="0.3"/>
  <ignoredErrors>
    <ignoredError numberStoredAsText="1" sqref="B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Email</vt:lpstr>
      <vt:lpstr>E-Subscribers</vt:lpstr>
      <vt:lpstr>Google</vt:lpstr>
      <vt:lpstr>Calc</vt:lpstr>
      <vt:lpstr>DASHBOARD</vt:lpstr>
      <vt:lpstr>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2022-11-19T08:46:06Z</dcterms:created>
  <dcterms:modified xsi:type="dcterms:W3CDTF">2022-11-19T12:50:05Z</dcterms:modified>
  <cp:lastModifiedBy>Bratislav Milojevic | ELMED d.o.o.</cp:lastModifiedBy>
  <cp:lastPrinted>2022-11-19T11:39:08Z</cp:lastPrinted>
  <dc:creator>Bratislav Milojevic | ELMED d.o.o.</dc:creator>
</cp:coreProperties>
</file>