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엄인수\Documents\OneDrive\2 강의\2. 삼일아카데미\4 기업가치평가\"/>
    </mc:Choice>
  </mc:AlternateContent>
  <xr:revisionPtr revIDLastSave="27" documentId="13_ncr:1_{9E422B54-49BA-4581-B3F6-A606B66DB80C}" xr6:coauthVersionLast="34" xr6:coauthVersionMax="34" xr10:uidLastSave="{A3CBB837-1702-40B0-9814-C5C0BC1B3513}"/>
  <bookViews>
    <workbookView xWindow="0" yWindow="0" windowWidth="19200" windowHeight="7020" tabRatio="500" xr2:uid="{00000000-000D-0000-FFFF-FFFF00000000}"/>
  </bookViews>
  <sheets>
    <sheet name="FCFF Valuation" sheetId="5" r:id="rId1"/>
    <sheet name="EV Valuation" sheetId="6" r:id="rId2"/>
    <sheet name="Post Investment" sheetId="13" r:id="rId3"/>
    <sheet name="Leverage" sheetId="8" r:id="rId4"/>
  </sheets>
  <definedNames>
    <definedName name="_xlnm.Print_Area" localSheetId="0">'FCFF Valuation'!#REF!</definedName>
    <definedName name="_xlnm.Print_Area" localSheetId="3">Leverage!$B$1:$F$27</definedName>
    <definedName name="_xlnm.Print_Area" localSheetId="2">'Post Investment'!#REF!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3" l="1"/>
  <c r="D26" i="5"/>
  <c r="D28" i="5" s="1"/>
  <c r="E26" i="5"/>
  <c r="F26" i="5"/>
  <c r="G26" i="5"/>
  <c r="H26" i="5"/>
  <c r="D27" i="5"/>
  <c r="E27" i="5" s="1"/>
  <c r="C48" i="5"/>
  <c r="C24" i="6"/>
  <c r="C17" i="6"/>
  <c r="C26" i="6"/>
  <c r="F40" i="13"/>
  <c r="H40" i="13"/>
  <c r="E40" i="13"/>
  <c r="I40" i="13"/>
  <c r="J40" i="13"/>
  <c r="H38" i="13"/>
  <c r="F38" i="13"/>
  <c r="E38" i="13"/>
  <c r="I38" i="13"/>
  <c r="J38" i="13"/>
  <c r="J41" i="13"/>
  <c r="K40" i="13"/>
  <c r="K38" i="13"/>
  <c r="N38" i="13"/>
  <c r="M38" i="13"/>
  <c r="L38" i="13"/>
  <c r="H48" i="13"/>
  <c r="G48" i="13"/>
  <c r="F48" i="13"/>
  <c r="E48" i="13"/>
  <c r="D48" i="13"/>
  <c r="C70" i="13"/>
  <c r="D49" i="13"/>
  <c r="D57" i="13"/>
  <c r="D70" i="13"/>
  <c r="E49" i="13"/>
  <c r="E57" i="13"/>
  <c r="E70" i="13"/>
  <c r="F49" i="13"/>
  <c r="F57" i="13"/>
  <c r="F70" i="13"/>
  <c r="G49" i="13"/>
  <c r="G57" i="13"/>
  <c r="G70" i="13"/>
  <c r="H49" i="13"/>
  <c r="H57" i="13"/>
  <c r="H70" i="13"/>
  <c r="C71" i="13"/>
  <c r="C73" i="13"/>
  <c r="D72" i="13"/>
  <c r="C75" i="13"/>
  <c r="D74" i="13"/>
  <c r="C77" i="13"/>
  <c r="D76" i="13"/>
  <c r="D71" i="13"/>
  <c r="D73" i="13"/>
  <c r="E72" i="13"/>
  <c r="D75" i="13"/>
  <c r="E74" i="13"/>
  <c r="D77" i="13"/>
  <c r="E76" i="13"/>
  <c r="E71" i="13"/>
  <c r="E73" i="13"/>
  <c r="F72" i="13"/>
  <c r="E75" i="13"/>
  <c r="F74" i="13"/>
  <c r="E77" i="13"/>
  <c r="F76" i="13"/>
  <c r="F71" i="13"/>
  <c r="F73" i="13"/>
  <c r="G72" i="13"/>
  <c r="F75" i="13"/>
  <c r="G74" i="13"/>
  <c r="F77" i="13"/>
  <c r="G76" i="13"/>
  <c r="G71" i="13"/>
  <c r="G73" i="13"/>
  <c r="H72" i="13"/>
  <c r="G75" i="13"/>
  <c r="H74" i="13"/>
  <c r="G77" i="13"/>
  <c r="H76" i="13"/>
  <c r="H71" i="13"/>
  <c r="H73" i="13"/>
  <c r="H75" i="13"/>
  <c r="H77" i="13"/>
  <c r="C51" i="5"/>
  <c r="D50" i="5" s="1"/>
  <c r="C53" i="5"/>
  <c r="C55" i="5"/>
  <c r="D54" i="5" s="1"/>
  <c r="D55" i="5" s="1"/>
  <c r="C49" i="5"/>
  <c r="C6" i="13"/>
  <c r="C17" i="13"/>
  <c r="C5" i="5"/>
  <c r="C16" i="5" s="1"/>
  <c r="C11" i="13"/>
  <c r="D39" i="6"/>
  <c r="E39" i="6"/>
  <c r="F39" i="6"/>
  <c r="G39" i="6"/>
  <c r="H39" i="6"/>
  <c r="C6" i="8"/>
  <c r="C34" i="6"/>
  <c r="G37" i="6"/>
  <c r="F37" i="6"/>
  <c r="E37" i="6"/>
  <c r="D37" i="6"/>
  <c r="C37" i="6"/>
  <c r="E29" i="13"/>
  <c r="K41" i="13"/>
  <c r="G41" i="13"/>
  <c r="D41" i="13"/>
  <c r="C39" i="13"/>
  <c r="C38" i="13"/>
  <c r="C18" i="13"/>
  <c r="C16" i="13"/>
  <c r="C19" i="13"/>
  <c r="E24" i="13"/>
  <c r="E25" i="13"/>
  <c r="E31" i="13"/>
  <c r="E30" i="13"/>
  <c r="G24" i="13"/>
  <c r="G25" i="13"/>
  <c r="E26" i="13"/>
  <c r="G31" i="13"/>
  <c r="C25" i="13"/>
  <c r="C31" i="13"/>
  <c r="G30" i="13"/>
  <c r="C30" i="13"/>
  <c r="D50" i="13"/>
  <c r="D58" i="13"/>
  <c r="D60" i="13"/>
  <c r="D63" i="13"/>
  <c r="E50" i="13"/>
  <c r="E51" i="13"/>
  <c r="E53" i="13"/>
  <c r="E54" i="13"/>
  <c r="E55" i="13"/>
  <c r="E58" i="13"/>
  <c r="E60" i="13"/>
  <c r="E63" i="13"/>
  <c r="F50" i="13"/>
  <c r="F51" i="13"/>
  <c r="F53" i="13"/>
  <c r="F54" i="13"/>
  <c r="F55" i="13"/>
  <c r="F58" i="13"/>
  <c r="F60" i="13"/>
  <c r="F63" i="13"/>
  <c r="G50" i="13"/>
  <c r="G51" i="13"/>
  <c r="G53" i="13"/>
  <c r="G54" i="13"/>
  <c r="G55" i="13"/>
  <c r="G58" i="13"/>
  <c r="G60" i="13"/>
  <c r="G63" i="13"/>
  <c r="H50" i="13"/>
  <c r="H51" i="13"/>
  <c r="H53" i="13"/>
  <c r="H54" i="13"/>
  <c r="H55" i="13"/>
  <c r="H58" i="13"/>
  <c r="H60" i="13"/>
  <c r="H62" i="13"/>
  <c r="H63" i="13"/>
  <c r="C64" i="13"/>
  <c r="C65" i="13"/>
  <c r="H56" i="13"/>
  <c r="G56" i="13"/>
  <c r="F56" i="13"/>
  <c r="E56" i="13"/>
  <c r="D51" i="13"/>
  <c r="D53" i="13"/>
  <c r="D54" i="13"/>
  <c r="D55" i="13"/>
  <c r="D56" i="13"/>
  <c r="C55" i="13"/>
  <c r="C56" i="13"/>
  <c r="C51" i="13"/>
  <c r="C15" i="5"/>
  <c r="E12" i="8"/>
  <c r="E24" i="8"/>
  <c r="D12" i="8"/>
  <c r="D24" i="8"/>
  <c r="C12" i="8"/>
  <c r="C24" i="8"/>
  <c r="E11" i="8"/>
  <c r="E17" i="8"/>
  <c r="D11" i="8"/>
  <c r="D17" i="8"/>
  <c r="C11" i="8"/>
  <c r="C17" i="8"/>
  <c r="C29" i="5"/>
  <c r="C6" i="6"/>
  <c r="D13" i="6" s="1"/>
  <c r="D16" i="6" s="1"/>
  <c r="D18" i="6" s="1"/>
  <c r="D20" i="6" s="1"/>
  <c r="C33" i="5"/>
  <c r="C7" i="6"/>
  <c r="D24" i="6"/>
  <c r="D26" i="6"/>
  <c r="D17" i="6"/>
  <c r="C34" i="5"/>
  <c r="I41" i="13"/>
  <c r="E41" i="13"/>
  <c r="H41" i="13"/>
  <c r="F39" i="13"/>
  <c r="J39" i="13"/>
  <c r="D51" i="5" l="1"/>
  <c r="E50" i="5" s="1"/>
  <c r="F27" i="5"/>
  <c r="C17" i="5"/>
  <c r="E28" i="5"/>
  <c r="D29" i="5"/>
  <c r="D31" i="5" s="1"/>
  <c r="E54" i="5"/>
  <c r="E55" i="5" s="1"/>
  <c r="C13" i="6"/>
  <c r="C16" i="6" s="1"/>
  <c r="C18" i="6" s="1"/>
  <c r="C20" i="6" s="1"/>
  <c r="C10" i="5"/>
  <c r="C18" i="5" s="1"/>
  <c r="D52" i="5"/>
  <c r="D53" i="5" s="1"/>
  <c r="E52" i="5" s="1"/>
  <c r="E53" i="5" s="1"/>
  <c r="F52" i="5" s="1"/>
  <c r="F53" i="5" s="1"/>
  <c r="D35" i="5"/>
  <c r="D48" i="5" s="1"/>
  <c r="E35" i="5" s="1"/>
  <c r="E48" i="5" s="1"/>
  <c r="D32" i="5" l="1"/>
  <c r="D33" i="5" s="1"/>
  <c r="D34" i="5" s="1"/>
  <c r="D49" i="5"/>
  <c r="D36" i="5" s="1"/>
  <c r="D38" i="5" s="1"/>
  <c r="D41" i="5" s="1"/>
  <c r="F28" i="5"/>
  <c r="E29" i="5"/>
  <c r="E31" i="5" s="1"/>
  <c r="F35" i="5"/>
  <c r="F48" i="5" s="1"/>
  <c r="G27" i="5"/>
  <c r="F54" i="5"/>
  <c r="F55" i="5" s="1"/>
  <c r="E51" i="5"/>
  <c r="F50" i="5" s="1"/>
  <c r="E49" i="5"/>
  <c r="F49" i="5" l="1"/>
  <c r="F36" i="5" s="1"/>
  <c r="F51" i="5"/>
  <c r="G50" i="5" s="1"/>
  <c r="H27" i="5"/>
  <c r="H35" i="5" s="1"/>
  <c r="H48" i="5" s="1"/>
  <c r="G35" i="5"/>
  <c r="G48" i="5" s="1"/>
  <c r="G52" i="5"/>
  <c r="G53" i="5" s="1"/>
  <c r="E36" i="5"/>
  <c r="E32" i="5"/>
  <c r="E33" i="5" s="1"/>
  <c r="G54" i="5"/>
  <c r="G55" i="5" s="1"/>
  <c r="H54" i="5" s="1"/>
  <c r="H55" i="5" s="1"/>
  <c r="G28" i="5"/>
  <c r="F29" i="5"/>
  <c r="F31" i="5" s="1"/>
  <c r="E34" i="5" l="1"/>
  <c r="E38" i="5"/>
  <c r="E41" i="5" s="1"/>
  <c r="F32" i="5"/>
  <c r="F33" i="5" s="1"/>
  <c r="G49" i="5"/>
  <c r="G36" i="5" s="1"/>
  <c r="G51" i="5"/>
  <c r="H50" i="5" s="1"/>
  <c r="H28" i="5"/>
  <c r="H29" i="5" s="1"/>
  <c r="G29" i="5"/>
  <c r="G31" i="5" s="1"/>
  <c r="H52" i="5"/>
  <c r="H53" i="5" s="1"/>
  <c r="F38" i="5" l="1"/>
  <c r="F41" i="5" s="1"/>
  <c r="F34" i="5"/>
  <c r="H31" i="5"/>
  <c r="D6" i="6"/>
  <c r="G32" i="5"/>
  <c r="G33" i="5" s="1"/>
  <c r="H51" i="5"/>
  <c r="H49" i="5"/>
  <c r="H36" i="5" s="1"/>
  <c r="G34" i="5" l="1"/>
  <c r="G38" i="5"/>
  <c r="G41" i="5" s="1"/>
  <c r="D25" i="6"/>
  <c r="D27" i="6" s="1"/>
  <c r="C25" i="6"/>
  <c r="C27" i="6" s="1"/>
  <c r="C33" i="6" s="1"/>
  <c r="H38" i="6" s="1"/>
  <c r="H37" i="6" s="1"/>
  <c r="H32" i="5"/>
  <c r="H33" i="5"/>
  <c r="H41" i="6" l="1"/>
  <c r="H40" i="6"/>
  <c r="D6" i="8"/>
  <c r="C16" i="8" s="1"/>
  <c r="H34" i="5"/>
  <c r="D7" i="6"/>
  <c r="H38" i="5"/>
  <c r="D16" i="8" l="1"/>
  <c r="C18" i="8"/>
  <c r="C25" i="8" s="1"/>
  <c r="H40" i="5"/>
  <c r="H41" i="5" s="1"/>
  <c r="C42" i="5" s="1"/>
  <c r="C43" i="5" s="1"/>
  <c r="C26" i="8" l="1"/>
  <c r="C27" i="8"/>
  <c r="D18" i="8"/>
  <c r="D25" i="8" s="1"/>
  <c r="E16" i="8"/>
  <c r="E18" i="8" s="1"/>
  <c r="E25" i="8" s="1"/>
  <c r="E27" i="8" l="1"/>
  <c r="E26" i="8"/>
  <c r="D26" i="8"/>
  <c r="D27" i="8"/>
</calcChain>
</file>

<file path=xl/sharedStrings.xml><?xml version="1.0" encoding="utf-8"?>
<sst xmlns="http://schemas.openxmlformats.org/spreadsheetml/2006/main" count="217" uniqueCount="129">
  <si>
    <t>Sales</t>
  </si>
  <si>
    <t>EBITDA</t>
  </si>
  <si>
    <t>Total</t>
  </si>
  <si>
    <t>Equity</t>
  </si>
  <si>
    <t>Forecast</t>
  </si>
  <si>
    <t>Depreciation</t>
  </si>
  <si>
    <t>Tax</t>
  </si>
  <si>
    <t>Profit before Tax</t>
  </si>
  <si>
    <t>Capital Expenditure</t>
  </si>
  <si>
    <t>Enterprise Value</t>
  </si>
  <si>
    <t>EBITDA Multiple</t>
  </si>
  <si>
    <t>Value the Company</t>
  </si>
  <si>
    <t>Year of Exit</t>
  </si>
  <si>
    <t>Profit After Tax</t>
  </si>
  <si>
    <t>%</t>
  </si>
  <si>
    <t>Buy</t>
  </si>
  <si>
    <t>Sell</t>
  </si>
  <si>
    <t>Capital Gain</t>
  </si>
  <si>
    <t>IRR</t>
  </si>
  <si>
    <t>Money Multiple</t>
  </si>
  <si>
    <t>4:1</t>
  </si>
  <si>
    <t>Funding Structure</t>
  </si>
  <si>
    <t>Debt</t>
  </si>
  <si>
    <t>2:1</t>
  </si>
  <si>
    <t>Leverage</t>
  </si>
  <si>
    <t>Cash to Investors</t>
  </si>
  <si>
    <t>0:1</t>
  </si>
  <si>
    <t>Less:Debt</t>
  </si>
  <si>
    <t>Equity Value on Sale</t>
  </si>
  <si>
    <t>Year of Transaction</t>
  </si>
  <si>
    <t>Total Funding</t>
  </si>
  <si>
    <t>Funds available to equity</t>
  </si>
  <si>
    <t>Invested at entry</t>
  </si>
  <si>
    <t>Return on Investment</t>
  </si>
  <si>
    <t>Less :Debt</t>
  </si>
  <si>
    <t>Shareholder Value</t>
  </si>
  <si>
    <t>Price Earnings Value</t>
  </si>
  <si>
    <t>Return on Investment Calculation</t>
  </si>
  <si>
    <t>Sale Price</t>
  </si>
  <si>
    <t>Cash Multiple</t>
  </si>
  <si>
    <t>Operating Profit</t>
  </si>
  <si>
    <t>Interest Expenses</t>
  </si>
  <si>
    <t>Change in Working Capital</t>
  </si>
  <si>
    <t>Free Cash Flow to Firm</t>
  </si>
  <si>
    <t>Growth Rate</t>
  </si>
  <si>
    <t>Valuation Backdata</t>
  </si>
  <si>
    <t>Inventories</t>
  </si>
  <si>
    <t>Trade Accounts Receivable</t>
  </si>
  <si>
    <t>Trade Accounts Payable</t>
  </si>
  <si>
    <t>Working Capital</t>
  </si>
  <si>
    <t>-</t>
  </si>
  <si>
    <t>Buy 2003: Enterprise Value</t>
  </si>
  <si>
    <t>Terminal Value</t>
  </si>
  <si>
    <t>Present Value</t>
  </si>
  <si>
    <t>WACC</t>
  </si>
  <si>
    <t>EV</t>
  </si>
  <si>
    <t>KTM Valuation</t>
  </si>
  <si>
    <t>Calculating the WACC</t>
  </si>
  <si>
    <t>Tax rate</t>
  </si>
  <si>
    <t>Total Equity</t>
  </si>
  <si>
    <t>D/V</t>
  </si>
  <si>
    <t>E/V</t>
  </si>
  <si>
    <t>Re</t>
  </si>
  <si>
    <t>Rd</t>
  </si>
  <si>
    <t>1. Bank Loans</t>
  </si>
  <si>
    <t>2. Senior Interest Bearing Debt</t>
  </si>
  <si>
    <t>3. Subordinate Debentures</t>
  </si>
  <si>
    <t>Rf (10 year EU Government Bonds)</t>
  </si>
  <si>
    <t>Rm-Rf (Hitorical Market Premium)</t>
  </si>
  <si>
    <t>ß (Peers)</t>
  </si>
  <si>
    <t>(€ million)</t>
  </si>
  <si>
    <t>Historical</t>
  </si>
  <si>
    <t>Year</t>
  </si>
  <si>
    <t>Profit after Tax</t>
  </si>
  <si>
    <t>Equity Value</t>
  </si>
  <si>
    <t>Terminal Growth Rate</t>
  </si>
  <si>
    <t>EV/EBITDA Multiple</t>
  </si>
  <si>
    <t>% Sales/Depreciation</t>
  </si>
  <si>
    <t>% Inventories/Sales</t>
  </si>
  <si>
    <t>% Trade Accounts Receivable/Sales</t>
  </si>
  <si>
    <t>% Trade Accounts Payable/Sales</t>
  </si>
  <si>
    <t>Sensitivity Analysis</t>
  </si>
  <si>
    <t>Estimated FCFF and EV</t>
  </si>
  <si>
    <t>Interest Coverage</t>
  </si>
  <si>
    <t>Debt to Equity</t>
  </si>
  <si>
    <t>Current</t>
  </si>
  <si>
    <t>Total Asset</t>
  </si>
  <si>
    <t>Total Liabilities</t>
  </si>
  <si>
    <t>Total Debt</t>
  </si>
  <si>
    <t>Interest</t>
  </si>
  <si>
    <t>Direct Debt Offering
 to KTM</t>
  </si>
  <si>
    <t>Debt offering 
to Cross-holding</t>
  </si>
  <si>
    <t>Shareholders</t>
  </si>
  <si>
    <t>Cross-Holdings</t>
  </si>
  <si>
    <t>BC Capital</t>
  </si>
  <si>
    <t>Shares</t>
  </si>
  <si>
    <t>Ratio</t>
  </si>
  <si>
    <t>Pre-investment</t>
  </si>
  <si>
    <t>Post-investment</t>
  </si>
  <si>
    <t>After debt offering</t>
  </si>
  <si>
    <t>Total Value</t>
  </si>
  <si>
    <t>Value
per share</t>
  </si>
  <si>
    <r>
      <t>Scenario</t>
    </r>
    <r>
      <rPr>
        <sz val="12"/>
        <color theme="0"/>
        <rFont val="Calibri"/>
        <family val="2"/>
        <scheme val="minor"/>
      </rPr>
      <t xml:space="preserve"> (as of 2002)</t>
    </r>
  </si>
  <si>
    <t>Debt/Equity split</t>
  </si>
  <si>
    <t>Debt/Equity split at entry</t>
  </si>
  <si>
    <t>Investment</t>
  </si>
  <si>
    <t>Total Cash Flow</t>
  </si>
  <si>
    <t>Cash Flow from debt</t>
  </si>
  <si>
    <t>Interest and Principal</t>
  </si>
  <si>
    <t>Exit Value</t>
  </si>
  <si>
    <t>KTM Valuation 2</t>
  </si>
  <si>
    <t>Leverage Effect</t>
  </si>
  <si>
    <t>Cash Flow from common stock</t>
  </si>
  <si>
    <t>Interest Expense</t>
  </si>
  <si>
    <t>JCPE</t>
  </si>
  <si>
    <t>Adjusted</t>
  </si>
  <si>
    <t>Before Adjusted</t>
  </si>
  <si>
    <t>2017</t>
  </si>
  <si>
    <t>2018</t>
  </si>
  <si>
    <t>2019</t>
  </si>
  <si>
    <t>2020</t>
  </si>
  <si>
    <t>2021</t>
  </si>
  <si>
    <t>2022</t>
  </si>
  <si>
    <t>2023</t>
  </si>
  <si>
    <t>2018 Equity Value</t>
  </si>
  <si>
    <t>Less: Net Debt</t>
  </si>
  <si>
    <t>Sell 2023: Enterprise Value</t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</si>
  <si>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d</t>
    </r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</si>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</sst>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£&quot;#,##0"/>
    <numFmt numFmtId="165" formatCode="0.0%"/>
    <numFmt numFmtId="166" formatCode="#,##0.0"/>
    <numFmt numFmtId="167" formatCode="0.0"/>
    <numFmt numFmtId="168" formatCode="[$€-2]\ #,##0"/>
    <numFmt numFmtId="169" formatCode="[$€-2]\ #,##0.0"/>
  </numFmts>
  <fonts count="34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맑은 고딕"/>
      <family val="3"/>
      <charset val="129"/>
    </font>
    <font>
      <sz val="12"/>
      <color theme="0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 tint="-0.499984740745262"/>
      <name val="Calibri"/>
      <family val="2"/>
      <charset val="134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"/>
      <family val="2"/>
      <charset val="134"/>
      <scheme val="minor"/>
    </font>
    <font>
      <b/>
      <vertAlign val="superscript"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/>
      <diagonal/>
    </border>
    <border>
      <left/>
      <right style="thick">
        <color rgb="FFFF0000"/>
      </right>
      <top style="thin">
        <color auto="1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n">
        <color auto="1"/>
      </bottom>
      <diagonal/>
    </border>
    <border>
      <left/>
      <right style="thick">
        <color rgb="FFFF0000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n">
        <color auto="1"/>
      </bottom>
      <diagonal/>
    </border>
    <border>
      <left style="thick">
        <color rgb="FFC00000"/>
      </left>
      <right style="thick">
        <color rgb="FFC00000"/>
      </right>
      <top style="thin">
        <color auto="1"/>
      </top>
      <bottom style="thin">
        <color auto="1"/>
      </bottom>
      <diagonal/>
    </border>
    <border>
      <left style="thick">
        <color rgb="FFC00000"/>
      </left>
      <right style="thick">
        <color rgb="FFC00000"/>
      </right>
      <top style="thin">
        <color auto="1"/>
      </top>
      <bottom style="thick">
        <color rgb="FFC00000"/>
      </bottom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ill="1" applyBorder="1"/>
    <xf numFmtId="0" fontId="4" fillId="0" borderId="0" xfId="0" applyFont="1" applyFill="1" applyBorder="1"/>
    <xf numFmtId="164" fontId="0" fillId="0" borderId="0" xfId="0" applyNumberFormat="1" applyBorder="1"/>
    <xf numFmtId="0" fontId="0" fillId="0" borderId="0" xfId="0" applyFont="1" applyBorder="1"/>
    <xf numFmtId="0" fontId="0" fillId="0" borderId="0" xfId="0" applyFont="1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NumberFormat="1"/>
    <xf numFmtId="3" fontId="0" fillId="2" borderId="1" xfId="0" applyNumberFormat="1" applyFill="1" applyBorder="1"/>
    <xf numFmtId="2" fontId="0" fillId="0" borderId="0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1" fillId="0" borderId="1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166" fontId="6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9" fillId="0" borderId="2" xfId="0" applyFont="1" applyBorder="1" applyAlignment="1">
      <alignment vertical="center"/>
    </xf>
    <xf numFmtId="165" fontId="9" fillId="0" borderId="1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9" fillId="0" borderId="0" xfId="0" applyNumberFormat="1" applyFont="1" applyBorder="1" applyAlignment="1">
      <alignment vertical="center"/>
    </xf>
    <xf numFmtId="166" fontId="1" fillId="0" borderId="1" xfId="0" applyNumberFormat="1" applyFont="1" applyBorder="1" applyAlignment="1">
      <alignment horizontal="right" vertical="center"/>
    </xf>
    <xf numFmtId="9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3" fontId="0" fillId="0" borderId="1" xfId="0" applyNumberFormat="1" applyFill="1" applyBorder="1"/>
    <xf numFmtId="3" fontId="1" fillId="0" borderId="1" xfId="0" applyNumberFormat="1" applyFont="1" applyFill="1" applyBorder="1"/>
    <xf numFmtId="2" fontId="0" fillId="2" borderId="1" xfId="0" applyNumberFormat="1" applyFill="1" applyBorder="1"/>
    <xf numFmtId="166" fontId="6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167" fontId="0" fillId="0" borderId="1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vertical="center"/>
    </xf>
    <xf numFmtId="166" fontId="0" fillId="0" borderId="5" xfId="0" applyNumberFormat="1" applyBorder="1" applyAlignment="1">
      <alignment vertical="center"/>
    </xf>
    <xf numFmtId="0" fontId="9" fillId="0" borderId="6" xfId="0" applyFont="1" applyBorder="1" applyAlignment="1">
      <alignment vertical="center"/>
    </xf>
    <xf numFmtId="165" fontId="9" fillId="0" borderId="6" xfId="0" applyNumberFormat="1" applyFont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1" fontId="14" fillId="5" borderId="1" xfId="0" applyNumberFormat="1" applyFont="1" applyFill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1" fontId="12" fillId="5" borderId="1" xfId="0" applyNumberFormat="1" applyFont="1" applyFill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vertical="center"/>
    </xf>
    <xf numFmtId="0" fontId="12" fillId="6" borderId="2" xfId="0" applyFont="1" applyFill="1" applyBorder="1" applyAlignment="1">
      <alignment vertical="center"/>
    </xf>
    <xf numFmtId="0" fontId="14" fillId="6" borderId="2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18" fillId="6" borderId="2" xfId="0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2" fillId="3" borderId="0" xfId="0" applyFont="1" applyFill="1" applyBorder="1" applyAlignment="1">
      <alignment vertical="center"/>
    </xf>
    <xf numFmtId="9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0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5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166" fontId="0" fillId="0" borderId="7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166" fontId="0" fillId="0" borderId="14" xfId="0" applyNumberFormat="1" applyBorder="1" applyAlignment="1">
      <alignment vertical="center"/>
    </xf>
    <xf numFmtId="166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66" fontId="0" fillId="0" borderId="0" xfId="0" applyNumberForma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0" fontId="21" fillId="0" borderId="6" xfId="0" applyFont="1" applyBorder="1" applyAlignment="1">
      <alignment horizontal="right" vertical="center"/>
    </xf>
    <xf numFmtId="10" fontId="21" fillId="0" borderId="11" xfId="0" applyNumberFormat="1" applyFont="1" applyBorder="1" applyAlignment="1">
      <alignment vertical="center"/>
    </xf>
    <xf numFmtId="10" fontId="21" fillId="0" borderId="15" xfId="0" applyNumberFormat="1" applyFont="1" applyBorder="1" applyAlignment="1">
      <alignment vertical="center"/>
    </xf>
    <xf numFmtId="0" fontId="0" fillId="0" borderId="16" xfId="0" applyBorder="1" applyAlignment="1">
      <alignment vertical="center"/>
    </xf>
    <xf numFmtId="166" fontId="0" fillId="0" borderId="17" xfId="0" applyNumberFormat="1" applyBorder="1" applyAlignment="1">
      <alignment vertical="center"/>
    </xf>
    <xf numFmtId="0" fontId="0" fillId="0" borderId="18" xfId="0" applyBorder="1" applyAlignment="1">
      <alignment vertical="center"/>
    </xf>
    <xf numFmtId="166" fontId="0" fillId="0" borderId="19" xfId="0" applyNumberFormat="1" applyBorder="1" applyAlignment="1">
      <alignment vertical="center"/>
    </xf>
    <xf numFmtId="167" fontId="23" fillId="0" borderId="19" xfId="0" applyNumberFormat="1" applyFont="1" applyBorder="1" applyAlignment="1">
      <alignment vertical="center"/>
    </xf>
    <xf numFmtId="0" fontId="0" fillId="0" borderId="20" xfId="0" applyBorder="1" applyAlignment="1">
      <alignment vertical="center"/>
    </xf>
    <xf numFmtId="10" fontId="21" fillId="0" borderId="21" xfId="0" applyNumberFormat="1" applyFont="1" applyBorder="1" applyAlignment="1">
      <alignment vertical="center"/>
    </xf>
    <xf numFmtId="166" fontId="0" fillId="0" borderId="11" xfId="0" applyNumberFormat="1" applyBorder="1" applyAlignment="1">
      <alignment vertical="center"/>
    </xf>
    <xf numFmtId="166" fontId="0" fillId="0" borderId="15" xfId="0" applyNumberFormat="1" applyBorder="1" applyAlignment="1">
      <alignment vertical="center"/>
    </xf>
    <xf numFmtId="0" fontId="0" fillId="0" borderId="24" xfId="0" applyBorder="1" applyAlignment="1">
      <alignment vertical="center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6" fontId="0" fillId="0" borderId="25" xfId="0" applyNumberFormat="1" applyBorder="1" applyAlignment="1">
      <alignment vertical="center"/>
    </xf>
    <xf numFmtId="3" fontId="0" fillId="0" borderId="7" xfId="0" applyNumberFormat="1" applyBorder="1" applyAlignment="1">
      <alignment vertical="center"/>
    </xf>
    <xf numFmtId="165" fontId="24" fillId="0" borderId="10" xfId="0" applyNumberFormat="1" applyFont="1" applyBorder="1" applyAlignment="1">
      <alignment vertical="center"/>
    </xf>
    <xf numFmtId="3" fontId="0" fillId="0" borderId="4" xfId="0" applyNumberFormat="1" applyBorder="1" applyAlignment="1">
      <alignment vertical="center"/>
    </xf>
    <xf numFmtId="165" fontId="24" fillId="0" borderId="13" xfId="0" applyNumberFormat="1" applyFont="1" applyBorder="1" applyAlignment="1">
      <alignment vertical="center"/>
    </xf>
    <xf numFmtId="3" fontId="0" fillId="0" borderId="11" xfId="0" applyNumberFormat="1" applyBorder="1" applyAlignment="1">
      <alignment vertical="center"/>
    </xf>
    <xf numFmtId="165" fontId="24" fillId="0" borderId="12" xfId="0" applyNumberFormat="1" applyFont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168" fontId="0" fillId="0" borderId="7" xfId="0" applyNumberFormat="1" applyBorder="1" applyAlignment="1">
      <alignment vertical="center"/>
    </xf>
    <xf numFmtId="168" fontId="0" fillId="0" borderId="4" xfId="0" applyNumberFormat="1" applyBorder="1" applyAlignment="1">
      <alignment vertical="center"/>
    </xf>
    <xf numFmtId="168" fontId="0" fillId="0" borderId="11" xfId="0" applyNumberFormat="1" applyBorder="1" applyAlignment="1">
      <alignment vertical="center"/>
    </xf>
    <xf numFmtId="0" fontId="22" fillId="6" borderId="7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right" vertical="center" wrapText="1"/>
    </xf>
    <xf numFmtId="4" fontId="6" fillId="2" borderId="1" xfId="0" applyNumberFormat="1" applyFont="1" applyFill="1" applyBorder="1"/>
    <xf numFmtId="4" fontId="1" fillId="2" borderId="1" xfId="0" applyNumberFormat="1" applyFont="1" applyFill="1" applyBorder="1"/>
    <xf numFmtId="3" fontId="0" fillId="0" borderId="1" xfId="0" applyNumberFormat="1" applyFill="1" applyBorder="1" applyAlignment="1">
      <alignment vertical="center"/>
    </xf>
    <xf numFmtId="0" fontId="12" fillId="6" borderId="0" xfId="0" applyFont="1" applyFill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26" fillId="6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20" fontId="1" fillId="0" borderId="1" xfId="0" quotePrefix="1" applyNumberFormat="1" applyFont="1" applyFill="1" applyBorder="1" applyAlignment="1">
      <alignment horizontal="center" vertical="center"/>
    </xf>
    <xf numFmtId="0" fontId="1" fillId="0" borderId="1" xfId="0" quotePrefix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3" fontId="0" fillId="0" borderId="1" xfId="0" applyNumberFormat="1" applyFont="1" applyFill="1" applyBorder="1" applyAlignment="1">
      <alignment vertical="center"/>
    </xf>
    <xf numFmtId="3" fontId="0" fillId="0" borderId="1" xfId="0" applyNumberFormat="1" applyFont="1" applyBorder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0" fillId="0" borderId="0" xfId="0" applyNumberFormat="1" applyBorder="1" applyAlignment="1">
      <alignment vertical="center"/>
    </xf>
    <xf numFmtId="20" fontId="19" fillId="6" borderId="1" xfId="0" quotePrefix="1" applyNumberFormat="1" applyFont="1" applyFill="1" applyBorder="1" applyAlignment="1">
      <alignment horizontal="center" vertical="center"/>
    </xf>
    <xf numFmtId="0" fontId="19" fillId="6" borderId="1" xfId="0" quotePrefix="1" applyNumberFormat="1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left" vertical="center" indent="2"/>
    </xf>
    <xf numFmtId="0" fontId="12" fillId="6" borderId="1" xfId="0" applyFont="1" applyFill="1" applyBorder="1" applyAlignment="1">
      <alignment horizontal="left" vertical="center" indent="2"/>
    </xf>
    <xf numFmtId="4" fontId="1" fillId="0" borderId="1" xfId="0" applyNumberFormat="1" applyFont="1" applyBorder="1" applyAlignment="1">
      <alignment vertical="center"/>
    </xf>
    <xf numFmtId="4" fontId="12" fillId="6" borderId="1" xfId="0" applyNumberFormat="1" applyFont="1" applyFill="1" applyBorder="1"/>
    <xf numFmtId="0" fontId="0" fillId="0" borderId="0" xfId="0" applyAlignment="1">
      <alignment horizontal="left" vertical="center" indent="1"/>
    </xf>
    <xf numFmtId="169" fontId="0" fillId="0" borderId="7" xfId="0" applyNumberFormat="1" applyBorder="1" applyAlignment="1">
      <alignment vertical="center"/>
    </xf>
    <xf numFmtId="169" fontId="0" fillId="0" borderId="4" xfId="0" applyNumberFormat="1" applyBorder="1" applyAlignment="1">
      <alignment vertical="center"/>
    </xf>
    <xf numFmtId="169" fontId="0" fillId="0" borderId="11" xfId="0" applyNumberFormat="1" applyBorder="1" applyAlignment="1">
      <alignment vertical="center"/>
    </xf>
    <xf numFmtId="0" fontId="19" fillId="6" borderId="5" xfId="0" applyFont="1" applyFill="1" applyBorder="1" applyAlignment="1">
      <alignment vertical="center"/>
    </xf>
    <xf numFmtId="0" fontId="19" fillId="6" borderId="6" xfId="0" applyFont="1" applyFill="1" applyBorder="1" applyAlignment="1">
      <alignment vertical="center"/>
    </xf>
    <xf numFmtId="1" fontId="19" fillId="6" borderId="11" xfId="0" applyNumberFormat="1" applyFont="1" applyFill="1" applyBorder="1" applyAlignment="1">
      <alignment horizontal="center" vertical="center" shrinkToFit="1"/>
    </xf>
    <xf numFmtId="1" fontId="19" fillId="6" borderId="12" xfId="0" applyNumberFormat="1" applyFont="1" applyFill="1" applyBorder="1" applyAlignment="1">
      <alignment horizontal="center" vertical="center" shrinkToFit="1"/>
    </xf>
    <xf numFmtId="1" fontId="19" fillId="6" borderId="15" xfId="0" applyNumberFormat="1" applyFont="1" applyFill="1" applyBorder="1" applyAlignment="1">
      <alignment horizontal="center" vertical="center" shrinkToFit="1"/>
    </xf>
    <xf numFmtId="0" fontId="19" fillId="6" borderId="3" xfId="0" applyFont="1" applyFill="1" applyBorder="1" applyAlignment="1">
      <alignment vertical="center"/>
    </xf>
    <xf numFmtId="0" fontId="12" fillId="6" borderId="26" xfId="0" applyFont="1" applyFill="1" applyBorder="1" applyAlignment="1">
      <alignment vertical="center"/>
    </xf>
    <xf numFmtId="3" fontId="1" fillId="0" borderId="27" xfId="0" applyNumberFormat="1" applyFont="1" applyBorder="1" applyAlignment="1">
      <alignment vertical="center"/>
    </xf>
    <xf numFmtId="165" fontId="25" fillId="0" borderId="28" xfId="0" applyNumberFormat="1" applyFont="1" applyBorder="1" applyAlignment="1">
      <alignment vertical="center"/>
    </xf>
    <xf numFmtId="168" fontId="1" fillId="0" borderId="27" xfId="0" applyNumberFormat="1" applyFont="1" applyBorder="1" applyAlignment="1">
      <alignment vertical="center"/>
    </xf>
    <xf numFmtId="3" fontId="1" fillId="0" borderId="29" xfId="0" applyNumberFormat="1" applyFont="1" applyBorder="1" applyAlignment="1">
      <alignment vertical="center"/>
    </xf>
    <xf numFmtId="165" fontId="25" fillId="0" borderId="30" xfId="0" applyNumberFormat="1" applyFont="1" applyBorder="1" applyAlignment="1">
      <alignment vertical="center"/>
    </xf>
    <xf numFmtId="0" fontId="17" fillId="4" borderId="9" xfId="0" applyFont="1" applyFill="1" applyBorder="1" applyAlignment="1">
      <alignment horizontal="center" vertical="center" wrapText="1"/>
    </xf>
    <xf numFmtId="4" fontId="6" fillId="2" borderId="9" xfId="0" applyNumberFormat="1" applyFont="1" applyFill="1" applyBorder="1" applyAlignment="1">
      <alignment vertical="center"/>
    </xf>
    <xf numFmtId="3" fontId="6" fillId="0" borderId="9" xfId="0" applyNumberFormat="1" applyFont="1" applyFill="1" applyBorder="1" applyAlignment="1">
      <alignment vertical="center"/>
    </xf>
    <xf numFmtId="0" fontId="16" fillId="4" borderId="31" xfId="0" applyFont="1" applyFill="1" applyBorder="1" applyAlignment="1">
      <alignment horizontal="center" vertical="center" wrapText="1"/>
    </xf>
    <xf numFmtId="4" fontId="1" fillId="2" borderId="32" xfId="0" applyNumberFormat="1" applyFont="1" applyFill="1" applyBorder="1" applyAlignment="1">
      <alignment vertical="center"/>
    </xf>
    <xf numFmtId="3" fontId="1" fillId="0" borderId="33" xfId="0" applyNumberFormat="1" applyFont="1" applyFill="1" applyBorder="1" applyAlignment="1">
      <alignment vertical="center"/>
    </xf>
    <xf numFmtId="168" fontId="6" fillId="0" borderId="27" xfId="0" applyNumberFormat="1" applyFont="1" applyBorder="1" applyAlignment="1">
      <alignment vertical="center"/>
    </xf>
    <xf numFmtId="3" fontId="6" fillId="0" borderId="29" xfId="0" applyNumberFormat="1" applyFont="1" applyBorder="1" applyAlignment="1">
      <alignment vertical="center"/>
    </xf>
    <xf numFmtId="165" fontId="27" fillId="0" borderId="28" xfId="0" applyNumberFormat="1" applyFont="1" applyBorder="1" applyAlignment="1">
      <alignment vertical="center"/>
    </xf>
    <xf numFmtId="169" fontId="6" fillId="0" borderId="27" xfId="0" applyNumberFormat="1" applyFont="1" applyBorder="1" applyAlignment="1">
      <alignment vertical="center"/>
    </xf>
    <xf numFmtId="168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19" fillId="6" borderId="1" xfId="0" applyFont="1" applyFill="1" applyBorder="1" applyAlignment="1">
      <alignment horizontal="center" vertical="center"/>
    </xf>
    <xf numFmtId="49" fontId="19" fillId="6" borderId="1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3" fillId="6" borderId="5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1" fontId="19" fillId="6" borderId="5" xfId="0" applyNumberFormat="1" applyFont="1" applyFill="1" applyBorder="1" applyAlignment="1">
      <alignment horizontal="center" vertical="center" shrinkToFit="1"/>
    </xf>
    <xf numFmtId="0" fontId="19" fillId="6" borderId="22" xfId="0" applyFont="1" applyFill="1" applyBorder="1" applyAlignment="1">
      <alignment horizontal="right" vertical="center" wrapText="1"/>
    </xf>
    <xf numFmtId="0" fontId="19" fillId="6" borderId="23" xfId="0" applyFont="1" applyFill="1" applyBorder="1" applyAlignment="1">
      <alignment horizontal="right" vertical="center" wrapText="1"/>
    </xf>
    <xf numFmtId="0" fontId="19" fillId="6" borderId="14" xfId="0" applyFont="1" applyFill="1" applyBorder="1" applyAlignment="1">
      <alignment horizontal="right" vertical="center" wrapText="1"/>
    </xf>
    <xf numFmtId="1" fontId="19" fillId="6" borderId="5" xfId="0" applyNumberFormat="1" applyFont="1" applyFill="1" applyBorder="1" applyAlignment="1">
      <alignment horizontal="center" vertical="center" wrapText="1" shrinkToFit="1"/>
    </xf>
    <xf numFmtId="1" fontId="19" fillId="6" borderId="6" xfId="0" applyNumberFormat="1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vertical="center"/>
    </xf>
    <xf numFmtId="0" fontId="22" fillId="6" borderId="5" xfId="0" applyFont="1" applyFill="1" applyBorder="1" applyAlignment="1">
      <alignment horizontal="left" vertical="center" indent="1"/>
    </xf>
    <xf numFmtId="0" fontId="22" fillId="6" borderId="6" xfId="0" applyFont="1" applyFill="1" applyBorder="1" applyAlignment="1">
      <alignment horizontal="left" vertical="center" indent="1"/>
    </xf>
    <xf numFmtId="0" fontId="31" fillId="6" borderId="2" xfId="0" applyFont="1" applyFill="1" applyBorder="1" applyAlignment="1">
      <alignment vertical="center"/>
    </xf>
    <xf numFmtId="0" fontId="32" fillId="6" borderId="1" xfId="0" applyFont="1" applyFill="1" applyBorder="1" applyAlignment="1">
      <alignment vertical="center"/>
    </xf>
    <xf numFmtId="0" fontId="33" fillId="0" borderId="0" xfId="0" applyFont="1" applyAlignment="1">
      <alignment horizontal="right" vertical="center"/>
    </xf>
  </cellXfs>
  <cellStyles count="101"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2" builtinId="9" hidden="1"/>
    <cellStyle name="열어 본 하이퍼링크" xfId="34" builtinId="9" hidden="1"/>
    <cellStyle name="열어 본 하이퍼링크" xfId="36" builtinId="9" hidden="1"/>
    <cellStyle name="열어 본 하이퍼링크" xfId="38" builtinId="9" hidden="1"/>
    <cellStyle name="열어 본 하이퍼링크" xfId="40" builtinId="9" hidden="1"/>
    <cellStyle name="열어 본 하이퍼링크" xfId="42" builtinId="9" hidden="1"/>
    <cellStyle name="열어 본 하이퍼링크" xfId="44" builtinId="9" hidden="1"/>
    <cellStyle name="열어 본 하이퍼링크" xfId="46" builtinId="9" hidden="1"/>
    <cellStyle name="열어 본 하이퍼링크" xfId="48" builtinId="9" hidden="1"/>
    <cellStyle name="열어 본 하이퍼링크" xfId="50" builtinId="9" hidden="1"/>
    <cellStyle name="열어 본 하이퍼링크" xfId="52" builtinId="9" hidden="1"/>
    <cellStyle name="열어 본 하이퍼링크" xfId="54" builtinId="9" hidden="1"/>
    <cellStyle name="열어 본 하이퍼링크" xfId="56" builtinId="9" hidden="1"/>
    <cellStyle name="열어 본 하이퍼링크" xfId="58" builtinId="9" hidden="1"/>
    <cellStyle name="열어 본 하이퍼링크" xfId="60" builtinId="9" hidden="1"/>
    <cellStyle name="열어 본 하이퍼링크" xfId="62" builtinId="9" hidden="1"/>
    <cellStyle name="열어 본 하이퍼링크" xfId="64" builtinId="9" hidden="1"/>
    <cellStyle name="열어 본 하이퍼링크" xfId="66" builtinId="9" hidden="1"/>
    <cellStyle name="열어 본 하이퍼링크" xfId="68" builtinId="9" hidden="1"/>
    <cellStyle name="열어 본 하이퍼링크" xfId="70" builtinId="9" hidden="1"/>
    <cellStyle name="열어 본 하이퍼링크" xfId="72" builtinId="9" hidden="1"/>
    <cellStyle name="열어 본 하이퍼링크" xfId="74" builtinId="9" hidden="1"/>
    <cellStyle name="열어 본 하이퍼링크" xfId="76" builtinId="9" hidden="1"/>
    <cellStyle name="열어 본 하이퍼링크" xfId="78" builtinId="9" hidden="1"/>
    <cellStyle name="열어 본 하이퍼링크" xfId="80" builtinId="9" hidden="1"/>
    <cellStyle name="열어 본 하이퍼링크" xfId="82" builtinId="9" hidden="1"/>
    <cellStyle name="열어 본 하이퍼링크" xfId="84" builtinId="9" hidden="1"/>
    <cellStyle name="열어 본 하이퍼링크" xfId="86" builtinId="9" hidden="1"/>
    <cellStyle name="열어 본 하이퍼링크" xfId="88" builtinId="9" hidden="1"/>
    <cellStyle name="열어 본 하이퍼링크" xfId="90" builtinId="9" hidden="1"/>
    <cellStyle name="열어 본 하이퍼링크" xfId="92" builtinId="9" hidden="1"/>
    <cellStyle name="열어 본 하이퍼링크" xfId="94" builtinId="9" hidden="1"/>
    <cellStyle name="열어 본 하이퍼링크" xfId="96" builtinId="9" hidden="1"/>
    <cellStyle name="열어 본 하이퍼링크" xfId="98" builtinId="9" hidden="1"/>
    <cellStyle name="열어 본 하이퍼링크" xfId="100" builtinId="9" hidden="1"/>
    <cellStyle name="표준" xfId="0" builtinId="0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3" builtinId="8" hidden="1"/>
    <cellStyle name="하이퍼링크" xfId="35" builtinId="8" hidden="1"/>
    <cellStyle name="하이퍼링크" xfId="37" builtinId="8" hidden="1"/>
    <cellStyle name="하이퍼링크" xfId="39" builtinId="8" hidden="1"/>
    <cellStyle name="하이퍼링크" xfId="41" builtinId="8" hidden="1"/>
    <cellStyle name="하이퍼링크" xfId="43" builtinId="8" hidden="1"/>
    <cellStyle name="하이퍼링크" xfId="45" builtinId="8" hidden="1"/>
    <cellStyle name="하이퍼링크" xfId="47" builtinId="8" hidden="1"/>
    <cellStyle name="하이퍼링크" xfId="49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57" builtinId="8" hidden="1"/>
    <cellStyle name="하이퍼링크" xfId="59" builtinId="8" hidden="1"/>
    <cellStyle name="하이퍼링크" xfId="61" builtinId="8" hidden="1"/>
    <cellStyle name="하이퍼링크" xfId="63" builtinId="8" hidden="1"/>
    <cellStyle name="하이퍼링크" xfId="65" builtinId="8" hidden="1"/>
    <cellStyle name="하이퍼링크" xfId="67" builtinId="8" hidden="1"/>
    <cellStyle name="하이퍼링크" xfId="69" builtinId="8" hidden="1"/>
    <cellStyle name="하이퍼링크" xfId="71" builtinId="8" hidden="1"/>
    <cellStyle name="하이퍼링크" xfId="73" builtinId="8" hidden="1"/>
    <cellStyle name="하이퍼링크" xfId="75" builtinId="8" hidden="1"/>
    <cellStyle name="하이퍼링크" xfId="77" builtinId="8" hidden="1"/>
    <cellStyle name="하이퍼링크" xfId="79" builtinId="8" hidden="1"/>
    <cellStyle name="하이퍼링크" xfId="81" builtinId="8" hidden="1"/>
    <cellStyle name="하이퍼링크" xfId="83" builtinId="8" hidden="1"/>
    <cellStyle name="하이퍼링크" xfId="85" builtinId="8" hidden="1"/>
    <cellStyle name="하이퍼링크" xfId="87" builtinId="8" hidden="1"/>
    <cellStyle name="하이퍼링크" xfId="89" builtinId="8" hidden="1"/>
    <cellStyle name="하이퍼링크" xfId="91" builtinId="8" hidden="1"/>
    <cellStyle name="하이퍼링크" xfId="93" builtinId="8" hidden="1"/>
    <cellStyle name="하이퍼링크" xfId="95" builtinId="8" hidden="1"/>
    <cellStyle name="하이퍼링크" xfId="97" builtinId="8" hidden="1"/>
    <cellStyle name="하이퍼링크" xfId="99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2025650</xdr:colOff>
      <xdr:row>56</xdr:row>
      <xdr:rowOff>133350</xdr:rowOff>
    </xdr:from>
    <xdr:to>
      <xdr:col>4</xdr:col>
      <xdr:colOff>228600</xdr:colOff>
      <xdr:row>59</xdr:row>
      <xdr:rowOff>95250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F5BDA8D6-CB5D-4427-8BEF-938FCC948B50}"/>
            </a:ext>
          </a:extLst>
        </xdr:cNvPr>
        <xdr:cNvSpPr/>
      </xdr:nvSpPr>
      <xdr:spPr>
        <a:xfrm>
          <a:off x="2247900" y="18948400"/>
          <a:ext cx="2279650" cy="55245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latinLnBrk="1">
            <a:lnSpc>
              <a:spcPct val="107000"/>
            </a:lnSpc>
            <a:spcAft>
              <a:spcPts val="800"/>
            </a:spcAft>
          </a:pPr>
          <a:r>
            <a:rPr lang="en-US" sz="1100" b="1" kern="100">
              <a:effectLst/>
              <a:ea typeface="맑은 고딕" panose="020B0503020000020004" pitchFamily="50" charset="-127"/>
              <a:cs typeface="Times New Roman" panose="02020603050405020304" pitchFamily="18" charset="0"/>
            </a:rPr>
            <a:t>KTM</a:t>
          </a:r>
        </a:p>
      </xdr:txBody>
    </xdr:sp>
    <xdr:clientData/>
  </xdr:twoCellAnchor>
  <xdr:twoCellAnchor>
    <xdr:from>
      <xdr:col>2</xdr:col>
      <xdr:colOff>71755</xdr:colOff>
      <xdr:row>43</xdr:row>
      <xdr:rowOff>25400</xdr:rowOff>
    </xdr:from>
    <xdr:to>
      <xdr:col>3</xdr:col>
      <xdr:colOff>698500</xdr:colOff>
      <xdr:row>45</xdr:row>
      <xdr:rowOff>171450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2B41A559-D310-4740-93B8-6156D6DD055D}"/>
            </a:ext>
          </a:extLst>
        </xdr:cNvPr>
        <xdr:cNvSpPr/>
      </xdr:nvSpPr>
      <xdr:spPr>
        <a:xfrm>
          <a:off x="2605405" y="16281400"/>
          <a:ext cx="1579245" cy="5397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latinLnBrk="1">
            <a:lnSpc>
              <a:spcPct val="107000"/>
            </a:lnSpc>
            <a:spcAft>
              <a:spcPts val="800"/>
            </a:spcAft>
          </a:pPr>
          <a:r>
            <a:rPr lang="en-US" sz="1100" b="1" kern="100">
              <a:effectLst/>
              <a:ea typeface="맑은 고딕" panose="020B0503020000020004" pitchFamily="50" charset="-127"/>
              <a:cs typeface="Times New Roman" panose="02020603050405020304" pitchFamily="18" charset="0"/>
            </a:rPr>
            <a:t>Cross-Holding</a:t>
          </a:r>
        </a:p>
      </xdr:txBody>
    </xdr:sp>
    <xdr:clientData/>
  </xdr:twoCellAnchor>
  <xdr:twoCellAnchor>
    <xdr:from>
      <xdr:col>3</xdr:col>
      <xdr:colOff>285750</xdr:colOff>
      <xdr:row>49</xdr:row>
      <xdr:rowOff>95250</xdr:rowOff>
    </xdr:from>
    <xdr:to>
      <xdr:col>5</xdr:col>
      <xdr:colOff>99695</xdr:colOff>
      <xdr:row>52</xdr:row>
      <xdr:rowOff>44450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84A40616-24B8-4CA6-8794-03D6B83ED224}"/>
            </a:ext>
          </a:extLst>
        </xdr:cNvPr>
        <xdr:cNvSpPr/>
      </xdr:nvSpPr>
      <xdr:spPr>
        <a:xfrm>
          <a:off x="3771900" y="17532350"/>
          <a:ext cx="1439545" cy="5397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latinLnBrk="1">
            <a:lnSpc>
              <a:spcPct val="107000"/>
            </a:lnSpc>
            <a:spcAft>
              <a:spcPts val="800"/>
            </a:spcAft>
          </a:pPr>
          <a:r>
            <a:rPr lang="en-US" sz="1100" b="1" kern="100">
              <a:effectLst/>
              <a:ea typeface="맑은 고딕" panose="020B0503020000020004" pitchFamily="50" charset="-127"/>
              <a:cs typeface="Times New Roman" panose="02020603050405020304" pitchFamily="18" charset="0"/>
            </a:rPr>
            <a:t>BC Capital</a:t>
          </a:r>
        </a:p>
      </xdr:txBody>
    </xdr:sp>
    <xdr:clientData/>
  </xdr:twoCellAnchor>
  <xdr:twoCellAnchor>
    <xdr:from>
      <xdr:col>6</xdr:col>
      <xdr:colOff>120650</xdr:colOff>
      <xdr:row>49</xdr:row>
      <xdr:rowOff>95250</xdr:rowOff>
    </xdr:from>
    <xdr:to>
      <xdr:col>7</xdr:col>
      <xdr:colOff>747395</xdr:colOff>
      <xdr:row>52</xdr:row>
      <xdr:rowOff>44450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555D07C3-EAB4-49A4-B32D-DEDE0AF15F77}"/>
            </a:ext>
          </a:extLst>
        </xdr:cNvPr>
        <xdr:cNvSpPr/>
      </xdr:nvSpPr>
      <xdr:spPr>
        <a:xfrm>
          <a:off x="6045200" y="17532350"/>
          <a:ext cx="1439545" cy="53975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latinLnBrk="1">
            <a:lnSpc>
              <a:spcPct val="107000"/>
            </a:lnSpc>
            <a:spcAft>
              <a:spcPts val="800"/>
            </a:spcAft>
          </a:pPr>
          <a:r>
            <a:rPr lang="en-US" sz="1100" b="1" kern="100">
              <a:effectLst/>
              <a:latin typeface="+mn-lt"/>
              <a:ea typeface="맑은 고딕" panose="020B0503020000020004" pitchFamily="50" charset="-127"/>
              <a:cs typeface="Times New Roman" panose="02020603050405020304" pitchFamily="18" charset="0"/>
            </a:rPr>
            <a:t>JC PE Fund </a:t>
          </a:r>
          <a:r>
            <a:rPr lang="en-US" sz="1100" b="1" kern="100">
              <a:effectLst/>
              <a:latin typeface="Californian FB" panose="0207040306080B030204" pitchFamily="18" charset="0"/>
              <a:ea typeface="맑은 고딕" panose="020B0503020000020004" pitchFamily="50" charset="-127"/>
              <a:cs typeface="Times New Roman" panose="02020603050405020304" pitchFamily="18" charset="0"/>
            </a:rPr>
            <a:t>Ⅰ</a:t>
          </a:r>
        </a:p>
      </xdr:txBody>
    </xdr:sp>
    <xdr:clientData/>
  </xdr:twoCellAnchor>
  <xdr:twoCellAnchor>
    <xdr:from>
      <xdr:col>2</xdr:col>
      <xdr:colOff>854075</xdr:colOff>
      <xdr:row>45</xdr:row>
      <xdr:rowOff>171450</xdr:rowOff>
    </xdr:from>
    <xdr:to>
      <xdr:col>2</xdr:col>
      <xdr:colOff>861378</xdr:colOff>
      <xdr:row>56</xdr:row>
      <xdr:rowOff>133350</xdr:rowOff>
    </xdr:to>
    <xdr:cxnSp macro="">
      <xdr:nvCxnSpPr>
        <xdr:cNvPr id="6" name="직선 연결선 5">
          <a:extLst>
            <a:ext uri="{FF2B5EF4-FFF2-40B4-BE49-F238E27FC236}">
              <a16:creationId xmlns:a16="http://schemas.microsoft.com/office/drawing/2014/main" id="{4746F580-46FC-4319-8ABA-BA2AB18A793A}"/>
            </a:ext>
          </a:extLst>
        </xdr:cNvPr>
        <xdr:cNvCxnSpPr>
          <a:stCxn id="3" idx="4"/>
          <a:endCxn id="2" idx="0"/>
        </xdr:cNvCxnSpPr>
      </xdr:nvCxnSpPr>
      <xdr:spPr>
        <a:xfrm flipH="1">
          <a:off x="3387725" y="16821150"/>
          <a:ext cx="7303" cy="212725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854075</xdr:colOff>
      <xdr:row>51</xdr:row>
      <xdr:rowOff>162255</xdr:rowOff>
    </xdr:from>
    <xdr:to>
      <xdr:col>3</xdr:col>
      <xdr:colOff>496566</xdr:colOff>
      <xdr:row>56</xdr:row>
      <xdr:rowOff>133350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57CFFA6A-27E3-4FA3-858C-D282DA071980}"/>
            </a:ext>
          </a:extLst>
        </xdr:cNvPr>
        <xdr:cNvCxnSpPr>
          <a:stCxn id="4" idx="3"/>
          <a:endCxn id="2" idx="0"/>
        </xdr:cNvCxnSpPr>
      </xdr:nvCxnSpPr>
      <xdr:spPr>
        <a:xfrm flipH="1">
          <a:off x="3387725" y="17993055"/>
          <a:ext cx="594991" cy="955345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99695</xdr:colOff>
      <xdr:row>50</xdr:row>
      <xdr:rowOff>168275</xdr:rowOff>
    </xdr:from>
    <xdr:to>
      <xdr:col>6</xdr:col>
      <xdr:colOff>120650</xdr:colOff>
      <xdr:row>50</xdr:row>
      <xdr:rowOff>168275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34D69A32-9DEE-47AB-8DB4-86B4CEA736E4}"/>
            </a:ext>
          </a:extLst>
        </xdr:cNvPr>
        <xdr:cNvCxnSpPr>
          <a:stCxn id="5" idx="2"/>
          <a:endCxn id="4" idx="6"/>
        </xdr:cNvCxnSpPr>
      </xdr:nvCxnSpPr>
      <xdr:spPr>
        <a:xfrm flipH="1">
          <a:off x="5211445" y="17802225"/>
          <a:ext cx="833755" cy="0"/>
        </a:xfrm>
        <a:prstGeom prst="line">
          <a:avLst/>
        </a:prstGeom>
        <a:ln w="9525" cap="flat" cmpd="sng" algn="ctr">
          <a:solidFill>
            <a:schemeClr val="accent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487684</xdr:colOff>
      <xdr:row>43</xdr:row>
      <xdr:rowOff>104445</xdr:rowOff>
    </xdr:from>
    <xdr:to>
      <xdr:col>7</xdr:col>
      <xdr:colOff>27623</xdr:colOff>
      <xdr:row>49</xdr:row>
      <xdr:rowOff>95250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186DDE47-F9FB-4DB8-AE74-6364E22F89B1}"/>
            </a:ext>
          </a:extLst>
        </xdr:cNvPr>
        <xdr:cNvCxnSpPr>
          <a:stCxn id="5" idx="0"/>
          <a:endCxn id="3" idx="7"/>
        </xdr:cNvCxnSpPr>
      </xdr:nvCxnSpPr>
      <xdr:spPr>
        <a:xfrm flipH="1" flipV="1">
          <a:off x="3973834" y="16360445"/>
          <a:ext cx="2791139" cy="1171905"/>
        </a:xfrm>
        <a:prstGeom prst="line">
          <a:avLst/>
        </a:prstGeom>
        <a:ln w="9525" cap="flat" cmpd="sng" algn="ctr">
          <a:solidFill>
            <a:schemeClr val="accent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51</xdr:row>
      <xdr:rowOff>162255</xdr:rowOff>
    </xdr:from>
    <xdr:to>
      <xdr:col>6</xdr:col>
      <xdr:colOff>331466</xdr:colOff>
      <xdr:row>58</xdr:row>
      <xdr:rowOff>15875</xdr:rowOff>
    </xdr:to>
    <xdr:cxnSp macro="">
      <xdr:nvCxnSpPr>
        <xdr:cNvPr id="10" name="직선 연결선 9">
          <a:extLst>
            <a:ext uri="{FF2B5EF4-FFF2-40B4-BE49-F238E27FC236}">
              <a16:creationId xmlns:a16="http://schemas.microsoft.com/office/drawing/2014/main" id="{0C62DEDE-A491-469B-947C-617945082B29}"/>
            </a:ext>
          </a:extLst>
        </xdr:cNvPr>
        <xdr:cNvCxnSpPr>
          <a:stCxn id="5" idx="3"/>
          <a:endCxn id="2" idx="3"/>
        </xdr:cNvCxnSpPr>
      </xdr:nvCxnSpPr>
      <xdr:spPr>
        <a:xfrm flipH="1">
          <a:off x="4527550" y="17993055"/>
          <a:ext cx="1728466" cy="123157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303030</xdr:colOff>
      <xdr:row>45</xdr:row>
      <xdr:rowOff>92405</xdr:rowOff>
    </xdr:from>
    <xdr:to>
      <xdr:col>2</xdr:col>
      <xdr:colOff>854075</xdr:colOff>
      <xdr:row>56</xdr:row>
      <xdr:rowOff>133350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2B5D9C39-1709-46C5-9478-52C6A6BD4E09}"/>
            </a:ext>
          </a:extLst>
        </xdr:cNvPr>
        <xdr:cNvCxnSpPr>
          <a:stCxn id="3" idx="3"/>
          <a:endCxn id="2" idx="0"/>
        </xdr:cNvCxnSpPr>
      </xdr:nvCxnSpPr>
      <xdr:spPr>
        <a:xfrm>
          <a:off x="2836680" y="16742105"/>
          <a:ext cx="551045" cy="2206295"/>
        </a:xfrm>
        <a:prstGeom prst="line">
          <a:avLst/>
        </a:prstGeom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</xdr:col>
      <xdr:colOff>558800</xdr:colOff>
      <xdr:row>48</xdr:row>
      <xdr:rowOff>114300</xdr:rowOff>
    </xdr:from>
    <xdr:ext cx="535596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EB977DE-EC9C-4641-B982-C3383C4D1535}"/>
            </a:ext>
          </a:extLst>
        </xdr:cNvPr>
        <xdr:cNvSpPr txBox="1"/>
      </xdr:nvSpPr>
      <xdr:spPr>
        <a:xfrm>
          <a:off x="3092450" y="17354550"/>
          <a:ext cx="5355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ysClr val="windowText" lastClr="000000"/>
              </a:solidFill>
            </a:rPr>
            <a:t>55.4%</a:t>
          </a:r>
        </a:p>
      </xdr:txBody>
    </xdr:sp>
    <xdr:clientData/>
  </xdr:oneCellAnchor>
  <xdr:oneCellAnchor>
    <xdr:from>
      <xdr:col>3</xdr:col>
      <xdr:colOff>114300</xdr:colOff>
      <xdr:row>52</xdr:row>
      <xdr:rowOff>76200</xdr:rowOff>
    </xdr:from>
    <xdr:ext cx="428515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ED26BD7-57CE-4869-B194-25CC56A23FAE}"/>
            </a:ext>
          </a:extLst>
        </xdr:cNvPr>
        <xdr:cNvSpPr txBox="1"/>
      </xdr:nvSpPr>
      <xdr:spPr>
        <a:xfrm>
          <a:off x="3600450" y="181038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>
                  <a:lumMod val="50000"/>
                </a:schemeClr>
              </a:solidFill>
            </a:rPr>
            <a:t>49%</a:t>
          </a:r>
        </a:p>
      </xdr:txBody>
    </xdr:sp>
    <xdr:clientData/>
  </xdr:oneCellAnchor>
  <xdr:oneCellAnchor>
    <xdr:from>
      <xdr:col>5</xdr:col>
      <xdr:colOff>215900</xdr:colOff>
      <xdr:row>53</xdr:row>
      <xdr:rowOff>50800</xdr:rowOff>
    </xdr:from>
    <xdr:ext cx="53559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56861CD-1022-448D-92B0-F412B9B2F368}"/>
            </a:ext>
          </a:extLst>
        </xdr:cNvPr>
        <xdr:cNvSpPr txBox="1"/>
      </xdr:nvSpPr>
      <xdr:spPr>
        <a:xfrm>
          <a:off x="5327650" y="18275300"/>
          <a:ext cx="5355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ysClr val="windowText" lastClr="000000"/>
              </a:solidFill>
            </a:rPr>
            <a:t>44.6%</a:t>
          </a:r>
        </a:p>
      </xdr:txBody>
    </xdr:sp>
    <xdr:clientData/>
  </xdr:oneCellAnchor>
  <xdr:oneCellAnchor>
    <xdr:from>
      <xdr:col>5</xdr:col>
      <xdr:colOff>132093</xdr:colOff>
      <xdr:row>49</xdr:row>
      <xdr:rowOff>146050</xdr:rowOff>
    </xdr:from>
    <xdr:ext cx="756907" cy="436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578CAF6-42C0-47BB-B6EE-2AB7AD93D237}"/>
            </a:ext>
          </a:extLst>
        </xdr:cNvPr>
        <xdr:cNvSpPr txBox="1"/>
      </xdr:nvSpPr>
      <xdr:spPr>
        <a:xfrm>
          <a:off x="5243843" y="17583150"/>
          <a:ext cx="75690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€100M</a:t>
          </a:r>
        </a:p>
        <a:p>
          <a:pPr algn="r"/>
          <a:r>
            <a:rPr lang="en-US" sz="1100">
              <a:solidFill>
                <a:sysClr val="windowText" lastClr="000000"/>
              </a:solidFill>
            </a:rPr>
            <a:t>Shares</a:t>
          </a:r>
        </a:p>
      </xdr:txBody>
    </xdr:sp>
    <xdr:clientData/>
  </xdr:oneCellAnchor>
  <xdr:oneCellAnchor>
    <xdr:from>
      <xdr:col>3</xdr:col>
      <xdr:colOff>654050</xdr:colOff>
      <xdr:row>43</xdr:row>
      <xdr:rowOff>95251</xdr:rowOff>
    </xdr:from>
    <xdr:ext cx="2146300" cy="43678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1CD4697-B560-4F8C-B64B-B49821230B5A}"/>
            </a:ext>
          </a:extLst>
        </xdr:cNvPr>
        <xdr:cNvSpPr txBox="1"/>
      </xdr:nvSpPr>
      <xdr:spPr>
        <a:xfrm>
          <a:off x="4140200" y="16351251"/>
          <a:ext cx="21463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€20M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>
              <a:solidFill>
                <a:sysClr val="windowText" lastClr="000000"/>
              </a:solidFill>
            </a:rPr>
            <a:t>as collateralized debt obligations</a:t>
          </a:r>
        </a:p>
      </xdr:txBody>
    </xdr:sp>
    <xdr:clientData/>
  </xdr:oneCellAnchor>
  <xdr:oneCellAnchor>
    <xdr:from>
      <xdr:col>5</xdr:col>
      <xdr:colOff>171450</xdr:colOff>
      <xdr:row>47</xdr:row>
      <xdr:rowOff>124214</xdr:rowOff>
    </xdr:from>
    <xdr:ext cx="1822450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DE0A570-4AEF-4E8E-9F25-A3A89E908ADE}"/>
            </a:ext>
          </a:extLst>
        </xdr:cNvPr>
        <xdr:cNvSpPr txBox="1"/>
      </xdr:nvSpPr>
      <xdr:spPr>
        <a:xfrm>
          <a:off x="5283200" y="17167614"/>
          <a:ext cx="18224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Interest and Principal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</xdr:col>
      <xdr:colOff>127000</xdr:colOff>
      <xdr:row>51</xdr:row>
      <xdr:rowOff>124214</xdr:rowOff>
    </xdr:from>
    <xdr:ext cx="736600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D605F91-EF92-4694-B756-CDD84854D9DD}"/>
            </a:ext>
          </a:extLst>
        </xdr:cNvPr>
        <xdr:cNvSpPr txBox="1"/>
      </xdr:nvSpPr>
      <xdr:spPr>
        <a:xfrm>
          <a:off x="2660650" y="17955014"/>
          <a:ext cx="7366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€20M</a:t>
          </a:r>
        </a:p>
      </xdr:txBody>
    </xdr:sp>
    <xdr:clientData/>
  </xdr:oneCellAnchor>
  <xdr:oneCellAnchor>
    <xdr:from>
      <xdr:col>2</xdr:col>
      <xdr:colOff>565150</xdr:colOff>
      <xdr:row>47</xdr:row>
      <xdr:rowOff>114300</xdr:rowOff>
    </xdr:from>
    <xdr:ext cx="428515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54D5A8B-720B-4DF7-8F31-767BE114D110}"/>
            </a:ext>
          </a:extLst>
        </xdr:cNvPr>
        <xdr:cNvSpPr txBox="1"/>
      </xdr:nvSpPr>
      <xdr:spPr>
        <a:xfrm>
          <a:off x="3098800" y="171577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>
                  <a:lumMod val="50000"/>
                </a:schemeClr>
              </a:solidFill>
            </a:rPr>
            <a:t>51%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55"/>
  <sheetViews>
    <sheetView showGridLines="0" tabSelected="1" workbookViewId="0"/>
  </sheetViews>
  <sheetFormatPr defaultColWidth="10.6640625" defaultRowHeight="15.5"/>
  <cols>
    <col min="1" max="1" width="2.9140625" style="23" customWidth="1"/>
    <col min="2" max="2" width="30.33203125" style="23" customWidth="1"/>
    <col min="3" max="3" width="12.5" style="23" customWidth="1"/>
    <col min="4" max="16384" width="10.6640625" style="23"/>
  </cols>
  <sheetData>
    <row r="1" spans="2:5" ht="21">
      <c r="B1" s="72" t="s">
        <v>56</v>
      </c>
    </row>
    <row r="2" spans="2:5">
      <c r="B2" s="62"/>
    </row>
    <row r="3" spans="2:5">
      <c r="B3" s="64" t="s">
        <v>57</v>
      </c>
      <c r="C3" s="196" t="s">
        <v>70</v>
      </c>
      <c r="E3" s="19"/>
    </row>
    <row r="4" spans="2:5">
      <c r="B4" s="25" t="s">
        <v>58</v>
      </c>
      <c r="C4" s="65">
        <v>0.4</v>
      </c>
      <c r="E4" s="19"/>
    </row>
    <row r="5" spans="2:5">
      <c r="B5" s="174" t="s">
        <v>88</v>
      </c>
      <c r="C5" s="174">
        <f>SUM(C6:C8)</f>
        <v>158.30000000000001</v>
      </c>
      <c r="E5" s="19"/>
    </row>
    <row r="6" spans="2:5">
      <c r="B6" s="144" t="s">
        <v>64</v>
      </c>
      <c r="C6" s="23">
        <v>33.700000000000003</v>
      </c>
      <c r="E6" s="19"/>
    </row>
    <row r="7" spans="2:5">
      <c r="B7" s="144" t="s">
        <v>65</v>
      </c>
      <c r="C7" s="23">
        <v>71.7</v>
      </c>
      <c r="E7" s="19"/>
    </row>
    <row r="8" spans="2:5">
      <c r="B8" s="144" t="s">
        <v>66</v>
      </c>
      <c r="C8" s="23">
        <v>52.9</v>
      </c>
      <c r="E8" s="19"/>
    </row>
    <row r="9" spans="2:5">
      <c r="B9" s="66" t="s">
        <v>113</v>
      </c>
      <c r="C9" s="23">
        <v>10.8</v>
      </c>
      <c r="E9" s="19"/>
    </row>
    <row r="10" spans="2:5" ht="17.5">
      <c r="B10" s="25" t="s">
        <v>127</v>
      </c>
      <c r="C10" s="67">
        <f>C9/C5</f>
        <v>6.8224889450410608E-2</v>
      </c>
      <c r="E10" s="19"/>
    </row>
    <row r="11" spans="2:5">
      <c r="B11" s="175" t="s">
        <v>59</v>
      </c>
      <c r="C11" s="175">
        <v>32.6</v>
      </c>
      <c r="E11" s="19"/>
    </row>
    <row r="12" spans="2:5">
      <c r="B12" s="144" t="s">
        <v>67</v>
      </c>
      <c r="C12" s="34">
        <v>4.2000000000000003E-2</v>
      </c>
      <c r="E12" s="19"/>
    </row>
    <row r="13" spans="2:5">
      <c r="B13" s="144" t="s">
        <v>69</v>
      </c>
      <c r="C13" s="23">
        <v>0.77</v>
      </c>
      <c r="E13" s="19"/>
    </row>
    <row r="14" spans="2:5">
      <c r="B14" s="144" t="s">
        <v>68</v>
      </c>
      <c r="C14" s="34">
        <v>6.8500000000000005E-2</v>
      </c>
      <c r="E14" s="19"/>
    </row>
    <row r="15" spans="2:5" ht="17.5">
      <c r="B15" s="25" t="s">
        <v>128</v>
      </c>
      <c r="C15" s="68">
        <f>C12+C13*C14</f>
        <v>9.474500000000001E-2</v>
      </c>
    </row>
    <row r="16" spans="2:5">
      <c r="B16" s="144" t="s">
        <v>60</v>
      </c>
      <c r="C16" s="33">
        <f>C5/(C5+C11)</f>
        <v>0.82922996333158727</v>
      </c>
    </row>
    <row r="17" spans="2:9">
      <c r="B17" s="144" t="s">
        <v>61</v>
      </c>
      <c r="C17" s="33">
        <f>1-C16</f>
        <v>0.17077003666841273</v>
      </c>
    </row>
    <row r="18" spans="2:9">
      <c r="B18" s="25" t="s">
        <v>54</v>
      </c>
      <c r="C18" s="67">
        <f>C16*C10*(1-C4)+C17*C15</f>
        <v>5.0124080670508116E-2</v>
      </c>
    </row>
    <row r="19" spans="2:9">
      <c r="B19" s="62"/>
    </row>
    <row r="20" spans="2:9">
      <c r="B20" s="62"/>
    </row>
    <row r="21" spans="2:9">
      <c r="B21" s="64" t="s">
        <v>82</v>
      </c>
      <c r="C21" s="196" t="s">
        <v>70</v>
      </c>
    </row>
    <row r="23" spans="2:9" s="19" customFormat="1" ht="17.5" customHeight="1">
      <c r="B23" s="176" t="s">
        <v>72</v>
      </c>
      <c r="C23" s="55" t="s">
        <v>71</v>
      </c>
      <c r="D23" s="179" t="s">
        <v>4</v>
      </c>
      <c r="E23" s="180"/>
      <c r="F23" s="180"/>
      <c r="G23" s="180"/>
      <c r="H23" s="181"/>
    </row>
    <row r="24" spans="2:9" s="19" customFormat="1" ht="17.5" customHeight="1">
      <c r="B24" s="177"/>
      <c r="C24" s="172">
        <v>0</v>
      </c>
      <c r="D24" s="172">
        <v>1</v>
      </c>
      <c r="E24" s="172">
        <v>2</v>
      </c>
      <c r="F24" s="172">
        <v>3</v>
      </c>
      <c r="G24" s="172">
        <v>4</v>
      </c>
      <c r="H24" s="172">
        <v>5</v>
      </c>
    </row>
    <row r="25" spans="2:9" ht="15.5" customHeight="1">
      <c r="B25" s="178"/>
      <c r="C25" s="173" t="s">
        <v>117</v>
      </c>
      <c r="D25" s="173" t="s">
        <v>118</v>
      </c>
      <c r="E25" s="173" t="s">
        <v>119</v>
      </c>
      <c r="F25" s="173" t="s">
        <v>120</v>
      </c>
      <c r="G25" s="173" t="s">
        <v>121</v>
      </c>
      <c r="H25" s="173" t="s">
        <v>122</v>
      </c>
    </row>
    <row r="26" spans="2:9" s="69" customFormat="1" ht="13">
      <c r="B26" s="61" t="s">
        <v>44</v>
      </c>
      <c r="C26" s="29"/>
      <c r="D26" s="29">
        <f>6%*70%</f>
        <v>4.1999999999999996E-2</v>
      </c>
      <c r="E26" s="29">
        <f>6%*70%</f>
        <v>4.1999999999999996E-2</v>
      </c>
      <c r="F26" s="29">
        <f>6%*70%</f>
        <v>4.1999999999999996E-2</v>
      </c>
      <c r="G26" s="29">
        <f>4%*70%</f>
        <v>2.7999999999999997E-2</v>
      </c>
      <c r="H26" s="29">
        <f>4%*70%</f>
        <v>2.7999999999999997E-2</v>
      </c>
    </row>
    <row r="27" spans="2:9" s="25" customFormat="1">
      <c r="B27" s="56" t="s">
        <v>0</v>
      </c>
      <c r="C27" s="24">
        <v>314.10000000000002</v>
      </c>
      <c r="D27" s="24">
        <f>C27*(1+D26)</f>
        <v>327.29220000000004</v>
      </c>
      <c r="E27" s="24">
        <f>D27*(1+E26)</f>
        <v>341.03847240000005</v>
      </c>
      <c r="F27" s="24">
        <f>E27*(1+F26)</f>
        <v>355.36208824080006</v>
      </c>
      <c r="G27" s="24">
        <f>F27*(1+G26)</f>
        <v>365.31222671154245</v>
      </c>
      <c r="H27" s="24">
        <f>G27*(1+H26)</f>
        <v>375.54096905946562</v>
      </c>
      <c r="I27" s="19"/>
    </row>
    <row r="28" spans="2:9">
      <c r="B28" s="194" t="s">
        <v>40</v>
      </c>
      <c r="C28" s="24">
        <v>38.6</v>
      </c>
      <c r="D28" s="24">
        <f>C28*(1+D26)</f>
        <v>40.221200000000003</v>
      </c>
      <c r="E28" s="24">
        <f>D28*(1+E26)</f>
        <v>41.910490400000008</v>
      </c>
      <c r="F28" s="24">
        <f>E28*(1+F26)</f>
        <v>43.67073099680001</v>
      </c>
      <c r="G28" s="24">
        <f>F28*(1+G26)</f>
        <v>44.893511464710414</v>
      </c>
      <c r="H28" s="24">
        <f>G28*(1+H26)</f>
        <v>46.150529785722306</v>
      </c>
      <c r="I28" s="19"/>
    </row>
    <row r="29" spans="2:9" s="25" customFormat="1">
      <c r="B29" s="57" t="s">
        <v>1</v>
      </c>
      <c r="C29" s="20">
        <f t="shared" ref="C29:H29" si="0">C28+C35</f>
        <v>53.900000000000006</v>
      </c>
      <c r="D29" s="20">
        <f t="shared" si="0"/>
        <v>56.163800000000009</v>
      </c>
      <c r="E29" s="20">
        <f t="shared" si="0"/>
        <v>58.522679600000011</v>
      </c>
      <c r="F29" s="20">
        <f t="shared" si="0"/>
        <v>60.980632143200012</v>
      </c>
      <c r="G29" s="20">
        <f t="shared" si="0"/>
        <v>62.68808984320961</v>
      </c>
      <c r="H29" s="20">
        <f t="shared" si="0"/>
        <v>64.443356358819486</v>
      </c>
      <c r="I29" s="19"/>
    </row>
    <row r="30" spans="2:9">
      <c r="B30" s="56" t="s">
        <v>41</v>
      </c>
      <c r="C30" s="24">
        <v>10.8</v>
      </c>
      <c r="D30" s="24">
        <v>10.8</v>
      </c>
      <c r="E30" s="24">
        <v>10.8</v>
      </c>
      <c r="F30" s="24">
        <v>10.8</v>
      </c>
      <c r="G30" s="24">
        <v>10.8</v>
      </c>
      <c r="H30" s="24">
        <v>10.8</v>
      </c>
      <c r="I30" s="19"/>
    </row>
    <row r="31" spans="2:9" s="25" customFormat="1">
      <c r="B31" s="56" t="s">
        <v>7</v>
      </c>
      <c r="C31" s="24">
        <v>28.9</v>
      </c>
      <c r="D31" s="24">
        <f>D29-D30-D35</f>
        <v>29.42120000000001</v>
      </c>
      <c r="E31" s="24">
        <f>E29-E30-E35</f>
        <v>31.110490400000003</v>
      </c>
      <c r="F31" s="24">
        <f>F29-F30-F35</f>
        <v>32.870730996800013</v>
      </c>
      <c r="G31" s="24">
        <f>G29-G30-G35</f>
        <v>34.093511464710417</v>
      </c>
      <c r="H31" s="24">
        <f>H29-H30-H35</f>
        <v>35.350529785722316</v>
      </c>
      <c r="I31" s="19"/>
    </row>
    <row r="32" spans="2:9">
      <c r="B32" s="56" t="s">
        <v>6</v>
      </c>
      <c r="C32" s="24">
        <v>12.5</v>
      </c>
      <c r="D32" s="24">
        <f>D31*$C$4</f>
        <v>11.768480000000004</v>
      </c>
      <c r="E32" s="24">
        <f>E31*$C$4</f>
        <v>12.444196160000002</v>
      </c>
      <c r="F32" s="24">
        <f>F31*$C$4</f>
        <v>13.148292398720006</v>
      </c>
      <c r="G32" s="24">
        <f>G31*$C$4</f>
        <v>13.637404585884168</v>
      </c>
      <c r="H32" s="24">
        <f>H31*$C$4</f>
        <v>14.140211914288926</v>
      </c>
      <c r="I32" s="19"/>
    </row>
    <row r="33" spans="2:9" s="25" customFormat="1">
      <c r="B33" s="56" t="s">
        <v>73</v>
      </c>
      <c r="C33" s="24">
        <f>C31-C32</f>
        <v>16.399999999999999</v>
      </c>
      <c r="D33" s="24">
        <f>D31-D32</f>
        <v>17.652720000000006</v>
      </c>
      <c r="E33" s="24">
        <f t="shared" ref="E33:H33" si="1">E31-E32</f>
        <v>18.666294239999999</v>
      </c>
      <c r="F33" s="24">
        <f t="shared" si="1"/>
        <v>19.722438598080007</v>
      </c>
      <c r="G33" s="24">
        <f t="shared" si="1"/>
        <v>20.456106878826247</v>
      </c>
      <c r="H33" s="24">
        <f t="shared" si="1"/>
        <v>21.210317871433389</v>
      </c>
      <c r="I33" s="19"/>
    </row>
    <row r="34" spans="2:9" s="69" customFormat="1" ht="13">
      <c r="B34" s="61" t="s">
        <v>14</v>
      </c>
      <c r="C34" s="29">
        <f t="shared" ref="C34:H34" si="2">C33/C27</f>
        <v>5.2212671123845901E-2</v>
      </c>
      <c r="D34" s="29">
        <f t="shared" si="2"/>
        <v>5.3935657495045725E-2</v>
      </c>
      <c r="E34" s="29">
        <f t="shared" si="2"/>
        <v>5.4733690626277851E-2</v>
      </c>
      <c r="F34" s="29">
        <f t="shared" si="2"/>
        <v>5.5499557354907567E-2</v>
      </c>
      <c r="G34" s="29">
        <f t="shared" si="2"/>
        <v>5.5996228385147326E-2</v>
      </c>
      <c r="H34" s="29">
        <f t="shared" si="2"/>
        <v>5.6479371410672392E-2</v>
      </c>
      <c r="I34" s="70"/>
    </row>
    <row r="35" spans="2:9">
      <c r="B35" s="194" t="s">
        <v>5</v>
      </c>
      <c r="C35" s="24">
        <v>15.3</v>
      </c>
      <c r="D35" s="24">
        <f>D27*C48</f>
        <v>15.942600000000002</v>
      </c>
      <c r="E35" s="24">
        <f>E27*D48</f>
        <v>16.612189200000003</v>
      </c>
      <c r="F35" s="24">
        <f>F27*E48</f>
        <v>17.309901146400001</v>
      </c>
      <c r="G35" s="24">
        <f>G27*F48</f>
        <v>17.7945783784992</v>
      </c>
      <c r="H35" s="24">
        <f>H27*G48</f>
        <v>18.292826573097177</v>
      </c>
      <c r="I35" s="19"/>
    </row>
    <row r="36" spans="2:9">
      <c r="B36" s="194" t="s">
        <v>42</v>
      </c>
      <c r="C36" s="38" t="s">
        <v>50</v>
      </c>
      <c r="D36" s="24">
        <f>D49-C49</f>
        <v>2.3352000000000004</v>
      </c>
      <c r="E36" s="24">
        <f>E49-D49</f>
        <v>2.433278399999999</v>
      </c>
      <c r="F36" s="24">
        <f>F49-E49</f>
        <v>2.5354760928000033</v>
      </c>
      <c r="G36" s="24">
        <f>G49-F49</f>
        <v>1.7613107257983955</v>
      </c>
      <c r="H36" s="24">
        <f>H49-G49</f>
        <v>1.8106274261207602</v>
      </c>
      <c r="I36" s="19"/>
    </row>
    <row r="37" spans="2:9">
      <c r="B37" s="194" t="s">
        <v>8</v>
      </c>
      <c r="C37" s="22">
        <v>23.9</v>
      </c>
      <c r="D37" s="27">
        <v>30</v>
      </c>
      <c r="E37" s="27">
        <v>30</v>
      </c>
      <c r="F37" s="27">
        <v>35</v>
      </c>
      <c r="G37" s="27">
        <v>25</v>
      </c>
      <c r="H37" s="27">
        <v>25</v>
      </c>
      <c r="I37" s="19"/>
    </row>
    <row r="38" spans="2:9" s="25" customFormat="1">
      <c r="B38" s="195" t="s">
        <v>43</v>
      </c>
      <c r="C38" s="32" t="s">
        <v>50</v>
      </c>
      <c r="D38" s="20">
        <f>D28*(1-C4)+D35-D36-D37</f>
        <v>7.7401200000000046</v>
      </c>
      <c r="E38" s="20">
        <f>E33+E30*(1-$C$4)+E35-E36-E37</f>
        <v>9.3252050400000073</v>
      </c>
      <c r="F38" s="20">
        <f>F33+F30*(1-$C$4)+F35-F36-F37</f>
        <v>5.9768636516800058</v>
      </c>
      <c r="G38" s="20">
        <f>G33+G30*(1-$C$4)+G35-G36-G37</f>
        <v>17.969374531527052</v>
      </c>
      <c r="H38" s="20">
        <f>H33+H30*(1-$C$4)+H35-H36-H37</f>
        <v>19.172517018409806</v>
      </c>
      <c r="I38" s="19"/>
    </row>
    <row r="39" spans="2:9" s="69" customFormat="1" ht="13">
      <c r="B39" s="61" t="s">
        <v>75</v>
      </c>
      <c r="C39" s="51"/>
      <c r="D39" s="52"/>
      <c r="E39" s="52"/>
      <c r="F39" s="52"/>
      <c r="G39" s="53"/>
      <c r="H39" s="29">
        <v>0.02</v>
      </c>
      <c r="I39" s="31"/>
    </row>
    <row r="40" spans="2:9">
      <c r="B40" s="60" t="s">
        <v>52</v>
      </c>
      <c r="C40" s="21"/>
      <c r="D40" s="41"/>
      <c r="E40" s="41"/>
      <c r="F40" s="41"/>
      <c r="G40" s="42"/>
      <c r="H40" s="24">
        <f>H38*(1+H39)/(C18-H39)</f>
        <v>649.18055334792541</v>
      </c>
    </row>
    <row r="41" spans="2:9">
      <c r="B41" s="60" t="s">
        <v>53</v>
      </c>
      <c r="C41" s="129"/>
      <c r="D41" s="40">
        <f>D38/((1+$C$18)^D24)</f>
        <v>7.3706718496141042</v>
      </c>
      <c r="E41" s="40">
        <f>E38/((1+$C$18)^E24)</f>
        <v>8.4562371638053744</v>
      </c>
      <c r="F41" s="40">
        <f>F38/((1+$C$18)^F24)</f>
        <v>5.1612095949650421</v>
      </c>
      <c r="G41" s="40">
        <f>G38/((1+$C$18)^G24)</f>
        <v>14.776462998653388</v>
      </c>
      <c r="H41" s="40">
        <f>(H38+H40)/((1+$C$18)^H24)</f>
        <v>523.36281165059006</v>
      </c>
    </row>
    <row r="42" spans="2:9">
      <c r="B42" s="49" t="s">
        <v>55</v>
      </c>
      <c r="C42" s="50">
        <f>SUM(D41:H41)</f>
        <v>559.127393257628</v>
      </c>
      <c r="D42" s="21"/>
      <c r="E42" s="41"/>
      <c r="F42" s="41"/>
      <c r="G42" s="41"/>
      <c r="H42" s="42"/>
    </row>
    <row r="43" spans="2:9">
      <c r="B43" s="47" t="s">
        <v>74</v>
      </c>
      <c r="C43" s="48">
        <f>C42-SUM(C6:C8)</f>
        <v>400.82739325762799</v>
      </c>
      <c r="D43" s="21"/>
      <c r="E43" s="41"/>
      <c r="F43" s="41"/>
      <c r="G43" s="41"/>
      <c r="H43" s="42"/>
    </row>
    <row r="46" spans="2:9">
      <c r="B46" s="64" t="s">
        <v>45</v>
      </c>
      <c r="C46" s="196" t="s">
        <v>70</v>
      </c>
    </row>
    <row r="48" spans="2:9" s="71" customFormat="1">
      <c r="B48" s="28" t="s">
        <v>77</v>
      </c>
      <c r="C48" s="29">
        <f t="shared" ref="C48:H48" si="3">C35/C27</f>
        <v>4.8710601719197708E-2</v>
      </c>
      <c r="D48" s="29">
        <f t="shared" si="3"/>
        <v>4.8710601719197708E-2</v>
      </c>
      <c r="E48" s="29">
        <f t="shared" si="3"/>
        <v>4.8710601719197708E-2</v>
      </c>
      <c r="F48" s="29">
        <f t="shared" si="3"/>
        <v>4.8710601719197701E-2</v>
      </c>
      <c r="G48" s="29">
        <f t="shared" si="3"/>
        <v>4.8710601719197701E-2</v>
      </c>
      <c r="H48" s="29">
        <f t="shared" si="3"/>
        <v>4.8710601719197701E-2</v>
      </c>
      <c r="I48" s="23"/>
    </row>
    <row r="49" spans="2:9" s="25" customFormat="1">
      <c r="B49" s="39" t="s">
        <v>49</v>
      </c>
      <c r="C49" s="20">
        <f>C50+C52-C54</f>
        <v>55.599999999999994</v>
      </c>
      <c r="D49" s="20">
        <f t="shared" ref="D49:H49" si="4">D50+D52-D54</f>
        <v>57.935199999999995</v>
      </c>
      <c r="E49" s="20">
        <f t="shared" si="4"/>
        <v>60.368478399999994</v>
      </c>
      <c r="F49" s="20">
        <f t="shared" si="4"/>
        <v>62.903954492799997</v>
      </c>
      <c r="G49" s="20">
        <f t="shared" si="4"/>
        <v>64.665265218598392</v>
      </c>
      <c r="H49" s="20">
        <f t="shared" si="4"/>
        <v>66.475892644719153</v>
      </c>
      <c r="I49" s="23"/>
    </row>
    <row r="50" spans="2:9">
      <c r="B50" s="43" t="s">
        <v>46</v>
      </c>
      <c r="C50" s="44">
        <v>57.6</v>
      </c>
      <c r="D50" s="44">
        <f>C51*D$27</f>
        <v>60.019200000000005</v>
      </c>
      <c r="E50" s="44">
        <f>D51*E$27</f>
        <v>62.54000640000001</v>
      </c>
      <c r="F50" s="44">
        <f>E51*F$27</f>
        <v>65.166686668800011</v>
      </c>
      <c r="G50" s="44">
        <f>F51*G$27</f>
        <v>66.991353895526402</v>
      </c>
      <c r="H50" s="44">
        <f>G51*H$27</f>
        <v>68.867111804601137</v>
      </c>
    </row>
    <row r="51" spans="2:9" s="69" customFormat="1">
      <c r="B51" s="45" t="s">
        <v>78</v>
      </c>
      <c r="C51" s="46">
        <f t="shared" ref="C51:H51" si="5">C50/C$27</f>
        <v>0.18338108882521489</v>
      </c>
      <c r="D51" s="46">
        <f t="shared" si="5"/>
        <v>0.18338108882521489</v>
      </c>
      <c r="E51" s="46">
        <f t="shared" si="5"/>
        <v>0.18338108882521489</v>
      </c>
      <c r="F51" s="46">
        <f t="shared" si="5"/>
        <v>0.18338108882521489</v>
      </c>
      <c r="G51" s="46">
        <f t="shared" si="5"/>
        <v>0.18338108882521487</v>
      </c>
      <c r="H51" s="46">
        <f t="shared" si="5"/>
        <v>0.18338108882521487</v>
      </c>
      <c r="I51" s="23"/>
    </row>
    <row r="52" spans="2:9">
      <c r="B52" s="43" t="s">
        <v>47</v>
      </c>
      <c r="C52" s="44">
        <v>31.7</v>
      </c>
      <c r="D52" s="44">
        <f>C53*D$27</f>
        <v>33.031399999999998</v>
      </c>
      <c r="E52" s="44">
        <f>D53*E$27</f>
        <v>34.418718800000001</v>
      </c>
      <c r="F52" s="44">
        <f>E53*F$27</f>
        <v>35.864304989600001</v>
      </c>
      <c r="G52" s="44">
        <f>F53*G$27</f>
        <v>36.868505529308798</v>
      </c>
      <c r="H52" s="44">
        <f>G53*H$27</f>
        <v>37.900823684129442</v>
      </c>
    </row>
    <row r="53" spans="2:9" s="69" customFormat="1">
      <c r="B53" s="45" t="s">
        <v>79</v>
      </c>
      <c r="C53" s="46">
        <f t="shared" ref="C53:H53" si="6">C52/C$27</f>
        <v>0.1009232728430436</v>
      </c>
      <c r="D53" s="46">
        <f t="shared" si="6"/>
        <v>0.1009232728430436</v>
      </c>
      <c r="E53" s="46">
        <f t="shared" si="6"/>
        <v>0.1009232728430436</v>
      </c>
      <c r="F53" s="46">
        <f t="shared" si="6"/>
        <v>0.1009232728430436</v>
      </c>
      <c r="G53" s="46">
        <f t="shared" si="6"/>
        <v>0.1009232728430436</v>
      </c>
      <c r="H53" s="46">
        <f t="shared" si="6"/>
        <v>0.1009232728430436</v>
      </c>
      <c r="I53" s="23"/>
    </row>
    <row r="54" spans="2:9">
      <c r="B54" s="43" t="s">
        <v>48</v>
      </c>
      <c r="C54" s="44">
        <v>33.700000000000003</v>
      </c>
      <c r="D54" s="44">
        <f>C55*D$27</f>
        <v>35.115400000000008</v>
      </c>
      <c r="E54" s="44">
        <f>D55*E$27</f>
        <v>36.59024680000001</v>
      </c>
      <c r="F54" s="44">
        <f>E55*F$27</f>
        <v>38.127037165600015</v>
      </c>
      <c r="G54" s="44">
        <f>F55*G$27</f>
        <v>39.194594206236815</v>
      </c>
      <c r="H54" s="44">
        <f>G55*H$27</f>
        <v>40.292042844011441</v>
      </c>
    </row>
    <row r="55" spans="2:9" s="69" customFormat="1">
      <c r="B55" s="45" t="s">
        <v>80</v>
      </c>
      <c r="C55" s="46">
        <f t="shared" ref="C55:H55" si="7">C54/C$27</f>
        <v>0.10729067176058581</v>
      </c>
      <c r="D55" s="46">
        <f t="shared" si="7"/>
        <v>0.10729067176058581</v>
      </c>
      <c r="E55" s="46">
        <f t="shared" si="7"/>
        <v>0.10729067176058582</v>
      </c>
      <c r="F55" s="46">
        <f t="shared" si="7"/>
        <v>0.10729067176058582</v>
      </c>
      <c r="G55" s="46">
        <f t="shared" si="7"/>
        <v>0.10729067176058582</v>
      </c>
      <c r="H55" s="46">
        <f t="shared" si="7"/>
        <v>0.10729067176058582</v>
      </c>
      <c r="I55" s="23"/>
    </row>
  </sheetData>
  <mergeCells count="2">
    <mergeCell ref="B23:B25"/>
    <mergeCell ref="D23:H23"/>
  </mergeCells>
  <phoneticPr fontId="5" type="noConversion"/>
  <pageMargins left="0.75" right="0.75" top="1" bottom="1" header="0.5" footer="0.5"/>
  <pageSetup paperSize="9" scale="71" orientation="portrait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K60"/>
  <sheetViews>
    <sheetView showGridLines="0" workbookViewId="0">
      <selection activeCell="C1" sqref="C1"/>
    </sheetView>
  </sheetViews>
  <sheetFormatPr defaultColWidth="10.6640625" defaultRowHeight="15.5"/>
  <cols>
    <col min="1" max="1" width="2.25" customWidth="1"/>
    <col min="2" max="2" width="31.33203125" customWidth="1"/>
  </cols>
  <sheetData>
    <row r="1" spans="2:11" ht="21">
      <c r="B1" s="72" t="s">
        <v>110</v>
      </c>
      <c r="C1" s="63" t="s">
        <v>70</v>
      </c>
    </row>
    <row r="2" spans="2:11" s="2" customFormat="1"/>
    <row r="3" spans="2:11" s="2" customFormat="1">
      <c r="B3" s="64" t="s">
        <v>11</v>
      </c>
    </row>
    <row r="4" spans="2:11" s="11" customFormat="1">
      <c r="C4" s="10" t="s">
        <v>15</v>
      </c>
      <c r="D4" s="10" t="s">
        <v>16</v>
      </c>
    </row>
    <row r="5" spans="2:11" s="2" customFormat="1">
      <c r="B5" s="13" t="s">
        <v>29</v>
      </c>
      <c r="C5" s="12">
        <v>2018</v>
      </c>
      <c r="D5" s="10">
        <v>2023</v>
      </c>
    </row>
    <row r="6" spans="2:11" s="2" customFormat="1">
      <c r="B6" s="7" t="s">
        <v>1</v>
      </c>
      <c r="C6" s="35">
        <f>'FCFF Valuation'!C29</f>
        <v>53.900000000000006</v>
      </c>
      <c r="D6" s="35">
        <f>'FCFF Valuation'!H29</f>
        <v>64.443356358819486</v>
      </c>
    </row>
    <row r="7" spans="2:11" s="2" customFormat="1">
      <c r="B7" s="8" t="s">
        <v>13</v>
      </c>
      <c r="C7" s="35">
        <f>'FCFF Valuation'!C33</f>
        <v>16.399999999999999</v>
      </c>
      <c r="D7" s="35">
        <f>'FCFF Valuation'!H33</f>
        <v>21.210317871433389</v>
      </c>
    </row>
    <row r="8" spans="2:11" s="2" customFormat="1">
      <c r="B8" s="5"/>
    </row>
    <row r="9" spans="2:11" s="2" customFormat="1">
      <c r="B9" s="64" t="s">
        <v>51</v>
      </c>
    </row>
    <row r="10" spans="2:11" s="2" customFormat="1" ht="16" thickBot="1"/>
    <row r="11" spans="2:11" s="2" customFormat="1" ht="29.5" thickTop="1">
      <c r="B11" s="57"/>
      <c r="C11" s="163" t="s">
        <v>115</v>
      </c>
      <c r="D11" s="160" t="s">
        <v>116</v>
      </c>
    </row>
    <row r="12" spans="2:11" ht="19.5" customHeight="1">
      <c r="B12" s="56" t="s">
        <v>76</v>
      </c>
      <c r="C12" s="164">
        <v>9.3979999999999997</v>
      </c>
      <c r="D12" s="161">
        <v>11.26</v>
      </c>
      <c r="G12" s="2"/>
      <c r="H12" s="2"/>
      <c r="I12" s="2"/>
      <c r="J12" s="2"/>
      <c r="K12" s="2"/>
    </row>
    <row r="13" spans="2:11" ht="19.5" customHeight="1" thickBot="1">
      <c r="B13" s="56" t="s">
        <v>9</v>
      </c>
      <c r="C13" s="165">
        <f>$C$6*C12</f>
        <v>506.55220000000003</v>
      </c>
      <c r="D13" s="162">
        <f>$C$6*D12</f>
        <v>606.9140000000001</v>
      </c>
      <c r="G13" s="2"/>
      <c r="H13" s="2"/>
      <c r="I13" s="2"/>
      <c r="J13" s="2"/>
      <c r="K13" s="2"/>
    </row>
    <row r="14" spans="2:11" ht="16" thickTop="1">
      <c r="B14" s="4"/>
      <c r="G14" s="2"/>
      <c r="H14" s="2"/>
      <c r="I14" s="2"/>
      <c r="J14" s="2"/>
      <c r="K14" s="2"/>
    </row>
    <row r="15" spans="2:11">
      <c r="B15" s="9" t="s">
        <v>124</v>
      </c>
      <c r="C15" s="143">
        <v>9.3979999999999997</v>
      </c>
      <c r="D15" s="118">
        <v>11.26</v>
      </c>
    </row>
    <row r="16" spans="2:11">
      <c r="B16" s="1" t="s">
        <v>9</v>
      </c>
      <c r="C16" s="35">
        <f>C13</f>
        <v>506.55220000000003</v>
      </c>
      <c r="D16" s="35">
        <f>D13</f>
        <v>606.9140000000001</v>
      </c>
    </row>
    <row r="17" spans="2:5">
      <c r="B17" s="3" t="s">
        <v>125</v>
      </c>
      <c r="C17" s="35">
        <f>SUM('FCFF Valuation'!C6:C8)</f>
        <v>158.30000000000001</v>
      </c>
      <c r="D17" s="35">
        <f>C17</f>
        <v>158.30000000000001</v>
      </c>
    </row>
    <row r="18" spans="2:5">
      <c r="B18" s="3" t="s">
        <v>35</v>
      </c>
      <c r="C18" s="35">
        <f>C16-C17</f>
        <v>348.25220000000002</v>
      </c>
      <c r="D18" s="35">
        <f>D16-D17</f>
        <v>448.61400000000009</v>
      </c>
    </row>
    <row r="19" spans="2:5">
      <c r="B19" s="2"/>
      <c r="C19" s="6"/>
      <c r="D19" s="6"/>
    </row>
    <row r="20" spans="2:5">
      <c r="B20" s="9" t="s">
        <v>36</v>
      </c>
      <c r="C20" s="37">
        <f>C18/$C$7</f>
        <v>21.234890243902441</v>
      </c>
      <c r="D20" s="37">
        <f>D18/$C$7</f>
        <v>27.354512195121959</v>
      </c>
    </row>
    <row r="21" spans="2:5">
      <c r="B21" s="2"/>
      <c r="C21" s="6"/>
      <c r="D21" s="6"/>
      <c r="E21" s="6"/>
    </row>
    <row r="22" spans="2:5">
      <c r="B22" s="64" t="s">
        <v>126</v>
      </c>
    </row>
    <row r="23" spans="2:5">
      <c r="B23" s="4"/>
    </row>
    <row r="24" spans="2:5">
      <c r="B24" s="9" t="s">
        <v>10</v>
      </c>
      <c r="C24" s="143">
        <f>C12</f>
        <v>9.3979999999999997</v>
      </c>
      <c r="D24" s="117">
        <f>D12</f>
        <v>11.26</v>
      </c>
    </row>
    <row r="25" spans="2:5">
      <c r="B25" s="1" t="s">
        <v>9</v>
      </c>
      <c r="C25" s="36">
        <f>C24*$D$6</f>
        <v>605.63866306018554</v>
      </c>
      <c r="D25" s="35">
        <f>D24*$D$6</f>
        <v>725.63219260030735</v>
      </c>
    </row>
    <row r="26" spans="2:5">
      <c r="B26" s="3" t="s">
        <v>34</v>
      </c>
      <c r="C26" s="36">
        <f>C17</f>
        <v>158.30000000000001</v>
      </c>
      <c r="D26" s="35">
        <f>C26</f>
        <v>158.30000000000001</v>
      </c>
    </row>
    <row r="27" spans="2:5">
      <c r="B27" s="3" t="s">
        <v>35</v>
      </c>
      <c r="C27" s="36">
        <f>C25-C26</f>
        <v>447.33866306018552</v>
      </c>
      <c r="D27" s="35">
        <f>D25-D26</f>
        <v>567.33219260030728</v>
      </c>
    </row>
    <row r="28" spans="2:5">
      <c r="B28" s="4"/>
      <c r="C28" s="6"/>
      <c r="D28" s="6"/>
      <c r="E28" s="6"/>
    </row>
    <row r="29" spans="2:5">
      <c r="B29" s="4"/>
      <c r="C29" s="6"/>
      <c r="D29" s="6"/>
      <c r="E29" s="6"/>
    </row>
    <row r="30" spans="2:5">
      <c r="B30" s="64" t="s">
        <v>37</v>
      </c>
      <c r="C30" s="6"/>
      <c r="D30" s="6"/>
      <c r="E30" s="6"/>
    </row>
    <row r="31" spans="2:5">
      <c r="B31" s="6"/>
      <c r="C31" s="6"/>
      <c r="D31" s="6"/>
      <c r="E31" s="6"/>
    </row>
    <row r="32" spans="2:5">
      <c r="B32" s="4" t="s">
        <v>105</v>
      </c>
      <c r="C32" s="15">
        <v>120</v>
      </c>
      <c r="E32" s="6"/>
    </row>
    <row r="33" spans="2:8">
      <c r="B33" s="4" t="s">
        <v>38</v>
      </c>
      <c r="C33" s="15">
        <f>C27*'Post Investment'!K40</f>
        <v>199.63200810518299</v>
      </c>
      <c r="D33" s="14"/>
      <c r="E33" s="6"/>
    </row>
    <row r="34" spans="2:8">
      <c r="B34" s="4" t="s">
        <v>108</v>
      </c>
      <c r="C34" s="15">
        <f>SUM(D39:H39)</f>
        <v>25</v>
      </c>
    </row>
    <row r="36" spans="2:8" s="23" customFormat="1" ht="20" customHeight="1">
      <c r="B36" s="120" t="s">
        <v>33</v>
      </c>
      <c r="C36" s="173" t="s">
        <v>118</v>
      </c>
      <c r="D36" s="173" t="s">
        <v>119</v>
      </c>
      <c r="E36" s="173" t="s">
        <v>120</v>
      </c>
      <c r="F36" s="173" t="s">
        <v>121</v>
      </c>
      <c r="G36" s="173" t="s">
        <v>122</v>
      </c>
      <c r="H36" s="173" t="s">
        <v>123</v>
      </c>
    </row>
    <row r="37" spans="2:8" s="23" customFormat="1" ht="20" customHeight="1">
      <c r="B37" s="59" t="s">
        <v>106</v>
      </c>
      <c r="C37" s="26">
        <f t="shared" ref="C37:H37" si="0">SUM(C38:C39)</f>
        <v>-120</v>
      </c>
      <c r="D37" s="26">
        <f t="shared" si="0"/>
        <v>1</v>
      </c>
      <c r="E37" s="26">
        <f t="shared" si="0"/>
        <v>1</v>
      </c>
      <c r="F37" s="26">
        <f t="shared" si="0"/>
        <v>1</v>
      </c>
      <c r="G37" s="26">
        <f t="shared" si="0"/>
        <v>1</v>
      </c>
      <c r="H37" s="26">
        <f t="shared" si="0"/>
        <v>220.63200810518299</v>
      </c>
    </row>
    <row r="38" spans="2:8" s="23" customFormat="1" ht="20" customHeight="1">
      <c r="B38" s="122" t="s">
        <v>112</v>
      </c>
      <c r="C38" s="123">
        <v>-100</v>
      </c>
      <c r="D38" s="123"/>
      <c r="E38" s="123"/>
      <c r="F38" s="123"/>
      <c r="G38" s="123"/>
      <c r="H38" s="124">
        <f>C33</f>
        <v>199.63200810518299</v>
      </c>
    </row>
    <row r="39" spans="2:8" s="23" customFormat="1" ht="20" customHeight="1">
      <c r="B39" s="122" t="s">
        <v>107</v>
      </c>
      <c r="C39" s="123">
        <v>-20</v>
      </c>
      <c r="D39" s="123">
        <f>-C39*0.05</f>
        <v>1</v>
      </c>
      <c r="E39" s="123">
        <f>D39</f>
        <v>1</v>
      </c>
      <c r="F39" s="123">
        <f>E39</f>
        <v>1</v>
      </c>
      <c r="G39" s="123">
        <f>F39</f>
        <v>1</v>
      </c>
      <c r="H39" s="123">
        <f>G39-C39</f>
        <v>21</v>
      </c>
    </row>
    <row r="40" spans="2:8" s="23" customFormat="1" ht="20" customHeight="1">
      <c r="B40" s="59" t="s">
        <v>18</v>
      </c>
      <c r="C40" s="21"/>
      <c r="D40" s="41"/>
      <c r="E40" s="41"/>
      <c r="F40" s="41"/>
      <c r="G40" s="42"/>
      <c r="H40" s="121">
        <f>IRR(-C37:H37)</f>
        <v>0.1351523615978234</v>
      </c>
    </row>
    <row r="41" spans="2:8" s="23" customFormat="1" ht="20" customHeight="1">
      <c r="B41" s="59" t="s">
        <v>39</v>
      </c>
      <c r="C41" s="21"/>
      <c r="D41" s="41"/>
      <c r="E41" s="41"/>
      <c r="F41" s="41"/>
      <c r="G41" s="42"/>
      <c r="H41" s="125">
        <f>H37/-C37</f>
        <v>1.8386000675431915</v>
      </c>
    </row>
    <row r="42" spans="2:8">
      <c r="B42" s="2"/>
      <c r="C42" s="2"/>
      <c r="D42" s="2"/>
      <c r="E42" s="2"/>
      <c r="F42" s="16"/>
    </row>
    <row r="44" spans="2:8" s="23" customFormat="1"/>
    <row r="45" spans="2:8" s="23" customFormat="1"/>
    <row r="46" spans="2:8" s="23" customFormat="1"/>
    <row r="47" spans="2:8" s="23" customFormat="1"/>
    <row r="48" spans="2:8" s="23" customFormat="1"/>
    <row r="49" s="23" customFormat="1"/>
    <row r="50" s="23" customFormat="1"/>
    <row r="51" s="23" customFormat="1"/>
    <row r="52" s="23" customFormat="1"/>
    <row r="53" s="23" customFormat="1"/>
    <row r="54" s="23" customFormat="1"/>
    <row r="55" s="23" customFormat="1"/>
    <row r="56" s="23" customFormat="1"/>
    <row r="57" s="23" customFormat="1"/>
    <row r="58" s="23" customFormat="1"/>
    <row r="59" s="23" customFormat="1"/>
    <row r="60" s="23" customFormat="1"/>
  </sheetData>
  <phoneticPr fontId="5" type="noConversion"/>
  <pageMargins left="0.75" right="0.75" top="1" bottom="1" header="0.5" footer="0.5"/>
  <pageSetup paperSize="9" scale="68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3581E-57B5-4AFB-AB00-078F397197D7}">
  <sheetPr>
    <pageSetUpPr fitToPage="1"/>
  </sheetPr>
  <dimension ref="B1:N77"/>
  <sheetViews>
    <sheetView showGridLines="0" topLeftCell="A4" workbookViewId="0">
      <selection activeCell="C1" sqref="C1"/>
    </sheetView>
  </sheetViews>
  <sheetFormatPr defaultColWidth="10.6640625" defaultRowHeight="15.5"/>
  <cols>
    <col min="1" max="1" width="2.9140625" style="23" customWidth="1"/>
    <col min="2" max="2" width="30.33203125" style="23" customWidth="1"/>
    <col min="3" max="3" width="12.5" style="23" customWidth="1"/>
    <col min="4" max="16384" width="10.6640625" style="23"/>
  </cols>
  <sheetData>
    <row r="1" spans="2:5" ht="21">
      <c r="B1" s="72" t="s">
        <v>56</v>
      </c>
      <c r="C1" s="63" t="s">
        <v>70</v>
      </c>
    </row>
    <row r="2" spans="2:5">
      <c r="B2" s="62"/>
    </row>
    <row r="3" spans="2:5">
      <c r="B3" s="64" t="s">
        <v>57</v>
      </c>
      <c r="E3" s="19"/>
    </row>
    <row r="4" spans="2:5">
      <c r="E4" s="19"/>
    </row>
    <row r="5" spans="2:5">
      <c r="B5" s="25" t="s">
        <v>58</v>
      </c>
      <c r="C5" s="65">
        <v>0.4</v>
      </c>
      <c r="E5" s="19"/>
    </row>
    <row r="6" spans="2:5">
      <c r="B6" s="30" t="s">
        <v>88</v>
      </c>
      <c r="C6" s="23">
        <f>SUM(C7:C9)</f>
        <v>158.30000000000001</v>
      </c>
      <c r="E6" s="19"/>
    </row>
    <row r="7" spans="2:5">
      <c r="B7" s="144" t="s">
        <v>64</v>
      </c>
      <c r="C7" s="23">
        <v>33.700000000000003</v>
      </c>
      <c r="E7" s="19"/>
    </row>
    <row r="8" spans="2:5">
      <c r="B8" s="144" t="s">
        <v>65</v>
      </c>
      <c r="C8" s="23">
        <v>71.7</v>
      </c>
      <c r="E8" s="19"/>
    </row>
    <row r="9" spans="2:5">
      <c r="B9" s="144" t="s">
        <v>66</v>
      </c>
      <c r="C9" s="23">
        <v>52.9</v>
      </c>
      <c r="E9" s="19"/>
    </row>
    <row r="10" spans="2:5">
      <c r="B10" s="66" t="s">
        <v>113</v>
      </c>
      <c r="C10" s="23">
        <v>10.8</v>
      </c>
      <c r="E10" s="19"/>
    </row>
    <row r="11" spans="2:5">
      <c r="B11" s="25" t="s">
        <v>63</v>
      </c>
      <c r="C11" s="67">
        <f>C10/C6</f>
        <v>6.8224889450410608E-2</v>
      </c>
      <c r="E11" s="19"/>
    </row>
    <row r="12" spans="2:5">
      <c r="B12" s="23" t="s">
        <v>59</v>
      </c>
      <c r="C12" s="23">
        <v>52.6</v>
      </c>
      <c r="E12" s="19"/>
    </row>
    <row r="13" spans="2:5">
      <c r="B13" s="66" t="s">
        <v>67</v>
      </c>
      <c r="C13" s="34">
        <v>4.2000000000000003E-2</v>
      </c>
      <c r="E13" s="19"/>
    </row>
    <row r="14" spans="2:5">
      <c r="B14" s="66" t="s">
        <v>69</v>
      </c>
      <c r="C14" s="23">
        <v>0.77</v>
      </c>
      <c r="E14" s="19"/>
    </row>
    <row r="15" spans="2:5">
      <c r="B15" s="66" t="s">
        <v>68</v>
      </c>
      <c r="C15" s="34">
        <v>6.8500000000000005E-2</v>
      </c>
      <c r="E15" s="19"/>
    </row>
    <row r="16" spans="2:5">
      <c r="B16" s="25" t="s">
        <v>62</v>
      </c>
      <c r="C16" s="68">
        <f>C13+C14*C15</f>
        <v>9.474500000000001E-2</v>
      </c>
    </row>
    <row r="17" spans="2:8">
      <c r="B17" s="23" t="s">
        <v>60</v>
      </c>
      <c r="C17" s="33">
        <f>C6/(C6+C12)</f>
        <v>0.75059269796111905</v>
      </c>
    </row>
    <row r="18" spans="2:8">
      <c r="B18" s="23" t="s">
        <v>61</v>
      </c>
      <c r="C18" s="33">
        <f>1-C17</f>
        <v>0.24940730203888095</v>
      </c>
    </row>
    <row r="19" spans="2:8">
      <c r="B19" s="25" t="s">
        <v>54</v>
      </c>
      <c r="C19" s="67">
        <f>C17*C11*(1-C5)+C18*C16</f>
        <v>5.4355557136083449E-2</v>
      </c>
    </row>
    <row r="20" spans="2:8">
      <c r="B20" s="62"/>
    </row>
    <row r="21" spans="2:8">
      <c r="B21" s="64" t="s">
        <v>81</v>
      </c>
      <c r="C21" s="63"/>
    </row>
    <row r="22" spans="2:8" ht="16" thickBot="1">
      <c r="B22" s="63"/>
      <c r="C22" s="63"/>
    </row>
    <row r="23" spans="2:8" ht="36" customHeight="1" thickTop="1">
      <c r="B23" s="115" t="s">
        <v>102</v>
      </c>
      <c r="C23" s="116" t="s">
        <v>85</v>
      </c>
      <c r="D23" s="185" t="s">
        <v>90</v>
      </c>
      <c r="E23" s="185"/>
      <c r="F23" s="183" t="s">
        <v>91</v>
      </c>
      <c r="G23" s="184"/>
      <c r="H23" s="73"/>
    </row>
    <row r="24" spans="2:8">
      <c r="B24" s="74" t="s">
        <v>86</v>
      </c>
      <c r="C24" s="79">
        <v>256.39999999999998</v>
      </c>
      <c r="D24" s="80"/>
      <c r="E24" s="81">
        <f>C24+20</f>
        <v>276.39999999999998</v>
      </c>
      <c r="F24" s="90"/>
      <c r="G24" s="91">
        <f>C24+20</f>
        <v>276.39999999999998</v>
      </c>
    </row>
    <row r="25" spans="2:8">
      <c r="B25" s="75" t="s">
        <v>87</v>
      </c>
      <c r="C25" s="82">
        <f>C24-C27</f>
        <v>223.79999999999998</v>
      </c>
      <c r="D25" s="83"/>
      <c r="E25" s="84">
        <f>E24-E27</f>
        <v>243.79999999999998</v>
      </c>
      <c r="F25" s="92"/>
      <c r="G25" s="93">
        <f>G24-G27</f>
        <v>223.79999999999998</v>
      </c>
    </row>
    <row r="26" spans="2:8">
      <c r="B26" s="76" t="s">
        <v>88</v>
      </c>
      <c r="C26" s="82">
        <v>158.30000000000001</v>
      </c>
      <c r="D26" s="83"/>
      <c r="E26" s="84">
        <f>C26+20</f>
        <v>178.3</v>
      </c>
      <c r="F26" s="92"/>
      <c r="G26" s="93">
        <v>158.30000000000001</v>
      </c>
    </row>
    <row r="27" spans="2:8">
      <c r="B27" s="78" t="s">
        <v>59</v>
      </c>
      <c r="C27" s="97">
        <v>32.6</v>
      </c>
      <c r="D27" s="54"/>
      <c r="E27" s="98">
        <v>32.6</v>
      </c>
      <c r="F27" s="99"/>
      <c r="G27" s="102">
        <f>C27+20</f>
        <v>52.6</v>
      </c>
    </row>
    <row r="28" spans="2:8">
      <c r="B28" s="100" t="s">
        <v>40</v>
      </c>
      <c r="C28" s="79">
        <v>38.6</v>
      </c>
      <c r="D28" s="80"/>
      <c r="E28" s="81">
        <v>38.6</v>
      </c>
      <c r="F28" s="90"/>
      <c r="G28" s="91">
        <v>38.6</v>
      </c>
    </row>
    <row r="29" spans="2:8">
      <c r="B29" s="101" t="s">
        <v>89</v>
      </c>
      <c r="C29" s="97">
        <v>10.8</v>
      </c>
      <c r="D29" s="54"/>
      <c r="E29" s="98">
        <f>C29+20*0.05</f>
        <v>11.8</v>
      </c>
      <c r="F29" s="99"/>
      <c r="G29" s="102">
        <v>10.8</v>
      </c>
    </row>
    <row r="30" spans="2:8">
      <c r="B30" s="77" t="s">
        <v>83</v>
      </c>
      <c r="C30" s="85">
        <f>C28/C29</f>
        <v>3.574074074074074</v>
      </c>
      <c r="D30" s="83"/>
      <c r="E30" s="86">
        <f>E28/E29</f>
        <v>3.2711864406779658</v>
      </c>
      <c r="F30" s="92"/>
      <c r="G30" s="94">
        <f>G28/G29</f>
        <v>3.574074074074074</v>
      </c>
    </row>
    <row r="31" spans="2:8">
      <c r="B31" s="77" t="s">
        <v>84</v>
      </c>
      <c r="C31" s="85">
        <f>C25/C27</f>
        <v>6.8650306748466248</v>
      </c>
      <c r="D31" s="83"/>
      <c r="E31" s="86">
        <f>E25/E27</f>
        <v>7.4785276073619622</v>
      </c>
      <c r="F31" s="92"/>
      <c r="G31" s="94">
        <f>G25/G27</f>
        <v>4.254752851711026</v>
      </c>
    </row>
    <row r="32" spans="2:8" ht="16" thickBot="1">
      <c r="B32" s="87" t="s">
        <v>54</v>
      </c>
      <c r="C32" s="88">
        <v>5.0099999999999999E-2</v>
      </c>
      <c r="D32" s="54"/>
      <c r="E32" s="89">
        <v>4.8800000000000003E-2</v>
      </c>
      <c r="F32" s="95"/>
      <c r="G32" s="96">
        <v>5.4399999999999997E-2</v>
      </c>
    </row>
    <row r="33" spans="2:14" ht="16" thickTop="1">
      <c r="B33" s="30"/>
    </row>
    <row r="34" spans="2:14">
      <c r="B34" s="64" t="s">
        <v>92</v>
      </c>
    </row>
    <row r="36" spans="2:14">
      <c r="B36" s="148"/>
      <c r="C36" s="182" t="s">
        <v>97</v>
      </c>
      <c r="D36" s="182"/>
      <c r="E36" s="182" t="s">
        <v>98</v>
      </c>
      <c r="F36" s="182"/>
      <c r="G36" s="182"/>
      <c r="H36" s="186" t="s">
        <v>101</v>
      </c>
      <c r="I36" s="182" t="s">
        <v>99</v>
      </c>
      <c r="J36" s="182"/>
      <c r="K36" s="182"/>
    </row>
    <row r="37" spans="2:14">
      <c r="B37" s="149"/>
      <c r="C37" s="150" t="s">
        <v>95</v>
      </c>
      <c r="D37" s="151" t="s">
        <v>96</v>
      </c>
      <c r="E37" s="150" t="s">
        <v>100</v>
      </c>
      <c r="F37" s="152" t="s">
        <v>95</v>
      </c>
      <c r="G37" s="151" t="s">
        <v>96</v>
      </c>
      <c r="H37" s="187"/>
      <c r="I37" s="150" t="s">
        <v>100</v>
      </c>
      <c r="J37" s="152" t="s">
        <v>95</v>
      </c>
      <c r="K37" s="151" t="s">
        <v>96</v>
      </c>
    </row>
    <row r="38" spans="2:14" ht="19.5" customHeight="1">
      <c r="B38" s="148" t="s">
        <v>93</v>
      </c>
      <c r="C38" s="103">
        <f>C$41*D38</f>
        <v>51000</v>
      </c>
      <c r="D38" s="104">
        <v>0.51</v>
      </c>
      <c r="E38" s="112">
        <f>H38*F38</f>
        <v>1040816.3265306122</v>
      </c>
      <c r="F38" s="109">
        <f>F$41*G38</f>
        <v>51000</v>
      </c>
      <c r="G38" s="104">
        <v>0.51</v>
      </c>
      <c r="H38" s="145">
        <f>H40</f>
        <v>20.408163265306122</v>
      </c>
      <c r="I38" s="112">
        <f>E38+200000</f>
        <v>1240816.3265306121</v>
      </c>
      <c r="J38" s="109">
        <f>I38/H38</f>
        <v>60799.999999999993</v>
      </c>
      <c r="K38" s="104">
        <f>J38/$J$41</f>
        <v>0.55373406193078323</v>
      </c>
      <c r="L38" s="170">
        <f>I38-E38</f>
        <v>199999.99999999988</v>
      </c>
      <c r="M38" s="110">
        <f>J38-F38</f>
        <v>9799.9999999999927</v>
      </c>
      <c r="N38" s="171">
        <f>K38-G38</f>
        <v>4.3734061930783219E-2</v>
      </c>
    </row>
    <row r="39" spans="2:14" ht="19.5" customHeight="1" thickBot="1">
      <c r="B39" s="153" t="s">
        <v>94</v>
      </c>
      <c r="C39" s="105">
        <f>C$41*D39</f>
        <v>49000</v>
      </c>
      <c r="D39" s="106">
        <v>0.49</v>
      </c>
      <c r="E39" s="113"/>
      <c r="F39" s="110">
        <f>F$41*G39</f>
        <v>0</v>
      </c>
      <c r="G39" s="106"/>
      <c r="H39" s="146"/>
      <c r="I39" s="113"/>
      <c r="J39" s="110">
        <f>J$41*K39</f>
        <v>0</v>
      </c>
      <c r="K39" s="106"/>
    </row>
    <row r="40" spans="2:14" ht="19.5" customHeight="1" thickTop="1" thickBot="1">
      <c r="B40" s="154" t="s">
        <v>114</v>
      </c>
      <c r="C40" s="155">
        <v>0</v>
      </c>
      <c r="D40" s="156"/>
      <c r="E40" s="166">
        <f>H40*F40</f>
        <v>1000000</v>
      </c>
      <c r="F40" s="167">
        <f>F$41*G40</f>
        <v>49000</v>
      </c>
      <c r="G40" s="168">
        <v>0.49</v>
      </c>
      <c r="H40" s="169">
        <f>1000000/F40</f>
        <v>20.408163265306122</v>
      </c>
      <c r="I40" s="157">
        <f>E40</f>
        <v>1000000</v>
      </c>
      <c r="J40" s="158">
        <f>I40/H40</f>
        <v>49000</v>
      </c>
      <c r="K40" s="159">
        <f>J40/$J$41</f>
        <v>0.44626593806921677</v>
      </c>
    </row>
    <row r="41" spans="2:14" ht="19.5" customHeight="1" thickTop="1">
      <c r="B41" s="149" t="s">
        <v>2</v>
      </c>
      <c r="C41" s="107">
        <v>100000</v>
      </c>
      <c r="D41" s="108">
        <f>SUM(D38:D40)</f>
        <v>1</v>
      </c>
      <c r="E41" s="114">
        <f>SUM(E38:E40)</f>
        <v>2040816.3265306121</v>
      </c>
      <c r="F41" s="111">
        <v>100000</v>
      </c>
      <c r="G41" s="108">
        <f>SUM(G38:G40)</f>
        <v>1</v>
      </c>
      <c r="H41" s="147">
        <f>H40</f>
        <v>20.408163265306122</v>
      </c>
      <c r="I41" s="114">
        <f>SUM(I38:I40)</f>
        <v>2240816.3265306121</v>
      </c>
      <c r="J41" s="111">
        <f>J38+J40</f>
        <v>109800</v>
      </c>
      <c r="K41" s="108">
        <f>SUM(K38:K40)</f>
        <v>1</v>
      </c>
    </row>
    <row r="42" spans="2:14">
      <c r="B42" s="30"/>
    </row>
    <row r="43" spans="2:14">
      <c r="B43" s="64" t="s">
        <v>82</v>
      </c>
      <c r="C43" s="63" t="s">
        <v>70</v>
      </c>
    </row>
    <row r="45" spans="2:14" s="19" customFormat="1" ht="17.5" customHeight="1">
      <c r="B45" s="176" t="s">
        <v>72</v>
      </c>
      <c r="C45" s="55" t="s">
        <v>71</v>
      </c>
      <c r="D45" s="179" t="s">
        <v>4</v>
      </c>
      <c r="E45" s="180"/>
      <c r="F45" s="180"/>
      <c r="G45" s="180"/>
      <c r="H45" s="181"/>
    </row>
    <row r="46" spans="2:14" s="19" customFormat="1" ht="17.5" customHeight="1">
      <c r="B46" s="177"/>
      <c r="C46" s="55">
        <v>0</v>
      </c>
      <c r="D46" s="55">
        <v>1</v>
      </c>
      <c r="E46" s="55">
        <v>2</v>
      </c>
      <c r="F46" s="55">
        <v>3</v>
      </c>
      <c r="G46" s="55">
        <v>4</v>
      </c>
      <c r="H46" s="55">
        <v>5</v>
      </c>
    </row>
    <row r="47" spans="2:14" ht="15.5" customHeight="1">
      <c r="B47" s="178"/>
      <c r="C47" s="173" t="s">
        <v>117</v>
      </c>
      <c r="D47" s="173" t="s">
        <v>118</v>
      </c>
      <c r="E47" s="173" t="s">
        <v>119</v>
      </c>
      <c r="F47" s="173" t="s">
        <v>120</v>
      </c>
      <c r="G47" s="173" t="s">
        <v>121</v>
      </c>
      <c r="H47" s="173" t="s">
        <v>122</v>
      </c>
    </row>
    <row r="48" spans="2:14" s="69" customFormat="1" ht="13">
      <c r="B48" s="61" t="s">
        <v>44</v>
      </c>
      <c r="C48" s="29"/>
      <c r="D48" s="29">
        <f>6%*70%</f>
        <v>4.1999999999999996E-2</v>
      </c>
      <c r="E48" s="29">
        <f>6%*70%</f>
        <v>4.1999999999999996E-2</v>
      </c>
      <c r="F48" s="29">
        <f>6%*70%</f>
        <v>4.1999999999999996E-2</v>
      </c>
      <c r="G48" s="29">
        <f>4%*70%</f>
        <v>2.7999999999999997E-2</v>
      </c>
      <c r="H48" s="29">
        <f>4%*70%</f>
        <v>2.7999999999999997E-2</v>
      </c>
    </row>
    <row r="49" spans="2:9" s="25" customFormat="1">
      <c r="B49" s="56" t="s">
        <v>0</v>
      </c>
      <c r="C49" s="24">
        <v>314.10000000000002</v>
      </c>
      <c r="D49" s="24">
        <f>C49*(1+D48)</f>
        <v>327.29220000000004</v>
      </c>
      <c r="E49" s="24">
        <f>D49*(1+E48)</f>
        <v>341.03847240000005</v>
      </c>
      <c r="F49" s="24">
        <f>E49*(1+F48)</f>
        <v>355.36208824080006</v>
      </c>
      <c r="G49" s="24">
        <f>F49*(1+G48)</f>
        <v>365.31222671154245</v>
      </c>
      <c r="H49" s="24">
        <f>G49*(1+H48)</f>
        <v>375.54096905946562</v>
      </c>
      <c r="I49" s="19"/>
    </row>
    <row r="50" spans="2:9">
      <c r="B50" s="56" t="s">
        <v>40</v>
      </c>
      <c r="C50" s="24">
        <v>38.6</v>
      </c>
      <c r="D50" s="24">
        <f>C50*(1+D48)</f>
        <v>40.221200000000003</v>
      </c>
      <c r="E50" s="24">
        <f>D50*(1+E48)</f>
        <v>41.910490400000008</v>
      </c>
      <c r="F50" s="24">
        <f>E50*(1+F48)</f>
        <v>43.67073099680001</v>
      </c>
      <c r="G50" s="24">
        <f>F50*(1+G48)</f>
        <v>44.893511464710414</v>
      </c>
      <c r="H50" s="24">
        <f>G50*(1+H48)</f>
        <v>46.150529785722306</v>
      </c>
      <c r="I50" s="19"/>
    </row>
    <row r="51" spans="2:9" s="25" customFormat="1">
      <c r="B51" s="57" t="s">
        <v>1</v>
      </c>
      <c r="C51" s="20">
        <f t="shared" ref="C51:H51" si="0">C50+C57</f>
        <v>53.900000000000006</v>
      </c>
      <c r="D51" s="20">
        <f t="shared" si="0"/>
        <v>56.163800000000009</v>
      </c>
      <c r="E51" s="20">
        <f t="shared" si="0"/>
        <v>58.522679600000011</v>
      </c>
      <c r="F51" s="20">
        <f t="shared" si="0"/>
        <v>60.980632143200012</v>
      </c>
      <c r="G51" s="20">
        <f t="shared" si="0"/>
        <v>62.68808984320961</v>
      </c>
      <c r="H51" s="20">
        <f t="shared" si="0"/>
        <v>64.443356358819486</v>
      </c>
      <c r="I51" s="19"/>
    </row>
    <row r="52" spans="2:9">
      <c r="B52" s="56" t="s">
        <v>41</v>
      </c>
      <c r="C52" s="24">
        <v>10.8</v>
      </c>
      <c r="D52" s="24">
        <v>10.8</v>
      </c>
      <c r="E52" s="24">
        <v>10.8</v>
      </c>
      <c r="F52" s="24">
        <v>10.8</v>
      </c>
      <c r="G52" s="24">
        <v>10.8</v>
      </c>
      <c r="H52" s="24">
        <v>10.8</v>
      </c>
      <c r="I52" s="19"/>
    </row>
    <row r="53" spans="2:9" s="25" customFormat="1">
      <c r="B53" s="56" t="s">
        <v>7</v>
      </c>
      <c r="C53" s="24">
        <v>28.9</v>
      </c>
      <c r="D53" s="24">
        <f>D51-D52-D57</f>
        <v>29.42120000000001</v>
      </c>
      <c r="E53" s="24">
        <f>E51-E52-E57</f>
        <v>31.110490400000003</v>
      </c>
      <c r="F53" s="24">
        <f>F51-F52-F57</f>
        <v>32.870730996800013</v>
      </c>
      <c r="G53" s="24">
        <f>G51-G52-G57</f>
        <v>34.093511464710417</v>
      </c>
      <c r="H53" s="24">
        <f>H51-H52-H57</f>
        <v>35.350529785722316</v>
      </c>
      <c r="I53" s="19"/>
    </row>
    <row r="54" spans="2:9">
      <c r="B54" s="56" t="s">
        <v>6</v>
      </c>
      <c r="C54" s="24">
        <v>12.5</v>
      </c>
      <c r="D54" s="24">
        <f>D53*$C$5</f>
        <v>11.768480000000004</v>
      </c>
      <c r="E54" s="24">
        <f>E53*$C$5</f>
        <v>12.444196160000002</v>
      </c>
      <c r="F54" s="24">
        <f>F53*$C$5</f>
        <v>13.148292398720006</v>
      </c>
      <c r="G54" s="24">
        <f>G53*$C$5</f>
        <v>13.637404585884168</v>
      </c>
      <c r="H54" s="24">
        <f>H53*$C$5</f>
        <v>14.140211914288926</v>
      </c>
      <c r="I54" s="19"/>
    </row>
    <row r="55" spans="2:9" s="25" customFormat="1">
      <c r="B55" s="56" t="s">
        <v>73</v>
      </c>
      <c r="C55" s="24">
        <f t="shared" ref="C55:H55" si="1">C53-C54</f>
        <v>16.399999999999999</v>
      </c>
      <c r="D55" s="24">
        <f t="shared" si="1"/>
        <v>17.652720000000006</v>
      </c>
      <c r="E55" s="24">
        <f t="shared" si="1"/>
        <v>18.666294239999999</v>
      </c>
      <c r="F55" s="24">
        <f t="shared" si="1"/>
        <v>19.722438598080007</v>
      </c>
      <c r="G55" s="24">
        <f t="shared" si="1"/>
        <v>20.456106878826247</v>
      </c>
      <c r="H55" s="24">
        <f t="shared" si="1"/>
        <v>21.210317871433389</v>
      </c>
      <c r="I55" s="19"/>
    </row>
    <row r="56" spans="2:9" s="69" customFormat="1" ht="13">
      <c r="B56" s="61" t="s">
        <v>14</v>
      </c>
      <c r="C56" s="29">
        <f t="shared" ref="C56:H56" si="2">C55/C49</f>
        <v>5.2212671123845901E-2</v>
      </c>
      <c r="D56" s="29">
        <f t="shared" si="2"/>
        <v>5.3935657495045725E-2</v>
      </c>
      <c r="E56" s="29">
        <f t="shared" si="2"/>
        <v>5.4733690626277851E-2</v>
      </c>
      <c r="F56" s="29">
        <f t="shared" si="2"/>
        <v>5.5499557354907567E-2</v>
      </c>
      <c r="G56" s="29">
        <f t="shared" si="2"/>
        <v>5.5996228385147326E-2</v>
      </c>
      <c r="H56" s="29">
        <f t="shared" si="2"/>
        <v>5.6479371410672392E-2</v>
      </c>
      <c r="I56" s="70"/>
    </row>
    <row r="57" spans="2:9">
      <c r="B57" s="58" t="s">
        <v>5</v>
      </c>
      <c r="C57" s="24">
        <v>15.3</v>
      </c>
      <c r="D57" s="24">
        <f>D49*C70</f>
        <v>15.942600000000002</v>
      </c>
      <c r="E57" s="24">
        <f>E49*D70</f>
        <v>16.612189200000003</v>
      </c>
      <c r="F57" s="24">
        <f>F49*E70</f>
        <v>17.309901146400001</v>
      </c>
      <c r="G57" s="24">
        <f>G49*F70</f>
        <v>17.7945783784992</v>
      </c>
      <c r="H57" s="24">
        <f>H49*G70</f>
        <v>18.292826573097177</v>
      </c>
      <c r="I57" s="19"/>
    </row>
    <row r="58" spans="2:9">
      <c r="B58" s="58" t="s">
        <v>42</v>
      </c>
      <c r="C58" s="38" t="s">
        <v>50</v>
      </c>
      <c r="D58" s="24">
        <f>D71-C71</f>
        <v>2.3352000000000004</v>
      </c>
      <c r="E58" s="24">
        <f>E71-D71</f>
        <v>2.433278399999999</v>
      </c>
      <c r="F58" s="24">
        <f>F71-E71</f>
        <v>2.5354760928000033</v>
      </c>
      <c r="G58" s="24">
        <f>G71-F71</f>
        <v>1.7613107257983955</v>
      </c>
      <c r="H58" s="24">
        <f>H71-G71</f>
        <v>1.8106274261207602</v>
      </c>
      <c r="I58" s="19"/>
    </row>
    <row r="59" spans="2:9">
      <c r="B59" s="58" t="s">
        <v>8</v>
      </c>
      <c r="C59" s="22">
        <v>23.9</v>
      </c>
      <c r="D59" s="27">
        <v>30</v>
      </c>
      <c r="E59" s="27">
        <v>30</v>
      </c>
      <c r="F59" s="27">
        <v>35</v>
      </c>
      <c r="G59" s="27">
        <v>25</v>
      </c>
      <c r="H59" s="27">
        <v>25</v>
      </c>
      <c r="I59" s="19"/>
    </row>
    <row r="60" spans="2:9" s="25" customFormat="1">
      <c r="B60" s="59" t="s">
        <v>43</v>
      </c>
      <c r="C60" s="32" t="s">
        <v>50</v>
      </c>
      <c r="D60" s="20">
        <f>D50*(1-C5)+D57-D58-D59</f>
        <v>7.7401200000000046</v>
      </c>
      <c r="E60" s="20">
        <f>E55+E52*(1-$C$5)+E57-E58-E59</f>
        <v>9.3252050400000073</v>
      </c>
      <c r="F60" s="20">
        <f>F55+F52*(1-$C$5)+F57-F58-F59</f>
        <v>5.9768636516800058</v>
      </c>
      <c r="G60" s="20">
        <f>G55+G52*(1-$C$5)+G57-G58-G59</f>
        <v>17.969374531527052</v>
      </c>
      <c r="H60" s="20">
        <f>H55+H52*(1-$C$5)+H57-H58-H59</f>
        <v>19.172517018409806</v>
      </c>
      <c r="I60" s="19"/>
    </row>
    <row r="61" spans="2:9" s="69" customFormat="1" ht="13">
      <c r="B61" s="61" t="s">
        <v>75</v>
      </c>
      <c r="C61" s="51"/>
      <c r="D61" s="52"/>
      <c r="E61" s="52"/>
      <c r="F61" s="52"/>
      <c r="G61" s="53"/>
      <c r="H61" s="29">
        <v>0.02</v>
      </c>
      <c r="I61" s="31"/>
    </row>
    <row r="62" spans="2:9">
      <c r="B62" s="60" t="s">
        <v>52</v>
      </c>
      <c r="C62" s="21"/>
      <c r="D62" s="41"/>
      <c r="E62" s="41"/>
      <c r="F62" s="41"/>
      <c r="G62" s="42"/>
      <c r="H62" s="24">
        <f>H60*(1+H61)/(C19-H61)</f>
        <v>569.22282707616114</v>
      </c>
    </row>
    <row r="63" spans="2:9">
      <c r="B63" s="60" t="s">
        <v>53</v>
      </c>
      <c r="C63" s="17"/>
      <c r="D63" s="40">
        <f>D60/((1+$C$19)^D46)</f>
        <v>7.3410909134147087</v>
      </c>
      <c r="E63" s="40">
        <f>E60/((1+$C$19)^E46)</f>
        <v>8.38849803143553</v>
      </c>
      <c r="F63" s="40">
        <f>F60/((1+$C$19)^F46)</f>
        <v>5.0993177461077464</v>
      </c>
      <c r="G63" s="40">
        <f>G60/((1+$C$19)^G46)</f>
        <v>14.540675921420625</v>
      </c>
      <c r="H63" s="40">
        <f>(H60+H62)/((1+$C$19)^H46)</f>
        <v>451.57903439323451</v>
      </c>
    </row>
    <row r="64" spans="2:9">
      <c r="B64" s="49" t="s">
        <v>55</v>
      </c>
      <c r="C64" s="50">
        <f>SUM(D63:H63)</f>
        <v>486.94861700561313</v>
      </c>
      <c r="D64" s="21"/>
      <c r="E64" s="41"/>
      <c r="F64" s="41"/>
      <c r="G64" s="41"/>
      <c r="H64" s="42"/>
    </row>
    <row r="65" spans="2:9">
      <c r="B65" s="47" t="s">
        <v>74</v>
      </c>
      <c r="C65" s="48">
        <f>C64-SUM(C7:C9)</f>
        <v>328.64861700561312</v>
      </c>
      <c r="D65" s="21"/>
      <c r="E65" s="41"/>
      <c r="F65" s="41"/>
      <c r="G65" s="41"/>
      <c r="H65" s="42"/>
    </row>
    <row r="68" spans="2:9">
      <c r="B68" s="64" t="s">
        <v>45</v>
      </c>
      <c r="C68" s="63" t="s">
        <v>70</v>
      </c>
    </row>
    <row r="70" spans="2:9" s="71" customFormat="1">
      <c r="B70" s="28" t="s">
        <v>77</v>
      </c>
      <c r="C70" s="29">
        <f t="shared" ref="C70:H70" si="3">C57/C49</f>
        <v>4.8710601719197708E-2</v>
      </c>
      <c r="D70" s="29">
        <f t="shared" si="3"/>
        <v>4.8710601719197708E-2</v>
      </c>
      <c r="E70" s="29">
        <f t="shared" si="3"/>
        <v>4.8710601719197708E-2</v>
      </c>
      <c r="F70" s="29">
        <f t="shared" si="3"/>
        <v>4.8710601719197701E-2</v>
      </c>
      <c r="G70" s="29">
        <f t="shared" si="3"/>
        <v>4.8710601719197701E-2</v>
      </c>
      <c r="H70" s="29">
        <f t="shared" si="3"/>
        <v>4.8710601719197701E-2</v>
      </c>
      <c r="I70" s="23"/>
    </row>
    <row r="71" spans="2:9" s="25" customFormat="1">
      <c r="B71" s="39" t="s">
        <v>49</v>
      </c>
      <c r="C71" s="20">
        <f t="shared" ref="C71:H71" si="4">C72+C74-C76</f>
        <v>55.599999999999994</v>
      </c>
      <c r="D71" s="20">
        <f t="shared" si="4"/>
        <v>57.935199999999995</v>
      </c>
      <c r="E71" s="20">
        <f t="shared" si="4"/>
        <v>60.368478399999994</v>
      </c>
      <c r="F71" s="20">
        <f t="shared" si="4"/>
        <v>62.903954492799997</v>
      </c>
      <c r="G71" s="20">
        <f t="shared" si="4"/>
        <v>64.665265218598392</v>
      </c>
      <c r="H71" s="20">
        <f t="shared" si="4"/>
        <v>66.475892644719153</v>
      </c>
      <c r="I71" s="23"/>
    </row>
    <row r="72" spans="2:9">
      <c r="B72" s="43" t="s">
        <v>46</v>
      </c>
      <c r="C72" s="44">
        <v>57.6</v>
      </c>
      <c r="D72" s="44">
        <f>C73*D$49</f>
        <v>60.019200000000005</v>
      </c>
      <c r="E72" s="44">
        <f>D73*E$49</f>
        <v>62.54000640000001</v>
      </c>
      <c r="F72" s="44">
        <f>E73*F$49</f>
        <v>65.166686668800011</v>
      </c>
      <c r="G72" s="44">
        <f>F73*G$49</f>
        <v>66.991353895526402</v>
      </c>
      <c r="H72" s="44">
        <f>G73*H$49</f>
        <v>68.867111804601137</v>
      </c>
    </row>
    <row r="73" spans="2:9" s="69" customFormat="1">
      <c r="B73" s="45" t="s">
        <v>78</v>
      </c>
      <c r="C73" s="46">
        <f t="shared" ref="C73:H73" si="5">C72/C$49</f>
        <v>0.18338108882521489</v>
      </c>
      <c r="D73" s="46">
        <f t="shared" si="5"/>
        <v>0.18338108882521489</v>
      </c>
      <c r="E73" s="46">
        <f t="shared" si="5"/>
        <v>0.18338108882521489</v>
      </c>
      <c r="F73" s="46">
        <f t="shared" si="5"/>
        <v>0.18338108882521489</v>
      </c>
      <c r="G73" s="46">
        <f t="shared" si="5"/>
        <v>0.18338108882521487</v>
      </c>
      <c r="H73" s="46">
        <f t="shared" si="5"/>
        <v>0.18338108882521487</v>
      </c>
      <c r="I73" s="23"/>
    </row>
    <row r="74" spans="2:9">
      <c r="B74" s="43" t="s">
        <v>47</v>
      </c>
      <c r="C74" s="44">
        <v>31.7</v>
      </c>
      <c r="D74" s="44">
        <f>C75*D$49</f>
        <v>33.031399999999998</v>
      </c>
      <c r="E74" s="44">
        <f>D75*E$49</f>
        <v>34.418718800000001</v>
      </c>
      <c r="F74" s="44">
        <f>E75*F$49</f>
        <v>35.864304989600001</v>
      </c>
      <c r="G74" s="44">
        <f>F75*G$49</f>
        <v>36.868505529308798</v>
      </c>
      <c r="H74" s="44">
        <f>G75*H$49</f>
        <v>37.900823684129442</v>
      </c>
    </row>
    <row r="75" spans="2:9" s="69" customFormat="1">
      <c r="B75" s="45" t="s">
        <v>79</v>
      </c>
      <c r="C75" s="46">
        <f t="shared" ref="C75:H75" si="6">C74/C$49</f>
        <v>0.1009232728430436</v>
      </c>
      <c r="D75" s="46">
        <f t="shared" si="6"/>
        <v>0.1009232728430436</v>
      </c>
      <c r="E75" s="46">
        <f t="shared" si="6"/>
        <v>0.1009232728430436</v>
      </c>
      <c r="F75" s="46">
        <f t="shared" si="6"/>
        <v>0.1009232728430436</v>
      </c>
      <c r="G75" s="46">
        <f t="shared" si="6"/>
        <v>0.1009232728430436</v>
      </c>
      <c r="H75" s="46">
        <f t="shared" si="6"/>
        <v>0.1009232728430436</v>
      </c>
      <c r="I75" s="23"/>
    </row>
    <row r="76" spans="2:9">
      <c r="B76" s="43" t="s">
        <v>48</v>
      </c>
      <c r="C76" s="44">
        <v>33.700000000000003</v>
      </c>
      <c r="D76" s="44">
        <f>C77*D$49</f>
        <v>35.115400000000008</v>
      </c>
      <c r="E76" s="44">
        <f>D77*E$49</f>
        <v>36.59024680000001</v>
      </c>
      <c r="F76" s="44">
        <f>E77*F$49</f>
        <v>38.127037165600015</v>
      </c>
      <c r="G76" s="44">
        <f>F77*G$49</f>
        <v>39.194594206236815</v>
      </c>
      <c r="H76" s="44">
        <f>G77*H$49</f>
        <v>40.292042844011441</v>
      </c>
    </row>
    <row r="77" spans="2:9" s="69" customFormat="1">
      <c r="B77" s="45" t="s">
        <v>80</v>
      </c>
      <c r="C77" s="46">
        <f t="shared" ref="C77:H77" si="7">C76/C$49</f>
        <v>0.10729067176058581</v>
      </c>
      <c r="D77" s="46">
        <f t="shared" si="7"/>
        <v>0.10729067176058581</v>
      </c>
      <c r="E77" s="46">
        <f t="shared" si="7"/>
        <v>0.10729067176058582</v>
      </c>
      <c r="F77" s="46">
        <f t="shared" si="7"/>
        <v>0.10729067176058582</v>
      </c>
      <c r="G77" s="46">
        <f t="shared" si="7"/>
        <v>0.10729067176058582</v>
      </c>
      <c r="H77" s="46">
        <f t="shared" si="7"/>
        <v>0.10729067176058582</v>
      </c>
      <c r="I77" s="23"/>
    </row>
  </sheetData>
  <mergeCells count="8">
    <mergeCell ref="I36:K36"/>
    <mergeCell ref="B45:B47"/>
    <mergeCell ref="D45:H45"/>
    <mergeCell ref="F23:G23"/>
    <mergeCell ref="D23:E23"/>
    <mergeCell ref="C36:D36"/>
    <mergeCell ref="E36:G36"/>
    <mergeCell ref="H36:H37"/>
  </mergeCells>
  <pageMargins left="0.75" right="0.75" top="1" bottom="1" header="0.5" footer="0.5"/>
  <pageSetup paperSize="9" scale="71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29"/>
  <sheetViews>
    <sheetView showGridLines="0" workbookViewId="0">
      <selection activeCell="C5" sqref="C5:D5"/>
    </sheetView>
  </sheetViews>
  <sheetFormatPr defaultColWidth="10.6640625" defaultRowHeight="15.5"/>
  <cols>
    <col min="1" max="1" width="4" style="23" customWidth="1"/>
    <col min="2" max="2" width="31.33203125" style="23" customWidth="1"/>
    <col min="3" max="4" width="10.6640625" style="23"/>
    <col min="5" max="5" width="10.6640625" style="23" customWidth="1"/>
    <col min="6" max="6" width="43.4140625" style="23" customWidth="1"/>
    <col min="7" max="16384" width="10.6640625" style="23"/>
  </cols>
  <sheetData>
    <row r="1" spans="2:6" ht="21">
      <c r="B1" s="72" t="s">
        <v>111</v>
      </c>
    </row>
    <row r="2" spans="2:6" s="83" customFormat="1"/>
    <row r="3" spans="2:6" s="83" customFormat="1">
      <c r="B3" s="64" t="s">
        <v>11</v>
      </c>
    </row>
    <row r="4" spans="2:6" s="83" customFormat="1">
      <c r="B4" s="126"/>
      <c r="C4" s="18" t="s">
        <v>15</v>
      </c>
      <c r="D4" s="18" t="s">
        <v>16</v>
      </c>
    </row>
    <row r="5" spans="2:6" s="83" customFormat="1">
      <c r="B5" s="127" t="s">
        <v>12</v>
      </c>
      <c r="C5" s="12">
        <v>2018</v>
      </c>
      <c r="D5" s="10">
        <v>2023</v>
      </c>
    </row>
    <row r="6" spans="2:6" s="83" customFormat="1">
      <c r="B6" s="127" t="s">
        <v>109</v>
      </c>
      <c r="C6" s="119">
        <f>'EV Valuation'!C32</f>
        <v>120</v>
      </c>
      <c r="D6" s="27">
        <f>'EV Valuation'!H37</f>
        <v>220.63200810518299</v>
      </c>
    </row>
    <row r="7" spans="2:6" s="83" customFormat="1">
      <c r="B7" s="128"/>
    </row>
    <row r="8" spans="2:6" s="83" customFormat="1">
      <c r="B8" s="64" t="s">
        <v>21</v>
      </c>
    </row>
    <row r="9" spans="2:6" s="83" customFormat="1">
      <c r="C9" s="188" t="s">
        <v>24</v>
      </c>
      <c r="D9" s="188"/>
      <c r="E9" s="189"/>
    </row>
    <row r="10" spans="2:6" s="83" customFormat="1">
      <c r="B10" s="130" t="s">
        <v>104</v>
      </c>
      <c r="C10" s="131" t="s">
        <v>26</v>
      </c>
      <c r="D10" s="132" t="s">
        <v>23</v>
      </c>
      <c r="E10" s="132" t="s">
        <v>20</v>
      </c>
    </row>
    <row r="11" spans="2:6" s="83" customFormat="1">
      <c r="B11" s="133" t="s">
        <v>22</v>
      </c>
      <c r="C11" s="134">
        <f>C13-C12</f>
        <v>0</v>
      </c>
      <c r="D11" s="134">
        <f>D13-D12</f>
        <v>80</v>
      </c>
      <c r="E11" s="134">
        <f>E13-E12</f>
        <v>96</v>
      </c>
      <c r="F11" s="127"/>
    </row>
    <row r="12" spans="2:6" s="83" customFormat="1">
      <c r="B12" s="133" t="s">
        <v>3</v>
      </c>
      <c r="C12" s="134">
        <f>C6</f>
        <v>120</v>
      </c>
      <c r="D12" s="134">
        <f>C6/3</f>
        <v>40</v>
      </c>
      <c r="E12" s="134">
        <f>C6/5</f>
        <v>24</v>
      </c>
      <c r="F12" s="127"/>
    </row>
    <row r="13" spans="2:6" s="83" customFormat="1">
      <c r="B13" s="133" t="s">
        <v>30</v>
      </c>
      <c r="C13" s="134">
        <v>120</v>
      </c>
      <c r="D13" s="135">
        <v>120</v>
      </c>
      <c r="E13" s="135">
        <v>120</v>
      </c>
      <c r="F13" s="127"/>
    </row>
    <row r="14" spans="2:6" s="83" customFormat="1">
      <c r="B14" s="133"/>
      <c r="C14" s="133"/>
      <c r="D14" s="136"/>
      <c r="E14" s="136"/>
      <c r="F14" s="127"/>
    </row>
    <row r="15" spans="2:6" s="83" customFormat="1">
      <c r="B15" s="64" t="s">
        <v>28</v>
      </c>
      <c r="C15" s="133"/>
      <c r="D15" s="136"/>
      <c r="E15" s="136"/>
      <c r="F15" s="127"/>
    </row>
    <row r="16" spans="2:6" s="83" customFormat="1">
      <c r="B16" s="127" t="s">
        <v>109</v>
      </c>
      <c r="C16" s="27">
        <f>D6</f>
        <v>220.63200810518299</v>
      </c>
      <c r="D16" s="27">
        <f>C16</f>
        <v>220.63200810518299</v>
      </c>
      <c r="E16" s="27">
        <f>D16</f>
        <v>220.63200810518299</v>
      </c>
      <c r="F16" s="127"/>
    </row>
    <row r="17" spans="2:6" s="83" customFormat="1">
      <c r="B17" s="133" t="s">
        <v>27</v>
      </c>
      <c r="C17" s="27">
        <f>C11</f>
        <v>0</v>
      </c>
      <c r="D17" s="27">
        <f>D11</f>
        <v>80</v>
      </c>
      <c r="E17" s="27">
        <f>E11</f>
        <v>96</v>
      </c>
      <c r="F17" s="127"/>
    </row>
    <row r="18" spans="2:6" s="83" customFormat="1">
      <c r="B18" s="133" t="s">
        <v>31</v>
      </c>
      <c r="C18" s="27">
        <f>C16-C17</f>
        <v>220.63200810518299</v>
      </c>
      <c r="D18" s="27">
        <f t="shared" ref="D18:E18" si="0">D16-D17</f>
        <v>140.63200810518299</v>
      </c>
      <c r="E18" s="27">
        <f t="shared" si="0"/>
        <v>124.63200810518299</v>
      </c>
      <c r="F18" s="127"/>
    </row>
    <row r="19" spans="2:6" s="83" customFormat="1">
      <c r="B19" s="133"/>
      <c r="C19" s="133"/>
      <c r="D19" s="136"/>
      <c r="E19" s="136"/>
      <c r="F19" s="127"/>
    </row>
    <row r="20" spans="2:6" s="83" customFormat="1">
      <c r="B20" s="64" t="s">
        <v>25</v>
      </c>
      <c r="C20" s="137"/>
      <c r="D20" s="137"/>
      <c r="E20" s="137"/>
    </row>
    <row r="21" spans="2:6" s="83" customFormat="1"/>
    <row r="22" spans="2:6" s="83" customFormat="1">
      <c r="B22" s="192" t="s">
        <v>103</v>
      </c>
      <c r="C22" s="190" t="s">
        <v>24</v>
      </c>
      <c r="D22" s="190"/>
      <c r="E22" s="191"/>
    </row>
    <row r="23" spans="2:6" s="83" customFormat="1">
      <c r="B23" s="193"/>
      <c r="C23" s="138" t="s">
        <v>26</v>
      </c>
      <c r="D23" s="139" t="s">
        <v>23</v>
      </c>
      <c r="E23" s="139" t="s">
        <v>20</v>
      </c>
    </row>
    <row r="24" spans="2:6" s="83" customFormat="1" ht="18.5" customHeight="1">
      <c r="B24" s="140" t="s">
        <v>32</v>
      </c>
      <c r="C24" s="134">
        <f>C12</f>
        <v>120</v>
      </c>
      <c r="D24" s="134">
        <f>D12</f>
        <v>40</v>
      </c>
      <c r="E24" s="134">
        <f>E12</f>
        <v>24</v>
      </c>
    </row>
    <row r="25" spans="2:6" s="83" customFormat="1" ht="18.5" customHeight="1">
      <c r="B25" s="140" t="s">
        <v>31</v>
      </c>
      <c r="C25" s="134">
        <f>C18</f>
        <v>220.63200810518299</v>
      </c>
      <c r="D25" s="134">
        <f>D18</f>
        <v>140.63200810518299</v>
      </c>
      <c r="E25" s="134">
        <f>E18</f>
        <v>124.63200810518299</v>
      </c>
    </row>
    <row r="26" spans="2:6" s="83" customFormat="1" ht="18.5" customHeight="1">
      <c r="B26" s="140" t="s">
        <v>17</v>
      </c>
      <c r="C26" s="134">
        <f>C25-C24</f>
        <v>100.63200810518299</v>
      </c>
      <c r="D26" s="134">
        <f t="shared" ref="D26:E26" si="1">D25-D24</f>
        <v>100.63200810518299</v>
      </c>
      <c r="E26" s="134">
        <f t="shared" si="1"/>
        <v>100.63200810518299</v>
      </c>
    </row>
    <row r="27" spans="2:6" s="83" customFormat="1" ht="18.5" customHeight="1">
      <c r="B27" s="141" t="s">
        <v>19</v>
      </c>
      <c r="C27" s="142">
        <f>C25/C24</f>
        <v>1.8386000675431915</v>
      </c>
      <c r="D27" s="142">
        <f t="shared" ref="D27:E27" si="2">D25/D24</f>
        <v>3.5158002026295749</v>
      </c>
      <c r="E27" s="142">
        <f t="shared" si="2"/>
        <v>5.1930003377159579</v>
      </c>
    </row>
    <row r="28" spans="2:6" s="83" customFormat="1">
      <c r="B28" s="128"/>
    </row>
    <row r="29" spans="2:6" s="83" customFormat="1">
      <c r="B29" s="128"/>
      <c r="C29" s="23"/>
      <c r="D29" s="23"/>
      <c r="E29" s="23"/>
    </row>
  </sheetData>
  <mergeCells count="3">
    <mergeCell ref="C9:E9"/>
    <mergeCell ref="C22:E22"/>
    <mergeCell ref="B22:B23"/>
  </mergeCells>
  <phoneticPr fontId="5" type="noConversion"/>
  <pageMargins left="0.74803149606299213" right="0.74803149606299213" top="0.98425196850393704" bottom="0.98425196850393704" header="0.51181102362204722" footer="0.51181102362204722"/>
  <pageSetup paperSize="9" scale="90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FCFF Valuation</vt:lpstr>
      <vt:lpstr>EV Valuation</vt:lpstr>
      <vt:lpstr>Post Investment</vt:lpstr>
      <vt:lpstr>Leverage</vt:lpstr>
      <vt:lpstr>Leverage!Print_Area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Folkman</dc:creator>
  <cp:lastModifiedBy>엄인수</cp:lastModifiedBy>
  <cp:lastPrinted>2017-10-17T13:31:57Z</cp:lastPrinted>
  <dcterms:created xsi:type="dcterms:W3CDTF">2015-10-28T20:55:48Z</dcterms:created>
  <dcterms:modified xsi:type="dcterms:W3CDTF">2018-07-15T06:36:25Z</dcterms:modified>
</cp:coreProperties>
</file>