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5\"/>
    </mc:Choice>
  </mc:AlternateContent>
  <xr:revisionPtr revIDLastSave="0" documentId="13_ncr:1_{9DADC777-9A3D-4D50-9D55-D82CA804B389}" xr6:coauthVersionLast="47" xr6:coauthVersionMax="47" xr10:uidLastSave="{00000000-0000-0000-0000-000000000000}"/>
  <bookViews>
    <workbookView xWindow="1704" yWindow="132" windowWidth="13872" windowHeight="11604"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N88" i="1" l="1"/>
  <c r="O88" i="1"/>
  <c r="N84" i="1"/>
  <c r="O84" i="1"/>
  <c r="N80" i="1"/>
  <c r="O80" i="1"/>
  <c r="N76" i="1"/>
  <c r="O76" i="1"/>
  <c r="N72" i="1"/>
  <c r="O72" i="1"/>
  <c r="N68" i="1"/>
  <c r="O68" i="1"/>
  <c r="N64" i="1"/>
  <c r="N60" i="1"/>
  <c r="O60" i="1"/>
  <c r="N56" i="1"/>
  <c r="O56" i="1"/>
  <c r="N52" i="1"/>
  <c r="O52" i="1"/>
  <c r="N48" i="1"/>
  <c r="O48" i="1"/>
  <c r="N44" i="1"/>
  <c r="O44" i="1"/>
  <c r="N40" i="1"/>
  <c r="O40" i="1"/>
  <c r="N36" i="1"/>
  <c r="O36" i="1"/>
  <c r="O87" i="1"/>
  <c r="N87" i="1"/>
  <c r="O83" i="1"/>
  <c r="N83" i="1"/>
  <c r="O79" i="1"/>
  <c r="N79" i="1"/>
  <c r="O75" i="1"/>
  <c r="N75" i="1"/>
  <c r="O71" i="1"/>
  <c r="N71" i="1"/>
  <c r="O67" i="1"/>
  <c r="N67" i="1"/>
  <c r="O63" i="1"/>
  <c r="N63" i="1"/>
  <c r="O59" i="1"/>
  <c r="N59" i="1"/>
  <c r="O55" i="1"/>
  <c r="N55" i="1"/>
  <c r="O51" i="1"/>
  <c r="N51" i="1"/>
  <c r="N47" i="1"/>
  <c r="N43" i="1"/>
  <c r="O39" i="1"/>
  <c r="N39" i="1"/>
  <c r="N35" i="1"/>
  <c r="O31" i="1"/>
  <c r="N31" i="1"/>
  <c r="N27" i="1"/>
  <c r="O23" i="1"/>
  <c r="N23" i="1"/>
  <c r="O19" i="1"/>
  <c r="N19" i="1"/>
  <c r="O15" i="1"/>
  <c r="N15" i="1"/>
  <c r="O11" i="1"/>
  <c r="N11" i="1"/>
  <c r="O86" i="1"/>
  <c r="N86" i="1"/>
  <c r="O82" i="1"/>
  <c r="N82" i="1"/>
  <c r="O78" i="1"/>
  <c r="N78" i="1"/>
  <c r="O74" i="1"/>
  <c r="N74" i="1"/>
  <c r="O70" i="1"/>
  <c r="N70" i="1"/>
  <c r="O66" i="1"/>
  <c r="N66" i="1"/>
  <c r="O62" i="1"/>
  <c r="N62" i="1"/>
  <c r="O58" i="1"/>
  <c r="N58" i="1"/>
  <c r="O54" i="1"/>
  <c r="N54" i="1"/>
  <c r="O50" i="1"/>
  <c r="N50" i="1"/>
  <c r="O46" i="1"/>
  <c r="N46" i="1"/>
  <c r="O42" i="1"/>
  <c r="N42" i="1"/>
  <c r="O38" i="1"/>
  <c r="N38" i="1"/>
  <c r="N34" i="1"/>
  <c r="O30" i="1"/>
  <c r="N30" i="1"/>
  <c r="N26" i="1"/>
  <c r="N22" i="1"/>
  <c r="O18" i="1"/>
  <c r="N18" i="1"/>
  <c r="N14" i="1"/>
  <c r="O10" i="1"/>
  <c r="N10" i="1"/>
  <c r="M5" i="1"/>
  <c r="N85" i="1"/>
  <c r="O81" i="1"/>
  <c r="N81" i="1"/>
  <c r="N77" i="1"/>
  <c r="O73" i="1"/>
  <c r="N73" i="1"/>
  <c r="O69" i="1"/>
  <c r="N69" i="1"/>
  <c r="O65" i="1"/>
  <c r="N65" i="1"/>
  <c r="O61" i="1"/>
  <c r="N61" i="1"/>
  <c r="O57" i="1"/>
  <c r="N57" i="1"/>
  <c r="O53" i="1"/>
  <c r="N53" i="1"/>
  <c r="O49" i="1"/>
  <c r="N49" i="1"/>
  <c r="O45" i="1"/>
  <c r="N45" i="1"/>
  <c r="O41" i="1"/>
  <c r="N41" i="1"/>
  <c r="O37" i="1"/>
  <c r="N37" i="1"/>
  <c r="O33" i="1"/>
  <c r="N33" i="1"/>
  <c r="O29" i="1"/>
  <c r="N29" i="1"/>
  <c r="O25" i="1"/>
  <c r="N25" i="1"/>
  <c r="O21" i="1"/>
  <c r="N21" i="1"/>
  <c r="O17" i="1"/>
  <c r="N17" i="1"/>
  <c r="N13" i="1"/>
  <c r="O9" i="1"/>
  <c r="N9" i="1"/>
  <c r="N32" i="1"/>
  <c r="O32" i="1"/>
  <c r="N28" i="1"/>
  <c r="O28" i="1"/>
  <c r="N24" i="1"/>
  <c r="O24" i="1"/>
  <c r="N20" i="1"/>
  <c r="O20" i="1"/>
  <c r="N16" i="1"/>
  <c r="O16" i="1"/>
  <c r="N12" i="1"/>
  <c r="O12" i="1"/>
  <c r="N8" i="1"/>
  <c r="O8" i="1"/>
  <c r="O7" i="1"/>
  <c r="N7" i="1"/>
  <c r="O6" i="1"/>
  <c r="N6" i="1"/>
  <c r="E9" i="4"/>
  <c r="B5" i="5"/>
  <c r="B6" i="5"/>
  <c r="B7" i="5"/>
  <c r="B8" i="5"/>
  <c r="B9" i="5"/>
  <c r="B10" i="5"/>
  <c r="B11" i="5"/>
  <c r="B12" i="5"/>
  <c r="B13" i="5"/>
  <c r="B14" i="5"/>
  <c r="B15" i="5"/>
  <c r="B4" i="5"/>
  <c r="N5" i="1" l="1"/>
  <c r="O13" i="1"/>
  <c r="O77" i="1"/>
  <c r="O85" i="1"/>
  <c r="O26" i="1"/>
  <c r="O34" i="1"/>
  <c r="O27" i="1"/>
  <c r="O35" i="1"/>
  <c r="O43" i="1"/>
  <c r="O64" i="1"/>
  <c r="O14" i="1"/>
  <c r="O22" i="1"/>
  <c r="O47"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O5" i="1" l="1"/>
  <c r="E8" i="4"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<sst xmlns="http://schemas.openxmlformats.org/spreadsheetml/2006/main" count="850" uniqueCount="408">
  <si>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</si>
  <si>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</si>
  <si>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</si>
  <si>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</si>
  <si>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</si>
  <si>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</si>
  <si>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</si>
  <si>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</si>
  <si>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</si>
  <si>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</si>
  <si>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</si>
  <si>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</si>
  <si>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</si>
  <si>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</si>
  <si>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</si>
  <si>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</si>
  <si>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</si>
  <si>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</si>
  <si>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</si>
  <si>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</si>
  <si>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</si>
  <si>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</si>
  <si>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</si>
  <si>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</si>
  <si>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</si>
  <si>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</si>
  <si>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</si>
  <si>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</si>
  <si>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</si>
  <si>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</si>
  <si>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</si>
  <si>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</si>
  <si>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</si>
  <si>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</si>
  <si>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</si>
  <si>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</si>
  <si>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</si>
  <si>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</si>
  <si>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</si>
  <si>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</si>
  <si>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</si>
  <si>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</si>
  <si>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</si>
  <si>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</si>
  <si>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</si>
  <si>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</si>
  <si>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</si>
  <si>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</si>
  <si>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</si>
  <si>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</si>
  <si>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</si>
  <si>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</si>
  <si>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</si>
  <si>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</si>
  <si>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</si>
  <si>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</si>
  <si>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</si>
  <si>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</si>
  <si>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</si>
  <si>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</si>
  <si>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</si>
  <si>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</si>
  <si>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</si>
  <si>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</si>
  <si>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</si>
  <si>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</si>
  <si>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</si>
  <si>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</si>
  <si>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</si>
  <si>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</si>
  <si>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</si>
  <si>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</si>
  <si>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</si>
  <si>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</si>
  <si>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</si>
  <si>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</si>
  <si>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</si>
  <si>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</si>
  <si>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</si>
  <si>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</si>
  <si>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</si>
  <si>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</si>
  <si>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</si>
  <si>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</si>
  <si>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</si>
  <si>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</si>
  <si>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</si>
  <si>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</si>
  <si>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</si>
  <si>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</si>
  <si>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</si>
  <si>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</si>
  <si>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</si>
  <si>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</si>
  <si>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</si>
  <si>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</si>
  <si>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</si>
  <si>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</si>
  <si>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</si>
  <si>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</si>
  <si>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</si>
  <si>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</si>
  <si>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</si>
  <si>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</si>
  <si>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</si>
  <si>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</si>
  <si>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</si>
  <si>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</si>
  <si>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</si>
  <si>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</si>
  <si>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</si>
  <si>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</si>
  <si>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</si>
  <si>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</si>
  <si>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</si>
  <si>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</si>
  <si>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</si>
  <si>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</si>
  <si>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</si>
  <si>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</si>
  <si>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</si>
  <si>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</si>
  <si>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</si>
  <si>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</si>
  <si>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</si>
  <si>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</si>
  <si>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</si>
  <si>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</si>
  <si>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</si>
  <si>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</si>
  <si>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</si>
  <si>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</si>
  <si>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</si>
  <si>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</si>
  <si>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</si>
  <si>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</si>
  <si>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</si>
  <si>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</si>
  <si>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</si>
  <si>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</si>
  <si>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</si>
  <si>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</si>
  <si>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</si>
  <si>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</si>
  <si>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</si>
  <si>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</si>
  <si>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</si>
  <si>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</si>
  <si>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</si>
  <si>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</si>
  <si>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</si>
  <si>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</si>
  <si>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</si>
  <si>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</si>
  <si>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</si>
  <si>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</si>
  <si>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</si>
  <si>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</si>
  <si>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</si>
  <si>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</si>
  <si>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</si>
  <si>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</si>
  <si>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</si>
  <si>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</si>
  <si>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</si>
  <si>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</si>
  <si>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</si>
  <si>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</si>
  <si>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</si>
  <si>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</si>
  <si>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</si>
  <si>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</si>
  <si>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</si>
  <si>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</si>
  <si>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</si>
  <si>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</si>
  <si>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</si>
  <si>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</si>
  <si>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</si>
  <si>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</si>
  <si>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</si>
  <si>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</si>
  <si>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</si>
  <si>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</si>
  <si>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</si>
  <si>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</si>
  <si>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</si>
  <si>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</si>
  <si>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</si>
  <si>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</si>
  <si>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</si>
  <si>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</si>
  <si>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</si>
  <si>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</si>
  <si>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</si>
  <si>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</si>
  <si>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</si>
  <si>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</si>
  <si>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</si>
  <si>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</si>
  <si>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</si>
  <si>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</si>
  <si>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</si>
  <si>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</si>
  <si>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</si>
  <si>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</si>
  <si>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</si>
  <si>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</si>
  <si>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</si>
  <si>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</si>
  <si>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</si>
  <si>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</si>
  <si>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</si>
  <si>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</si>
  <si>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</si>
  <si>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</si>
  <si>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</si>
  <si>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</si>
  <si>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</si>
  <si>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</si>
  <si>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</si>
  <si>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</si>
  <si>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</si>
  <si>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</si>
  <si>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</si>
  <si>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</si>
  <si>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</si>
  <si>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</si>
  <si>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</si>
  <si>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</si>
  <si>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</si>
  <si>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</si>
  <si>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</si>
  <si>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</si>
  <si>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</si>
  <si>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</si>
  <si>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</si>
  <si>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</si>
  <si>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</si>
  <si>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</si>
  <si>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</si>
  <si>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</si>
  <si>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</si>
  <si>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</si>
  <si>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</si>
  <si>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</si>
  <si>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</si>
  <si>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</si>
  <si>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</si>
  <si>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</si>
  <si>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</si>
  <si>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</si>
  <si>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</si>
  <si>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</si>
  <si>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</si>
  <si>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</si>
  <si>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</si>
  <si>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</si>
  <si>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</si>
  <si>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</si>
  <si>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</si>
  <si>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</si>
  <si>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</si>
  <si>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</si>
  <si>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</si>
  <si>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</si>
  <si>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</si>
  <si>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</si>
  <si>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</si>
  <si>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</si>
  <si>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</si>
  <si>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</si>
  <si>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</si>
  <si>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</si>
  <si>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</si>
  <si>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</si>
  <si>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</si>
  <si>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</si>
  <si>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</si>
  <si>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</si>
  <si>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</si>
  <si>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</si>
  <si>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</si>
  <si>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</si>
  <si>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</si>
  <si>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</si>
  <si>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</si>
  <si>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</si>
  <si>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</si>
  <si>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</si>
  <si>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</si>
  <si>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</si>
  <si>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</si>
  <si>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</si>
  <si>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</si>
  <si>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</si>
  <si>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</si>
  <si>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</si>
  <si>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</si>
  <si>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</si>
  <si>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</si>
  <si>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</si>
  <si>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</si>
  <si>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</si>
  <si>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</si>
  <si>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</si>
  <si>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</si>
  <si>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</si>
  <si>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</si>
  <si>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</si>
  <si>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</si>
  <si>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</si>
  <si>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</si>
  <si>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</si>
  <si>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</si>
  <si>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</si>
  <si>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</si>
  <si>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</si>
  <si>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</si>
  <si>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</si>
  <si>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</si>
  <si>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</si>
  <si>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</si>
  <si>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</si>
  <si>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</si>
  <si>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</si>
  <si>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</si>
  <si>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</si>
  <si>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</si>
  <si>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</si>
  <si>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</si>
  <si>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</si>
  <si>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</si>
  <si>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</si>
  <si>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</si>
  <si>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</si>
  <si>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</si>
  <si>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</si>
  <si>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</si>
  <si>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</si>
  <si>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</si>
  <si>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</si>
  <si>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</si>
  <si>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</si>
  <si>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</si>
  <si>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</si>
  <si>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</si>
  <si>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</si>
  <si>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</si>
  <si>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</si>
  <si>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</si>
  <si>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</si>
  <si>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</si>
  <si>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</si>
  <si>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</si>
  <si>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</si>
  <si>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</si>
  <si>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</si>
  <si>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</si>
  <si>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</si>
  <si>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</si>
  <si>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</si>
  <si>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</si>
  <si>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</si>
  <si>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</si>
  <si>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</si>
  <si>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</si>
  <si>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</si>
  <si>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</si>
  <si>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</si>
  <si>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</si>
  <si>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</si>
  <si>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</si>
  <si>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</si>
  <si>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</si>
  <si>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</si>
  <si>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</si>
  <si>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</si>
  <si>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</si>
  <si>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</si>
  <si>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</si>
  <si>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</si>
  <si>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</si>
  <si>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</si>
  <si>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</si>
  <si>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</si>
  <si>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</si>
  <si>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</si>
  <si>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</si>
  <si>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</si>
  <si>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</si>
  <si>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</si>
  <si>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</si>
  <si>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</si>
  <si>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</si>
  <si>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</si>
  <si>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</si>
  <si>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</si>
  <si>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</si>
  <si>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</si>
  <si>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</si>
  <si>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</si>
  <si>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</si>
  <si>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</si>
  <si>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</si>
  <si>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</si>
  <si>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</si>
  <si>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Is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</si>
</sst>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name val="Arial"/>
      <family val="2"/>
      <scheme val="minor"/>
    </font>
    <font>
      <sz val="11"/>
      <color theme="0"/>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3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0" fontId="2" fillId="0" borderId="6" xfId="0" applyFont="1" applyBorder="1" applyAlignment="1">
      <alignment horizontal="center"/>
    </xf>
    <xf numFmtId="17" fontId="0" fillId="0" borderId="0" xfId="0" applyNumberFormat="1" applyAlignment="1">
      <alignment horizontal="left"/>
    </xf>
    <xf numFmtId="14" fontId="0" fillId="0" borderId="0" xfId="0" applyNumberFormat="1" applyAlignment="1">
      <alignment horizontal="center"/>
    </xf>
    <xf numFmtId="0" fontId="8" fillId="4" borderId="4" xfId="11" applyBorder="1" applyAlignment="1">
      <alignment horizontal="center"/>
    </xf>
    <xf numFmtId="0" fontId="7" fillId="0" borderId="0" xfId="0" applyNumberFormat="1" applyFont="1"/>
    <xf numFmtId="0" fontId="2" fillId="0" borderId="9"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2">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1" tableBorderDxfId="80" totalsRowBorderDxfId="79">
  <autoFilter ref="A1:T86" xr:uid="{BC9280C7-1BCF-417E-9715-5CFA4B9AAA00}"/>
  <tableColumns count="20">
    <tableColumn id="1" xr3:uid="{52BFBEBF-3D49-40C6-99E9-4D1C2F78CBF5}" name="Document No" totalsRowLabel="Total" dataDxfId="78" totalsRowDxfId="77"/>
    <tableColumn id="2" xr3:uid="{99102FB0-8F67-4019-A56C-7EFBD753E209}" name="Payment No." totalsRowFunction="count" dataDxfId="76" totalsRowDxfId="75"/>
    <tableColumn id="3" xr3:uid="{44AC7DA0-D291-4B85-A414-4B79542A74F2}" name="Paid" dataDxfId="74" totalsRowDxfId="73"/>
    <tableColumn id="4" xr3:uid="{30EE0024-C1B5-447C-A3A3-696AAEA80CC1}" name="Invoiced" dataDxfId="72" totalsRowDxfId="71"/>
    <tableColumn id="5" xr3:uid="{14A178F1-0952-4DA8-84F9-870DCB1674A2}" name="Inv/cr" dataDxfId="70" totalsRowDxfId="69"/>
    <tableColumn id="6" xr3:uid="{AC11F8AA-D099-4FC8-BAC7-F42F20B23C78}" name="Paid Amount" dataDxfId="68" totalsRowDxfId="67"/>
    <tableColumn id="7" xr3:uid="{339B4D81-2202-4DC9-B465-2DD3F31A2CFD}" name="Customer PO" dataDxfId="66" totalsRowDxfId="65"/>
    <tableColumn id="8" xr3:uid="{56A94A81-B7A6-4A3A-B36B-FFCFD09C31D7}" name="ABN" dataDxfId="64" totalsRowDxfId="63"/>
    <tableColumn id="9" xr3:uid="{B8D412FA-1ED0-423C-B7B8-7CDDED11FED5}" name="Acct" dataDxfId="62" totalsRowDxfId="61"/>
    <tableColumn id="10" xr3:uid="{D71A9FD3-FC17-40B1-B7EE-B919B78EC5F2}" name="Check" dataDxfId="60" totalsRowDxfId="59"/>
    <tableColumn id="11" xr3:uid="{952BD9B9-AE9C-4F38-98EB-DD0A4DBC6031}" name="Cust Ref" dataDxfId="58" totalsRowDxfId="57">
      <calculatedColumnFormula>CONCATENATE(A2,"_",B2)</calculatedColumnFormula>
    </tableColumn>
    <tableColumn id="12" xr3:uid="{B18B6DDB-3CE2-4D93-A928-F69EFB1E53F6}" name="Bank Details" dataDxfId="56" totalsRowDxfId="55">
      <calculatedColumnFormula>H2&amp;"-"&amp;I2&amp;"-"&amp;J2</calculatedColumnFormula>
    </tableColumn>
    <tableColumn id="13" xr3:uid="{DA0E0F2D-AA6B-41B0-9152-814F0201A8C5}" name="Inv Month" dataDxfId="54" totalsRowDxfId="53">
      <calculatedColumnFormula>LEFT(D2,3)</calculatedColumnFormula>
    </tableColumn>
    <tableColumn id="14" xr3:uid="{AC7135CB-0044-46B3-90AF-0E203A7D10CA}" name="Cust PO" dataDxfId="52" totalsRowDxfId="51">
      <calculatedColumnFormula>RIGHT(G2,6)</calculatedColumnFormula>
    </tableColumn>
    <tableColumn id="15" xr3:uid="{7F8DB658-5E17-49E2-A66D-25D1A403B8B1}" name="Location" dataDxfId="50" totalsRowDxfId="49">
      <calculatedColumnFormula>MID(G2,4,FIND("-",G2,4)-4)</calculatedColumnFormula>
    </tableColumn>
    <tableColumn id="16" xr3:uid="{525BCB5D-00F1-45D8-A50B-4CB59DEAD8CC}" name="Type" dataDxfId="48" totalsRowDxfId="47">
      <calculatedColumnFormula>UPPER(TRIM(CLEAN(E2)))</calculatedColumnFormula>
    </tableColumn>
    <tableColumn id="17" xr3:uid="{4C714671-174F-46CE-990C-18D802F66171}" name="$ Amount" dataDxfId="46">
      <calculatedColumnFormula>VALUE(SUBSTITUTE(SUBSTITUTE(F2,"S","$"),CHAR(160),""))*IF(tbl_Supplier[[#This Row],[Type]]="CR",-1,1)</calculatedColumnFormula>
    </tableColumn>
    <tableColumn id="18" xr3:uid="{B1D4CB94-9310-427D-9840-D4BC7E47FE8C}" name="Invoice Date" dataDxfId="45" totalsRowDxfId="44">
      <calculatedColumnFormula>DATE(2020,MONTH(1&amp;M2),RIGHT(D2,2))</calculatedColumnFormula>
    </tableColumn>
    <tableColumn id="19" xr3:uid="{6B972CFC-44ED-4FD9-B1C6-59234320EB20}" name="Paid Date" dataDxfId="43" totalsRowDxfId="42">
      <calculatedColumnFormula>DATE(2020,MONTH(tbl_Supplier[[#This Row],[Paid]]),RIGHT(C2,2))</calculatedColumnFormula>
    </tableColumn>
    <tableColumn id="22" xr3:uid="{179862E3-3B83-4981-98BB-B39D51453247}" name="Days to Pay" dataDxfId="41" totalsRowDxfId="40">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8" dataDxfId="36" headerRowBorderDxfId="37" tableBorderDxfId="35" totalsRowBorderDxfId="34">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3"/>
    <tableColumn id="2" xr3:uid="{FDAF40F1-3571-40E7-97D0-295F5543A0D2}" name="Supplier Code" dataDxfId="32" totalsRowDxfId="31"/>
    <tableColumn id="3" xr3:uid="{6BA376D9-9C9D-43F3-B604-2F449277C862}" name="Payment No." totalsRowFunction="count" dataDxfId="30" totalsRowDxfId="29"/>
    <tableColumn id="4" xr3:uid="{AA0FC72D-CBC0-422D-9B02-931656A68879}" name="Invoice Date" dataDxfId="28" totalsRowDxfId="27"/>
    <tableColumn id="5" xr3:uid="{5CFD2BEA-8570-4A44-B859-40754C5BD32B}" name="Due Date" dataDxfId="26" totalsRowDxfId="25">
      <calculatedColumnFormula>WORKDAY(EDATE(D5,1)-1,1)</calculatedColumnFormula>
    </tableColumn>
    <tableColumn id="6" xr3:uid="{F2410CEC-BF88-4FF7-8C79-F0CBEAA3BFF0}" name="Payment Date" dataDxfId="24" totalsRowDxfId="23"/>
    <tableColumn id="8" xr3:uid="{A7DE618F-0DA4-4A14-A177-E2DFF261F133}" name="PO Number" dataDxfId="22" totalsRowDxfId="21"/>
    <tableColumn id="7" xr3:uid="{84DA8E78-9128-41E3-8BD5-14DFB33A351A}" name="Bank Details" dataDxfId="20" totalsRowDxfId="19"/>
    <tableColumn id="9" xr3:uid="{51E545FA-5C70-4AE7-80EF-C180215FEEEF}" name="Location" dataDxfId="18" totalsRowDxfId="17"/>
    <tableColumn id="10" xr3:uid="{1CEBCCB8-D8DA-4915-B6E0-D4914173F61F}" name="Amount" totalsRowFunction="sum" dataDxfId="16" totalsRowDxfId="15"/>
    <tableColumn id="11" xr3:uid="{97DE4D90-93E4-4F85-8AAC-99A777E863AB}" name="Invoice Month" dataDxfId="14" totalsRowDxfId="13">
      <calculatedColumnFormula>TEXT(D5,"MMM")</calculatedColumnFormula>
    </tableColumn>
    <tableColumn id="12" xr3:uid="{443F0B83-0AFA-4B3A-9A3D-5D56DF1DFDCA}" name="Invoice Day" dataDxfId="12" totalsRowDxfId="11">
      <calculatedColumnFormula>DAY(D5)</calculatedColumnFormula>
    </tableColumn>
    <tableColumn id="17" xr3:uid="{7B8E0170-2688-4461-8E4C-ED9FD8D9FB9F}" name="Over Due" dataDxfId="10" totalsRowDxfId="9">
      <calculatedColumnFormula>IF(tbl_MC[[#This Row],[Payment Date]]&gt;tbl_MC[[#This Row],[Due Date]],"Yes","")</calculatedColumnFormula>
    </tableColumn>
    <tableColumn id="13" xr3:uid="{7C978FE9-6F25-4604-AB86-0FE4634F7EA6}" name="Over Due By" dataDxfId="8" totalsRowDxfId="7">
      <calculatedColumnFormula>IF(tbl_MC[[#This Row],[Over Due]]="",0,NETWORKDAYS(tbl_MC[[#This Row],[Due Date]],tbl_MC[[#This Row],[Payment Date]],Holidays))</calculatedColumnFormula>
    </tableColumn>
    <tableColumn id="15" xr3:uid="{C50C5F2E-E3D5-4B6A-8C16-84681B1B9B92}" name="Late Charge" dataDxfId="2" totalsRowDxfId="6">
      <calculatedColumnFormula>IF(tbl_MC[[#This Row],[Over Due]]="",0,IF(tbl_MC[[#This Row],[Location]]="Sydney",tbl_MC[[#This Row],[Amount]]*tbl_MC[[#This Row],[Over Due By]]*Penalty_Rate,Flat_Rate))</calculatedColumnFormula>
    </tableColumn>
    <tableColumn id="14" xr3:uid="{82CEC42A-E52C-4A43-AD3D-2BDEEC4ABDD9}" name="Is Late?" dataDxfId="0" totalsRowDxfId="1">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5">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09765625" defaultRowHeight="13.8" x14ac:dyDescent="0.25"/>
  <cols>
    <col min="1" max="1" width="13.69921875" customWidth="1"/>
    <col min="2" max="2" width="5.296875" hidden="1" customWidth="1"/>
    <col min="3" max="3" width="11.69921875" hidden="1" customWidth="1"/>
    <col min="4" max="4" width="13.296875" hidden="1" customWidth="1"/>
    <col min="5" max="5" width="9.296875" hidden="1" customWidth="1"/>
    <col min="6" max="6" width="12.296875" hidden="1" customWidth="1"/>
    <col min="7" max="7" width="19.69921875" hidden="1" customWidth="1"/>
    <col min="8" max="8" width="5.69921875" hidden="1" customWidth="1"/>
    <col min="9" max="9" width="9.3984375" hidden="1" customWidth="1"/>
    <col min="10" max="10" width="2.3984375" hidden="1" customWidth="1"/>
    <col min="11" max="11" width="12.69921875" customWidth="1"/>
    <col min="12" max="12" width="17.59765625" customWidth="1"/>
    <col min="13" max="13" width="10.69921875" customWidth="1"/>
    <col min="14" max="14" width="12.09765625" customWidth="1"/>
    <col min="15" max="15" width="11.296875" customWidth="1"/>
    <col min="16" max="16" width="8.09765625" customWidth="1"/>
    <col min="17" max="17" width="10.69921875" style="1" customWidth="1"/>
    <col min="18" max="18" width="12.296875" customWidth="1"/>
    <col min="19" max="19" width="11.69921875" style="4" customWidth="1"/>
    <col min="20" max="20" width="11.296875" customWidth="1"/>
    <col min="21" max="21" width="9.09765625" customWidth="1"/>
    <col min="22" max="22" width="3.296875" customWidth="1"/>
    <col min="23" max="24" width="11.59765625" customWidth="1"/>
  </cols>
  <sheetData>
    <row r="1" spans="1:24" s="4" customFormat="1" ht="22.95" customHeight="1" x14ac:dyDescent="0.25">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29" t="s">
        <v>150</v>
      </c>
      <c r="T1" t="s">
        <v>192</v>
      </c>
      <c r="U1"/>
      <c r="W1" s="17" t="s">
        <v>189</v>
      </c>
      <c r="X1" s="1">
        <f>SUM(tbl_Supplier[$ Amount])</f>
        <v>46110.429999999993</v>
      </c>
    </row>
    <row r="2" spans="1:24" x14ac:dyDescent="0.25">
      <c r="A2">
        <v>24671</v>
      </c>
      <c r="B2">
        <v>1</v>
      </c>
      <c r="C2" s="30"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t="str">
        <f t="shared" ref="N2" si="3">RIGHT(G2,6)</f>
        <v>223802</v>
      </c>
      <c r="O2" t="str">
        <f t="shared" ref="O2" si="4">MID(G2,4,FIND("-",G2,4)-4)</f>
        <v>Sydney</v>
      </c>
      <c r="P2" t="str">
        <f t="shared" ref="P2" si="5">UPPER(TRIM(CLEAN(E2)))</f>
        <v>INV</v>
      </c>
      <c r="Q2" s="1">
        <f>VALUE(SUBSTITUTE(SUBSTITUTE(F2,"S","$"),CHAR(160),""))*IF(tbl_Supplier[[#This Row],[Type]]="CR",-1,1)</f>
        <v>398.5</v>
      </c>
      <c r="R2" s="12">
        <f t="shared" ref="R2" si="6">DATE(2020,MONTH(1&amp;M2),RIGHT(D2,2))</f>
        <v>43892</v>
      </c>
      <c r="S2" s="12">
        <f>DATE(2020,MONTH(tbl_Supplier[[#This Row],[Paid]]),RIGHT(C2,2))</f>
        <v>43917</v>
      </c>
      <c r="T2">
        <f>tbl_Supplier[[#This Row],[Paid Date]]-tbl_Supplier[[#This Row],[Invoice Date]]</f>
        <v>25</v>
      </c>
      <c r="W2" s="17" t="s">
        <v>190</v>
      </c>
      <c r="X2">
        <f>ROWS(tbl_Supplier[])</f>
        <v>85</v>
      </c>
    </row>
    <row r="3" spans="1:24" x14ac:dyDescent="0.25">
      <c r="A3">
        <v>24673</v>
      </c>
      <c r="B3">
        <v>1</v>
      </c>
      <c r="C3" t="s">
        <v>193</v>
      </c>
      <c r="D3" t="s">
        <v>194</v>
      </c>
      <c r="E3" t="s">
        <v>12</v>
      </c>
      <c r="F3" t="s">
        <v>195</v>
      </c>
      <c r="G3" t="s">
        <v>25</v>
      </c>
      <c r="H3">
        <v>1641</v>
      </c>
      <c r="I3">
        <v>7654320</v>
      </c>
      <c r="J3">
        <v>72</v>
      </c>
      <c r="K3" t="str">
        <f t="shared" ref="K3:K34" si="7">CONCATENATE(A3,"_",B3)</f>
        <v>24673_1</v>
      </c>
      <c r="L3" t="str">
        <f t="shared" ref="L3:L34" si="8">H3&amp;"-"&amp;I3&amp;"-"&amp;J3</f>
        <v>1641-7654320-72</v>
      </c>
      <c r="M3" t="str">
        <f t="shared" ref="M3:M34" si="9">LEFT(D3,3)</f>
        <v>Mar</v>
      </c>
      <c r="N3" t="str">
        <f t="shared" ref="N3:N34" si="10">RIGHT(G3,6)</f>
        <v>223809</v>
      </c>
      <c r="O3" t="str">
        <f t="shared" ref="O3:O34" si="11">MID(G3,4,FIND("-",G3,4)-4)</f>
        <v>Sydney</v>
      </c>
      <c r="P3" t="str">
        <f t="shared" ref="P3:P34" si="12">UPPER(TRIM(CLEAN(E3)))</f>
        <v>INV</v>
      </c>
      <c r="Q3" s="1">
        <f>VALUE(SUBSTITUTE(SUBSTITUTE(F3,"S","$"),CHAR(160),""))*IF(tbl_Supplier[[#This Row],[Type]]="CR",-1,1)</f>
        <v>742.5</v>
      </c>
      <c r="R3" s="12">
        <f t="shared" ref="R3:R34" si="13">DATE(2020,MONTH(1&amp;M3),RIGHT(D3,2))</f>
        <v>43892</v>
      </c>
      <c r="S3" s="12">
        <f>DATE(2020,MONTH(tbl_Supplier[[#This Row],[Paid]]),RIGHT(C3,2))</f>
        <v>43938</v>
      </c>
      <c r="T3">
        <f>tbl_Supplier[[#This Row],[Paid Date]]-tbl_Supplier[[#This Row],[Invoice Date]]</f>
        <v>46</v>
      </c>
    </row>
    <row r="4" spans="1:24" x14ac:dyDescent="0.25">
      <c r="A4">
        <v>24673</v>
      </c>
      <c r="B4">
        <v>1</v>
      </c>
      <c r="C4" t="s">
        <v>196</v>
      </c>
      <c r="D4" t="s">
        <v>197</v>
      </c>
      <c r="E4" t="s">
        <v>13</v>
      </c>
      <c r="F4" t="s">
        <v>198</v>
      </c>
      <c r="G4" t="s">
        <v>26</v>
      </c>
      <c r="H4">
        <v>2554</v>
      </c>
      <c r="I4">
        <v>4551221</v>
      </c>
      <c r="J4">
        <v>33</v>
      </c>
      <c r="K4" t="str">
        <f t="shared" si="7"/>
        <v>24673_1</v>
      </c>
      <c r="L4" t="str">
        <f t="shared" si="8"/>
        <v>2554-4551221-33</v>
      </c>
      <c r="M4" t="str">
        <f t="shared" si="9"/>
        <v>Apr</v>
      </c>
      <c r="N4" t="str">
        <f t="shared" si="10"/>
        <v>327600</v>
      </c>
      <c r="O4" t="str">
        <f t="shared" si="11"/>
        <v>Melbourne</v>
      </c>
      <c r="P4" t="str">
        <f t="shared" si="12"/>
        <v>INV</v>
      </c>
      <c r="Q4" s="1">
        <f>VALUE(SUBSTITUTE(SUBSTITUTE(F4,"S","$"),CHAR(160),""))*IF(tbl_Supplier[[#This Row],[Type]]="CR",-1,1)</f>
        <v>1021.02</v>
      </c>
      <c r="R4" s="12">
        <f t="shared" si="13"/>
        <v>43922</v>
      </c>
      <c r="S4" s="31">
        <f>DATE(2020,MONTH(tbl_Supplier[[#This Row],[Paid]]),RIGHT(C4,2))</f>
        <v>43941</v>
      </c>
      <c r="T4">
        <f>tbl_Supplier[[#This Row],[Paid Date]]-tbl_Supplier[[#This Row],[Invoice Date]]</f>
        <v>19</v>
      </c>
    </row>
    <row r="5" spans="1:24" x14ac:dyDescent="0.25">
      <c r="A5">
        <v>24675</v>
      </c>
      <c r="B5">
        <v>1</v>
      </c>
      <c r="C5" t="s">
        <v>23</v>
      </c>
      <c r="D5" t="s">
        <v>199</v>
      </c>
      <c r="E5" t="s">
        <v>12</v>
      </c>
      <c r="F5" t="s">
        <v>200</v>
      </c>
      <c r="G5" t="s">
        <v>27</v>
      </c>
      <c r="H5">
        <v>2554</v>
      </c>
      <c r="I5">
        <v>4551221</v>
      </c>
      <c r="J5">
        <v>33</v>
      </c>
      <c r="K5" t="str">
        <f t="shared" si="7"/>
        <v>24675_1</v>
      </c>
      <c r="L5" t="str">
        <f t="shared" si="8"/>
        <v>2554-4551221-33</v>
      </c>
      <c r="M5" t="str">
        <f t="shared" si="9"/>
        <v>Mar</v>
      </c>
      <c r="N5" t="str">
        <f t="shared" si="10"/>
        <v>332589</v>
      </c>
      <c r="O5" t="str">
        <f t="shared" si="11"/>
        <v>Melbourne</v>
      </c>
      <c r="P5" t="str">
        <f t="shared" si="12"/>
        <v>INV</v>
      </c>
      <c r="Q5" s="1">
        <f>VALUE(SUBSTITUTE(SUBSTITUTE(F5,"S","$"),CHAR(160),""))*IF(tbl_Supplier[[#This Row],[Type]]="CR",-1,1)</f>
        <v>409.53</v>
      </c>
      <c r="R5" s="12">
        <f t="shared" si="13"/>
        <v>43906</v>
      </c>
      <c r="S5" s="31">
        <f>DATE(2020,MONTH(tbl_Supplier[[#This Row],[Paid]]),RIGHT(C5,2))</f>
        <v>43926</v>
      </c>
      <c r="T5">
        <f>tbl_Supplier[[#This Row],[Paid Date]]-tbl_Supplier[[#This Row],[Invoice Date]]</f>
        <v>20</v>
      </c>
    </row>
    <row r="6" spans="1:24" x14ac:dyDescent="0.25">
      <c r="A6">
        <v>24676</v>
      </c>
      <c r="B6">
        <v>1</v>
      </c>
      <c r="C6" t="s">
        <v>196</v>
      </c>
      <c r="D6" t="s">
        <v>201</v>
      </c>
      <c r="E6" t="s">
        <v>14</v>
      </c>
      <c r="F6" t="s">
        <v>202</v>
      </c>
      <c r="G6" t="s">
        <v>28</v>
      </c>
      <c r="H6">
        <v>2554</v>
      </c>
      <c r="I6">
        <v>4551221</v>
      </c>
      <c r="J6">
        <v>33</v>
      </c>
      <c r="K6" t="str">
        <f t="shared" si="7"/>
        <v>24676_1</v>
      </c>
      <c r="L6" t="str">
        <f t="shared" si="8"/>
        <v>2554-4551221-33</v>
      </c>
      <c r="M6" t="str">
        <f t="shared" si="9"/>
        <v>Mar</v>
      </c>
      <c r="N6" t="str">
        <f t="shared" si="10"/>
        <v>337131</v>
      </c>
      <c r="O6" t="str">
        <f t="shared" si="11"/>
        <v>Melbourne</v>
      </c>
      <c r="P6" t="str">
        <f t="shared" si="12"/>
        <v>CR</v>
      </c>
      <c r="Q6" s="1">
        <f>VALUE(SUBSTITUTE(SUBSTITUTE(F6,"S","$"),CHAR(160),""))*IF(tbl_Supplier[[#This Row],[Type]]="CR",-1,1)</f>
        <v>-234.96</v>
      </c>
      <c r="R6" s="12">
        <f t="shared" si="13"/>
        <v>43915</v>
      </c>
      <c r="S6" s="31">
        <f>DATE(2020,MONTH(tbl_Supplier[[#This Row],[Paid]]),RIGHT(C6,2))</f>
        <v>43941</v>
      </c>
      <c r="T6">
        <f>tbl_Supplier[[#This Row],[Paid Date]]-tbl_Supplier[[#This Row],[Invoice Date]]</f>
        <v>26</v>
      </c>
    </row>
    <row r="7" spans="1:24" x14ac:dyDescent="0.25">
      <c r="A7">
        <v>24677</v>
      </c>
      <c r="B7">
        <v>1</v>
      </c>
      <c r="C7" t="s">
        <v>203</v>
      </c>
      <c r="D7" t="s">
        <v>204</v>
      </c>
      <c r="E7" t="s">
        <v>15</v>
      </c>
      <c r="F7" t="s">
        <v>205</v>
      </c>
      <c r="G7" t="s">
        <v>29</v>
      </c>
      <c r="H7">
        <v>2554</v>
      </c>
      <c r="I7">
        <v>4551221</v>
      </c>
      <c r="J7">
        <v>33</v>
      </c>
      <c r="K7" t="str">
        <f t="shared" si="7"/>
        <v>24677_1</v>
      </c>
      <c r="L7" t="str">
        <f t="shared" si="8"/>
        <v>2554-4551221-33</v>
      </c>
      <c r="M7" t="str">
        <f t="shared" si="9"/>
        <v>Mar</v>
      </c>
      <c r="N7" t="str">
        <f t="shared" si="10"/>
        <v>319376</v>
      </c>
      <c r="O7" t="str">
        <f t="shared" si="11"/>
        <v>Melbourne</v>
      </c>
      <c r="P7" t="str">
        <f t="shared" si="12"/>
        <v>CR</v>
      </c>
      <c r="Q7" s="1">
        <f>VALUE(SUBSTITUTE(SUBSTITUTE(F7,"S","$"),CHAR(160),""))*IF(tbl_Supplier[[#This Row],[Type]]="CR",-1,1)</f>
        <v>-450.12</v>
      </c>
      <c r="R7" s="12">
        <f t="shared" si="13"/>
        <v>43907</v>
      </c>
      <c r="S7" s="31">
        <f>DATE(2020,MONTH(tbl_Supplier[[#This Row],[Paid]]),RIGHT(C7,2))</f>
        <v>43931</v>
      </c>
      <c r="T7">
        <f>tbl_Supplier[[#This Row],[Paid Date]]-tbl_Supplier[[#This Row],[Invoice Date]]</f>
        <v>24</v>
      </c>
    </row>
    <row r="8" spans="1:24" x14ac:dyDescent="0.25">
      <c r="A8">
        <v>24679</v>
      </c>
      <c r="B8">
        <v>1</v>
      </c>
      <c r="C8" t="s">
        <v>206</v>
      </c>
      <c r="D8" t="s">
        <v>207</v>
      </c>
      <c r="E8" t="s">
        <v>13</v>
      </c>
      <c r="F8" t="s">
        <v>208</v>
      </c>
      <c r="G8" t="s">
        <v>30</v>
      </c>
      <c r="H8">
        <v>2554</v>
      </c>
      <c r="I8">
        <v>4551221</v>
      </c>
      <c r="J8">
        <v>33</v>
      </c>
      <c r="K8" t="str">
        <f t="shared" si="7"/>
        <v>24679_1</v>
      </c>
      <c r="L8" t="str">
        <f t="shared" si="8"/>
        <v>2554-4551221-33</v>
      </c>
      <c r="M8" t="str">
        <f t="shared" si="9"/>
        <v>Apr</v>
      </c>
      <c r="N8" t="str">
        <f t="shared" si="10"/>
        <v>334724</v>
      </c>
      <c r="O8" t="str">
        <f t="shared" si="11"/>
        <v>Melbourne</v>
      </c>
      <c r="P8" t="str">
        <f t="shared" si="12"/>
        <v>INV</v>
      </c>
      <c r="Q8" s="1">
        <f>VALUE(SUBSTITUTE(SUBSTITUTE(F8,"S","$"),CHAR(160),""))*IF(tbl_Supplier[[#This Row],[Type]]="CR",-1,1)</f>
        <v>114.18</v>
      </c>
      <c r="R8" s="12">
        <f t="shared" si="13"/>
        <v>43930</v>
      </c>
      <c r="S8" s="31">
        <f>DATE(2020,MONTH(tbl_Supplier[[#This Row],[Paid]]),RIGHT(C8,2))</f>
        <v>43951</v>
      </c>
      <c r="T8">
        <f>tbl_Supplier[[#This Row],[Paid Date]]-tbl_Supplier[[#This Row],[Invoice Date]]</f>
        <v>21</v>
      </c>
    </row>
    <row r="9" spans="1:24" x14ac:dyDescent="0.25">
      <c r="A9">
        <v>24679</v>
      </c>
      <c r="B9">
        <v>2</v>
      </c>
      <c r="C9" t="s">
        <v>206</v>
      </c>
      <c r="D9" t="s">
        <v>209</v>
      </c>
      <c r="E9" t="s">
        <v>16</v>
      </c>
      <c r="F9" t="s">
        <v>210</v>
      </c>
      <c r="G9" t="s">
        <v>31</v>
      </c>
      <c r="H9">
        <v>2554</v>
      </c>
      <c r="I9">
        <v>4551221</v>
      </c>
      <c r="J9">
        <v>33</v>
      </c>
      <c r="K9" t="str">
        <f t="shared" si="7"/>
        <v>24679_2</v>
      </c>
      <c r="L9" t="str">
        <f t="shared" si="8"/>
        <v>2554-4551221-33</v>
      </c>
      <c r="M9" t="str">
        <f t="shared" si="9"/>
        <v>Mar</v>
      </c>
      <c r="N9" t="str">
        <f t="shared" si="10"/>
        <v>310607</v>
      </c>
      <c r="O9" t="str">
        <f t="shared" si="11"/>
        <v>Melbourne</v>
      </c>
      <c r="P9" t="str">
        <f t="shared" si="12"/>
        <v>INV</v>
      </c>
      <c r="Q9" s="1">
        <f>VALUE(SUBSTITUTE(SUBSTITUTE(F9,"S","$"),CHAR(160),""))*IF(tbl_Supplier[[#This Row],[Type]]="CR",-1,1)</f>
        <v>930.93</v>
      </c>
      <c r="R9" s="12">
        <f t="shared" si="13"/>
        <v>43913</v>
      </c>
      <c r="S9" s="31">
        <f>DATE(2020,MONTH(tbl_Supplier[[#This Row],[Paid]]),RIGHT(C9,2))</f>
        <v>43951</v>
      </c>
      <c r="T9">
        <f>tbl_Supplier[[#This Row],[Paid Date]]-tbl_Supplier[[#This Row],[Invoice Date]]</f>
        <v>38</v>
      </c>
    </row>
    <row r="10" spans="1:24" x14ac:dyDescent="0.25">
      <c r="A10">
        <v>24680</v>
      </c>
      <c r="B10">
        <v>1</v>
      </c>
      <c r="C10" t="s">
        <v>211</v>
      </c>
      <c r="D10" t="s">
        <v>212</v>
      </c>
      <c r="E10" t="s">
        <v>17</v>
      </c>
      <c r="F10" t="s">
        <v>213</v>
      </c>
      <c r="G10" t="s">
        <v>32</v>
      </c>
      <c r="H10">
        <v>1641</v>
      </c>
      <c r="I10">
        <v>7654320</v>
      </c>
      <c r="J10">
        <v>72</v>
      </c>
      <c r="K10" t="str">
        <f t="shared" si="7"/>
        <v>24680_1</v>
      </c>
      <c r="L10" t="str">
        <f t="shared" si="8"/>
        <v>1641-7654320-72</v>
      </c>
      <c r="M10" t="str">
        <f t="shared" si="9"/>
        <v>Mar</v>
      </c>
      <c r="N10" t="str">
        <f t="shared" si="10"/>
        <v>226225</v>
      </c>
      <c r="O10" t="str">
        <f t="shared" si="11"/>
        <v>Sydney</v>
      </c>
      <c r="P10" t="str">
        <f t="shared" si="12"/>
        <v>INV</v>
      </c>
      <c r="Q10" s="1">
        <f>VALUE(SUBSTITUTE(SUBSTITUTE(F10,"S","$"),CHAR(160),""))*IF(tbl_Supplier[[#This Row],[Type]]="CR",-1,1)</f>
        <v>466.29</v>
      </c>
      <c r="R10" s="12">
        <f t="shared" si="13"/>
        <v>43917</v>
      </c>
      <c r="S10" s="31">
        <f>DATE(2020,MONTH(tbl_Supplier[[#This Row],[Paid]]),RIGHT(C10,2))</f>
        <v>43935</v>
      </c>
      <c r="T10">
        <f>tbl_Supplier[[#This Row],[Paid Date]]-tbl_Supplier[[#This Row],[Invoice Date]]</f>
        <v>18</v>
      </c>
    </row>
    <row r="11" spans="1:24" x14ac:dyDescent="0.25">
      <c r="A11">
        <v>24683</v>
      </c>
      <c r="B11">
        <v>1</v>
      </c>
      <c r="C11" t="s">
        <v>214</v>
      </c>
      <c r="D11" t="s">
        <v>215</v>
      </c>
      <c r="E11" t="s">
        <v>13</v>
      </c>
      <c r="F11" t="s">
        <v>216</v>
      </c>
      <c r="G11" t="s">
        <v>33</v>
      </c>
      <c r="H11">
        <v>1641</v>
      </c>
      <c r="I11">
        <v>7654320</v>
      </c>
      <c r="J11">
        <v>72</v>
      </c>
      <c r="K11" t="str">
        <f t="shared" si="7"/>
        <v>24683_1</v>
      </c>
      <c r="L11" t="str">
        <f t="shared" si="8"/>
        <v>1641-7654320-72</v>
      </c>
      <c r="M11" t="str">
        <f t="shared" si="9"/>
        <v>Mar</v>
      </c>
      <c r="N11" t="str">
        <f t="shared" si="10"/>
        <v>223858</v>
      </c>
      <c r="O11" t="str">
        <f t="shared" si="11"/>
        <v>Sydney</v>
      </c>
      <c r="P11" t="str">
        <f t="shared" si="12"/>
        <v>INV</v>
      </c>
      <c r="Q11" s="1">
        <f>VALUE(SUBSTITUTE(SUBSTITUTE(F11,"S","$"),CHAR(160),""))*IF(tbl_Supplier[[#This Row],[Type]]="CR",-1,1)</f>
        <v>222.42</v>
      </c>
      <c r="R11" s="12">
        <f t="shared" si="13"/>
        <v>43912</v>
      </c>
      <c r="S11" s="31">
        <f>DATE(2020,MONTH(tbl_Supplier[[#This Row],[Paid]]),RIGHT(C11,2))</f>
        <v>43948</v>
      </c>
      <c r="T11">
        <f>tbl_Supplier[[#This Row],[Paid Date]]-tbl_Supplier[[#This Row],[Invoice Date]]</f>
        <v>36</v>
      </c>
    </row>
    <row r="12" spans="1:24" x14ac:dyDescent="0.25">
      <c r="A12">
        <v>24685</v>
      </c>
      <c r="B12">
        <v>1</v>
      </c>
      <c r="C12" t="s">
        <v>217</v>
      </c>
      <c r="D12" t="s">
        <v>218</v>
      </c>
      <c r="E12" t="s">
        <v>12</v>
      </c>
      <c r="F12" t="s">
        <v>219</v>
      </c>
      <c r="G12" t="s">
        <v>34</v>
      </c>
      <c r="H12">
        <v>1641</v>
      </c>
      <c r="I12">
        <v>7654320</v>
      </c>
      <c r="J12">
        <v>72</v>
      </c>
      <c r="K12" t="str">
        <f t="shared" si="7"/>
        <v>24685_1</v>
      </c>
      <c r="L12" t="str">
        <f t="shared" si="8"/>
        <v>1641-7654320-72</v>
      </c>
      <c r="M12" t="str">
        <f t="shared" si="9"/>
        <v>Mar</v>
      </c>
      <c r="N12" t="str">
        <f t="shared" si="10"/>
        <v>211781</v>
      </c>
      <c r="O12" t="str">
        <f t="shared" si="11"/>
        <v>Sydney</v>
      </c>
      <c r="P12" t="str">
        <f t="shared" si="12"/>
        <v>INV</v>
      </c>
      <c r="Q12" s="1">
        <f>VALUE(SUBSTITUTE(SUBSTITUTE(F12,"S","$"),CHAR(160),""))*IF(tbl_Supplier[[#This Row],[Type]]="CR",-1,1)</f>
        <v>679.8</v>
      </c>
      <c r="R12" s="12">
        <f t="shared" si="13"/>
        <v>43899</v>
      </c>
      <c r="S12" s="31">
        <f>DATE(2020,MONTH(tbl_Supplier[[#This Row],[Paid]]),RIGHT(C12,2))</f>
        <v>43932</v>
      </c>
      <c r="T12">
        <f>tbl_Supplier[[#This Row],[Paid Date]]-tbl_Supplier[[#This Row],[Invoice Date]]</f>
        <v>33</v>
      </c>
    </row>
    <row r="13" spans="1:24" x14ac:dyDescent="0.25">
      <c r="A13">
        <v>24690</v>
      </c>
      <c r="B13">
        <v>1</v>
      </c>
      <c r="C13" t="s">
        <v>220</v>
      </c>
      <c r="D13" t="s">
        <v>221</v>
      </c>
      <c r="E13" t="s">
        <v>13</v>
      </c>
      <c r="F13" t="s">
        <v>222</v>
      </c>
      <c r="G13" t="s">
        <v>35</v>
      </c>
      <c r="H13">
        <v>1641</v>
      </c>
      <c r="I13">
        <v>7654320</v>
      </c>
      <c r="J13">
        <v>72</v>
      </c>
      <c r="K13" t="str">
        <f t="shared" si="7"/>
        <v>24690_1</v>
      </c>
      <c r="L13" t="str">
        <f t="shared" si="8"/>
        <v>1641-7654320-72</v>
      </c>
      <c r="M13" t="str">
        <f t="shared" si="9"/>
        <v>Apr</v>
      </c>
      <c r="N13" t="str">
        <f t="shared" si="10"/>
        <v>232805</v>
      </c>
      <c r="O13" t="str">
        <f t="shared" si="11"/>
        <v>Sydney</v>
      </c>
      <c r="P13" t="str">
        <f t="shared" si="12"/>
        <v>INV</v>
      </c>
      <c r="Q13" s="1">
        <f>VALUE(SUBSTITUTE(SUBSTITUTE(F13,"S","$"),CHAR(160),""))*IF(tbl_Supplier[[#This Row],[Type]]="CR",-1,1)</f>
        <v>171.93</v>
      </c>
      <c r="R13" s="12">
        <f t="shared" si="13"/>
        <v>43925</v>
      </c>
      <c r="S13" s="31">
        <f>DATE(2020,MONTH(tbl_Supplier[[#This Row],[Paid]]),RIGHT(C13,2))</f>
        <v>43944</v>
      </c>
      <c r="T13">
        <f>tbl_Supplier[[#This Row],[Paid Date]]-tbl_Supplier[[#This Row],[Invoice Date]]</f>
        <v>19</v>
      </c>
    </row>
    <row r="14" spans="1:24" x14ac:dyDescent="0.25">
      <c r="A14">
        <v>24693</v>
      </c>
      <c r="B14">
        <v>1</v>
      </c>
      <c r="C14" t="s">
        <v>223</v>
      </c>
      <c r="D14" t="s">
        <v>224</v>
      </c>
      <c r="E14" t="s">
        <v>18</v>
      </c>
      <c r="F14" t="s">
        <v>225</v>
      </c>
      <c r="G14" t="s">
        <v>36</v>
      </c>
      <c r="H14">
        <v>2554</v>
      </c>
      <c r="I14">
        <v>4551221</v>
      </c>
      <c r="J14">
        <v>33</v>
      </c>
      <c r="K14" t="str">
        <f t="shared" si="7"/>
        <v>24693_1</v>
      </c>
      <c r="L14" t="str">
        <f t="shared" si="8"/>
        <v>2554-4551221-33</v>
      </c>
      <c r="M14" t="str">
        <f t="shared" si="9"/>
        <v>Feb</v>
      </c>
      <c r="N14" t="str">
        <f t="shared" si="10"/>
        <v>312187</v>
      </c>
      <c r="O14" t="str">
        <f t="shared" si="11"/>
        <v>Melbourne</v>
      </c>
      <c r="P14" t="str">
        <f t="shared" si="12"/>
        <v>INV</v>
      </c>
      <c r="Q14" s="1">
        <f>VALUE(SUBSTITUTE(SUBSTITUTE(F14,"S","$"),CHAR(160),""))*IF(tbl_Supplier[[#This Row],[Type]]="CR",-1,1)</f>
        <v>623.70000000000005</v>
      </c>
      <c r="R14" s="12">
        <f t="shared" si="13"/>
        <v>43885</v>
      </c>
      <c r="S14" s="31">
        <f>DATE(2020,MONTH(tbl_Supplier[[#This Row],[Paid]]),RIGHT(C14,2))</f>
        <v>43927</v>
      </c>
      <c r="T14">
        <f>tbl_Supplier[[#This Row],[Paid Date]]-tbl_Supplier[[#This Row],[Invoice Date]]</f>
        <v>42</v>
      </c>
    </row>
    <row r="15" spans="1:24" x14ac:dyDescent="0.25">
      <c r="A15">
        <v>24697</v>
      </c>
      <c r="B15">
        <v>1</v>
      </c>
      <c r="C15" t="s">
        <v>226</v>
      </c>
      <c r="D15" t="s">
        <v>227</v>
      </c>
      <c r="E15" t="s">
        <v>13</v>
      </c>
      <c r="F15" t="s">
        <v>228</v>
      </c>
      <c r="G15" t="s">
        <v>37</v>
      </c>
      <c r="H15">
        <v>2554</v>
      </c>
      <c r="I15">
        <v>4551221</v>
      </c>
      <c r="J15">
        <v>33</v>
      </c>
      <c r="K15" t="str">
        <f t="shared" si="7"/>
        <v>24697_1</v>
      </c>
      <c r="L15" t="str">
        <f t="shared" si="8"/>
        <v>2554-4551221-33</v>
      </c>
      <c r="M15" t="str">
        <f t="shared" si="9"/>
        <v>Mar</v>
      </c>
      <c r="N15" t="str">
        <f t="shared" si="10"/>
        <v>319790</v>
      </c>
      <c r="O15" t="str">
        <f t="shared" si="11"/>
        <v>Melbourne</v>
      </c>
      <c r="P15" t="str">
        <f t="shared" si="12"/>
        <v>INV</v>
      </c>
      <c r="Q15" s="1">
        <f>VALUE(SUBSTITUTE(SUBSTITUTE(F15,"S","$"),CHAR(160),""))*IF(tbl_Supplier[[#This Row],[Type]]="CR",-1,1)</f>
        <v>221.1</v>
      </c>
      <c r="R15" s="12">
        <f t="shared" si="13"/>
        <v>43919</v>
      </c>
      <c r="S15" s="31">
        <f>DATE(2020,MONTH(tbl_Supplier[[#This Row],[Paid]]),RIGHT(C15,2))</f>
        <v>43945</v>
      </c>
      <c r="T15">
        <f>tbl_Supplier[[#This Row],[Paid Date]]-tbl_Supplier[[#This Row],[Invoice Date]]</f>
        <v>26</v>
      </c>
    </row>
    <row r="16" spans="1:24" x14ac:dyDescent="0.25">
      <c r="A16">
        <v>24698</v>
      </c>
      <c r="B16">
        <v>1</v>
      </c>
      <c r="C16" t="s">
        <v>229</v>
      </c>
      <c r="D16" t="s">
        <v>207</v>
      </c>
      <c r="E16" t="s">
        <v>13</v>
      </c>
      <c r="F16" t="s">
        <v>230</v>
      </c>
      <c r="G16" t="s">
        <v>38</v>
      </c>
      <c r="H16">
        <v>2554</v>
      </c>
      <c r="I16">
        <v>4551221</v>
      </c>
      <c r="J16">
        <v>33</v>
      </c>
      <c r="K16" t="str">
        <f t="shared" si="7"/>
        <v>24698_1</v>
      </c>
      <c r="L16" t="str">
        <f t="shared" si="8"/>
        <v>2554-4551221-33</v>
      </c>
      <c r="M16" t="str">
        <f t="shared" si="9"/>
        <v>Apr</v>
      </c>
      <c r="N16" t="str">
        <f t="shared" si="10"/>
        <v>327342</v>
      </c>
      <c r="O16" t="str">
        <f t="shared" si="11"/>
        <v>Melbourne</v>
      </c>
      <c r="P16" t="str">
        <f t="shared" si="12"/>
        <v>INV</v>
      </c>
      <c r="Q16" s="1">
        <f>VALUE(SUBSTITUTE(SUBSTITUTE(F16,"S","$"),CHAR(160),""))*IF(tbl_Supplier[[#This Row],[Type]]="CR",-1,1)</f>
        <v>393.36</v>
      </c>
      <c r="R16" s="12">
        <f t="shared" si="13"/>
        <v>43930</v>
      </c>
      <c r="S16" s="31">
        <f>DATE(2020,MONTH(tbl_Supplier[[#This Row],[Paid]]),RIGHT(C16,2))</f>
        <v>43949</v>
      </c>
      <c r="T16">
        <f>tbl_Supplier[[#This Row],[Paid Date]]-tbl_Supplier[[#This Row],[Invoice Date]]</f>
        <v>19</v>
      </c>
    </row>
    <row r="17" spans="1:20" x14ac:dyDescent="0.25">
      <c r="A17">
        <v>24699</v>
      </c>
      <c r="B17">
        <v>1</v>
      </c>
      <c r="C17" t="s">
        <v>231</v>
      </c>
      <c r="D17" t="s">
        <v>218</v>
      </c>
      <c r="E17" t="s">
        <v>13</v>
      </c>
      <c r="F17" t="s">
        <v>232</v>
      </c>
      <c r="G17" t="s">
        <v>39</v>
      </c>
      <c r="H17">
        <v>2554</v>
      </c>
      <c r="I17">
        <v>4551221</v>
      </c>
      <c r="J17">
        <v>33</v>
      </c>
      <c r="K17" t="str">
        <f t="shared" si="7"/>
        <v>24699_1</v>
      </c>
      <c r="L17" t="str">
        <f t="shared" si="8"/>
        <v>2554-4551221-33</v>
      </c>
      <c r="M17" t="str">
        <f t="shared" si="9"/>
        <v>Mar</v>
      </c>
      <c r="N17" t="str">
        <f t="shared" si="10"/>
        <v>335460</v>
      </c>
      <c r="O17" t="str">
        <f t="shared" si="11"/>
        <v>Melbourne</v>
      </c>
      <c r="P17" t="str">
        <f t="shared" si="12"/>
        <v>INV</v>
      </c>
      <c r="Q17" s="1">
        <f>VALUE(SUBSTITUTE(SUBSTITUTE(F17,"S","$"),CHAR(160),""))*IF(tbl_Supplier[[#This Row],[Type]]="CR",-1,1)</f>
        <v>642.17999999999995</v>
      </c>
      <c r="R17" s="12">
        <f t="shared" si="13"/>
        <v>43899</v>
      </c>
      <c r="S17" s="31">
        <f>DATE(2020,MONTH(tbl_Supplier[[#This Row],[Paid]]),RIGHT(C17,2))</f>
        <v>43942</v>
      </c>
      <c r="T17">
        <f>tbl_Supplier[[#This Row],[Paid Date]]-tbl_Supplier[[#This Row],[Invoice Date]]</f>
        <v>43</v>
      </c>
    </row>
    <row r="18" spans="1:20" x14ac:dyDescent="0.25">
      <c r="A18">
        <v>24704</v>
      </c>
      <c r="B18">
        <v>1</v>
      </c>
      <c r="C18" t="s">
        <v>206</v>
      </c>
      <c r="D18" t="s">
        <v>233</v>
      </c>
      <c r="E18" t="s">
        <v>12</v>
      </c>
      <c r="F18" t="s">
        <v>234</v>
      </c>
      <c r="G18" t="s">
        <v>40</v>
      </c>
      <c r="H18">
        <v>2554</v>
      </c>
      <c r="I18">
        <v>4551221</v>
      </c>
      <c r="J18">
        <v>33</v>
      </c>
      <c r="K18" t="str">
        <f t="shared" si="7"/>
        <v>24704_1</v>
      </c>
      <c r="L18" t="str">
        <f t="shared" si="8"/>
        <v>2554-4551221-33</v>
      </c>
      <c r="M18" t="str">
        <f t="shared" si="9"/>
        <v>Mar</v>
      </c>
      <c r="N18" t="str">
        <f t="shared" si="10"/>
        <v>323955</v>
      </c>
      <c r="O18" t="str">
        <f t="shared" si="11"/>
        <v>Melbourne</v>
      </c>
      <c r="P18" t="str">
        <f t="shared" si="12"/>
        <v>INV</v>
      </c>
      <c r="Q18" s="1">
        <f>VALUE(SUBSTITUTE(SUBSTITUTE(F18,"S","$"),CHAR(160),""))*IF(tbl_Supplier[[#This Row],[Type]]="CR",-1,1)</f>
        <v>499.95</v>
      </c>
      <c r="R18" s="12">
        <f t="shared" si="13"/>
        <v>43909</v>
      </c>
      <c r="S18" s="31">
        <f>DATE(2020,MONTH(tbl_Supplier[[#This Row],[Paid]]),RIGHT(C18,2))</f>
        <v>43951</v>
      </c>
      <c r="T18">
        <f>tbl_Supplier[[#This Row],[Paid Date]]-tbl_Supplier[[#This Row],[Invoice Date]]</f>
        <v>42</v>
      </c>
    </row>
    <row r="19" spans="1:20" x14ac:dyDescent="0.25">
      <c r="A19">
        <v>24707</v>
      </c>
      <c r="B19">
        <v>1</v>
      </c>
      <c r="C19" t="s">
        <v>235</v>
      </c>
      <c r="D19" t="s">
        <v>236</v>
      </c>
      <c r="E19" t="s">
        <v>12</v>
      </c>
      <c r="F19" t="s">
        <v>237</v>
      </c>
      <c r="G19" t="s">
        <v>41</v>
      </c>
      <c r="H19">
        <v>2554</v>
      </c>
      <c r="I19">
        <v>4551221</v>
      </c>
      <c r="J19">
        <v>33</v>
      </c>
      <c r="K19" t="str">
        <f t="shared" si="7"/>
        <v>24707_1</v>
      </c>
      <c r="L19" t="str">
        <f t="shared" si="8"/>
        <v>2554-4551221-33</v>
      </c>
      <c r="M19" t="str">
        <f t="shared" si="9"/>
        <v>Feb</v>
      </c>
      <c r="N19" t="str">
        <f t="shared" si="10"/>
        <v>316515</v>
      </c>
      <c r="O19" t="str">
        <f t="shared" si="11"/>
        <v>Melbourne</v>
      </c>
      <c r="P19" t="str">
        <f t="shared" si="12"/>
        <v>INV</v>
      </c>
      <c r="Q19" s="1">
        <f>VALUE(SUBSTITUTE(SUBSTITUTE(F19,"S","$"),CHAR(160),""))*IF(tbl_Supplier[[#This Row],[Type]]="CR",-1,1)</f>
        <v>299.64</v>
      </c>
      <c r="R19" s="12">
        <f t="shared" si="13"/>
        <v>43890</v>
      </c>
      <c r="S19" s="31">
        <f>DATE(2020,MONTH(tbl_Supplier[[#This Row],[Paid]]),RIGHT(C19,2))</f>
        <v>43928</v>
      </c>
      <c r="T19">
        <f>tbl_Supplier[[#This Row],[Paid Date]]-tbl_Supplier[[#This Row],[Invoice Date]]</f>
        <v>38</v>
      </c>
    </row>
    <row r="20" spans="1:20" x14ac:dyDescent="0.25">
      <c r="A20">
        <v>24712</v>
      </c>
      <c r="B20">
        <v>1</v>
      </c>
      <c r="C20" t="s">
        <v>206</v>
      </c>
      <c r="D20" t="s">
        <v>215</v>
      </c>
      <c r="E20" t="s">
        <v>12</v>
      </c>
      <c r="F20" t="s">
        <v>238</v>
      </c>
      <c r="G20" t="s">
        <v>42</v>
      </c>
      <c r="H20">
        <v>1641</v>
      </c>
      <c r="I20">
        <v>7654320</v>
      </c>
      <c r="J20">
        <v>72</v>
      </c>
      <c r="K20" t="str">
        <f t="shared" si="7"/>
        <v>24712_1</v>
      </c>
      <c r="L20" t="str">
        <f t="shared" si="8"/>
        <v>1641-7654320-72</v>
      </c>
      <c r="M20" t="str">
        <f t="shared" si="9"/>
        <v>Mar</v>
      </c>
      <c r="N20" t="str">
        <f t="shared" si="10"/>
        <v>231320</v>
      </c>
      <c r="O20" t="str">
        <f t="shared" si="11"/>
        <v>Sydney</v>
      </c>
      <c r="P20" t="str">
        <f t="shared" si="12"/>
        <v>INV</v>
      </c>
      <c r="Q20" s="1">
        <f>VALUE(SUBSTITUTE(SUBSTITUTE(F20,"S","$"),CHAR(160),""))*IF(tbl_Supplier[[#This Row],[Type]]="CR",-1,1)</f>
        <v>312.83999999999997</v>
      </c>
      <c r="R20" s="12">
        <f t="shared" si="13"/>
        <v>43912</v>
      </c>
      <c r="S20" s="31">
        <f>DATE(2020,MONTH(tbl_Supplier[[#This Row],[Paid]]),RIGHT(C20,2))</f>
        <v>43951</v>
      </c>
      <c r="T20">
        <f>tbl_Supplier[[#This Row],[Paid Date]]-tbl_Supplier[[#This Row],[Invoice Date]]</f>
        <v>39</v>
      </c>
    </row>
    <row r="21" spans="1:20" x14ac:dyDescent="0.25">
      <c r="A21">
        <v>24717</v>
      </c>
      <c r="B21">
        <v>1</v>
      </c>
      <c r="C21" t="s">
        <v>23</v>
      </c>
      <c r="D21" t="s">
        <v>239</v>
      </c>
      <c r="E21" t="s">
        <v>13</v>
      </c>
      <c r="F21" t="s">
        <v>240</v>
      </c>
      <c r="G21" t="s">
        <v>43</v>
      </c>
      <c r="H21">
        <v>1641</v>
      </c>
      <c r="I21">
        <v>7654320</v>
      </c>
      <c r="J21">
        <v>72</v>
      </c>
      <c r="K21" t="str">
        <f t="shared" si="7"/>
        <v>24717_1</v>
      </c>
      <c r="L21" t="str">
        <f t="shared" si="8"/>
        <v>1641-7654320-72</v>
      </c>
      <c r="M21" t="str">
        <f t="shared" si="9"/>
        <v>Mar</v>
      </c>
      <c r="N21" t="str">
        <f t="shared" si="10"/>
        <v>213670</v>
      </c>
      <c r="O21" t="str">
        <f t="shared" si="11"/>
        <v>Sydney</v>
      </c>
      <c r="P21" t="str">
        <f t="shared" si="12"/>
        <v>INV</v>
      </c>
      <c r="Q21" s="1">
        <f>VALUE(SUBSTITUTE(SUBSTITUTE(F21,"S","$"),CHAR(160),""))*IF(tbl_Supplier[[#This Row],[Type]]="CR",-1,1)</f>
        <v>993.63</v>
      </c>
      <c r="R21" s="12">
        <f t="shared" si="13"/>
        <v>43904</v>
      </c>
      <c r="S21" s="31">
        <f>DATE(2020,MONTH(tbl_Supplier[[#This Row],[Paid]]),RIGHT(C21,2))</f>
        <v>43926</v>
      </c>
      <c r="T21">
        <f>tbl_Supplier[[#This Row],[Paid Date]]-tbl_Supplier[[#This Row],[Invoice Date]]</f>
        <v>22</v>
      </c>
    </row>
    <row r="22" spans="1:20" x14ac:dyDescent="0.25">
      <c r="A22">
        <v>24722</v>
      </c>
      <c r="B22">
        <v>1</v>
      </c>
      <c r="C22" t="s">
        <v>197</v>
      </c>
      <c r="D22" t="s">
        <v>212</v>
      </c>
      <c r="E22" t="s">
        <v>13</v>
      </c>
      <c r="F22" t="s">
        <v>241</v>
      </c>
      <c r="G22" t="s">
        <v>242</v>
      </c>
      <c r="H22">
        <v>1641</v>
      </c>
      <c r="I22">
        <v>7654320</v>
      </c>
      <c r="J22">
        <v>72</v>
      </c>
      <c r="K22" t="str">
        <f t="shared" si="7"/>
        <v>24722_1</v>
      </c>
      <c r="L22" t="str">
        <f t="shared" si="8"/>
        <v>1641-7654320-72</v>
      </c>
      <c r="M22" t="str">
        <f t="shared" si="9"/>
        <v>Mar</v>
      </c>
      <c r="N22" t="str">
        <f t="shared" si="10"/>
        <v>226166</v>
      </c>
      <c r="O22" t="str">
        <f t="shared" si="11"/>
        <v>Sydney</v>
      </c>
      <c r="P22" t="str">
        <f t="shared" si="12"/>
        <v>INV</v>
      </c>
      <c r="Q22" s="1">
        <f>VALUE(SUBSTITUTE(SUBSTITUTE(F22,"S","$"),CHAR(160),""))*IF(tbl_Supplier[[#This Row],[Type]]="CR",-1,1)</f>
        <v>1053.69</v>
      </c>
      <c r="R22" s="12">
        <f t="shared" si="13"/>
        <v>43917</v>
      </c>
      <c r="S22" s="31">
        <f>DATE(2020,MONTH(tbl_Supplier[[#This Row],[Paid]]),RIGHT(C22,2))</f>
        <v>43922</v>
      </c>
      <c r="T22">
        <f>tbl_Supplier[[#This Row],[Paid Date]]-tbl_Supplier[[#This Row],[Invoice Date]]</f>
        <v>5</v>
      </c>
    </row>
    <row r="23" spans="1:20" x14ac:dyDescent="0.25">
      <c r="A23">
        <v>24727</v>
      </c>
      <c r="B23">
        <v>1</v>
      </c>
      <c r="C23" t="s">
        <v>206</v>
      </c>
      <c r="D23" t="s">
        <v>243</v>
      </c>
      <c r="E23" t="s">
        <v>13</v>
      </c>
      <c r="F23" t="s">
        <v>244</v>
      </c>
      <c r="G23" t="s">
        <v>245</v>
      </c>
      <c r="H23">
        <v>2554</v>
      </c>
      <c r="I23">
        <v>4551221</v>
      </c>
      <c r="J23">
        <v>33</v>
      </c>
      <c r="K23" t="str">
        <f t="shared" si="7"/>
        <v>24727_1</v>
      </c>
      <c r="L23" t="str">
        <f t="shared" si="8"/>
        <v>2554-4551221-33</v>
      </c>
      <c r="M23" t="str">
        <f t="shared" si="9"/>
        <v>Apr</v>
      </c>
      <c r="N23" t="str">
        <f t="shared" si="10"/>
        <v>316479</v>
      </c>
      <c r="O23" t="str">
        <f t="shared" si="11"/>
        <v>Melbourne</v>
      </c>
      <c r="P23" t="str">
        <f t="shared" si="12"/>
        <v>INV</v>
      </c>
      <c r="Q23" s="1">
        <f>VALUE(SUBSTITUTE(SUBSTITUTE(F23,"S","$"),CHAR(160),""))*IF(tbl_Supplier[[#This Row],[Type]]="CR",-1,1)</f>
        <v>1047.75</v>
      </c>
      <c r="R23" s="12">
        <f t="shared" si="13"/>
        <v>43929</v>
      </c>
      <c r="S23" s="31">
        <f>DATE(2020,MONTH(tbl_Supplier[[#This Row],[Paid]]),RIGHT(C23,2))</f>
        <v>43951</v>
      </c>
      <c r="T23">
        <f>tbl_Supplier[[#This Row],[Paid Date]]-tbl_Supplier[[#This Row],[Invoice Date]]</f>
        <v>22</v>
      </c>
    </row>
    <row r="24" spans="1:20" x14ac:dyDescent="0.25">
      <c r="A24">
        <v>24730</v>
      </c>
      <c r="B24">
        <v>1</v>
      </c>
      <c r="C24" t="s">
        <v>243</v>
      </c>
      <c r="D24" t="s">
        <v>246</v>
      </c>
      <c r="E24" t="s">
        <v>13</v>
      </c>
      <c r="F24" t="s">
        <v>247</v>
      </c>
      <c r="G24" t="s">
        <v>248</v>
      </c>
      <c r="H24">
        <v>1641</v>
      </c>
      <c r="I24">
        <v>7654320</v>
      </c>
      <c r="J24">
        <v>72</v>
      </c>
      <c r="K24" t="str">
        <f t="shared" si="7"/>
        <v>24730_1</v>
      </c>
      <c r="L24" t="str">
        <f t="shared" si="8"/>
        <v>1641-7654320-72</v>
      </c>
      <c r="M24" t="str">
        <f t="shared" si="9"/>
        <v>Feb</v>
      </c>
      <c r="N24" t="str">
        <f t="shared" si="10"/>
        <v>230046</v>
      </c>
      <c r="O24" t="str">
        <f t="shared" si="11"/>
        <v>Sydney</v>
      </c>
      <c r="P24" t="str">
        <f t="shared" si="12"/>
        <v>INV</v>
      </c>
      <c r="Q24" s="1">
        <f>VALUE(SUBSTITUTE(SUBSTITUTE(F24,"S","$"),CHAR(160),""))*IF(tbl_Supplier[[#This Row],[Type]]="CR",-1,1)</f>
        <v>1096.92</v>
      </c>
      <c r="R24" s="12">
        <f t="shared" si="13"/>
        <v>43888</v>
      </c>
      <c r="S24" s="31">
        <f>DATE(2020,MONTH(tbl_Supplier[[#This Row],[Paid]]),RIGHT(C24,2))</f>
        <v>43929</v>
      </c>
      <c r="T24">
        <f>tbl_Supplier[[#This Row],[Paid Date]]-tbl_Supplier[[#This Row],[Invoice Date]]</f>
        <v>41</v>
      </c>
    </row>
    <row r="25" spans="1:20" x14ac:dyDescent="0.25">
      <c r="A25">
        <v>24732</v>
      </c>
      <c r="B25">
        <v>1</v>
      </c>
      <c r="C25" t="s">
        <v>235</v>
      </c>
      <c r="D25" t="s">
        <v>249</v>
      </c>
      <c r="E25" t="s">
        <v>13</v>
      </c>
      <c r="F25" t="s">
        <v>250</v>
      </c>
      <c r="G25" t="s">
        <v>251</v>
      </c>
      <c r="H25">
        <v>1641</v>
      </c>
      <c r="I25">
        <v>7654320</v>
      </c>
      <c r="J25">
        <v>72</v>
      </c>
      <c r="K25" t="str">
        <f t="shared" si="7"/>
        <v>24732_1</v>
      </c>
      <c r="L25" t="str">
        <f t="shared" si="8"/>
        <v>1641-7654320-72</v>
      </c>
      <c r="M25" t="str">
        <f t="shared" si="9"/>
        <v>Feb</v>
      </c>
      <c r="N25" t="str">
        <f t="shared" si="10"/>
        <v>224680</v>
      </c>
      <c r="O25" t="str">
        <f t="shared" si="11"/>
        <v>Sydney</v>
      </c>
      <c r="P25" t="str">
        <f t="shared" si="12"/>
        <v>INV</v>
      </c>
      <c r="Q25" s="1">
        <f>VALUE(SUBSTITUTE(SUBSTITUTE(F25,"S","$"),CHAR(160),""))*IF(tbl_Supplier[[#This Row],[Type]]="CR",-1,1)</f>
        <v>257.07</v>
      </c>
      <c r="R25" s="12">
        <f t="shared" si="13"/>
        <v>43886</v>
      </c>
      <c r="S25" s="31">
        <f>DATE(2020,MONTH(tbl_Supplier[[#This Row],[Paid]]),RIGHT(C25,2))</f>
        <v>43928</v>
      </c>
      <c r="T25">
        <f>tbl_Supplier[[#This Row],[Paid Date]]-tbl_Supplier[[#This Row],[Invoice Date]]</f>
        <v>42</v>
      </c>
    </row>
    <row r="26" spans="1:20" x14ac:dyDescent="0.25">
      <c r="A26">
        <v>24735</v>
      </c>
      <c r="B26">
        <v>2</v>
      </c>
      <c r="C26" t="s">
        <v>229</v>
      </c>
      <c r="D26" t="s">
        <v>226</v>
      </c>
      <c r="E26" t="s">
        <v>13</v>
      </c>
      <c r="F26" t="s">
        <v>252</v>
      </c>
      <c r="G26" t="s">
        <v>253</v>
      </c>
      <c r="H26">
        <v>1641</v>
      </c>
      <c r="I26">
        <v>7654320</v>
      </c>
      <c r="J26">
        <v>72</v>
      </c>
      <c r="K26" t="str">
        <f t="shared" si="7"/>
        <v>24735_2</v>
      </c>
      <c r="L26" t="str">
        <f t="shared" si="8"/>
        <v>1641-7654320-72</v>
      </c>
      <c r="M26" t="str">
        <f t="shared" si="9"/>
        <v>Apr</v>
      </c>
      <c r="N26" t="str">
        <f t="shared" si="10"/>
        <v>238023</v>
      </c>
      <c r="O26" t="str">
        <f t="shared" si="11"/>
        <v>Sydney</v>
      </c>
      <c r="P26" t="str">
        <f t="shared" si="12"/>
        <v>INV</v>
      </c>
      <c r="Q26" s="1">
        <f>VALUE(SUBSTITUTE(SUBSTITUTE(F26,"S","$"),CHAR(160),""))*IF(tbl_Supplier[[#This Row],[Type]]="CR",-1,1)</f>
        <v>215.49</v>
      </c>
      <c r="R26" s="12">
        <f t="shared" si="13"/>
        <v>43945</v>
      </c>
      <c r="S26" s="31">
        <f>DATE(2020,MONTH(tbl_Supplier[[#This Row],[Paid]]),RIGHT(C26,2))</f>
        <v>43949</v>
      </c>
      <c r="T26">
        <f>tbl_Supplier[[#This Row],[Paid Date]]-tbl_Supplier[[#This Row],[Invoice Date]]</f>
        <v>4</v>
      </c>
    </row>
    <row r="27" spans="1:20" x14ac:dyDescent="0.25">
      <c r="A27">
        <v>24739</v>
      </c>
      <c r="B27">
        <v>1</v>
      </c>
      <c r="C27" t="s">
        <v>226</v>
      </c>
      <c r="D27" t="s">
        <v>23</v>
      </c>
      <c r="E27" t="s">
        <v>13</v>
      </c>
      <c r="F27" t="s">
        <v>254</v>
      </c>
      <c r="G27" t="s">
        <v>255</v>
      </c>
      <c r="H27">
        <v>1641</v>
      </c>
      <c r="I27">
        <v>7654320</v>
      </c>
      <c r="J27">
        <v>72</v>
      </c>
      <c r="K27" t="str">
        <f t="shared" si="7"/>
        <v>24739_1</v>
      </c>
      <c r="L27" t="str">
        <f t="shared" si="8"/>
        <v>1641-7654320-72</v>
      </c>
      <c r="M27" t="str">
        <f t="shared" si="9"/>
        <v>Apr</v>
      </c>
      <c r="N27" t="str">
        <f t="shared" si="10"/>
        <v>224184</v>
      </c>
      <c r="O27" t="str">
        <f t="shared" si="11"/>
        <v>Sydney</v>
      </c>
      <c r="P27" t="str">
        <f t="shared" si="12"/>
        <v>INV</v>
      </c>
      <c r="Q27" s="1">
        <f>VALUE(SUBSTITUTE(SUBSTITUTE(F27,"S","$"),CHAR(160),""))*IF(tbl_Supplier[[#This Row],[Type]]="CR",-1,1)</f>
        <v>455.07</v>
      </c>
      <c r="R27" s="12">
        <f t="shared" si="13"/>
        <v>43926</v>
      </c>
      <c r="S27" s="31">
        <f>DATE(2020,MONTH(tbl_Supplier[[#This Row],[Paid]]),RIGHT(C27,2))</f>
        <v>43945</v>
      </c>
      <c r="T27">
        <f>tbl_Supplier[[#This Row],[Paid Date]]-tbl_Supplier[[#This Row],[Invoice Date]]</f>
        <v>19</v>
      </c>
    </row>
    <row r="28" spans="1:20" x14ac:dyDescent="0.25">
      <c r="A28">
        <v>24740</v>
      </c>
      <c r="B28">
        <v>1</v>
      </c>
      <c r="C28" t="s">
        <v>207</v>
      </c>
      <c r="D28" t="s">
        <v>256</v>
      </c>
      <c r="E28" t="s">
        <v>13</v>
      </c>
      <c r="F28" t="s">
        <v>257</v>
      </c>
      <c r="G28" t="s">
        <v>258</v>
      </c>
      <c r="H28">
        <v>1641</v>
      </c>
      <c r="I28">
        <v>7654320</v>
      </c>
      <c r="J28">
        <v>72</v>
      </c>
      <c r="K28" t="str">
        <f t="shared" si="7"/>
        <v>24740_1</v>
      </c>
      <c r="L28" t="str">
        <f t="shared" si="8"/>
        <v>1641-7654320-72</v>
      </c>
      <c r="M28" t="str">
        <f t="shared" si="9"/>
        <v>Apr</v>
      </c>
      <c r="N28" t="str">
        <f t="shared" si="10"/>
        <v>216205</v>
      </c>
      <c r="O28" t="str">
        <f t="shared" si="11"/>
        <v>Sydney</v>
      </c>
      <c r="P28" t="str">
        <f t="shared" si="12"/>
        <v>INV</v>
      </c>
      <c r="Q28" s="1">
        <f>VALUE(SUBSTITUTE(SUBSTITUTE(F28,"S","$"),CHAR(160),""))*IF(tbl_Supplier[[#This Row],[Type]]="CR",-1,1)</f>
        <v>711.81</v>
      </c>
      <c r="R28" s="12">
        <f t="shared" si="13"/>
        <v>43923</v>
      </c>
      <c r="S28" s="31">
        <f>DATE(2020,MONTH(tbl_Supplier[[#This Row],[Paid]]),RIGHT(C28,2))</f>
        <v>43930</v>
      </c>
      <c r="T28">
        <f>tbl_Supplier[[#This Row],[Paid Date]]-tbl_Supplier[[#This Row],[Invoice Date]]</f>
        <v>7</v>
      </c>
    </row>
    <row r="29" spans="1:20" x14ac:dyDescent="0.25">
      <c r="A29">
        <v>24743</v>
      </c>
      <c r="B29">
        <v>1</v>
      </c>
      <c r="C29" t="s">
        <v>221</v>
      </c>
      <c r="D29" t="s">
        <v>259</v>
      </c>
      <c r="E29" t="s">
        <v>13</v>
      </c>
      <c r="F29" t="s">
        <v>260</v>
      </c>
      <c r="G29" t="s">
        <v>261</v>
      </c>
      <c r="H29">
        <v>2554</v>
      </c>
      <c r="I29">
        <v>4551221</v>
      </c>
      <c r="J29">
        <v>33</v>
      </c>
      <c r="K29" t="str">
        <f t="shared" si="7"/>
        <v>24743_1</v>
      </c>
      <c r="L29" t="str">
        <f t="shared" si="8"/>
        <v>2554-4551221-33</v>
      </c>
      <c r="M29" t="str">
        <f t="shared" si="9"/>
        <v>Mar</v>
      </c>
      <c r="N29" t="str">
        <f t="shared" si="10"/>
        <v>331383</v>
      </c>
      <c r="O29" t="str">
        <f t="shared" si="11"/>
        <v>Melbourne</v>
      </c>
      <c r="P29" t="str">
        <f t="shared" si="12"/>
        <v>INV</v>
      </c>
      <c r="Q29" s="1">
        <f>VALUE(SUBSTITUTE(SUBSTITUTE(F29,"S","$"),CHAR(160),""))*IF(tbl_Supplier[[#This Row],[Type]]="CR",-1,1)</f>
        <v>78.540000000000006</v>
      </c>
      <c r="R29" s="12">
        <f t="shared" si="13"/>
        <v>43911</v>
      </c>
      <c r="S29" s="31">
        <f>DATE(2020,MONTH(tbl_Supplier[[#This Row],[Paid]]),RIGHT(C29,2))</f>
        <v>43925</v>
      </c>
      <c r="T29">
        <f>tbl_Supplier[[#This Row],[Paid Date]]-tbl_Supplier[[#This Row],[Invoice Date]]</f>
        <v>14</v>
      </c>
    </row>
    <row r="30" spans="1:20" x14ac:dyDescent="0.25">
      <c r="A30">
        <v>24746</v>
      </c>
      <c r="B30">
        <v>1</v>
      </c>
      <c r="C30" t="s">
        <v>223</v>
      </c>
      <c r="D30" t="s">
        <v>262</v>
      </c>
      <c r="E30" t="s">
        <v>13</v>
      </c>
      <c r="F30" t="s">
        <v>263</v>
      </c>
      <c r="G30" t="s">
        <v>264</v>
      </c>
      <c r="H30">
        <v>2554</v>
      </c>
      <c r="I30">
        <v>4551221</v>
      </c>
      <c r="J30">
        <v>33</v>
      </c>
      <c r="K30" t="str">
        <f t="shared" si="7"/>
        <v>24746_1</v>
      </c>
      <c r="L30" t="str">
        <f t="shared" si="8"/>
        <v>2554-4551221-33</v>
      </c>
      <c r="M30" t="str">
        <f t="shared" si="9"/>
        <v>Mar</v>
      </c>
      <c r="N30" t="str">
        <f t="shared" si="10"/>
        <v>335282</v>
      </c>
      <c r="O30" t="str">
        <f t="shared" si="11"/>
        <v>Melbourne</v>
      </c>
      <c r="P30" t="str">
        <f t="shared" si="12"/>
        <v>INV</v>
      </c>
      <c r="Q30" s="1">
        <f>VALUE(SUBSTITUTE(SUBSTITUTE(F30,"S","$"),CHAR(160),""))*IF(tbl_Supplier[[#This Row],[Type]]="CR",-1,1)</f>
        <v>302.61</v>
      </c>
      <c r="R30" s="12">
        <f t="shared" si="13"/>
        <v>43892</v>
      </c>
      <c r="S30" s="31">
        <f>DATE(2020,MONTH(tbl_Supplier[[#This Row],[Paid]]),RIGHT(C30,2))</f>
        <v>43927</v>
      </c>
      <c r="T30">
        <f>tbl_Supplier[[#This Row],[Paid Date]]-tbl_Supplier[[#This Row],[Invoice Date]]</f>
        <v>35</v>
      </c>
    </row>
    <row r="31" spans="1:20" x14ac:dyDescent="0.25">
      <c r="A31">
        <v>24750</v>
      </c>
      <c r="B31">
        <v>1</v>
      </c>
      <c r="C31" t="s">
        <v>203</v>
      </c>
      <c r="D31" t="s">
        <v>249</v>
      </c>
      <c r="E31" t="s">
        <v>12</v>
      </c>
      <c r="F31" t="s">
        <v>265</v>
      </c>
      <c r="G31" t="s">
        <v>266</v>
      </c>
      <c r="H31">
        <v>2554</v>
      </c>
      <c r="I31">
        <v>4551221</v>
      </c>
      <c r="J31">
        <v>33</v>
      </c>
      <c r="K31" t="str">
        <f t="shared" si="7"/>
        <v>24750_1</v>
      </c>
      <c r="L31" t="str">
        <f t="shared" si="8"/>
        <v>2554-4551221-33</v>
      </c>
      <c r="M31" t="str">
        <f t="shared" si="9"/>
        <v>Feb</v>
      </c>
      <c r="N31" t="str">
        <f t="shared" si="10"/>
        <v>330858</v>
      </c>
      <c r="O31" t="str">
        <f t="shared" si="11"/>
        <v>Melbourne</v>
      </c>
      <c r="P31" t="str">
        <f t="shared" si="12"/>
        <v>INV</v>
      </c>
      <c r="Q31" s="1">
        <f>VALUE(SUBSTITUTE(SUBSTITUTE(F31,"S","$"),CHAR(160),""))*IF(tbl_Supplier[[#This Row],[Type]]="CR",-1,1)</f>
        <v>426.03</v>
      </c>
      <c r="R31" s="12">
        <f t="shared" si="13"/>
        <v>43886</v>
      </c>
      <c r="S31" s="31">
        <f>DATE(2020,MONTH(tbl_Supplier[[#This Row],[Paid]]),RIGHT(C31,2))</f>
        <v>43931</v>
      </c>
      <c r="T31">
        <f>tbl_Supplier[[#This Row],[Paid Date]]-tbl_Supplier[[#This Row],[Invoice Date]]</f>
        <v>45</v>
      </c>
    </row>
    <row r="32" spans="1:20" x14ac:dyDescent="0.25">
      <c r="A32">
        <v>24753</v>
      </c>
      <c r="B32">
        <v>1</v>
      </c>
      <c r="C32" t="s">
        <v>217</v>
      </c>
      <c r="D32" t="s">
        <v>218</v>
      </c>
      <c r="E32" t="s">
        <v>13</v>
      </c>
      <c r="F32" t="s">
        <v>267</v>
      </c>
      <c r="G32" t="s">
        <v>268</v>
      </c>
      <c r="H32">
        <v>1641</v>
      </c>
      <c r="I32">
        <v>7654320</v>
      </c>
      <c r="J32">
        <v>72</v>
      </c>
      <c r="K32" t="str">
        <f t="shared" si="7"/>
        <v>24753_1</v>
      </c>
      <c r="L32" t="str">
        <f t="shared" si="8"/>
        <v>1641-7654320-72</v>
      </c>
      <c r="M32" t="str">
        <f t="shared" si="9"/>
        <v>Mar</v>
      </c>
      <c r="N32" t="str">
        <f t="shared" si="10"/>
        <v>238202</v>
      </c>
      <c r="O32" t="str">
        <f t="shared" si="11"/>
        <v>Sydney</v>
      </c>
      <c r="P32" t="str">
        <f t="shared" si="12"/>
        <v>INV</v>
      </c>
      <c r="Q32" s="1">
        <f>VALUE(SUBSTITUTE(SUBSTITUTE(F32,"S","$"),CHAR(160),""))*IF(tbl_Supplier[[#This Row],[Type]]="CR",-1,1)</f>
        <v>489.72</v>
      </c>
      <c r="R32" s="12">
        <f t="shared" si="13"/>
        <v>43899</v>
      </c>
      <c r="S32" s="31">
        <f>DATE(2020,MONTH(tbl_Supplier[[#This Row],[Paid]]),RIGHT(C32,2))</f>
        <v>43932</v>
      </c>
      <c r="T32">
        <f>tbl_Supplier[[#This Row],[Paid Date]]-tbl_Supplier[[#This Row],[Invoice Date]]</f>
        <v>33</v>
      </c>
    </row>
    <row r="33" spans="1:20" x14ac:dyDescent="0.25">
      <c r="A33">
        <v>24754</v>
      </c>
      <c r="B33">
        <v>1</v>
      </c>
      <c r="C33" t="s">
        <v>229</v>
      </c>
      <c r="D33" t="s">
        <v>201</v>
      </c>
      <c r="E33" t="s">
        <v>13</v>
      </c>
      <c r="F33" t="s">
        <v>269</v>
      </c>
      <c r="G33" t="s">
        <v>270</v>
      </c>
      <c r="H33">
        <v>1641</v>
      </c>
      <c r="I33">
        <v>7654320</v>
      </c>
      <c r="J33">
        <v>72</v>
      </c>
      <c r="K33" t="str">
        <f t="shared" si="7"/>
        <v>24754_1</v>
      </c>
      <c r="L33" t="str">
        <f t="shared" si="8"/>
        <v>1641-7654320-72</v>
      </c>
      <c r="M33" t="str">
        <f t="shared" si="9"/>
        <v>Mar</v>
      </c>
      <c r="N33" t="str">
        <f t="shared" si="10"/>
        <v>217217</v>
      </c>
      <c r="O33" t="str">
        <f t="shared" si="11"/>
        <v>Sydney</v>
      </c>
      <c r="P33" t="str">
        <f t="shared" si="12"/>
        <v>INV</v>
      </c>
      <c r="Q33" s="1">
        <f>VALUE(SUBSTITUTE(SUBSTITUTE(F33,"S","$"),CHAR(160),""))*IF(tbl_Supplier[[#This Row],[Type]]="CR",-1,1)</f>
        <v>352.44</v>
      </c>
      <c r="R33" s="12">
        <f t="shared" si="13"/>
        <v>43915</v>
      </c>
      <c r="S33" s="31">
        <f>DATE(2020,MONTH(tbl_Supplier[[#This Row],[Paid]]),RIGHT(C33,2))</f>
        <v>43949</v>
      </c>
      <c r="T33">
        <f>tbl_Supplier[[#This Row],[Paid Date]]-tbl_Supplier[[#This Row],[Invoice Date]]</f>
        <v>34</v>
      </c>
    </row>
    <row r="34" spans="1:20" x14ac:dyDescent="0.25">
      <c r="A34">
        <v>24756</v>
      </c>
      <c r="B34">
        <v>1</v>
      </c>
      <c r="C34" t="s">
        <v>271</v>
      </c>
      <c r="D34" t="s">
        <v>215</v>
      </c>
      <c r="E34" t="s">
        <v>13</v>
      </c>
      <c r="F34" t="s">
        <v>272</v>
      </c>
      <c r="G34" t="s">
        <v>273</v>
      </c>
      <c r="H34">
        <v>1641</v>
      </c>
      <c r="I34">
        <v>7654320</v>
      </c>
      <c r="J34">
        <v>72</v>
      </c>
      <c r="K34" t="str">
        <f t="shared" si="7"/>
        <v>24756_1</v>
      </c>
      <c r="L34" t="str">
        <f t="shared" si="8"/>
        <v>1641-7654320-72</v>
      </c>
      <c r="M34" t="str">
        <f t="shared" si="9"/>
        <v>Mar</v>
      </c>
      <c r="N34" t="str">
        <f t="shared" si="10"/>
        <v>234637</v>
      </c>
      <c r="O34" t="str">
        <f t="shared" si="11"/>
        <v>Sydney</v>
      </c>
      <c r="P34" t="str">
        <f t="shared" si="12"/>
        <v>INV</v>
      </c>
      <c r="Q34" s="1">
        <f>VALUE(SUBSTITUTE(SUBSTITUTE(F34,"S","$"),CHAR(160),""))*IF(tbl_Supplier[[#This Row],[Type]]="CR",-1,1)</f>
        <v>238.59</v>
      </c>
      <c r="R34" s="12">
        <f t="shared" si="13"/>
        <v>43912</v>
      </c>
      <c r="S34" s="31">
        <f>DATE(2020,MONTH(tbl_Supplier[[#This Row],[Paid]]),RIGHT(C34,2))</f>
        <v>43937</v>
      </c>
      <c r="T34">
        <f>tbl_Supplier[[#This Row],[Paid Date]]-tbl_Supplier[[#This Row],[Invoice Date]]</f>
        <v>25</v>
      </c>
    </row>
    <row r="35" spans="1:20" x14ac:dyDescent="0.25">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t="str">
        <f t="shared" ref="N35:N66" si="17">RIGHT(G35,6)</f>
        <v>332725</v>
      </c>
      <c r="O35" t="str">
        <f t="shared" ref="O35:O66" si="18">MID(G35,4,FIND("-",G35,4)-4)</f>
        <v>Melbourne</v>
      </c>
      <c r="P35" t="str">
        <f t="shared" ref="P35:P66" si="19">UPPER(TRIM(CLEAN(E35)))</f>
        <v>INV</v>
      </c>
      <c r="Q35" s="1">
        <f>VALUE(SUBSTITUTE(SUBSTITUTE(F35,"S","$"),CHAR(160),""))*IF(tbl_Supplier[[#This Row],[Type]]="CR",-1,1)</f>
        <v>549.12</v>
      </c>
      <c r="R35" s="12">
        <f t="shared" ref="R35:R66" si="20">DATE(2020,MONTH(1&amp;M35),RIGHT(D35,2))</f>
        <v>43936</v>
      </c>
      <c r="S35" s="31">
        <f>DATE(2020,MONTH(tbl_Supplier[[#This Row],[Paid]]),RIGHT(C35,2))</f>
        <v>43941</v>
      </c>
      <c r="T35">
        <f>tbl_Supplier[[#This Row],[Paid Date]]-tbl_Supplier[[#This Row],[Invoice Date]]</f>
        <v>5</v>
      </c>
    </row>
    <row r="36" spans="1:20" x14ac:dyDescent="0.25">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t="str">
        <f t="shared" si="17"/>
        <v>227351</v>
      </c>
      <c r="O36" t="str">
        <f t="shared" si="18"/>
        <v>Sydney</v>
      </c>
      <c r="P36" t="str">
        <f t="shared" si="19"/>
        <v>INV</v>
      </c>
      <c r="Q36" s="1">
        <f>VALUE(SUBSTITUTE(SUBSTITUTE(F36,"S","$"),CHAR(160),""))*IF(tbl_Supplier[[#This Row],[Type]]="CR",-1,1)</f>
        <v>322.41000000000003</v>
      </c>
      <c r="R36" s="12">
        <f t="shared" si="20"/>
        <v>43893</v>
      </c>
      <c r="S36" s="31">
        <f>DATE(2020,MONTH(tbl_Supplier[[#This Row],[Paid]]),RIGHT(C36,2))</f>
        <v>43923</v>
      </c>
      <c r="T36">
        <f>tbl_Supplier[[#This Row],[Paid Date]]-tbl_Supplier[[#This Row],[Invoice Date]]</f>
        <v>30</v>
      </c>
    </row>
    <row r="37" spans="1:20" x14ac:dyDescent="0.25">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t="str">
        <f t="shared" si="17"/>
        <v>336345</v>
      </c>
      <c r="O37" t="str">
        <f t="shared" si="18"/>
        <v>Melbourne</v>
      </c>
      <c r="P37" t="str">
        <f t="shared" si="19"/>
        <v>INV</v>
      </c>
      <c r="Q37" s="1">
        <f>VALUE(SUBSTITUTE(SUBSTITUTE(F37,"S","$"),CHAR(160),""))*IF(tbl_Supplier[[#This Row],[Type]]="CR",-1,1)</f>
        <v>644.82000000000005</v>
      </c>
      <c r="R37" s="12">
        <f t="shared" si="20"/>
        <v>43892</v>
      </c>
      <c r="S37" s="31">
        <f>DATE(2020,MONTH(tbl_Supplier[[#This Row],[Paid]]),RIGHT(C37,2))</f>
        <v>43934</v>
      </c>
      <c r="T37">
        <f>tbl_Supplier[[#This Row],[Paid Date]]-tbl_Supplier[[#This Row],[Invoice Date]]</f>
        <v>42</v>
      </c>
    </row>
    <row r="38" spans="1:20" x14ac:dyDescent="0.25">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t="str">
        <f t="shared" si="17"/>
        <v>338595</v>
      </c>
      <c r="O38" t="str">
        <f t="shared" si="18"/>
        <v>Melbourne</v>
      </c>
      <c r="P38" t="str">
        <f t="shared" si="19"/>
        <v>INV</v>
      </c>
      <c r="Q38" s="1">
        <f>VALUE(SUBSTITUTE(SUBSTITUTE(F38,"S","$"),CHAR(160),""))*IF(tbl_Supplier[[#This Row],[Type]]="CR",-1,1)</f>
        <v>113.19</v>
      </c>
      <c r="R38" s="12">
        <f t="shared" si="20"/>
        <v>43923</v>
      </c>
      <c r="S38" s="31">
        <f>DATE(2020,MONTH(tbl_Supplier[[#This Row],[Paid]]),RIGHT(C38,2))</f>
        <v>43944</v>
      </c>
      <c r="T38">
        <f>tbl_Supplier[[#This Row],[Paid Date]]-tbl_Supplier[[#This Row],[Invoice Date]]</f>
        <v>21</v>
      </c>
    </row>
    <row r="39" spans="1:20" x14ac:dyDescent="0.25">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t="str">
        <f t="shared" si="17"/>
        <v>325149</v>
      </c>
      <c r="O39" t="str">
        <f t="shared" si="18"/>
        <v>Melbourne</v>
      </c>
      <c r="P39" t="str">
        <f t="shared" si="19"/>
        <v>INV</v>
      </c>
      <c r="Q39" s="1">
        <f>VALUE(SUBSTITUTE(SUBSTITUTE(F39,"S","$"),CHAR(160),""))*IF(tbl_Supplier[[#This Row],[Type]]="CR",-1,1)</f>
        <v>449.13</v>
      </c>
      <c r="R39" s="12">
        <f t="shared" si="20"/>
        <v>43941</v>
      </c>
      <c r="S39" s="31">
        <f>DATE(2020,MONTH(tbl_Supplier[[#This Row],[Paid]]),RIGHT(C39,2))</f>
        <v>43949</v>
      </c>
      <c r="T39">
        <f>tbl_Supplier[[#This Row],[Paid Date]]-tbl_Supplier[[#This Row],[Invoice Date]]</f>
        <v>8</v>
      </c>
    </row>
    <row r="40" spans="1:20" x14ac:dyDescent="0.25">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t="str">
        <f t="shared" si="17"/>
        <v>227994</v>
      </c>
      <c r="O40" t="str">
        <f t="shared" si="18"/>
        <v>Sydney</v>
      </c>
      <c r="P40" t="str">
        <f t="shared" si="19"/>
        <v>INV</v>
      </c>
      <c r="Q40" s="1">
        <f>VALUE(SUBSTITUTE(SUBSTITUTE(F40,"S","$"),CHAR(160),""))*IF(tbl_Supplier[[#This Row],[Type]]="CR",-1,1)</f>
        <v>819.06</v>
      </c>
      <c r="R40" s="12">
        <f t="shared" si="20"/>
        <v>43911</v>
      </c>
      <c r="S40" s="31">
        <f>DATE(2020,MONTH(tbl_Supplier[[#This Row],[Paid]]),RIGHT(C40,2))</f>
        <v>43933</v>
      </c>
      <c r="T40">
        <f>tbl_Supplier[[#This Row],[Paid Date]]-tbl_Supplier[[#This Row],[Invoice Date]]</f>
        <v>22</v>
      </c>
    </row>
    <row r="41" spans="1:20" x14ac:dyDescent="0.25">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t="str">
        <f t="shared" si="17"/>
        <v>222399</v>
      </c>
      <c r="O41" t="str">
        <f t="shared" si="18"/>
        <v>Sydney</v>
      </c>
      <c r="P41" t="str">
        <f t="shared" si="19"/>
        <v>INV</v>
      </c>
      <c r="Q41" s="1">
        <f>VALUE(SUBSTITUTE(SUBSTITUTE(F41,"S","$"),CHAR(160),""))*IF(tbl_Supplier[[#This Row],[Type]]="CR",-1,1)</f>
        <v>1019.04</v>
      </c>
      <c r="R41" s="12">
        <f t="shared" si="20"/>
        <v>43880</v>
      </c>
      <c r="S41" s="31">
        <f>DATE(2020,MONTH(tbl_Supplier[[#This Row],[Paid]]),RIGHT(C41,2))</f>
        <v>43924</v>
      </c>
      <c r="T41">
        <f>tbl_Supplier[[#This Row],[Paid Date]]-tbl_Supplier[[#This Row],[Invoice Date]]</f>
        <v>44</v>
      </c>
    </row>
    <row r="42" spans="1:20" x14ac:dyDescent="0.25">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t="str">
        <f t="shared" si="17"/>
        <v>316436</v>
      </c>
      <c r="O42" t="str">
        <f t="shared" si="18"/>
        <v>Melbourne</v>
      </c>
      <c r="P42" t="str">
        <f t="shared" si="19"/>
        <v>INV</v>
      </c>
      <c r="Q42" s="1">
        <f>VALUE(SUBSTITUTE(SUBSTITUTE(F42,"S","$"),CHAR(160),""))*IF(tbl_Supplier[[#This Row],[Type]]="CR",-1,1)</f>
        <v>736.23</v>
      </c>
      <c r="R42" s="12">
        <f t="shared" si="20"/>
        <v>43919</v>
      </c>
      <c r="S42" s="31">
        <f>DATE(2020,MONTH(tbl_Supplier[[#This Row],[Paid]]),RIGHT(C42,2))</f>
        <v>43935</v>
      </c>
      <c r="T42">
        <f>tbl_Supplier[[#This Row],[Paid Date]]-tbl_Supplier[[#This Row],[Invoice Date]]</f>
        <v>16</v>
      </c>
    </row>
    <row r="43" spans="1:20" x14ac:dyDescent="0.25">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t="str">
        <f t="shared" si="17"/>
        <v>312603</v>
      </c>
      <c r="O43" t="str">
        <f t="shared" si="18"/>
        <v>Melbourne</v>
      </c>
      <c r="P43" t="str">
        <f t="shared" si="19"/>
        <v>CR</v>
      </c>
      <c r="Q43" s="1">
        <f>VALUE(SUBSTITUTE(SUBSTITUTE(F43,"S","$"),CHAR(160),""))*IF(tbl_Supplier[[#This Row],[Type]]="CR",-1,1)</f>
        <v>-600.27</v>
      </c>
      <c r="R43" s="12">
        <f t="shared" si="20"/>
        <v>43895</v>
      </c>
      <c r="S43" s="31">
        <f>DATE(2020,MONTH(tbl_Supplier[[#This Row],[Paid]]),RIGHT(C43,2))</f>
        <v>43937</v>
      </c>
      <c r="T43">
        <f>tbl_Supplier[[#This Row],[Paid Date]]-tbl_Supplier[[#This Row],[Invoice Date]]</f>
        <v>42</v>
      </c>
    </row>
    <row r="44" spans="1:20" x14ac:dyDescent="0.25">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t="str">
        <f t="shared" si="17"/>
        <v>339907</v>
      </c>
      <c r="O44" t="str">
        <f t="shared" si="18"/>
        <v>Melbourne</v>
      </c>
      <c r="P44" t="str">
        <f t="shared" si="19"/>
        <v>INV</v>
      </c>
      <c r="Q44" s="1">
        <f>VALUE(SUBSTITUTE(SUBSTITUTE(F44,"S","$"),CHAR(160),""))*IF(tbl_Supplier[[#This Row],[Type]]="CR",-1,1)</f>
        <v>480.81</v>
      </c>
      <c r="R44" s="12">
        <f t="shared" si="20"/>
        <v>43907</v>
      </c>
      <c r="S44" s="31">
        <f>DATE(2020,MONTH(tbl_Supplier[[#This Row],[Paid]]),RIGHT(C44,2))</f>
        <v>43929</v>
      </c>
      <c r="T44">
        <f>tbl_Supplier[[#This Row],[Paid Date]]-tbl_Supplier[[#This Row],[Invoice Date]]</f>
        <v>22</v>
      </c>
    </row>
    <row r="45" spans="1:20" x14ac:dyDescent="0.25">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t="str">
        <f t="shared" si="17"/>
        <v>218463</v>
      </c>
      <c r="O45" t="str">
        <f t="shared" si="18"/>
        <v>Sydney</v>
      </c>
      <c r="P45" t="str">
        <f t="shared" si="19"/>
        <v>INV</v>
      </c>
      <c r="Q45" s="1">
        <f>VALUE(SUBSTITUTE(SUBSTITUTE(F45,"S","$"),CHAR(160),""))*IF(tbl_Supplier[[#This Row],[Type]]="CR",-1,1)</f>
        <v>253.77</v>
      </c>
      <c r="R45" s="12">
        <f t="shared" si="20"/>
        <v>43908</v>
      </c>
      <c r="S45" s="31">
        <f>DATE(2020,MONTH(tbl_Supplier[[#This Row],[Paid]]),RIGHT(C45,2))</f>
        <v>43948</v>
      </c>
      <c r="T45">
        <f>tbl_Supplier[[#This Row],[Paid Date]]-tbl_Supplier[[#This Row],[Invoice Date]]</f>
        <v>40</v>
      </c>
    </row>
    <row r="46" spans="1:20" x14ac:dyDescent="0.25">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t="str">
        <f t="shared" si="17"/>
        <v>336345</v>
      </c>
      <c r="O46" t="str">
        <f t="shared" si="18"/>
        <v>Melbourne</v>
      </c>
      <c r="P46" t="str">
        <f t="shared" si="19"/>
        <v>INV</v>
      </c>
      <c r="Q46" s="1">
        <f>VALUE(SUBSTITUTE(SUBSTITUTE(F46,"S","$"),CHAR(160),""))*IF(tbl_Supplier[[#This Row],[Type]]="CR",-1,1)</f>
        <v>442.86</v>
      </c>
      <c r="R46" s="12">
        <f t="shared" si="20"/>
        <v>43906</v>
      </c>
      <c r="S46" s="31">
        <f>DATE(2020,MONTH(tbl_Supplier[[#This Row],[Paid]]),RIGHT(C46,2))</f>
        <v>43949</v>
      </c>
      <c r="T46">
        <f>tbl_Supplier[[#This Row],[Paid Date]]-tbl_Supplier[[#This Row],[Invoice Date]]</f>
        <v>43</v>
      </c>
    </row>
    <row r="47" spans="1:20" x14ac:dyDescent="0.25">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t="str">
        <f t="shared" si="17"/>
        <v>227664</v>
      </c>
      <c r="O47" t="str">
        <f t="shared" si="18"/>
        <v>Sydney</v>
      </c>
      <c r="P47" t="str">
        <f t="shared" si="19"/>
        <v>INV</v>
      </c>
      <c r="Q47" s="1">
        <f>VALUE(SUBSTITUTE(SUBSTITUTE(F47,"S","$"),CHAR(160),""))*IF(tbl_Supplier[[#This Row],[Type]]="CR",-1,1)</f>
        <v>630.96</v>
      </c>
      <c r="R47" s="12">
        <f t="shared" si="20"/>
        <v>43901</v>
      </c>
      <c r="S47" s="31">
        <f>DATE(2020,MONTH(tbl_Supplier[[#This Row],[Paid]]),RIGHT(C47,2))</f>
        <v>43924</v>
      </c>
      <c r="T47">
        <f>tbl_Supplier[[#This Row],[Paid Date]]-tbl_Supplier[[#This Row],[Invoice Date]]</f>
        <v>23</v>
      </c>
    </row>
    <row r="48" spans="1:20" x14ac:dyDescent="0.25">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t="str">
        <f t="shared" si="17"/>
        <v>331460</v>
      </c>
      <c r="O48" t="str">
        <f t="shared" si="18"/>
        <v>Melbourne</v>
      </c>
      <c r="P48" t="str">
        <f t="shared" si="19"/>
        <v>INV</v>
      </c>
      <c r="Q48" s="1">
        <f>VALUE(SUBSTITUTE(SUBSTITUTE(F48,"S","$"),CHAR(160),""))*IF(tbl_Supplier[[#This Row],[Type]]="CR",-1,1)</f>
        <v>821.37</v>
      </c>
      <c r="R48" s="12">
        <f t="shared" si="20"/>
        <v>43895</v>
      </c>
      <c r="S48" s="31">
        <f>DATE(2020,MONTH(tbl_Supplier[[#This Row],[Paid]]),RIGHT(C48,2))</f>
        <v>43925</v>
      </c>
      <c r="T48">
        <f>tbl_Supplier[[#This Row],[Paid Date]]-tbl_Supplier[[#This Row],[Invoice Date]]</f>
        <v>30</v>
      </c>
    </row>
    <row r="49" spans="1:20" x14ac:dyDescent="0.25">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t="str">
        <f t="shared" si="17"/>
        <v>327740</v>
      </c>
      <c r="O49" t="str">
        <f t="shared" si="18"/>
        <v>Melbourne</v>
      </c>
      <c r="P49" t="str">
        <f t="shared" si="19"/>
        <v>INV</v>
      </c>
      <c r="Q49" s="1">
        <f>VALUE(SUBSTITUTE(SUBSTITUTE(F49,"S","$"),CHAR(160),""))*IF(tbl_Supplier[[#This Row],[Type]]="CR",-1,1)</f>
        <v>950.73</v>
      </c>
      <c r="R49" s="12">
        <f t="shared" si="20"/>
        <v>43888</v>
      </c>
      <c r="S49" s="31">
        <f>DATE(2020,MONTH(tbl_Supplier[[#This Row],[Paid]]),RIGHT(C49,2))</f>
        <v>43928</v>
      </c>
      <c r="T49">
        <f>tbl_Supplier[[#This Row],[Paid Date]]-tbl_Supplier[[#This Row],[Invoice Date]]</f>
        <v>40</v>
      </c>
    </row>
    <row r="50" spans="1:20" x14ac:dyDescent="0.25">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t="str">
        <f t="shared" si="17"/>
        <v>221183</v>
      </c>
      <c r="O50" t="str">
        <f t="shared" si="18"/>
        <v>Sydney</v>
      </c>
      <c r="P50" t="str">
        <f t="shared" si="19"/>
        <v>INV</v>
      </c>
      <c r="Q50" s="1">
        <f>VALUE(SUBSTITUTE(SUBSTITUTE(F50,"S","$"),CHAR(160),""))*IF(tbl_Supplier[[#This Row],[Type]]="CR",-1,1)</f>
        <v>956.34</v>
      </c>
      <c r="R50" s="12">
        <f t="shared" si="20"/>
        <v>43921</v>
      </c>
      <c r="S50" s="31">
        <f>DATE(2020,MONTH(tbl_Supplier[[#This Row],[Paid]]),RIGHT(C50,2))</f>
        <v>43931</v>
      </c>
      <c r="T50">
        <f>tbl_Supplier[[#This Row],[Paid Date]]-tbl_Supplier[[#This Row],[Invoice Date]]</f>
        <v>10</v>
      </c>
    </row>
    <row r="51" spans="1:20" x14ac:dyDescent="0.25">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t="str">
        <f t="shared" si="17"/>
        <v>214234</v>
      </c>
      <c r="O51" t="str">
        <f t="shared" si="18"/>
        <v>Sydney</v>
      </c>
      <c r="P51" t="str">
        <f t="shared" si="19"/>
        <v>INV</v>
      </c>
      <c r="Q51" s="1">
        <f>VALUE(SUBSTITUTE(SUBSTITUTE(F51,"S","$"),CHAR(160),""))*IF(tbl_Supplier[[#This Row],[Type]]="CR",-1,1)</f>
        <v>1094.28</v>
      </c>
      <c r="R51" s="12">
        <f t="shared" si="20"/>
        <v>43917</v>
      </c>
      <c r="S51" s="31">
        <f>DATE(2020,MONTH(tbl_Supplier[[#This Row],[Paid]]),RIGHT(C51,2))</f>
        <v>43933</v>
      </c>
      <c r="T51">
        <f>tbl_Supplier[[#This Row],[Paid Date]]-tbl_Supplier[[#This Row],[Invoice Date]]</f>
        <v>16</v>
      </c>
    </row>
    <row r="52" spans="1:20" x14ac:dyDescent="0.25">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t="str">
        <f t="shared" si="17"/>
        <v>321456</v>
      </c>
      <c r="O52" t="str">
        <f t="shared" si="18"/>
        <v>Melbourne</v>
      </c>
      <c r="P52" t="str">
        <f t="shared" si="19"/>
        <v>INV</v>
      </c>
      <c r="Q52" s="1">
        <f>VALUE(SUBSTITUTE(SUBSTITUTE(F52,"S","$"),CHAR(160),""))*IF(tbl_Supplier[[#This Row],[Type]]="CR",-1,1)</f>
        <v>628.98</v>
      </c>
      <c r="R52" s="12">
        <f t="shared" si="20"/>
        <v>43908</v>
      </c>
      <c r="S52" s="31">
        <f>DATE(2020,MONTH(tbl_Supplier[[#This Row],[Paid]]),RIGHT(C52,2))</f>
        <v>43926</v>
      </c>
      <c r="T52">
        <f>tbl_Supplier[[#This Row],[Paid Date]]-tbl_Supplier[[#This Row],[Invoice Date]]</f>
        <v>18</v>
      </c>
    </row>
    <row r="53" spans="1:20" x14ac:dyDescent="0.25">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t="str">
        <f t="shared" si="17"/>
        <v>233209</v>
      </c>
      <c r="O53" t="str">
        <f t="shared" si="18"/>
        <v>Sydney</v>
      </c>
      <c r="P53" t="str">
        <f t="shared" si="19"/>
        <v>INV</v>
      </c>
      <c r="Q53" s="1">
        <f>VALUE(SUBSTITUTE(SUBSTITUTE(F53,"S","$"),CHAR(160),""))*IF(tbl_Supplier[[#This Row],[Type]]="CR",-1,1)</f>
        <v>1058.31</v>
      </c>
      <c r="R53" s="12">
        <f t="shared" si="20"/>
        <v>43929</v>
      </c>
      <c r="S53" s="31">
        <f>DATE(2020,MONTH(tbl_Supplier[[#This Row],[Paid]]),RIGHT(C53,2))</f>
        <v>43941</v>
      </c>
      <c r="T53">
        <f>tbl_Supplier[[#This Row],[Paid Date]]-tbl_Supplier[[#This Row],[Invoice Date]]</f>
        <v>12</v>
      </c>
    </row>
    <row r="54" spans="1:20" x14ac:dyDescent="0.25">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t="str">
        <f t="shared" si="17"/>
        <v>222998</v>
      </c>
      <c r="O54" t="str">
        <f t="shared" si="18"/>
        <v>Sydney</v>
      </c>
      <c r="P54" t="str">
        <f t="shared" si="19"/>
        <v>INV</v>
      </c>
      <c r="Q54" s="1">
        <f>VALUE(SUBSTITUTE(SUBSTITUTE(F54,"S","$"),CHAR(160),""))*IF(tbl_Supplier[[#This Row],[Type]]="CR",-1,1)</f>
        <v>705.54</v>
      </c>
      <c r="R54" s="12">
        <f t="shared" si="20"/>
        <v>43921</v>
      </c>
      <c r="S54" s="31">
        <f>DATE(2020,MONTH(tbl_Supplier[[#This Row],[Paid]]),RIGHT(C54,2))</f>
        <v>43929</v>
      </c>
      <c r="T54">
        <f>tbl_Supplier[[#This Row],[Paid Date]]-tbl_Supplier[[#This Row],[Invoice Date]]</f>
        <v>8</v>
      </c>
    </row>
    <row r="55" spans="1:20" x14ac:dyDescent="0.25">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t="str">
        <f t="shared" si="17"/>
        <v>228246</v>
      </c>
      <c r="O55" t="str">
        <f t="shared" si="18"/>
        <v>Sydney</v>
      </c>
      <c r="P55" t="str">
        <f t="shared" si="19"/>
        <v>INV</v>
      </c>
      <c r="Q55" s="1">
        <f>VALUE(SUBSTITUTE(SUBSTITUTE(F55,"S","$"),CHAR(160),""))*IF(tbl_Supplier[[#This Row],[Type]]="CR",-1,1)</f>
        <v>138.6</v>
      </c>
      <c r="R55" s="12">
        <f t="shared" si="20"/>
        <v>43935</v>
      </c>
      <c r="S55" s="31">
        <f>DATE(2020,MONTH(tbl_Supplier[[#This Row],[Paid]]),RIGHT(C55,2))</f>
        <v>43948</v>
      </c>
      <c r="T55">
        <f>tbl_Supplier[[#This Row],[Paid Date]]-tbl_Supplier[[#This Row],[Invoice Date]]</f>
        <v>13</v>
      </c>
    </row>
    <row r="56" spans="1:20" x14ac:dyDescent="0.25">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t="str">
        <f t="shared" si="17"/>
        <v>314876</v>
      </c>
      <c r="O56" t="str">
        <f t="shared" si="18"/>
        <v>Melbourne</v>
      </c>
      <c r="P56" t="str">
        <f t="shared" si="19"/>
        <v>INV</v>
      </c>
      <c r="Q56" s="1">
        <f>VALUE(SUBSTITUTE(SUBSTITUTE(F56,"S","$"),CHAR(160),""))*IF(tbl_Supplier[[#This Row],[Type]]="CR",-1,1)</f>
        <v>417.12</v>
      </c>
      <c r="R56" s="12">
        <f t="shared" si="20"/>
        <v>43914</v>
      </c>
      <c r="S56" s="31">
        <f>DATE(2020,MONTH(tbl_Supplier[[#This Row],[Paid]]),RIGHT(C56,2))</f>
        <v>43928</v>
      </c>
      <c r="T56">
        <f>tbl_Supplier[[#This Row],[Paid Date]]-tbl_Supplier[[#This Row],[Invoice Date]]</f>
        <v>14</v>
      </c>
    </row>
    <row r="57" spans="1:20" x14ac:dyDescent="0.25">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t="str">
        <f t="shared" si="17"/>
        <v>223602</v>
      </c>
      <c r="O57" t="str">
        <f t="shared" si="18"/>
        <v>Sydney</v>
      </c>
      <c r="P57" t="str">
        <f t="shared" si="19"/>
        <v>INV</v>
      </c>
      <c r="Q57" s="1">
        <f>VALUE(SUBSTITUTE(SUBSTITUTE(F57,"S","$"),CHAR(160),""))*IF(tbl_Supplier[[#This Row],[Type]]="CR",-1,1)</f>
        <v>422.73</v>
      </c>
      <c r="R57" s="12">
        <f t="shared" si="20"/>
        <v>43913</v>
      </c>
      <c r="S57" s="31">
        <f>DATE(2020,MONTH(tbl_Supplier[[#This Row],[Paid]]),RIGHT(C57,2))</f>
        <v>43939</v>
      </c>
      <c r="T57">
        <f>tbl_Supplier[[#This Row],[Paid Date]]-tbl_Supplier[[#This Row],[Invoice Date]]</f>
        <v>26</v>
      </c>
    </row>
    <row r="58" spans="1:20" x14ac:dyDescent="0.25">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t="str">
        <f t="shared" si="17"/>
        <v>319833</v>
      </c>
      <c r="O58" t="str">
        <f t="shared" si="18"/>
        <v>Melbourne</v>
      </c>
      <c r="P58" t="str">
        <f t="shared" si="19"/>
        <v>INV</v>
      </c>
      <c r="Q58" s="1">
        <f>VALUE(SUBSTITUTE(SUBSTITUTE(F58,"S","$"),CHAR(160),""))*IF(tbl_Supplier[[#This Row],[Type]]="CR",-1,1)</f>
        <v>1061.94</v>
      </c>
      <c r="R58" s="12">
        <f t="shared" si="20"/>
        <v>43908</v>
      </c>
      <c r="S58" s="31">
        <f>DATE(2020,MONTH(tbl_Supplier[[#This Row],[Paid]]),RIGHT(C58,2))</f>
        <v>43935</v>
      </c>
      <c r="T58">
        <f>tbl_Supplier[[#This Row],[Paid Date]]-tbl_Supplier[[#This Row],[Invoice Date]]</f>
        <v>27</v>
      </c>
    </row>
    <row r="59" spans="1:20" x14ac:dyDescent="0.25">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t="str">
        <f t="shared" si="17"/>
        <v>310345</v>
      </c>
      <c r="O59" t="str">
        <f t="shared" si="18"/>
        <v>Melbourne</v>
      </c>
      <c r="P59" t="str">
        <f t="shared" si="19"/>
        <v>INV</v>
      </c>
      <c r="Q59" s="1">
        <f>VALUE(SUBSTITUTE(SUBSTITUTE(F59,"S","$"),CHAR(160),""))*IF(tbl_Supplier[[#This Row],[Type]]="CR",-1,1)</f>
        <v>602.58000000000004</v>
      </c>
      <c r="R59" s="12">
        <f t="shared" si="20"/>
        <v>43912</v>
      </c>
      <c r="S59" s="31">
        <f>DATE(2020,MONTH(tbl_Supplier[[#This Row],[Paid]]),RIGHT(C59,2))</f>
        <v>43927</v>
      </c>
      <c r="T59">
        <f>tbl_Supplier[[#This Row],[Paid Date]]-tbl_Supplier[[#This Row],[Invoice Date]]</f>
        <v>15</v>
      </c>
    </row>
    <row r="60" spans="1:20" x14ac:dyDescent="0.25">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t="str">
        <f t="shared" si="17"/>
        <v>317142</v>
      </c>
      <c r="O60" t="str">
        <f t="shared" si="18"/>
        <v>Melbourne</v>
      </c>
      <c r="P60" t="str">
        <f t="shared" si="19"/>
        <v>INV</v>
      </c>
      <c r="Q60" s="1">
        <f>VALUE(SUBSTITUTE(SUBSTITUTE(F60,"S","$"),CHAR(160),""))*IF(tbl_Supplier[[#This Row],[Type]]="CR",-1,1)</f>
        <v>132.66</v>
      </c>
      <c r="R60" s="12">
        <f t="shared" si="20"/>
        <v>43927</v>
      </c>
      <c r="S60" s="31">
        <f>DATE(2020,MONTH(tbl_Supplier[[#This Row],[Paid]]),RIGHT(C60,2))</f>
        <v>43951</v>
      </c>
      <c r="T60">
        <f>tbl_Supplier[[#This Row],[Paid Date]]-tbl_Supplier[[#This Row],[Invoice Date]]</f>
        <v>24</v>
      </c>
    </row>
    <row r="61" spans="1:20" x14ac:dyDescent="0.25">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t="str">
        <f t="shared" si="17"/>
        <v>313747</v>
      </c>
      <c r="O61" t="str">
        <f t="shared" si="18"/>
        <v>Melbourne</v>
      </c>
      <c r="P61" t="str">
        <f t="shared" si="19"/>
        <v>INV</v>
      </c>
      <c r="Q61" s="1">
        <f>VALUE(SUBSTITUTE(SUBSTITUTE(F61,"S","$"),CHAR(160),""))*IF(tbl_Supplier[[#This Row],[Type]]="CR",-1,1)</f>
        <v>56.43</v>
      </c>
      <c r="R61" s="12">
        <f t="shared" si="20"/>
        <v>43896</v>
      </c>
      <c r="S61" s="31">
        <f>DATE(2020,MONTH(tbl_Supplier[[#This Row],[Paid]]),RIGHT(C61,2))</f>
        <v>43925</v>
      </c>
      <c r="T61">
        <f>tbl_Supplier[[#This Row],[Paid Date]]-tbl_Supplier[[#This Row],[Invoice Date]]</f>
        <v>29</v>
      </c>
    </row>
    <row r="62" spans="1:20" x14ac:dyDescent="0.25">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t="str">
        <f t="shared" si="17"/>
        <v>234966</v>
      </c>
      <c r="O62" t="str">
        <f t="shared" si="18"/>
        <v>Sydney</v>
      </c>
      <c r="P62" t="str">
        <f t="shared" si="19"/>
        <v>INV</v>
      </c>
      <c r="Q62" s="1">
        <f>VALUE(SUBSTITUTE(SUBSTITUTE(F62,"S","$"),CHAR(160),""))*IF(tbl_Supplier[[#This Row],[Type]]="CR",-1,1)</f>
        <v>511.83</v>
      </c>
      <c r="R62" s="12">
        <f t="shared" si="20"/>
        <v>43881</v>
      </c>
      <c r="S62" s="31">
        <f>DATE(2020,MONTH(tbl_Supplier[[#This Row],[Paid]]),RIGHT(C62,2))</f>
        <v>43926</v>
      </c>
      <c r="T62">
        <f>tbl_Supplier[[#This Row],[Paid Date]]-tbl_Supplier[[#This Row],[Invoice Date]]</f>
        <v>45</v>
      </c>
    </row>
    <row r="63" spans="1:20" x14ac:dyDescent="0.25">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t="str">
        <f t="shared" si="17"/>
        <v>215639</v>
      </c>
      <c r="O63" t="str">
        <f t="shared" si="18"/>
        <v>Sydney</v>
      </c>
      <c r="P63" t="str">
        <f t="shared" si="19"/>
        <v>INV</v>
      </c>
      <c r="Q63" s="1">
        <f>VALUE(SUBSTITUTE(SUBSTITUTE(F63,"S","$"),CHAR(160),""))*IF(tbl_Supplier[[#This Row],[Type]]="CR",-1,1)</f>
        <v>361.02</v>
      </c>
      <c r="R63" s="12">
        <f t="shared" si="20"/>
        <v>43916</v>
      </c>
      <c r="S63" s="31">
        <f>DATE(2020,MONTH(tbl_Supplier[[#This Row],[Paid]]),RIGHT(C63,2))</f>
        <v>43929</v>
      </c>
      <c r="T63">
        <f>tbl_Supplier[[#This Row],[Paid Date]]-tbl_Supplier[[#This Row],[Invoice Date]]</f>
        <v>13</v>
      </c>
    </row>
    <row r="64" spans="1:20" x14ac:dyDescent="0.25">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t="str">
        <f t="shared" si="17"/>
        <v>328536</v>
      </c>
      <c r="O64" t="str">
        <f t="shared" si="18"/>
        <v>Melbourne</v>
      </c>
      <c r="P64" t="str">
        <f t="shared" si="19"/>
        <v>INV</v>
      </c>
      <c r="Q64" s="1">
        <f>VALUE(SUBSTITUTE(SUBSTITUTE(F64,"S","$"),CHAR(160),""))*IF(tbl_Supplier[[#This Row],[Type]]="CR",-1,1)</f>
        <v>668.25</v>
      </c>
      <c r="R64" s="12">
        <f t="shared" si="20"/>
        <v>43932</v>
      </c>
      <c r="S64" s="31">
        <f>DATE(2020,MONTH(tbl_Supplier[[#This Row],[Paid]]),RIGHT(C64,2))</f>
        <v>43948</v>
      </c>
      <c r="T64">
        <f>tbl_Supplier[[#This Row],[Paid Date]]-tbl_Supplier[[#This Row],[Invoice Date]]</f>
        <v>16</v>
      </c>
    </row>
    <row r="65" spans="1:20" x14ac:dyDescent="0.25">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t="str">
        <f t="shared" si="17"/>
        <v>210023</v>
      </c>
      <c r="O65" t="str">
        <f t="shared" si="18"/>
        <v>Sydney</v>
      </c>
      <c r="P65" t="str">
        <f t="shared" si="19"/>
        <v>INV</v>
      </c>
      <c r="Q65" s="1">
        <f>VALUE(SUBSTITUTE(SUBSTITUTE(F65,"S","$"),CHAR(160),""))*IF(tbl_Supplier[[#This Row],[Type]]="CR",-1,1)</f>
        <v>126.72</v>
      </c>
      <c r="R65" s="12">
        <f t="shared" si="20"/>
        <v>43914</v>
      </c>
      <c r="S65" s="31">
        <f>DATE(2020,MONTH(tbl_Supplier[[#This Row],[Paid]]),RIGHT(C65,2))</f>
        <v>43933</v>
      </c>
      <c r="T65">
        <f>tbl_Supplier[[#This Row],[Paid Date]]-tbl_Supplier[[#This Row],[Invoice Date]]</f>
        <v>19</v>
      </c>
    </row>
    <row r="66" spans="1:20" x14ac:dyDescent="0.25">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t="str">
        <f t="shared" si="17"/>
        <v>338938</v>
      </c>
      <c r="O66" t="str">
        <f t="shared" si="18"/>
        <v>Melbourne</v>
      </c>
      <c r="P66" t="str">
        <f t="shared" si="19"/>
        <v>INV</v>
      </c>
      <c r="Q66" s="1">
        <f>VALUE(SUBSTITUTE(SUBSTITUTE(F66,"S","$"),CHAR(160),""))*IF(tbl_Supplier[[#This Row],[Type]]="CR",-1,1)</f>
        <v>1000.23</v>
      </c>
      <c r="R66" s="12">
        <f t="shared" si="20"/>
        <v>43905</v>
      </c>
      <c r="S66" s="31">
        <f>DATE(2020,MONTH(tbl_Supplier[[#This Row],[Paid]]),RIGHT(C66,2))</f>
        <v>43943</v>
      </c>
      <c r="T66">
        <f>tbl_Supplier[[#This Row],[Paid Date]]-tbl_Supplier[[#This Row],[Invoice Date]]</f>
        <v>38</v>
      </c>
    </row>
    <row r="67" spans="1:20" x14ac:dyDescent="0.25">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t="str">
        <f t="shared" ref="N67:N86" si="24">RIGHT(G67,6)</f>
        <v>320536</v>
      </c>
      <c r="O67" t="str">
        <f t="shared" ref="O67:O86" si="25">MID(G67,4,FIND("-",G67,4)-4)</f>
        <v>Melbourne</v>
      </c>
      <c r="P67" t="str">
        <f t="shared" ref="P67:P86" si="26">UPPER(TRIM(CLEAN(E67)))</f>
        <v>INV</v>
      </c>
      <c r="Q67" s="1">
        <f>VALUE(SUBSTITUTE(SUBSTITUTE(F67,"S","$"),CHAR(160),""))*IF(tbl_Supplier[[#This Row],[Type]]="CR",-1,1)</f>
        <v>948.75</v>
      </c>
      <c r="R67" s="12">
        <f t="shared" ref="R67:R86" si="27">DATE(2020,MONTH(1&amp;M67),RIGHT(D67,2))</f>
        <v>43918</v>
      </c>
      <c r="S67" s="31">
        <f>DATE(2020,MONTH(tbl_Supplier[[#This Row],[Paid]]),RIGHT(C67,2))</f>
        <v>43939</v>
      </c>
      <c r="T67">
        <f>tbl_Supplier[[#This Row],[Paid Date]]-tbl_Supplier[[#This Row],[Invoice Date]]</f>
        <v>21</v>
      </c>
    </row>
    <row r="68" spans="1:20" x14ac:dyDescent="0.25">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t="str">
        <f t="shared" si="24"/>
        <v>322800</v>
      </c>
      <c r="O68" t="str">
        <f t="shared" si="25"/>
        <v>Melbourne</v>
      </c>
      <c r="P68" t="str">
        <f t="shared" si="26"/>
        <v>INV</v>
      </c>
      <c r="Q68" s="1">
        <f>VALUE(SUBSTITUTE(SUBSTITUTE(F68,"S","$"),CHAR(160),""))*IF(tbl_Supplier[[#This Row],[Type]]="CR",-1,1)</f>
        <v>446.49</v>
      </c>
      <c r="R68" s="12">
        <f t="shared" si="27"/>
        <v>43904</v>
      </c>
      <c r="S68" s="31">
        <f>DATE(2020,MONTH(tbl_Supplier[[#This Row],[Paid]]),RIGHT(C68,2))</f>
        <v>43937</v>
      </c>
      <c r="T68">
        <f>tbl_Supplier[[#This Row],[Paid Date]]-tbl_Supplier[[#This Row],[Invoice Date]]</f>
        <v>33</v>
      </c>
    </row>
    <row r="69" spans="1:20" x14ac:dyDescent="0.25">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t="str">
        <f t="shared" si="24"/>
        <v>321358</v>
      </c>
      <c r="O69" t="str">
        <f t="shared" si="25"/>
        <v>Melbourne</v>
      </c>
      <c r="P69" t="str">
        <f t="shared" si="26"/>
        <v>INV</v>
      </c>
      <c r="Q69" s="1">
        <f>VALUE(SUBSTITUTE(SUBSTITUTE(F69,"S","$"),CHAR(160),""))*IF(tbl_Supplier[[#This Row],[Type]]="CR",-1,1)</f>
        <v>242.22</v>
      </c>
      <c r="R69" s="12">
        <f t="shared" si="27"/>
        <v>43933</v>
      </c>
      <c r="S69" s="31">
        <f>DATE(2020,MONTH(tbl_Supplier[[#This Row],[Paid]]),RIGHT(C69,2))</f>
        <v>43940</v>
      </c>
      <c r="T69">
        <f>tbl_Supplier[[#This Row],[Paid Date]]-tbl_Supplier[[#This Row],[Invoice Date]]</f>
        <v>7</v>
      </c>
    </row>
    <row r="70" spans="1:20" x14ac:dyDescent="0.25">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t="str">
        <f t="shared" si="24"/>
        <v>316190</v>
      </c>
      <c r="O70" t="str">
        <f t="shared" si="25"/>
        <v>Melbourne</v>
      </c>
      <c r="P70" t="str">
        <f t="shared" si="26"/>
        <v>INV</v>
      </c>
      <c r="Q70" s="1">
        <f>VALUE(SUBSTITUTE(SUBSTITUTE(F70,"S","$"),CHAR(160),""))*IF(tbl_Supplier[[#This Row],[Type]]="CR",-1,1)</f>
        <v>600.6</v>
      </c>
      <c r="R70" s="12">
        <f t="shared" si="27"/>
        <v>43887</v>
      </c>
      <c r="S70" s="31">
        <f>DATE(2020,MONTH(tbl_Supplier[[#This Row],[Paid]]),RIGHT(C70,2))</f>
        <v>43929</v>
      </c>
      <c r="T70">
        <f>tbl_Supplier[[#This Row],[Paid Date]]-tbl_Supplier[[#This Row],[Invoice Date]]</f>
        <v>42</v>
      </c>
    </row>
    <row r="71" spans="1:20" x14ac:dyDescent="0.25">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t="str">
        <f t="shared" si="24"/>
        <v>327938</v>
      </c>
      <c r="O71" t="str">
        <f t="shared" si="25"/>
        <v>Melbourne</v>
      </c>
      <c r="P71" t="str">
        <f t="shared" si="26"/>
        <v>INV</v>
      </c>
      <c r="Q71" s="1">
        <f>VALUE(SUBSTITUTE(SUBSTITUTE(F71,"S","$"),CHAR(160),""))*IF(tbl_Supplier[[#This Row],[Type]]="CR",-1,1)</f>
        <v>546.80999999999995</v>
      </c>
      <c r="R71" s="12">
        <f t="shared" si="27"/>
        <v>43905</v>
      </c>
      <c r="S71" s="31">
        <f>DATE(2020,MONTH(tbl_Supplier[[#This Row],[Paid]]),RIGHT(C71,2))</f>
        <v>43942</v>
      </c>
      <c r="T71">
        <f>tbl_Supplier[[#This Row],[Paid Date]]-tbl_Supplier[[#This Row],[Invoice Date]]</f>
        <v>37</v>
      </c>
    </row>
    <row r="72" spans="1:20" x14ac:dyDescent="0.25">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t="str">
        <f t="shared" si="24"/>
        <v>234487</v>
      </c>
      <c r="O72" t="str">
        <f t="shared" si="25"/>
        <v>Sydney</v>
      </c>
      <c r="P72" t="str">
        <f t="shared" si="26"/>
        <v>INV</v>
      </c>
      <c r="Q72" s="1">
        <f>VALUE(SUBSTITUTE(SUBSTITUTE(F72,"S","$"),CHAR(160),""))*IF(tbl_Supplier[[#This Row],[Type]]="CR",-1,1)</f>
        <v>840.51</v>
      </c>
      <c r="R72" s="12">
        <f t="shared" si="27"/>
        <v>43900</v>
      </c>
      <c r="S72" s="31">
        <f>DATE(2020,MONTH(tbl_Supplier[[#This Row],[Paid]]),RIGHT(C72,2))</f>
        <v>43931</v>
      </c>
      <c r="T72">
        <f>tbl_Supplier[[#This Row],[Paid Date]]-tbl_Supplier[[#This Row],[Invoice Date]]</f>
        <v>31</v>
      </c>
    </row>
    <row r="73" spans="1:20" x14ac:dyDescent="0.25">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t="str">
        <f t="shared" si="24"/>
        <v>231274</v>
      </c>
      <c r="O73" t="str">
        <f t="shared" si="25"/>
        <v>Sydney</v>
      </c>
      <c r="P73" t="str">
        <f t="shared" si="26"/>
        <v>INV</v>
      </c>
      <c r="Q73" s="1">
        <f>VALUE(SUBSTITUTE(SUBSTITUTE(F73,"S","$"),CHAR(160),""))*IF(tbl_Supplier[[#This Row],[Type]]="CR",-1,1)</f>
        <v>603.57000000000005</v>
      </c>
      <c r="R73" s="12">
        <f t="shared" si="27"/>
        <v>43923</v>
      </c>
      <c r="S73" s="31">
        <f>DATE(2020,MONTH(tbl_Supplier[[#This Row],[Paid]]),RIGHT(C73,2))</f>
        <v>43951</v>
      </c>
      <c r="T73">
        <f>tbl_Supplier[[#This Row],[Paid Date]]-tbl_Supplier[[#This Row],[Invoice Date]]</f>
        <v>28</v>
      </c>
    </row>
    <row r="74" spans="1:20" x14ac:dyDescent="0.25">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t="str">
        <f t="shared" si="24"/>
        <v>224955</v>
      </c>
      <c r="O74" t="str">
        <f t="shared" si="25"/>
        <v>Sydney</v>
      </c>
      <c r="P74" t="str">
        <f t="shared" si="26"/>
        <v>INV</v>
      </c>
      <c r="Q74" s="1">
        <f>VALUE(SUBSTITUTE(SUBSTITUTE(F74,"S","$"),CHAR(160),""))*IF(tbl_Supplier[[#This Row],[Type]]="CR",-1,1)</f>
        <v>816.75</v>
      </c>
      <c r="R74" s="12">
        <f t="shared" si="27"/>
        <v>43914</v>
      </c>
      <c r="S74" s="31">
        <f>DATE(2020,MONTH(tbl_Supplier[[#This Row],[Paid]]),RIGHT(C74,2))</f>
        <v>43944</v>
      </c>
      <c r="T74">
        <f>tbl_Supplier[[#This Row],[Paid Date]]-tbl_Supplier[[#This Row],[Invoice Date]]</f>
        <v>30</v>
      </c>
    </row>
    <row r="75" spans="1:20" x14ac:dyDescent="0.25">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t="str">
        <f t="shared" si="24"/>
        <v>217275</v>
      </c>
      <c r="O75" t="str">
        <f t="shared" si="25"/>
        <v>Sydney</v>
      </c>
      <c r="P75" t="str">
        <f t="shared" si="26"/>
        <v>INV</v>
      </c>
      <c r="Q75" s="1">
        <f>VALUE(SUBSTITUTE(SUBSTITUTE(F75,"S","$"),CHAR(160),""))*IF(tbl_Supplier[[#This Row],[Type]]="CR",-1,1)</f>
        <v>1065.57</v>
      </c>
      <c r="R75" s="12">
        <f t="shared" si="27"/>
        <v>43912</v>
      </c>
      <c r="S75" s="31">
        <f>DATE(2020,MONTH(tbl_Supplier[[#This Row],[Paid]]),RIGHT(C75,2))</f>
        <v>43951</v>
      </c>
      <c r="T75">
        <f>tbl_Supplier[[#This Row],[Paid Date]]-tbl_Supplier[[#This Row],[Invoice Date]]</f>
        <v>39</v>
      </c>
    </row>
    <row r="76" spans="1:20" x14ac:dyDescent="0.25">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t="str">
        <f t="shared" si="24"/>
        <v>226240</v>
      </c>
      <c r="O76" t="str">
        <f t="shared" si="25"/>
        <v>Sydney</v>
      </c>
      <c r="P76" t="str">
        <f t="shared" si="26"/>
        <v>INV</v>
      </c>
      <c r="Q76" s="1">
        <f>VALUE(SUBSTITUTE(SUBSTITUTE(F76,"S","$"),CHAR(160),""))*IF(tbl_Supplier[[#This Row],[Type]]="CR",-1,1)</f>
        <v>523.38</v>
      </c>
      <c r="R76" s="12">
        <f t="shared" si="27"/>
        <v>43919</v>
      </c>
      <c r="S76" s="31">
        <f>DATE(2020,MONTH(tbl_Supplier[[#This Row],[Paid]]),RIGHT(C76,2))</f>
        <v>43925</v>
      </c>
      <c r="T76">
        <f>tbl_Supplier[[#This Row],[Paid Date]]-tbl_Supplier[[#This Row],[Invoice Date]]</f>
        <v>6</v>
      </c>
    </row>
    <row r="77" spans="1:20" x14ac:dyDescent="0.25">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t="str">
        <f t="shared" si="24"/>
        <v>325643</v>
      </c>
      <c r="O77" t="str">
        <f t="shared" si="25"/>
        <v>Melbourne</v>
      </c>
      <c r="P77" t="str">
        <f t="shared" si="26"/>
        <v>INV</v>
      </c>
      <c r="Q77" s="1">
        <f>VALUE(SUBSTITUTE(SUBSTITUTE(F77,"S","$"),CHAR(160),""))*IF(tbl_Supplier[[#This Row],[Type]]="CR",-1,1)</f>
        <v>650.42999999999995</v>
      </c>
      <c r="R77" s="12">
        <f t="shared" si="27"/>
        <v>43890</v>
      </c>
      <c r="S77" s="31">
        <f>DATE(2020,MONTH(tbl_Supplier[[#This Row],[Paid]]),RIGHT(C77,2))</f>
        <v>43932</v>
      </c>
      <c r="T77">
        <f>tbl_Supplier[[#This Row],[Paid Date]]-tbl_Supplier[[#This Row],[Invoice Date]]</f>
        <v>42</v>
      </c>
    </row>
    <row r="78" spans="1:20" x14ac:dyDescent="0.25">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t="str">
        <f t="shared" si="24"/>
        <v>312800</v>
      </c>
      <c r="O78" t="str">
        <f t="shared" si="25"/>
        <v>Melbourne</v>
      </c>
      <c r="P78" t="str">
        <f t="shared" si="26"/>
        <v>INV</v>
      </c>
      <c r="Q78" s="1">
        <f>VALUE(SUBSTITUTE(SUBSTITUTE(F78,"S","$"),CHAR(160),""))*IF(tbl_Supplier[[#This Row],[Type]]="CR",-1,1)</f>
        <v>809.49</v>
      </c>
      <c r="R78" s="12">
        <f t="shared" si="27"/>
        <v>43934</v>
      </c>
      <c r="S78" s="31">
        <f>DATE(2020,MONTH(tbl_Supplier[[#This Row],[Paid]]),RIGHT(C78,2))</f>
        <v>43943</v>
      </c>
      <c r="T78">
        <f>tbl_Supplier[[#This Row],[Paid Date]]-tbl_Supplier[[#This Row],[Invoice Date]]</f>
        <v>9</v>
      </c>
    </row>
    <row r="79" spans="1:20" x14ac:dyDescent="0.25">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t="str">
        <f t="shared" si="24"/>
        <v>338807</v>
      </c>
      <c r="O79" t="str">
        <f t="shared" si="25"/>
        <v>Melbourne</v>
      </c>
      <c r="P79" t="str">
        <f t="shared" si="26"/>
        <v>INV</v>
      </c>
      <c r="Q79" s="1">
        <f>VALUE(SUBSTITUTE(SUBSTITUTE(F79,"S","$"),CHAR(160),""))*IF(tbl_Supplier[[#This Row],[Type]]="CR",-1,1)</f>
        <v>424.38</v>
      </c>
      <c r="R79" s="12">
        <f t="shared" si="27"/>
        <v>43901</v>
      </c>
      <c r="S79" s="31">
        <f>DATE(2020,MONTH(tbl_Supplier[[#This Row],[Paid]]),RIGHT(C79,2))</f>
        <v>43943</v>
      </c>
      <c r="T79">
        <f>tbl_Supplier[[#This Row],[Paid Date]]-tbl_Supplier[[#This Row],[Invoice Date]]</f>
        <v>42</v>
      </c>
    </row>
    <row r="80" spans="1:20" x14ac:dyDescent="0.25">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t="str">
        <f t="shared" si="24"/>
        <v>239476</v>
      </c>
      <c r="O80" t="str">
        <f t="shared" si="25"/>
        <v>Sydney</v>
      </c>
      <c r="P80" t="str">
        <f t="shared" si="26"/>
        <v>INV</v>
      </c>
      <c r="Q80" s="1">
        <f>VALUE(SUBSTITUTE(SUBSTITUTE(F80,"S","$"),CHAR(160),""))*IF(tbl_Supplier[[#This Row],[Type]]="CR",-1,1)</f>
        <v>955.68</v>
      </c>
      <c r="R80" s="12">
        <f t="shared" si="27"/>
        <v>43933</v>
      </c>
      <c r="S80" s="31">
        <f>DATE(2020,MONTH(tbl_Supplier[[#This Row],[Paid]]),RIGHT(C80,2))</f>
        <v>43935</v>
      </c>
      <c r="T80">
        <f>tbl_Supplier[[#This Row],[Paid Date]]-tbl_Supplier[[#This Row],[Invoice Date]]</f>
        <v>2</v>
      </c>
    </row>
    <row r="81" spans="1:20" x14ac:dyDescent="0.25">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t="str">
        <f t="shared" si="24"/>
        <v>213693</v>
      </c>
      <c r="O81" t="str">
        <f t="shared" si="25"/>
        <v>Sydney</v>
      </c>
      <c r="P81" t="str">
        <f t="shared" si="26"/>
        <v>INV</v>
      </c>
      <c r="Q81" s="1">
        <f>VALUE(SUBSTITUTE(SUBSTITUTE(F81,"S","$"),CHAR(160),""))*IF(tbl_Supplier[[#This Row],[Type]]="CR",-1,1)</f>
        <v>764.28</v>
      </c>
      <c r="R81" s="12">
        <f t="shared" si="27"/>
        <v>43942</v>
      </c>
      <c r="S81" s="31">
        <f>DATE(2020,MONTH(tbl_Supplier[[#This Row],[Paid]]),RIGHT(C81,2))</f>
        <v>43950</v>
      </c>
      <c r="T81">
        <f>tbl_Supplier[[#This Row],[Paid Date]]-tbl_Supplier[[#This Row],[Invoice Date]]</f>
        <v>8</v>
      </c>
    </row>
    <row r="82" spans="1:20" x14ac:dyDescent="0.25">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t="str">
        <f t="shared" si="24"/>
        <v>235040</v>
      </c>
      <c r="O82" t="str">
        <f t="shared" si="25"/>
        <v>Sydney</v>
      </c>
      <c r="P82" t="str">
        <f t="shared" si="26"/>
        <v>INV</v>
      </c>
      <c r="Q82" s="1">
        <f>VALUE(SUBSTITUTE(SUBSTITUTE(F82,"S","$"),CHAR(160),""))*IF(tbl_Supplier[[#This Row],[Type]]="CR",-1,1)</f>
        <v>335.61</v>
      </c>
      <c r="R82" s="12">
        <f t="shared" si="27"/>
        <v>43897</v>
      </c>
      <c r="S82" s="31">
        <f>DATE(2020,MONTH(tbl_Supplier[[#This Row],[Paid]]),RIGHT(C82,2))</f>
        <v>43926</v>
      </c>
      <c r="T82">
        <f>tbl_Supplier[[#This Row],[Paid Date]]-tbl_Supplier[[#This Row],[Invoice Date]]</f>
        <v>29</v>
      </c>
    </row>
    <row r="83" spans="1:20" x14ac:dyDescent="0.25">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t="str">
        <f t="shared" si="24"/>
        <v>211771</v>
      </c>
      <c r="O83" t="str">
        <f t="shared" si="25"/>
        <v>Sydney</v>
      </c>
      <c r="P83" t="str">
        <f t="shared" si="26"/>
        <v>INV</v>
      </c>
      <c r="Q83" s="1">
        <f>VALUE(SUBSTITUTE(SUBSTITUTE(F83,"S","$"),CHAR(160),""))*IF(tbl_Supplier[[#This Row],[Type]]="CR",-1,1)</f>
        <v>763.29</v>
      </c>
      <c r="R83" s="12">
        <f t="shared" si="27"/>
        <v>43898</v>
      </c>
      <c r="S83" s="31">
        <f>DATE(2020,MONTH(tbl_Supplier[[#This Row],[Paid]]),RIGHT(C83,2))</f>
        <v>43940</v>
      </c>
      <c r="T83">
        <f>tbl_Supplier[[#This Row],[Paid Date]]-tbl_Supplier[[#This Row],[Invoice Date]]</f>
        <v>42</v>
      </c>
    </row>
    <row r="84" spans="1:20" x14ac:dyDescent="0.25">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t="str">
        <f t="shared" si="24"/>
        <v>326543</v>
      </c>
      <c r="O84" t="str">
        <f t="shared" si="25"/>
        <v>Melbourne</v>
      </c>
      <c r="P84" t="str">
        <f t="shared" si="26"/>
        <v>INV</v>
      </c>
      <c r="Q84" s="1">
        <f>VALUE(SUBSTITUTE(SUBSTITUTE(F84,"S","$"),CHAR(160),""))*IF(tbl_Supplier[[#This Row],[Type]]="CR",-1,1)</f>
        <v>446.16</v>
      </c>
      <c r="R84" s="12">
        <f t="shared" si="27"/>
        <v>43919</v>
      </c>
      <c r="S84" s="31">
        <f>DATE(2020,MONTH(tbl_Supplier[[#This Row],[Paid]]),RIGHT(C84,2))</f>
        <v>43933</v>
      </c>
      <c r="T84">
        <f>tbl_Supplier[[#This Row],[Paid Date]]-tbl_Supplier[[#This Row],[Invoice Date]]</f>
        <v>14</v>
      </c>
    </row>
    <row r="85" spans="1:20" x14ac:dyDescent="0.25">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t="str">
        <f t="shared" si="24"/>
        <v>338553</v>
      </c>
      <c r="O85" t="str">
        <f t="shared" si="25"/>
        <v>Melbourne</v>
      </c>
      <c r="P85" t="str">
        <f t="shared" si="26"/>
        <v>INV</v>
      </c>
      <c r="Q85" s="1">
        <f>VALUE(SUBSTITUTE(SUBSTITUTE(F85,"S","$"),CHAR(160),""))*IF(tbl_Supplier[[#This Row],[Type]]="CR",-1,1)</f>
        <v>1032.24</v>
      </c>
      <c r="R85" s="12">
        <f t="shared" si="27"/>
        <v>43898</v>
      </c>
      <c r="S85" s="31">
        <f>DATE(2020,MONTH(tbl_Supplier[[#This Row],[Paid]]),RIGHT(C85,2))</f>
        <v>43941</v>
      </c>
      <c r="T85">
        <f>tbl_Supplier[[#This Row],[Paid Date]]-tbl_Supplier[[#This Row],[Invoice Date]]</f>
        <v>43</v>
      </c>
    </row>
    <row r="86" spans="1:20" x14ac:dyDescent="0.25">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t="str">
        <f t="shared" si="24"/>
        <v>213342</v>
      </c>
      <c r="O86" t="str">
        <f t="shared" si="25"/>
        <v>Sydney</v>
      </c>
      <c r="P86" t="str">
        <f t="shared" si="26"/>
        <v>INV</v>
      </c>
      <c r="Q86" s="1">
        <f>VALUE(SUBSTITUTE(SUBSTITUTE(F86,"S","$"),CHAR(160),""))*IF(tbl_Supplier[[#This Row],[Type]]="CR",-1,1)</f>
        <v>533.28</v>
      </c>
      <c r="R86" s="12">
        <f t="shared" si="27"/>
        <v>43915</v>
      </c>
      <c r="S86" s="31">
        <f>DATE(2020,MONTH(tbl_Supplier[[#This Row],[Paid]]),RIGHT(C86,2))</f>
        <v>43933</v>
      </c>
      <c r="T86">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I1" zoomScale="90" zoomScaleNormal="90" workbookViewId="0">
      <selection activeCell="P5" sqref="P5"/>
    </sheetView>
  </sheetViews>
  <sheetFormatPr defaultRowHeight="13.8" x14ac:dyDescent="0.25"/>
  <cols>
    <col min="1" max="1" width="12.8984375" customWidth="1"/>
    <col min="2" max="2" width="13.3984375" customWidth="1"/>
    <col min="3" max="3" width="12.8984375" customWidth="1"/>
    <col min="4" max="4" width="13.69921875" style="2" bestFit="1" customWidth="1"/>
    <col min="5" max="5" width="13.69921875" style="2" customWidth="1"/>
    <col min="6" max="6" width="14.09765625" style="2" customWidth="1"/>
    <col min="7" max="7" width="17.296875" customWidth="1"/>
    <col min="8" max="8" width="12.09765625" customWidth="1"/>
    <col min="9" max="9" width="13.09765625" customWidth="1"/>
    <col min="10" max="10" width="13.296875" customWidth="1"/>
    <col min="11" max="11" width="14.3984375" customWidth="1"/>
    <col min="12" max="13" width="11.69921875" customWidth="1"/>
    <col min="14" max="14" width="12.69921875" customWidth="1"/>
    <col min="15" max="15" width="12.09765625" customWidth="1"/>
    <col min="16" max="17" width="11.69921875" customWidth="1"/>
    <col min="18" max="18" width="3.3984375" customWidth="1"/>
    <col min="19" max="20" width="10.69921875" customWidth="1"/>
  </cols>
  <sheetData>
    <row r="1" spans="1:22" ht="22.8" x14ac:dyDescent="0.4">
      <c r="A1" s="11" t="s">
        <v>133</v>
      </c>
    </row>
    <row r="2" spans="1:22" x14ac:dyDescent="0.25">
      <c r="A2" t="s">
        <v>152</v>
      </c>
      <c r="B2" s="12">
        <f ca="1">TODAY()</f>
        <v>44835</v>
      </c>
      <c r="D2"/>
      <c r="E2" s="12"/>
      <c r="J2" s="5" t="s">
        <v>145</v>
      </c>
      <c r="K2" s="10"/>
      <c r="N2" s="5" t="s">
        <v>138</v>
      </c>
      <c r="O2" s="6">
        <v>3.5999999999999999E-3</v>
      </c>
    </row>
    <row r="3" spans="1:22" x14ac:dyDescent="0.25">
      <c r="K3" s="2"/>
      <c r="N3" s="2"/>
    </row>
    <row r="4" spans="1:22" s="4" customFormat="1" x14ac:dyDescent="0.25">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4" t="s">
        <v>407</v>
      </c>
      <c r="Q4"/>
    </row>
    <row r="5" spans="1:22" x14ac:dyDescent="0.25">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IF(tbl_MC[[#This Row],[Over Due]]="",0,IF(tbl_MC[[#This Row],[Location]]="Sydney",tbl_MC[[#This Row],[Amount]]*tbl_MC[[#This Row],[Over Due By]]*Penalty_Rate,Flat_Rate))</f>
        <v>26.73</v>
      </c>
      <c r="P5" s="33" t="str">
        <f>IF(AND(tbl_MC[[#This Row],[Over Due By]]&gt;0,tbl_MC[[#This Row],[Amount]]&gt;=500),"Action","")</f>
        <v>Action</v>
      </c>
      <c r="V5" s="18"/>
    </row>
    <row r="6" spans="1:22" x14ac:dyDescent="0.25">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IF(tbl_MC[[#This Row],[Over Due]]="",0,IF(tbl_MC[[#This Row],[Location]]="Sydney",tbl_MC[[#This Row],[Amount]]*tbl_MC[[#This Row],[Over Due By]]*Penalty_Rate,Flat_Rate))</f>
        <v>0</v>
      </c>
      <c r="P6" s="33" t="str">
        <f>IF(AND(tbl_MC[[#This Row],[Over Due By]]&gt;0,tbl_MC[[#This Row],[Amount]]&gt;=500),"Action","")</f>
        <v/>
      </c>
    </row>
    <row r="7" spans="1:22" x14ac:dyDescent="0.25">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IF(tbl_MC[[#This Row],[Over Due]]="",0,IF(tbl_MC[[#This Row],[Location]]="Sydney",tbl_MC[[#This Row],[Amount]]*tbl_MC[[#This Row],[Over Due By]]*Penalty_Rate,Flat_Rate))</f>
        <v>0</v>
      </c>
      <c r="P7" s="33" t="str">
        <f>IF(AND(tbl_MC[[#This Row],[Over Due By]]&gt;0,tbl_MC[[#This Row],[Amount]]&gt;=500),"Action","")</f>
        <v/>
      </c>
    </row>
    <row r="8" spans="1:22" x14ac:dyDescent="0.25">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IF(tbl_MC[[#This Row],[Over Due]]="",0,IF(tbl_MC[[#This Row],[Location]]="Sydney",tbl_MC[[#This Row],[Amount]]*tbl_MC[[#This Row],[Over Due By]]*Penalty_Rate,Flat_Rate))</f>
        <v>0</v>
      </c>
      <c r="P8" s="33" t="str">
        <f>IF(AND(tbl_MC[[#This Row],[Over Due By]]&gt;0,tbl_MC[[#This Row],[Amount]]&gt;=500),"Action","")</f>
        <v/>
      </c>
    </row>
    <row r="9" spans="1:22" x14ac:dyDescent="0.25">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IF(tbl_MC[[#This Row],[Over Due]]="",0,IF(tbl_MC[[#This Row],[Location]]="Sydney",tbl_MC[[#This Row],[Amount]]*tbl_MC[[#This Row],[Over Due By]]*Penalty_Rate,Flat_Rate))</f>
        <v>0</v>
      </c>
      <c r="P9" s="33" t="str">
        <f>IF(AND(tbl_MC[[#This Row],[Over Due By]]&gt;0,tbl_MC[[#This Row],[Amount]]&gt;=500),"Action","")</f>
        <v/>
      </c>
    </row>
    <row r="10" spans="1:22" x14ac:dyDescent="0.25">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IF(tbl_MC[[#This Row],[Over Due]]="",0,IF(tbl_MC[[#This Row],[Location]]="Sydney",tbl_MC[[#This Row],[Amount]]*tbl_MC[[#This Row],[Over Due By]]*Penalty_Rate,Flat_Rate))</f>
        <v>0</v>
      </c>
      <c r="P10" s="33" t="str">
        <f>IF(AND(tbl_MC[[#This Row],[Over Due By]]&gt;0,tbl_MC[[#This Row],[Amount]]&gt;=500),"Action","")</f>
        <v/>
      </c>
    </row>
    <row r="11" spans="1:22" x14ac:dyDescent="0.25">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IF(tbl_MC[[#This Row],[Over Due]]="",0,IF(tbl_MC[[#This Row],[Location]]="Sydney",tbl_MC[[#This Row],[Amount]]*tbl_MC[[#This Row],[Over Due By]]*Penalty_Rate,Flat_Rate))</f>
        <v>5</v>
      </c>
      <c r="P11" s="33" t="str">
        <f>IF(AND(tbl_MC[[#This Row],[Over Due By]]&gt;0,tbl_MC[[#This Row],[Amount]]&gt;=500),"Action","")</f>
        <v>Action</v>
      </c>
    </row>
    <row r="12" spans="1:22" x14ac:dyDescent="0.25">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IF(tbl_MC[[#This Row],[Over Due]]="",0,IF(tbl_MC[[#This Row],[Location]]="Sydney",tbl_MC[[#This Row],[Amount]]*tbl_MC[[#This Row],[Over Due By]]*Penalty_Rate,Flat_Rate))</f>
        <v>0</v>
      </c>
      <c r="P12" s="33" t="str">
        <f>IF(AND(tbl_MC[[#This Row],[Over Due By]]&gt;0,tbl_MC[[#This Row],[Amount]]&gt;=500),"Action","")</f>
        <v/>
      </c>
    </row>
    <row r="13" spans="1:22" x14ac:dyDescent="0.25">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IF(tbl_MC[[#This Row],[Over Due]]="",0,IF(tbl_MC[[#This Row],[Location]]="Sydney",tbl_MC[[#This Row],[Amount]]*tbl_MC[[#This Row],[Over Due By]]*Penalty_Rate,Flat_Rate))</f>
        <v>3.2028479999999999</v>
      </c>
      <c r="P13" s="33" t="str">
        <f>IF(AND(tbl_MC[[#This Row],[Over Due By]]&gt;0,tbl_MC[[#This Row],[Amount]]&gt;=500),"Action","")</f>
        <v/>
      </c>
    </row>
    <row r="14" spans="1:22" x14ac:dyDescent="0.25">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IF(tbl_MC[[#This Row],[Over Due]]="",0,IF(tbl_MC[[#This Row],[Location]]="Sydney",tbl_MC[[#This Row],[Amount]]*tbl_MC[[#This Row],[Over Due By]]*Penalty_Rate,Flat_Rate))</f>
        <v>2.4472799999999997</v>
      </c>
      <c r="P14" s="33" t="str">
        <f>IF(AND(tbl_MC[[#This Row],[Over Due By]]&gt;0,tbl_MC[[#This Row],[Amount]]&gt;=500),"Action","")</f>
        <v>Action</v>
      </c>
    </row>
    <row r="15" spans="1:22" x14ac:dyDescent="0.25">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IF(tbl_MC[[#This Row],[Over Due]]="",0,IF(tbl_MC[[#This Row],[Location]]="Sydney",tbl_MC[[#This Row],[Amount]]*tbl_MC[[#This Row],[Over Due By]]*Penalty_Rate,Flat_Rate))</f>
        <v>0</v>
      </c>
      <c r="P15" s="33" t="str">
        <f>IF(AND(tbl_MC[[#This Row],[Over Due By]]&gt;0,tbl_MC[[#This Row],[Amount]]&gt;=500),"Action","")</f>
        <v/>
      </c>
    </row>
    <row r="16" spans="1:22" x14ac:dyDescent="0.25">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IF(tbl_MC[[#This Row],[Over Due]]="",0,IF(tbl_MC[[#This Row],[Location]]="Sydney",tbl_MC[[#This Row],[Amount]]*tbl_MC[[#This Row],[Over Due By]]*Penalty_Rate,Flat_Rate))</f>
        <v>5</v>
      </c>
      <c r="P16" s="33" t="str">
        <f>IF(AND(tbl_MC[[#This Row],[Over Due By]]&gt;0,tbl_MC[[#This Row],[Amount]]&gt;=500),"Action","")</f>
        <v>Action</v>
      </c>
    </row>
    <row r="17" spans="1:20" x14ac:dyDescent="0.25">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IF(tbl_MC[[#This Row],[Over Due]]="",0,IF(tbl_MC[[#This Row],[Location]]="Sydney",tbl_MC[[#This Row],[Amount]]*tbl_MC[[#This Row],[Over Due By]]*Penalty_Rate,Flat_Rate))</f>
        <v>0</v>
      </c>
      <c r="P17" s="33" t="str">
        <f>IF(AND(tbl_MC[[#This Row],[Over Due By]]&gt;0,tbl_MC[[#This Row],[Amount]]&gt;=500),"Action","")</f>
        <v/>
      </c>
    </row>
    <row r="18" spans="1:20" x14ac:dyDescent="0.25">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IF(tbl_MC[[#This Row],[Over Due]]="",0,IF(tbl_MC[[#This Row],[Location]]="Sydney",tbl_MC[[#This Row],[Amount]]*tbl_MC[[#This Row],[Over Due By]]*Penalty_Rate,Flat_Rate))</f>
        <v>0</v>
      </c>
      <c r="P18" s="33" t="str">
        <f>IF(AND(tbl_MC[[#This Row],[Over Due By]]&gt;0,tbl_MC[[#This Row],[Amount]]&gt;=500),"Action","")</f>
        <v/>
      </c>
    </row>
    <row r="19" spans="1:20" x14ac:dyDescent="0.25">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IF(tbl_MC[[#This Row],[Over Due]]="",0,IF(tbl_MC[[#This Row],[Location]]="Sydney",tbl_MC[[#This Row],[Amount]]*tbl_MC[[#This Row],[Over Due By]]*Penalty_Rate,Flat_Rate))</f>
        <v>5</v>
      </c>
      <c r="P19" s="33" t="str">
        <f>IF(AND(tbl_MC[[#This Row],[Over Due By]]&gt;0,tbl_MC[[#This Row],[Amount]]&gt;=500),"Action","")</f>
        <v>Action</v>
      </c>
    </row>
    <row r="20" spans="1:20" x14ac:dyDescent="0.25">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IF(tbl_MC[[#This Row],[Over Due]]="",0,IF(tbl_MC[[#This Row],[Location]]="Sydney",tbl_MC[[#This Row],[Amount]]*tbl_MC[[#This Row],[Over Due By]]*Penalty_Rate,Flat_Rate))</f>
        <v>5</v>
      </c>
      <c r="P20" s="33" t="str">
        <f>IF(AND(tbl_MC[[#This Row],[Over Due By]]&gt;0,tbl_MC[[#This Row],[Amount]]&gt;=500),"Action","")</f>
        <v/>
      </c>
      <c r="S20" s="32" t="s">
        <v>401</v>
      </c>
      <c r="T20" s="32"/>
    </row>
    <row r="21" spans="1:20" x14ac:dyDescent="0.25">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IF(tbl_MC[[#This Row],[Over Due]]="",0,IF(tbl_MC[[#This Row],[Location]]="Sydney",tbl_MC[[#This Row],[Amount]]*tbl_MC[[#This Row],[Over Due By]]*Penalty_Rate,Flat_Rate))</f>
        <v>5</v>
      </c>
      <c r="P21" s="33" t="str">
        <f>IF(AND(tbl_MC[[#This Row],[Over Due By]]&gt;0,tbl_MC[[#This Row],[Amount]]&gt;=500),"Action","")</f>
        <v/>
      </c>
      <c r="S21" s="19">
        <v>0</v>
      </c>
      <c r="T21" s="20">
        <v>0</v>
      </c>
    </row>
    <row r="22" spans="1:20" x14ac:dyDescent="0.25">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IF(tbl_MC[[#This Row],[Over Due]]="",0,IF(tbl_MC[[#This Row],[Location]]="Sydney",tbl_MC[[#This Row],[Amount]]*tbl_MC[[#This Row],[Over Due By]]*Penalty_Rate,Flat_Rate))</f>
        <v>7.8835679999999986</v>
      </c>
      <c r="P22" s="33" t="str">
        <f>IF(AND(tbl_MC[[#This Row],[Over Due By]]&gt;0,tbl_MC[[#This Row],[Amount]]&gt;=500),"Action","")</f>
        <v/>
      </c>
      <c r="S22" s="19">
        <v>1</v>
      </c>
      <c r="T22" s="20">
        <v>2.25</v>
      </c>
    </row>
    <row r="23" spans="1:20" x14ac:dyDescent="0.25">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IF(tbl_MC[[#This Row],[Over Due]]="",0,IF(tbl_MC[[#This Row],[Location]]="Sydney",tbl_MC[[#This Row],[Amount]]*tbl_MC[[#This Row],[Over Due By]]*Penalty_Rate,Flat_Rate))</f>
        <v>0</v>
      </c>
      <c r="P23" s="33" t="str">
        <f>IF(AND(tbl_MC[[#This Row],[Over Due By]]&gt;0,tbl_MC[[#This Row],[Amount]]&gt;=500),"Action","")</f>
        <v/>
      </c>
      <c r="S23" s="19">
        <v>5</v>
      </c>
      <c r="T23" s="20">
        <v>5.5</v>
      </c>
    </row>
    <row r="24" spans="1:20" x14ac:dyDescent="0.25">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IF(tbl_MC[[#This Row],[Over Due]]="",0,IF(tbl_MC[[#This Row],[Location]]="Sydney",tbl_MC[[#This Row],[Amount]]*tbl_MC[[#This Row],[Over Due By]]*Penalty_Rate,Flat_Rate))</f>
        <v>0</v>
      </c>
      <c r="P24" s="33" t="str">
        <f>IF(AND(tbl_MC[[#This Row],[Over Due By]]&gt;0,tbl_MC[[#This Row],[Amount]]&gt;=500),"Action","")</f>
        <v/>
      </c>
      <c r="S24" s="19">
        <v>10</v>
      </c>
      <c r="T24" s="20">
        <v>10.8</v>
      </c>
    </row>
    <row r="25" spans="1:20" x14ac:dyDescent="0.25">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IF(tbl_MC[[#This Row],[Over Due]]="",0,IF(tbl_MC[[#This Row],[Location]]="Sydney",tbl_MC[[#This Row],[Amount]]*tbl_MC[[#This Row],[Over Due By]]*Penalty_Rate,Flat_Rate))</f>
        <v>0</v>
      </c>
      <c r="P25" s="33" t="str">
        <f>IF(AND(tbl_MC[[#This Row],[Over Due By]]&gt;0,tbl_MC[[#This Row],[Amount]]&gt;=500),"Action","")</f>
        <v/>
      </c>
      <c r="S25" s="19">
        <v>15</v>
      </c>
      <c r="T25" s="20">
        <v>25.9</v>
      </c>
    </row>
    <row r="26" spans="1:20" x14ac:dyDescent="0.25">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IF(tbl_MC[[#This Row],[Over Due]]="",0,IF(tbl_MC[[#This Row],[Location]]="Sydney",tbl_MC[[#This Row],[Amount]]*tbl_MC[[#This Row],[Over Due By]]*Penalty_Rate,Flat_Rate))</f>
        <v>35.540208</v>
      </c>
      <c r="P26" s="33" t="str">
        <f>IF(AND(tbl_MC[[#This Row],[Over Due By]]&gt;0,tbl_MC[[#This Row],[Amount]]&gt;=500),"Action","")</f>
        <v>Action</v>
      </c>
    </row>
    <row r="27" spans="1:20" x14ac:dyDescent="0.25">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IF(tbl_MC[[#This Row],[Over Due]]="",0,IF(tbl_MC[[#This Row],[Location]]="Sydney",tbl_MC[[#This Row],[Amount]]*tbl_MC[[#This Row],[Over Due By]]*Penalty_Rate,Flat_Rate))</f>
        <v>9.2545199999999994</v>
      </c>
      <c r="P27" s="33" t="str">
        <f>IF(AND(tbl_MC[[#This Row],[Over Due By]]&gt;0,tbl_MC[[#This Row],[Amount]]&gt;=500),"Action","")</f>
        <v/>
      </c>
    </row>
    <row r="28" spans="1:20" x14ac:dyDescent="0.25">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IF(tbl_MC[[#This Row],[Over Due]]="",0,IF(tbl_MC[[#This Row],[Location]]="Sydney",tbl_MC[[#This Row],[Amount]]*tbl_MC[[#This Row],[Over Due By]]*Penalty_Rate,Flat_Rate))</f>
        <v>0</v>
      </c>
      <c r="P28" s="33" t="str">
        <f>IF(AND(tbl_MC[[#This Row],[Over Due By]]&gt;0,tbl_MC[[#This Row],[Amount]]&gt;=500),"Action","")</f>
        <v/>
      </c>
    </row>
    <row r="29" spans="1:20" x14ac:dyDescent="0.25">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IF(tbl_MC[[#This Row],[Over Due]]="",0,IF(tbl_MC[[#This Row],[Location]]="Sydney",tbl_MC[[#This Row],[Amount]]*tbl_MC[[#This Row],[Over Due By]]*Penalty_Rate,Flat_Rate))</f>
        <v>0</v>
      </c>
      <c r="P29" s="33" t="str">
        <f>IF(AND(tbl_MC[[#This Row],[Over Due By]]&gt;0,tbl_MC[[#This Row],[Amount]]&gt;=500),"Action","")</f>
        <v/>
      </c>
    </row>
    <row r="30" spans="1:20" x14ac:dyDescent="0.25">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IF(tbl_MC[[#This Row],[Over Due]]="",0,IF(tbl_MC[[#This Row],[Location]]="Sydney",tbl_MC[[#This Row],[Amount]]*tbl_MC[[#This Row],[Over Due By]]*Penalty_Rate,Flat_Rate))</f>
        <v>0</v>
      </c>
      <c r="P30" s="33" t="str">
        <f>IF(AND(tbl_MC[[#This Row],[Over Due By]]&gt;0,tbl_MC[[#This Row],[Amount]]&gt;=500),"Action","")</f>
        <v/>
      </c>
    </row>
    <row r="31" spans="1:20" x14ac:dyDescent="0.25">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IF(tbl_MC[[#This Row],[Over Due]]="",0,IF(tbl_MC[[#This Row],[Location]]="Sydney",tbl_MC[[#This Row],[Amount]]*tbl_MC[[#This Row],[Over Due By]]*Penalty_Rate,Flat_Rate))</f>
        <v>0</v>
      </c>
      <c r="P31" s="33" t="str">
        <f>IF(AND(tbl_MC[[#This Row],[Over Due By]]&gt;0,tbl_MC[[#This Row],[Amount]]&gt;=500),"Action","")</f>
        <v/>
      </c>
    </row>
    <row r="32" spans="1:20" x14ac:dyDescent="0.25">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IF(tbl_MC[[#This Row],[Over Due]]="",0,IF(tbl_MC[[#This Row],[Location]]="Sydney",tbl_MC[[#This Row],[Amount]]*tbl_MC[[#This Row],[Over Due By]]*Penalty_Rate,Flat_Rate))</f>
        <v>5</v>
      </c>
      <c r="P32" s="33" t="str">
        <f>IF(AND(tbl_MC[[#This Row],[Over Due By]]&gt;0,tbl_MC[[#This Row],[Amount]]&gt;=500),"Action","")</f>
        <v/>
      </c>
    </row>
    <row r="33" spans="1:16" x14ac:dyDescent="0.25">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IF(tbl_MC[[#This Row],[Over Due]]="",0,IF(tbl_MC[[#This Row],[Location]]="Sydney",tbl_MC[[#This Row],[Amount]]*tbl_MC[[#This Row],[Over Due By]]*Penalty_Rate,Flat_Rate))</f>
        <v>5</v>
      </c>
      <c r="P33" s="33" t="str">
        <f>IF(AND(tbl_MC[[#This Row],[Over Due By]]&gt;0,tbl_MC[[#This Row],[Amount]]&gt;=500),"Action","")</f>
        <v/>
      </c>
    </row>
    <row r="34" spans="1:16" x14ac:dyDescent="0.25">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IF(tbl_MC[[#This Row],[Over Due]]="",0,IF(tbl_MC[[#This Row],[Location]]="Sydney",tbl_MC[[#This Row],[Amount]]*tbl_MC[[#This Row],[Over Due By]]*Penalty_Rate,Flat_Rate))</f>
        <v>1.7629920000000001</v>
      </c>
      <c r="P34" s="33" t="str">
        <f>IF(AND(tbl_MC[[#This Row],[Over Due By]]&gt;0,tbl_MC[[#This Row],[Amount]]&gt;=500),"Action","")</f>
        <v/>
      </c>
    </row>
    <row r="35" spans="1:16" x14ac:dyDescent="0.25">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IF(tbl_MC[[#This Row],[Over Due]]="",0,IF(tbl_MC[[#This Row],[Location]]="Sydney",tbl_MC[[#This Row],[Amount]]*tbl_MC[[#This Row],[Over Due By]]*Penalty_Rate,Flat_Rate))</f>
        <v>2.5375679999999998</v>
      </c>
      <c r="P35" s="33" t="str">
        <f>IF(AND(tbl_MC[[#This Row],[Over Due By]]&gt;0,tbl_MC[[#This Row],[Amount]]&gt;=500),"Action","")</f>
        <v/>
      </c>
    </row>
    <row r="36" spans="1:16" x14ac:dyDescent="0.25">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IF(tbl_MC[[#This Row],[Over Due]]="",0,IF(tbl_MC[[#This Row],[Location]]="Sydney",tbl_MC[[#This Row],[Amount]]*tbl_MC[[#This Row],[Over Due By]]*Penalty_Rate,Flat_Rate))</f>
        <v>0</v>
      </c>
      <c r="P36" s="33" t="str">
        <f>IF(AND(tbl_MC[[#This Row],[Over Due By]]&gt;0,tbl_MC[[#This Row],[Amount]]&gt;=500),"Action","")</f>
        <v/>
      </c>
    </row>
    <row r="37" spans="1:16" x14ac:dyDescent="0.25">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IF(tbl_MC[[#This Row],[Over Due]]="",0,IF(tbl_MC[[#This Row],[Location]]="Sydney",tbl_MC[[#This Row],[Amount]]*tbl_MC[[#This Row],[Over Due By]]*Penalty_Rate,Flat_Rate))</f>
        <v>0</v>
      </c>
      <c r="P37" s="33" t="str">
        <f>IF(AND(tbl_MC[[#This Row],[Over Due By]]&gt;0,tbl_MC[[#This Row],[Amount]]&gt;=500),"Action","")</f>
        <v/>
      </c>
    </row>
    <row r="38" spans="1:16" x14ac:dyDescent="0.25">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IF(tbl_MC[[#This Row],[Over Due]]="",0,IF(tbl_MC[[#This Row],[Location]]="Sydney",tbl_MC[[#This Row],[Amount]]*tbl_MC[[#This Row],[Over Due By]]*Penalty_Rate,Flat_Rate))</f>
        <v>0</v>
      </c>
      <c r="P38" s="33" t="str">
        <f>IF(AND(tbl_MC[[#This Row],[Over Due By]]&gt;0,tbl_MC[[#This Row],[Amount]]&gt;=500),"Action","")</f>
        <v/>
      </c>
    </row>
    <row r="39" spans="1:16" x14ac:dyDescent="0.25">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IF(tbl_MC[[#This Row],[Over Due]]="",0,IF(tbl_MC[[#This Row],[Location]]="Sydney",tbl_MC[[#This Row],[Amount]]*tbl_MC[[#This Row],[Over Due By]]*Penalty_Rate,Flat_Rate))</f>
        <v>5</v>
      </c>
      <c r="P39" s="33" t="str">
        <f>IF(AND(tbl_MC[[#This Row],[Over Due By]]&gt;0,tbl_MC[[#This Row],[Amount]]&gt;=500),"Action","")</f>
        <v>Action</v>
      </c>
    </row>
    <row r="40" spans="1:16" x14ac:dyDescent="0.25">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IF(tbl_MC[[#This Row],[Over Due]]="",0,IF(tbl_MC[[#This Row],[Location]]="Sydney",tbl_MC[[#This Row],[Amount]]*tbl_MC[[#This Row],[Over Due By]]*Penalty_Rate,Flat_Rate))</f>
        <v>0</v>
      </c>
      <c r="P40" s="33" t="str">
        <f>IF(AND(tbl_MC[[#This Row],[Over Due By]]&gt;0,tbl_MC[[#This Row],[Amount]]&gt;=500),"Action","")</f>
        <v/>
      </c>
    </row>
    <row r="41" spans="1:16" x14ac:dyDescent="0.25">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IF(tbl_MC[[#This Row],[Over Due]]="",0,IF(tbl_MC[[#This Row],[Location]]="Sydney",tbl_MC[[#This Row],[Amount]]*tbl_MC[[#This Row],[Over Due By]]*Penalty_Rate,Flat_Rate))</f>
        <v>0</v>
      </c>
      <c r="P41" s="33" t="str">
        <f>IF(AND(tbl_MC[[#This Row],[Over Due By]]&gt;0,tbl_MC[[#This Row],[Amount]]&gt;=500),"Action","")</f>
        <v/>
      </c>
    </row>
    <row r="42" spans="1:16" x14ac:dyDescent="0.25">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IF(tbl_MC[[#This Row],[Over Due]]="",0,IF(tbl_MC[[#This Row],[Location]]="Sydney",tbl_MC[[#This Row],[Amount]]*tbl_MC[[#This Row],[Over Due By]]*Penalty_Rate,Flat_Rate))</f>
        <v>0</v>
      </c>
      <c r="P42" s="33" t="str">
        <f>IF(AND(tbl_MC[[#This Row],[Over Due By]]&gt;0,tbl_MC[[#This Row],[Amount]]&gt;=500),"Action","")</f>
        <v/>
      </c>
    </row>
    <row r="43" spans="1:16" x14ac:dyDescent="0.25">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IF(tbl_MC[[#This Row],[Over Due]]="",0,IF(tbl_MC[[#This Row],[Location]]="Sydney",tbl_MC[[#This Row],[Amount]]*tbl_MC[[#This Row],[Over Due By]]*Penalty_Rate,Flat_Rate))</f>
        <v>44.022527999999994</v>
      </c>
      <c r="P43" s="33" t="str">
        <f>IF(AND(tbl_MC[[#This Row],[Over Due By]]&gt;0,tbl_MC[[#This Row],[Amount]]&gt;=500),"Action","")</f>
        <v>Action</v>
      </c>
    </row>
    <row r="44" spans="1:16" x14ac:dyDescent="0.25">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IF(tbl_MC[[#This Row],[Over Due]]="",0,IF(tbl_MC[[#This Row],[Location]]="Sydney",tbl_MC[[#This Row],[Amount]]*tbl_MC[[#This Row],[Over Due By]]*Penalty_Rate,Flat_Rate))</f>
        <v>0</v>
      </c>
      <c r="P44" s="33" t="str">
        <f>IF(AND(tbl_MC[[#This Row],[Over Due By]]&gt;0,tbl_MC[[#This Row],[Amount]]&gt;=500),"Action","")</f>
        <v/>
      </c>
    </row>
    <row r="45" spans="1:16" x14ac:dyDescent="0.25">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IF(tbl_MC[[#This Row],[Over Due]]="",0,IF(tbl_MC[[#This Row],[Location]]="Sydney",tbl_MC[[#This Row],[Amount]]*tbl_MC[[#This Row],[Over Due By]]*Penalty_Rate,Flat_Rate))</f>
        <v>5</v>
      </c>
      <c r="P45" s="33" t="str">
        <f>IF(AND(tbl_MC[[#This Row],[Over Due By]]&gt;0,tbl_MC[[#This Row],[Amount]]&gt;=500),"Action","")</f>
        <v/>
      </c>
    </row>
    <row r="46" spans="1:16" x14ac:dyDescent="0.25">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IF(tbl_MC[[#This Row],[Over Due]]="",0,IF(tbl_MC[[#This Row],[Location]]="Sydney",tbl_MC[[#This Row],[Amount]]*tbl_MC[[#This Row],[Over Due By]]*Penalty_Rate,Flat_Rate))</f>
        <v>0</v>
      </c>
      <c r="P46" s="33" t="str">
        <f>IF(AND(tbl_MC[[#This Row],[Over Due By]]&gt;0,tbl_MC[[#This Row],[Amount]]&gt;=500),"Action","")</f>
        <v/>
      </c>
    </row>
    <row r="47" spans="1:16" x14ac:dyDescent="0.25">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IF(tbl_MC[[#This Row],[Over Due]]="",0,IF(tbl_MC[[#This Row],[Location]]="Sydney",tbl_MC[[#This Row],[Amount]]*tbl_MC[[#This Row],[Over Due By]]*Penalty_Rate,Flat_Rate))</f>
        <v>5.4814319999999999</v>
      </c>
      <c r="P47" s="33" t="str">
        <f>IF(AND(tbl_MC[[#This Row],[Over Due By]]&gt;0,tbl_MC[[#This Row],[Amount]]&gt;=500),"Action","")</f>
        <v/>
      </c>
    </row>
    <row r="48" spans="1:16" x14ac:dyDescent="0.25">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IF(tbl_MC[[#This Row],[Over Due]]="",0,IF(tbl_MC[[#This Row],[Location]]="Sydney",tbl_MC[[#This Row],[Amount]]*tbl_MC[[#This Row],[Over Due By]]*Penalty_Rate,Flat_Rate))</f>
        <v>5</v>
      </c>
      <c r="P48" s="33" t="str">
        <f>IF(AND(tbl_MC[[#This Row],[Over Due By]]&gt;0,tbl_MC[[#This Row],[Amount]]&gt;=500),"Action","")</f>
        <v/>
      </c>
    </row>
    <row r="49" spans="1:16" x14ac:dyDescent="0.25">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IF(tbl_MC[[#This Row],[Over Due]]="",0,IF(tbl_MC[[#This Row],[Location]]="Sydney",tbl_MC[[#This Row],[Amount]]*tbl_MC[[#This Row],[Over Due By]]*Penalty_Rate,Flat_Rate))</f>
        <v>0</v>
      </c>
      <c r="P49" s="33" t="str">
        <f>IF(AND(tbl_MC[[#This Row],[Over Due By]]&gt;0,tbl_MC[[#This Row],[Amount]]&gt;=500),"Action","")</f>
        <v/>
      </c>
    </row>
    <row r="50" spans="1:16" x14ac:dyDescent="0.25">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IF(tbl_MC[[#This Row],[Over Due]]="",0,IF(tbl_MC[[#This Row],[Location]]="Sydney",tbl_MC[[#This Row],[Amount]]*tbl_MC[[#This Row],[Over Due By]]*Penalty_Rate,Flat_Rate))</f>
        <v>0</v>
      </c>
      <c r="P50" s="33" t="str">
        <f>IF(AND(tbl_MC[[#This Row],[Over Due By]]&gt;0,tbl_MC[[#This Row],[Amount]]&gt;=500),"Action","")</f>
        <v/>
      </c>
    </row>
    <row r="51" spans="1:16" x14ac:dyDescent="0.25">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IF(tbl_MC[[#This Row],[Over Due]]="",0,IF(tbl_MC[[#This Row],[Location]]="Sydney",tbl_MC[[#This Row],[Amount]]*tbl_MC[[#This Row],[Over Due By]]*Penalty_Rate,Flat_Rate))</f>
        <v>5</v>
      </c>
      <c r="P51" s="33" t="str">
        <f>IF(AND(tbl_MC[[#This Row],[Over Due By]]&gt;0,tbl_MC[[#This Row],[Amount]]&gt;=500),"Action","")</f>
        <v>Action</v>
      </c>
    </row>
    <row r="52" spans="1:16" x14ac:dyDescent="0.25">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IF(tbl_MC[[#This Row],[Over Due]]="",0,IF(tbl_MC[[#This Row],[Location]]="Sydney",tbl_MC[[#This Row],[Amount]]*tbl_MC[[#This Row],[Over Due By]]*Penalty_Rate,Flat_Rate))</f>
        <v>0</v>
      </c>
      <c r="P52" s="33" t="str">
        <f>IF(AND(tbl_MC[[#This Row],[Over Due By]]&gt;0,tbl_MC[[#This Row],[Amount]]&gt;=500),"Action","")</f>
        <v/>
      </c>
    </row>
    <row r="53" spans="1:16" x14ac:dyDescent="0.25">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IF(tbl_MC[[#This Row],[Over Due]]="",0,IF(tbl_MC[[#This Row],[Location]]="Sydney",tbl_MC[[#This Row],[Amount]]*tbl_MC[[#This Row],[Over Due By]]*Penalty_Rate,Flat_Rate))</f>
        <v>0</v>
      </c>
      <c r="P53" s="33" t="str">
        <f>IF(AND(tbl_MC[[#This Row],[Over Due By]]&gt;0,tbl_MC[[#This Row],[Amount]]&gt;=500),"Action","")</f>
        <v/>
      </c>
    </row>
    <row r="54" spans="1:16" x14ac:dyDescent="0.25">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IF(tbl_MC[[#This Row],[Over Due]]="",0,IF(tbl_MC[[#This Row],[Location]]="Sydney",tbl_MC[[#This Row],[Amount]]*tbl_MC[[#This Row],[Over Due By]]*Penalty_Rate,Flat_Rate))</f>
        <v>0</v>
      </c>
      <c r="P54" s="33" t="str">
        <f>IF(AND(tbl_MC[[#This Row],[Over Due By]]&gt;0,tbl_MC[[#This Row],[Amount]]&gt;=500),"Action","")</f>
        <v/>
      </c>
    </row>
    <row r="55" spans="1:16" x14ac:dyDescent="0.25">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IF(tbl_MC[[#This Row],[Over Due]]="",0,IF(tbl_MC[[#This Row],[Location]]="Sydney",tbl_MC[[#This Row],[Amount]]*tbl_MC[[#This Row],[Over Due By]]*Penalty_Rate,Flat_Rate))</f>
        <v>0</v>
      </c>
      <c r="P55" s="33" t="str">
        <f>IF(AND(tbl_MC[[#This Row],[Over Due By]]&gt;0,tbl_MC[[#This Row],[Amount]]&gt;=500),"Action","")</f>
        <v/>
      </c>
    </row>
    <row r="56" spans="1:16" x14ac:dyDescent="0.25">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IF(tbl_MC[[#This Row],[Over Due]]="",0,IF(tbl_MC[[#This Row],[Location]]="Sydney",tbl_MC[[#This Row],[Amount]]*tbl_MC[[#This Row],[Over Due By]]*Penalty_Rate,Flat_Rate))</f>
        <v>0</v>
      </c>
      <c r="P56" s="33" t="str">
        <f>IF(AND(tbl_MC[[#This Row],[Over Due By]]&gt;0,tbl_MC[[#This Row],[Amount]]&gt;=500),"Action","")</f>
        <v/>
      </c>
    </row>
    <row r="57" spans="1:16" x14ac:dyDescent="0.25">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IF(tbl_MC[[#This Row],[Over Due]]="",0,IF(tbl_MC[[#This Row],[Location]]="Sydney",tbl_MC[[#This Row],[Amount]]*tbl_MC[[#This Row],[Over Due By]]*Penalty_Rate,Flat_Rate))</f>
        <v>0</v>
      </c>
      <c r="P57" s="33" t="str">
        <f>IF(AND(tbl_MC[[#This Row],[Over Due By]]&gt;0,tbl_MC[[#This Row],[Amount]]&gt;=500),"Action","")</f>
        <v/>
      </c>
    </row>
    <row r="58" spans="1:16" x14ac:dyDescent="0.25">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IF(tbl_MC[[#This Row],[Over Due]]="",0,IF(tbl_MC[[#This Row],[Location]]="Sydney",tbl_MC[[#This Row],[Amount]]*tbl_MC[[#This Row],[Over Due By]]*Penalty_Rate,Flat_Rate))</f>
        <v>0</v>
      </c>
      <c r="P58" s="33" t="str">
        <f>IF(AND(tbl_MC[[#This Row],[Over Due By]]&gt;0,tbl_MC[[#This Row],[Amount]]&gt;=500),"Action","")</f>
        <v/>
      </c>
    </row>
    <row r="59" spans="1:16" x14ac:dyDescent="0.25">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IF(tbl_MC[[#This Row],[Over Due]]="",0,IF(tbl_MC[[#This Row],[Location]]="Sydney",tbl_MC[[#This Row],[Amount]]*tbl_MC[[#This Row],[Over Due By]]*Penalty_Rate,Flat_Rate))</f>
        <v>0</v>
      </c>
      <c r="P59" s="33" t="str">
        <f>IF(AND(tbl_MC[[#This Row],[Over Due By]]&gt;0,tbl_MC[[#This Row],[Amount]]&gt;=500),"Action","")</f>
        <v/>
      </c>
    </row>
    <row r="60" spans="1:16" x14ac:dyDescent="0.25">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IF(tbl_MC[[#This Row],[Over Due]]="",0,IF(tbl_MC[[#This Row],[Location]]="Sydney",tbl_MC[[#This Row],[Amount]]*tbl_MC[[#This Row],[Over Due By]]*Penalty_Rate,Flat_Rate))</f>
        <v>0</v>
      </c>
      <c r="P60" s="33" t="str">
        <f>IF(AND(tbl_MC[[#This Row],[Over Due By]]&gt;0,tbl_MC[[#This Row],[Amount]]&gt;=500),"Action","")</f>
        <v/>
      </c>
    </row>
    <row r="61" spans="1:16" x14ac:dyDescent="0.25">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IF(tbl_MC[[#This Row],[Over Due]]="",0,IF(tbl_MC[[#This Row],[Location]]="Sydney",tbl_MC[[#This Row],[Amount]]*tbl_MC[[#This Row],[Over Due By]]*Penalty_Rate,Flat_Rate))</f>
        <v>0</v>
      </c>
      <c r="P61" s="33" t="str">
        <f>IF(AND(tbl_MC[[#This Row],[Over Due By]]&gt;0,tbl_MC[[#This Row],[Amount]]&gt;=500),"Action","")</f>
        <v/>
      </c>
    </row>
    <row r="62" spans="1:16" x14ac:dyDescent="0.25">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IF(tbl_MC[[#This Row],[Over Due]]="",0,IF(tbl_MC[[#This Row],[Location]]="Sydney",tbl_MC[[#This Row],[Amount]]*tbl_MC[[#This Row],[Over Due By]]*Penalty_Rate,Flat_Rate))</f>
        <v>0</v>
      </c>
      <c r="P62" s="33" t="str">
        <f>IF(AND(tbl_MC[[#This Row],[Over Due By]]&gt;0,tbl_MC[[#This Row],[Amount]]&gt;=500),"Action","")</f>
        <v/>
      </c>
    </row>
    <row r="63" spans="1:16" x14ac:dyDescent="0.25">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IF(tbl_MC[[#This Row],[Over Due]]="",0,IF(tbl_MC[[#This Row],[Location]]="Sydney",tbl_MC[[#This Row],[Amount]]*tbl_MC[[#This Row],[Over Due By]]*Penalty_Rate,Flat_Rate))</f>
        <v>0</v>
      </c>
      <c r="P63" s="33" t="str">
        <f>IF(AND(tbl_MC[[#This Row],[Over Due By]]&gt;0,tbl_MC[[#This Row],[Amount]]&gt;=500),"Action","")</f>
        <v/>
      </c>
    </row>
    <row r="64" spans="1:16" x14ac:dyDescent="0.25">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IF(tbl_MC[[#This Row],[Over Due]]="",0,IF(tbl_MC[[#This Row],[Location]]="Sydney",tbl_MC[[#This Row],[Amount]]*tbl_MC[[#This Row],[Over Due By]]*Penalty_Rate,Flat_Rate))</f>
        <v>20.268467999999999</v>
      </c>
      <c r="P64" s="33" t="str">
        <f>IF(AND(tbl_MC[[#This Row],[Over Due By]]&gt;0,tbl_MC[[#This Row],[Amount]]&gt;=500),"Action","")</f>
        <v>Action</v>
      </c>
    </row>
    <row r="65" spans="1:16" x14ac:dyDescent="0.25">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IF(tbl_MC[[#This Row],[Over Due]]="",0,IF(tbl_MC[[#This Row],[Location]]="Sydney",tbl_MC[[#This Row],[Amount]]*tbl_MC[[#This Row],[Over Due By]]*Penalty_Rate,Flat_Rate))</f>
        <v>0</v>
      </c>
      <c r="P65" s="33" t="str">
        <f>IF(AND(tbl_MC[[#This Row],[Over Due By]]&gt;0,tbl_MC[[#This Row],[Amount]]&gt;=500),"Action","")</f>
        <v/>
      </c>
    </row>
    <row r="66" spans="1:16" x14ac:dyDescent="0.25">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IF(tbl_MC[[#This Row],[Over Due]]="",0,IF(tbl_MC[[#This Row],[Location]]="Sydney",tbl_MC[[#This Row],[Amount]]*tbl_MC[[#This Row],[Over Due By]]*Penalty_Rate,Flat_Rate))</f>
        <v>0</v>
      </c>
      <c r="P66" s="33" t="str">
        <f>IF(AND(tbl_MC[[#This Row],[Over Due By]]&gt;0,tbl_MC[[#This Row],[Amount]]&gt;=500),"Action","")</f>
        <v/>
      </c>
    </row>
    <row r="67" spans="1:16" x14ac:dyDescent="0.25">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IF(tbl_MC[[#This Row],[Over Due]]="",0,IF(tbl_MC[[#This Row],[Location]]="Sydney",tbl_MC[[#This Row],[Amount]]*tbl_MC[[#This Row],[Over Due By]]*Penalty_Rate,Flat_Rate))</f>
        <v>0</v>
      </c>
      <c r="P67" s="33" t="str">
        <f>IF(AND(tbl_MC[[#This Row],[Over Due By]]&gt;0,tbl_MC[[#This Row],[Amount]]&gt;=500),"Action","")</f>
        <v/>
      </c>
    </row>
    <row r="68" spans="1:16" x14ac:dyDescent="0.25">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IF(tbl_MC[[#This Row],[Over Due]]="",0,IF(tbl_MC[[#This Row],[Location]]="Sydney",tbl_MC[[#This Row],[Amount]]*tbl_MC[[#This Row],[Over Due By]]*Penalty_Rate,Flat_Rate))</f>
        <v>5</v>
      </c>
      <c r="P68" s="33" t="str">
        <f>IF(AND(tbl_MC[[#This Row],[Over Due By]]&gt;0,tbl_MC[[#This Row],[Amount]]&gt;=500),"Action","")</f>
        <v>Action</v>
      </c>
    </row>
    <row r="69" spans="1:16" x14ac:dyDescent="0.25">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IF(tbl_MC[[#This Row],[Over Due]]="",0,IF(tbl_MC[[#This Row],[Location]]="Sydney",tbl_MC[[#This Row],[Amount]]*tbl_MC[[#This Row],[Over Due By]]*Penalty_Rate,Flat_Rate))</f>
        <v>0</v>
      </c>
      <c r="P69" s="33" t="str">
        <f>IF(AND(tbl_MC[[#This Row],[Over Due By]]&gt;0,tbl_MC[[#This Row],[Amount]]&gt;=500),"Action","")</f>
        <v/>
      </c>
    </row>
    <row r="70" spans="1:16" x14ac:dyDescent="0.25">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IF(tbl_MC[[#This Row],[Over Due]]="",0,IF(tbl_MC[[#This Row],[Location]]="Sydney",tbl_MC[[#This Row],[Amount]]*tbl_MC[[#This Row],[Over Due By]]*Penalty_Rate,Flat_Rate))</f>
        <v>5</v>
      </c>
      <c r="P70" s="33" t="str">
        <f>IF(AND(tbl_MC[[#This Row],[Over Due By]]&gt;0,tbl_MC[[#This Row],[Amount]]&gt;=500),"Action","")</f>
        <v/>
      </c>
    </row>
    <row r="71" spans="1:16" x14ac:dyDescent="0.25">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IF(tbl_MC[[#This Row],[Over Due]]="",0,IF(tbl_MC[[#This Row],[Location]]="Sydney",tbl_MC[[#This Row],[Amount]]*tbl_MC[[#This Row],[Over Due By]]*Penalty_Rate,Flat_Rate))</f>
        <v>0</v>
      </c>
      <c r="P71" s="33" t="str">
        <f>IF(AND(tbl_MC[[#This Row],[Over Due By]]&gt;0,tbl_MC[[#This Row],[Amount]]&gt;=500),"Action","")</f>
        <v/>
      </c>
    </row>
    <row r="72" spans="1:16" x14ac:dyDescent="0.25">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IF(tbl_MC[[#This Row],[Over Due]]="",0,IF(tbl_MC[[#This Row],[Location]]="Sydney",tbl_MC[[#This Row],[Amount]]*tbl_MC[[#This Row],[Over Due By]]*Penalty_Rate,Flat_Rate))</f>
        <v>5</v>
      </c>
      <c r="P72" s="33" t="str">
        <f>IF(AND(tbl_MC[[#This Row],[Over Due By]]&gt;0,tbl_MC[[#This Row],[Amount]]&gt;=500),"Action","")</f>
        <v>Action</v>
      </c>
    </row>
    <row r="73" spans="1:16" x14ac:dyDescent="0.25">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IF(tbl_MC[[#This Row],[Over Due]]="",0,IF(tbl_MC[[#This Row],[Location]]="Sydney",tbl_MC[[#This Row],[Amount]]*tbl_MC[[#This Row],[Over Due By]]*Penalty_Rate,Flat_Rate))</f>
        <v>5</v>
      </c>
      <c r="P73" s="33" t="str">
        <f>IF(AND(tbl_MC[[#This Row],[Over Due By]]&gt;0,tbl_MC[[#This Row],[Amount]]&gt;=500),"Action","")</f>
        <v>Action</v>
      </c>
    </row>
    <row r="74" spans="1:16" x14ac:dyDescent="0.25">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IF(tbl_MC[[#This Row],[Over Due]]="",0,IF(tbl_MC[[#This Row],[Location]]="Sydney",tbl_MC[[#This Row],[Amount]]*tbl_MC[[#This Row],[Over Due By]]*Penalty_Rate,Flat_Rate))</f>
        <v>0</v>
      </c>
      <c r="P74" s="33" t="str">
        <f>IF(AND(tbl_MC[[#This Row],[Over Due By]]&gt;0,tbl_MC[[#This Row],[Amount]]&gt;=500),"Action","")</f>
        <v/>
      </c>
    </row>
    <row r="75" spans="1:16" x14ac:dyDescent="0.25">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IF(tbl_MC[[#This Row],[Over Due]]="",0,IF(tbl_MC[[#This Row],[Location]]="Sydney",tbl_MC[[#This Row],[Amount]]*tbl_MC[[#This Row],[Over Due By]]*Penalty_Rate,Flat_Rate))</f>
        <v>0</v>
      </c>
      <c r="P75" s="33" t="str">
        <f>IF(AND(tbl_MC[[#This Row],[Over Due By]]&gt;0,tbl_MC[[#This Row],[Amount]]&gt;=500),"Action","")</f>
        <v/>
      </c>
    </row>
    <row r="76" spans="1:16" x14ac:dyDescent="0.25">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IF(tbl_MC[[#This Row],[Over Due]]="",0,IF(tbl_MC[[#This Row],[Location]]="Sydney",tbl_MC[[#This Row],[Amount]]*tbl_MC[[#This Row],[Over Due By]]*Penalty_Rate,Flat_Rate))</f>
        <v>0</v>
      </c>
      <c r="P76" s="33" t="str">
        <f>IF(AND(tbl_MC[[#This Row],[Over Due By]]&gt;0,tbl_MC[[#This Row],[Amount]]&gt;=500),"Action","")</f>
        <v/>
      </c>
    </row>
    <row r="77" spans="1:16" x14ac:dyDescent="0.25">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IF(tbl_MC[[#This Row],[Over Due]]="",0,IF(tbl_MC[[#This Row],[Location]]="Sydney",tbl_MC[[#This Row],[Amount]]*tbl_MC[[#This Row],[Over Due By]]*Penalty_Rate,Flat_Rate))</f>
        <v>26.852363999999998</v>
      </c>
      <c r="P77" s="33" t="str">
        <f>IF(AND(tbl_MC[[#This Row],[Over Due By]]&gt;0,tbl_MC[[#This Row],[Amount]]&gt;=500),"Action","")</f>
        <v>Action</v>
      </c>
    </row>
    <row r="78" spans="1:16" x14ac:dyDescent="0.25">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IF(tbl_MC[[#This Row],[Over Due]]="",0,IF(tbl_MC[[#This Row],[Location]]="Sydney",tbl_MC[[#This Row],[Amount]]*tbl_MC[[#This Row],[Over Due By]]*Penalty_Rate,Flat_Rate))</f>
        <v>0</v>
      </c>
      <c r="P78" s="33" t="str">
        <f>IF(AND(tbl_MC[[#This Row],[Over Due By]]&gt;0,tbl_MC[[#This Row],[Amount]]&gt;=500),"Action","")</f>
        <v/>
      </c>
    </row>
    <row r="79" spans="1:16" x14ac:dyDescent="0.25">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IF(tbl_MC[[#This Row],[Over Due]]="",0,IF(tbl_MC[[#This Row],[Location]]="Sydney",tbl_MC[[#This Row],[Amount]]*tbl_MC[[#This Row],[Over Due By]]*Penalty_Rate,Flat_Rate))</f>
        <v>5</v>
      </c>
      <c r="P79" s="33" t="str">
        <f>IF(AND(tbl_MC[[#This Row],[Over Due By]]&gt;0,tbl_MC[[#This Row],[Amount]]&gt;=500),"Action","")</f>
        <v>Action</v>
      </c>
    </row>
    <row r="80" spans="1:16" x14ac:dyDescent="0.25">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IF(tbl_MC[[#This Row],[Over Due]]="",0,IF(tbl_MC[[#This Row],[Location]]="Sydney",tbl_MC[[#This Row],[Amount]]*tbl_MC[[#This Row],[Over Due By]]*Penalty_Rate,Flat_Rate))</f>
        <v>0</v>
      </c>
      <c r="P80" s="33" t="str">
        <f>IF(AND(tbl_MC[[#This Row],[Over Due By]]&gt;0,tbl_MC[[#This Row],[Amount]]&gt;=500),"Action","")</f>
        <v/>
      </c>
    </row>
    <row r="81" spans="1:16" x14ac:dyDescent="0.25">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IF(tbl_MC[[#This Row],[Over Due]]="",0,IF(tbl_MC[[#This Row],[Location]]="Sydney",tbl_MC[[#This Row],[Amount]]*tbl_MC[[#This Row],[Over Due By]]*Penalty_Rate,Flat_Rate))</f>
        <v>5</v>
      </c>
      <c r="P81" s="33" t="str">
        <f>IF(AND(tbl_MC[[#This Row],[Over Due By]]&gt;0,tbl_MC[[#This Row],[Amount]]&gt;=500),"Action","")</f>
        <v/>
      </c>
    </row>
    <row r="82" spans="1:16" x14ac:dyDescent="0.25">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IF(tbl_MC[[#This Row],[Over Due]]="",0,IF(tbl_MC[[#This Row],[Location]]="Sydney",tbl_MC[[#This Row],[Amount]]*tbl_MC[[#This Row],[Over Due By]]*Penalty_Rate,Flat_Rate))</f>
        <v>0</v>
      </c>
      <c r="P82" s="33" t="str">
        <f>IF(AND(tbl_MC[[#This Row],[Over Due By]]&gt;0,tbl_MC[[#This Row],[Amount]]&gt;=500),"Action","")</f>
        <v/>
      </c>
    </row>
    <row r="83" spans="1:16" x14ac:dyDescent="0.25">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IF(tbl_MC[[#This Row],[Over Due]]="",0,IF(tbl_MC[[#This Row],[Location]]="Sydney",tbl_MC[[#This Row],[Amount]]*tbl_MC[[#This Row],[Over Due By]]*Penalty_Rate,Flat_Rate))</f>
        <v>0</v>
      </c>
      <c r="P83" s="33" t="str">
        <f>IF(AND(tbl_MC[[#This Row],[Over Due By]]&gt;0,tbl_MC[[#This Row],[Amount]]&gt;=500),"Action","")</f>
        <v/>
      </c>
    </row>
    <row r="84" spans="1:16" x14ac:dyDescent="0.25">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IF(tbl_MC[[#This Row],[Over Due]]="",0,IF(tbl_MC[[#This Row],[Location]]="Sydney",tbl_MC[[#This Row],[Amount]]*tbl_MC[[#This Row],[Over Due By]]*Penalty_Rate,Flat_Rate))</f>
        <v>0</v>
      </c>
      <c r="P84" s="33" t="str">
        <f>IF(AND(tbl_MC[[#This Row],[Over Due By]]&gt;0,tbl_MC[[#This Row],[Amount]]&gt;=500),"Action","")</f>
        <v/>
      </c>
    </row>
    <row r="85" spans="1:16" x14ac:dyDescent="0.25">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IF(tbl_MC[[#This Row],[Over Due]]="",0,IF(tbl_MC[[#This Row],[Location]]="Sydney",tbl_MC[[#This Row],[Amount]]*tbl_MC[[#This Row],[Over Due By]]*Penalty_Rate,Flat_Rate))</f>
        <v>16.487064</v>
      </c>
      <c r="P85" s="33" t="str">
        <f>IF(AND(tbl_MC[[#This Row],[Over Due By]]&gt;0,tbl_MC[[#This Row],[Amount]]&gt;=500),"Action","")</f>
        <v>Action</v>
      </c>
    </row>
    <row r="86" spans="1:16" x14ac:dyDescent="0.25">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IF(tbl_MC[[#This Row],[Over Due]]="",0,IF(tbl_MC[[#This Row],[Location]]="Sydney",tbl_MC[[#This Row],[Amount]]*tbl_MC[[#This Row],[Over Due By]]*Penalty_Rate,Flat_Rate))</f>
        <v>0</v>
      </c>
      <c r="P86" s="33" t="str">
        <f>IF(AND(tbl_MC[[#This Row],[Over Due By]]&gt;0,tbl_MC[[#This Row],[Amount]]&gt;=500),"Action","")</f>
        <v/>
      </c>
    </row>
    <row r="87" spans="1:16" x14ac:dyDescent="0.25">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IF(tbl_MC[[#This Row],[Over Due]]="",0,IF(tbl_MC[[#This Row],[Location]]="Sydney",tbl_MC[[#This Row],[Amount]]*tbl_MC[[#This Row],[Over Due By]]*Penalty_Rate,Flat_Rate))</f>
        <v>5</v>
      </c>
      <c r="P87" s="33" t="str">
        <f>IF(AND(tbl_MC[[#This Row],[Over Due By]]&gt;0,tbl_MC[[#This Row],[Amount]]&gt;=500),"Action","")</f>
        <v>Action</v>
      </c>
    </row>
    <row r="88" spans="1:16" x14ac:dyDescent="0.25">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IF(tbl_MC[[#This Row],[Over Due]]="",0,IF(tbl_MC[[#This Row],[Location]]="Sydney",tbl_MC[[#This Row],[Amount]]*tbl_MC[[#This Row],[Over Due By]]*Penalty_Rate,Flat_Rate))</f>
        <v>0</v>
      </c>
      <c r="P88" s="33"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39"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3.8" x14ac:dyDescent="0.25"/>
  <cols>
    <col min="1" max="1" width="22.296875" customWidth="1"/>
    <col min="2" max="2" width="18.59765625" customWidth="1"/>
    <col min="3" max="5" width="18" customWidth="1"/>
    <col min="6" max="6" width="21.296875" customWidth="1"/>
  </cols>
  <sheetData>
    <row r="1" spans="1:5" ht="19.8" thickBot="1" x14ac:dyDescent="0.4">
      <c r="A1" s="9" t="s">
        <v>140</v>
      </c>
      <c r="B1" s="9"/>
      <c r="C1" s="9"/>
    </row>
    <row r="2" spans="1:5" ht="14.4"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7" t="s">
        <v>143</v>
      </c>
      <c r="C7" s="7" t="s">
        <v>144</v>
      </c>
      <c r="D7" s="7" t="s">
        <v>191</v>
      </c>
      <c r="E7" s="7" t="s">
        <v>137</v>
      </c>
    </row>
    <row r="8" spans="1:5" x14ac:dyDescent="0.25">
      <c r="A8" t="s">
        <v>46</v>
      </c>
      <c r="B8">
        <f>COUNTIFS(Location,A8)</f>
        <v>40</v>
      </c>
      <c r="C8" s="8">
        <f>SUMIFS(Amount_Paid,Location,A8)</f>
        <v>24082.739999999998</v>
      </c>
      <c r="D8">
        <f>SUMIFS(tbl_MC[Over Due By],Location,$A8)</f>
        <v>86</v>
      </c>
      <c r="E8" s="8">
        <f>SUMIFS(Late_Charge,Location,$A8)</f>
        <v>202.47084000000001</v>
      </c>
    </row>
    <row r="9" spans="1:5" x14ac:dyDescent="0.25">
      <c r="A9" t="s">
        <v>48</v>
      </c>
      <c r="B9">
        <f>COUNTIFS(Location,A9)</f>
        <v>44</v>
      </c>
      <c r="C9" s="8">
        <f>SUMIFS(Amount_Paid,Location,A9)</f>
        <v>21629.190000000006</v>
      </c>
      <c r="D9">
        <f>SUMIFS(tbl_MC[Over Due By],Location,$A9)</f>
        <v>131</v>
      </c>
      <c r="E9" s="8">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3.8" x14ac:dyDescent="0.25"/>
  <cols>
    <col min="1" max="1" width="13.296875" style="12" customWidth="1"/>
    <col min="2" max="2" width="9.09765625" style="4"/>
    <col min="3" max="3" width="24.59765625" customWidth="1"/>
  </cols>
  <sheetData>
    <row r="1" spans="1:3" ht="19.8" thickBot="1" x14ac:dyDescent="0.4">
      <c r="A1" s="16" t="s">
        <v>168</v>
      </c>
      <c r="B1" s="16"/>
      <c r="C1" s="16"/>
    </row>
    <row r="2" spans="1:3" ht="14.4" thickTop="1" x14ac:dyDescent="0.25"/>
    <row r="3" spans="1:3" x14ac:dyDescent="0.25">
      <c r="A3" s="13" t="s">
        <v>153</v>
      </c>
      <c r="B3" s="14" t="s">
        <v>154</v>
      </c>
      <c r="C3" s="15" t="s">
        <v>155</v>
      </c>
    </row>
    <row r="4" spans="1:3" x14ac:dyDescent="0.25">
      <c r="A4" s="12">
        <v>43831</v>
      </c>
      <c r="B4" s="4" t="str">
        <f>TEXT(A4,"ddd")</f>
        <v>Wed</v>
      </c>
      <c r="C4" t="s">
        <v>156</v>
      </c>
    </row>
    <row r="5" spans="1:3" x14ac:dyDescent="0.25">
      <c r="A5" s="12">
        <v>43857</v>
      </c>
      <c r="B5" s="4" t="str">
        <f t="shared" ref="B5:B15" si="0">TEXT(A5,"ddd")</f>
        <v>Mon</v>
      </c>
      <c r="C5" t="s">
        <v>157</v>
      </c>
    </row>
    <row r="6" spans="1:3" x14ac:dyDescent="0.25">
      <c r="A6" s="12">
        <v>43931</v>
      </c>
      <c r="B6" s="4" t="str">
        <f t="shared" si="0"/>
        <v>Fri</v>
      </c>
      <c r="C6" t="s">
        <v>159</v>
      </c>
    </row>
    <row r="7" spans="1:3" x14ac:dyDescent="0.25">
      <c r="A7" s="12">
        <v>43932</v>
      </c>
      <c r="B7" s="4" t="str">
        <f t="shared" si="0"/>
        <v>Sat</v>
      </c>
      <c r="C7" t="s">
        <v>160</v>
      </c>
    </row>
    <row r="8" spans="1:3" x14ac:dyDescent="0.25">
      <c r="A8" s="12">
        <v>43933</v>
      </c>
      <c r="B8" s="4" t="str">
        <f t="shared" si="0"/>
        <v>Sun</v>
      </c>
      <c r="C8" t="s">
        <v>161</v>
      </c>
    </row>
    <row r="9" spans="1:3" x14ac:dyDescent="0.25">
      <c r="A9" s="12">
        <v>43934</v>
      </c>
      <c r="B9" s="4" t="str">
        <f t="shared" si="0"/>
        <v>Mon</v>
      </c>
      <c r="C9" t="s">
        <v>162</v>
      </c>
    </row>
    <row r="10" spans="1:3" x14ac:dyDescent="0.25">
      <c r="A10" s="12">
        <v>43946</v>
      </c>
      <c r="B10" s="4" t="str">
        <f t="shared" si="0"/>
        <v>Sat</v>
      </c>
      <c r="C10" t="s">
        <v>163</v>
      </c>
    </row>
    <row r="11" spans="1:3" x14ac:dyDescent="0.25">
      <c r="A11" s="12">
        <v>43990</v>
      </c>
      <c r="B11" s="4" t="str">
        <f t="shared" si="0"/>
        <v>Mon</v>
      </c>
      <c r="C11" t="s">
        <v>164</v>
      </c>
    </row>
    <row r="12" spans="1:3" x14ac:dyDescent="0.25">
      <c r="A12" s="12">
        <v>44109</v>
      </c>
      <c r="B12" s="4" t="str">
        <f t="shared" si="0"/>
        <v>Mon</v>
      </c>
      <c r="C12" t="s">
        <v>158</v>
      </c>
    </row>
    <row r="13" spans="1:3" x14ac:dyDescent="0.25">
      <c r="A13" s="12">
        <v>44190</v>
      </c>
      <c r="B13" s="4" t="str">
        <f t="shared" si="0"/>
        <v>Fri</v>
      </c>
      <c r="C13" t="s">
        <v>165</v>
      </c>
    </row>
    <row r="14" spans="1:3" x14ac:dyDescent="0.25">
      <c r="A14" s="12">
        <v>44191</v>
      </c>
      <c r="B14" s="4" t="str">
        <f t="shared" si="0"/>
        <v>Sat</v>
      </c>
      <c r="C14" t="s">
        <v>166</v>
      </c>
    </row>
    <row r="15" spans="1:3" x14ac:dyDescent="0.25">
      <c r="A15" s="12">
        <v>44193</v>
      </c>
      <c r="B15" s="4" t="str">
        <f t="shared" si="0"/>
        <v>Mon</v>
      </c>
      <c r="C15" t="s">
        <v>167</v>
      </c>
    </row>
    <row r="19" spans="1:3" x14ac:dyDescent="0.25">
      <c r="A19" t="s">
        <v>184</v>
      </c>
      <c r="B19"/>
    </row>
    <row r="20" spans="1:3" x14ac:dyDescent="0.25">
      <c r="A20" s="15" t="s">
        <v>185</v>
      </c>
      <c r="B20" s="15" t="s">
        <v>186</v>
      </c>
      <c r="C20" s="15"/>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2022-10-01T14:22:51Z</dcterms:modified>
</cp:coreProperties>
</file>