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User\Desktop\Testing Area\Transportation Data Entry\"/>
    </mc:Choice>
  </mc:AlternateContent>
  <xr:revisionPtr revIDLastSave="0" documentId="13_ncr:1_{813E8927-534B-4FA6-8C53-36244CE57D8B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Data Store" sheetId="1" r:id="rId1"/>
    <sheet name="Data Filter" sheetId="2" r:id="rId2"/>
    <sheet name="Data Analysis " sheetId="3" r:id="rId3"/>
    <sheet name="Dashboard 1" sheetId="4" r:id="rId4"/>
    <sheet name="Dashboard 2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8" i="3" l="1"/>
  <c r="I7" i="3"/>
  <c r="I6" i="3"/>
  <c r="I5" i="3"/>
  <c r="I4" i="3"/>
  <c r="I3" i="3"/>
  <c r="I2" i="3"/>
  <c r="H25" i="2"/>
  <c r="G25" i="2"/>
  <c r="F25" i="2"/>
  <c r="E25" i="2"/>
  <c r="D25" i="2"/>
  <c r="C25" i="2"/>
  <c r="B25" i="2"/>
  <c r="A25" i="2"/>
  <c r="H24" i="2"/>
  <c r="G24" i="2"/>
  <c r="F24" i="2"/>
  <c r="E24" i="2"/>
  <c r="D24" i="2"/>
  <c r="C24" i="2"/>
  <c r="B24" i="2"/>
  <c r="A24" i="2"/>
  <c r="H23" i="2"/>
  <c r="G23" i="2"/>
  <c r="F23" i="2"/>
  <c r="E23" i="2"/>
  <c r="D23" i="2"/>
  <c r="C23" i="2"/>
  <c r="B23" i="2"/>
  <c r="A23" i="2"/>
  <c r="H22" i="2"/>
  <c r="G22" i="2"/>
  <c r="F22" i="2"/>
  <c r="E22" i="2"/>
  <c r="D22" i="2"/>
  <c r="C22" i="2"/>
  <c r="B22" i="2"/>
  <c r="A22" i="2"/>
  <c r="H21" i="2"/>
  <c r="G21" i="2"/>
  <c r="F21" i="2"/>
  <c r="E21" i="2"/>
  <c r="D21" i="2"/>
  <c r="C21" i="2"/>
  <c r="B21" i="2"/>
  <c r="A21" i="2"/>
  <c r="H20" i="2"/>
  <c r="G20" i="2"/>
  <c r="F20" i="2"/>
  <c r="E20" i="2"/>
  <c r="D20" i="2"/>
  <c r="C20" i="2"/>
  <c r="B20" i="2"/>
  <c r="A20" i="2"/>
  <c r="H19" i="2"/>
  <c r="G19" i="2"/>
  <c r="F19" i="2"/>
  <c r="E19" i="2"/>
  <c r="D19" i="2"/>
  <c r="C19" i="2"/>
  <c r="B19" i="2"/>
  <c r="A19" i="2"/>
  <c r="H18" i="2"/>
  <c r="G18" i="2"/>
  <c r="F18" i="2"/>
  <c r="E18" i="2"/>
  <c r="D18" i="2"/>
  <c r="C18" i="2"/>
  <c r="B18" i="2"/>
  <c r="A18" i="2"/>
  <c r="H17" i="2"/>
  <c r="G17" i="2"/>
  <c r="F17" i="2"/>
  <c r="E17" i="2"/>
  <c r="D17" i="2"/>
  <c r="C17" i="2"/>
  <c r="B17" i="2"/>
  <c r="A17" i="2"/>
  <c r="H16" i="2"/>
  <c r="G16" i="2"/>
  <c r="F16" i="2"/>
  <c r="E16" i="2"/>
  <c r="D16" i="2"/>
  <c r="C16" i="2"/>
  <c r="B16" i="2"/>
  <c r="A16" i="2"/>
  <c r="H15" i="2"/>
  <c r="G15" i="2"/>
  <c r="F15" i="2"/>
  <c r="E15" i="2"/>
  <c r="D15" i="2"/>
  <c r="C15" i="2"/>
  <c r="B15" i="2"/>
  <c r="A15" i="2"/>
  <c r="H14" i="2"/>
  <c r="G14" i="2"/>
  <c r="F14" i="2"/>
  <c r="E14" i="2"/>
  <c r="D14" i="2"/>
  <c r="C14" i="2"/>
  <c r="B14" i="2"/>
  <c r="A14" i="2"/>
  <c r="H13" i="2"/>
  <c r="G13" i="2"/>
  <c r="F13" i="2"/>
  <c r="E13" i="2"/>
  <c r="D13" i="2"/>
  <c r="C13" i="2"/>
  <c r="B13" i="2"/>
  <c r="A13" i="2"/>
  <c r="H12" i="2"/>
  <c r="G12" i="2"/>
  <c r="F12" i="2"/>
  <c r="E12" i="2"/>
  <c r="D12" i="2"/>
  <c r="C12" i="2"/>
  <c r="B12" i="2"/>
  <c r="A12" i="2"/>
  <c r="H11" i="2"/>
  <c r="G11" i="2"/>
  <c r="F11" i="2"/>
  <c r="E11" i="2"/>
  <c r="D11" i="2"/>
  <c r="C11" i="2"/>
  <c r="B11" i="2"/>
  <c r="A11" i="2"/>
  <c r="H10" i="2"/>
  <c r="G10" i="2"/>
  <c r="F10" i="2"/>
  <c r="E10" i="2"/>
  <c r="D10" i="2"/>
  <c r="C10" i="2"/>
  <c r="B10" i="2"/>
  <c r="A10" i="2"/>
  <c r="H9" i="2"/>
  <c r="G9" i="2"/>
  <c r="F9" i="2"/>
  <c r="E9" i="2"/>
  <c r="D9" i="2"/>
  <c r="C9" i="2"/>
  <c r="B9" i="2"/>
  <c r="A9" i="2"/>
  <c r="H8" i="2"/>
  <c r="G8" i="2"/>
  <c r="F8" i="2"/>
  <c r="E8" i="2"/>
  <c r="D8" i="2"/>
  <c r="C8" i="2"/>
  <c r="B8" i="2"/>
  <c r="A8" i="2"/>
  <c r="H7" i="2"/>
  <c r="G7" i="2"/>
  <c r="F7" i="2"/>
  <c r="E7" i="2"/>
  <c r="D7" i="2"/>
  <c r="C7" i="2"/>
  <c r="B7" i="2"/>
  <c r="A7" i="2"/>
  <c r="H6" i="2"/>
  <c r="G6" i="2"/>
  <c r="F6" i="2"/>
  <c r="E6" i="2"/>
  <c r="D6" i="2"/>
  <c r="C6" i="2"/>
  <c r="B6" i="2"/>
  <c r="A6" i="2"/>
  <c r="H5" i="2"/>
  <c r="G5" i="2"/>
  <c r="F5" i="2"/>
  <c r="E5" i="2"/>
  <c r="D5" i="2"/>
  <c r="C5" i="2"/>
  <c r="B5" i="2"/>
  <c r="A5" i="2"/>
  <c r="H4" i="2"/>
  <c r="G4" i="2"/>
  <c r="F4" i="2"/>
  <c r="E4" i="2"/>
  <c r="D4" i="2"/>
  <c r="C4" i="2"/>
  <c r="B4" i="2"/>
  <c r="A4" i="2"/>
  <c r="H3" i="2"/>
  <c r="G3" i="2"/>
  <c r="F3" i="2"/>
  <c r="E3" i="2"/>
  <c r="D3" i="2"/>
  <c r="C3" i="2"/>
  <c r="B3" i="2"/>
  <c r="A3" i="2"/>
  <c r="H2" i="2"/>
  <c r="G2" i="2"/>
  <c r="F2" i="2"/>
  <c r="E2" i="2"/>
  <c r="D2" i="2"/>
  <c r="C2" i="2"/>
  <c r="B2" i="2"/>
  <c r="A2" i="2"/>
  <c r="I9" i="3" l="1"/>
  <c r="P14" i="4" s="1"/>
  <c r="K94" i="3"/>
  <c r="H45" i="3"/>
  <c r="D25" i="3" s="1"/>
  <c r="I12" i="3"/>
  <c r="M13" i="3"/>
  <c r="I15" i="3"/>
  <c r="M16" i="3"/>
  <c r="J23" i="3"/>
  <c r="H25" i="3"/>
  <c r="D10" i="3" s="1"/>
  <c r="M26" i="3"/>
  <c r="K28" i="3"/>
  <c r="I35" i="3"/>
  <c r="N36" i="3"/>
  <c r="L38" i="3"/>
  <c r="J40" i="3"/>
  <c r="H42" i="3"/>
  <c r="D22" i="3" s="1"/>
  <c r="M43" i="3"/>
  <c r="K45" i="3"/>
  <c r="I52" i="3"/>
  <c r="N53" i="3"/>
  <c r="L55" i="3"/>
  <c r="J57" i="3"/>
  <c r="H59" i="3"/>
  <c r="D34" i="3" s="1"/>
  <c r="M65" i="3"/>
  <c r="K67" i="3"/>
  <c r="I69" i="3"/>
  <c r="N75" i="3"/>
  <c r="L77" i="3"/>
  <c r="J79" i="3"/>
  <c r="H81" i="3"/>
  <c r="D46" i="3" s="1"/>
  <c r="M82" i="3"/>
  <c r="K89" i="3"/>
  <c r="I91" i="3"/>
  <c r="N92" i="3"/>
  <c r="L94" i="3"/>
  <c r="J12" i="3"/>
  <c r="N13" i="3"/>
  <c r="J15" i="3"/>
  <c r="N16" i="3"/>
  <c r="K23" i="3"/>
  <c r="I25" i="3"/>
  <c r="N26" i="3"/>
  <c r="L28" i="3"/>
  <c r="J35" i="3"/>
  <c r="H37" i="3"/>
  <c r="D17" i="3" s="1"/>
  <c r="M38" i="3"/>
  <c r="K40" i="3"/>
  <c r="I42" i="3"/>
  <c r="N43" i="3"/>
  <c r="L45" i="3"/>
  <c r="J52" i="3"/>
  <c r="H54" i="3"/>
  <c r="D29" i="3" s="1"/>
  <c r="M55" i="3"/>
  <c r="K57" i="3"/>
  <c r="I59" i="3"/>
  <c r="N65" i="3"/>
  <c r="L67" i="3"/>
  <c r="J69" i="3"/>
  <c r="H76" i="3"/>
  <c r="D41" i="3" s="1"/>
  <c r="M77" i="3"/>
  <c r="K79" i="3"/>
  <c r="I81" i="3"/>
  <c r="N82" i="3"/>
  <c r="L89" i="3"/>
  <c r="J91" i="3"/>
  <c r="H93" i="3"/>
  <c r="D53" i="3" s="1"/>
  <c r="M94" i="3"/>
  <c r="J3" i="3"/>
  <c r="K3" i="3" s="1"/>
  <c r="J7" i="3"/>
  <c r="K7" i="3" s="1"/>
  <c r="K12" i="3"/>
  <c r="K15" i="3"/>
  <c r="L23" i="3"/>
  <c r="J25" i="3"/>
  <c r="H27" i="3"/>
  <c r="D12" i="3" s="1"/>
  <c r="M28" i="3"/>
  <c r="K35" i="3"/>
  <c r="I37" i="3"/>
  <c r="N38" i="3"/>
  <c r="L40" i="3"/>
  <c r="J42" i="3"/>
  <c r="H44" i="3"/>
  <c r="D24" i="3" s="1"/>
  <c r="M45" i="3"/>
  <c r="K52" i="3"/>
  <c r="I54" i="3"/>
  <c r="N55" i="3"/>
  <c r="L57" i="3"/>
  <c r="J59" i="3"/>
  <c r="H66" i="3"/>
  <c r="D36" i="3" s="1"/>
  <c r="M67" i="3"/>
  <c r="K69" i="3"/>
  <c r="I76" i="3"/>
  <c r="N77" i="3"/>
  <c r="L79" i="3"/>
  <c r="J81" i="3"/>
  <c r="H83" i="3"/>
  <c r="D48" i="3" s="1"/>
  <c r="M89" i="3"/>
  <c r="K91" i="3"/>
  <c r="I93" i="3"/>
  <c r="N94" i="3"/>
  <c r="L12" i="3"/>
  <c r="H14" i="3"/>
  <c r="D4" i="3" s="1"/>
  <c r="L15" i="3"/>
  <c r="H22" i="3"/>
  <c r="D7" i="3" s="1"/>
  <c r="M23" i="3"/>
  <c r="K25" i="3"/>
  <c r="I27" i="3"/>
  <c r="N28" i="3"/>
  <c r="L35" i="3"/>
  <c r="J37" i="3"/>
  <c r="H39" i="3"/>
  <c r="D19" i="3" s="1"/>
  <c r="M40" i="3"/>
  <c r="K42" i="3"/>
  <c r="I44" i="3"/>
  <c r="N45" i="3"/>
  <c r="L52" i="3"/>
  <c r="J54" i="3"/>
  <c r="H56" i="3"/>
  <c r="D31" i="3" s="1"/>
  <c r="M57" i="3"/>
  <c r="K59" i="3"/>
  <c r="I66" i="3"/>
  <c r="N67" i="3"/>
  <c r="L69" i="3"/>
  <c r="J76" i="3"/>
  <c r="H78" i="3"/>
  <c r="D43" i="3" s="1"/>
  <c r="M79" i="3"/>
  <c r="K81" i="3"/>
  <c r="I83" i="3"/>
  <c r="N89" i="3"/>
  <c r="L91" i="3"/>
  <c r="J93" i="3"/>
  <c r="M12" i="3"/>
  <c r="I14" i="3"/>
  <c r="M15" i="3"/>
  <c r="I22" i="3"/>
  <c r="N23" i="3"/>
  <c r="L25" i="3"/>
  <c r="J27" i="3"/>
  <c r="H34" i="3"/>
  <c r="D14" i="3" s="1"/>
  <c r="M35" i="3"/>
  <c r="K37" i="3"/>
  <c r="I39" i="3"/>
  <c r="N40" i="3"/>
  <c r="L42" i="3"/>
  <c r="J44" i="3"/>
  <c r="H51" i="3"/>
  <c r="D26" i="3" s="1"/>
  <c r="M52" i="3"/>
  <c r="K54" i="3"/>
  <c r="I56" i="3"/>
  <c r="N57" i="3"/>
  <c r="L59" i="3"/>
  <c r="J66" i="3"/>
  <c r="H68" i="3"/>
  <c r="D38" i="3" s="1"/>
  <c r="M69" i="3"/>
  <c r="K76" i="3"/>
  <c r="I78" i="3"/>
  <c r="N79" i="3"/>
  <c r="L81" i="3"/>
  <c r="J83" i="3"/>
  <c r="H90" i="3"/>
  <c r="D50" i="3" s="1"/>
  <c r="M91" i="3"/>
  <c r="K93" i="3"/>
  <c r="J4" i="3"/>
  <c r="K4" i="3" s="1"/>
  <c r="N12" i="3"/>
  <c r="N15" i="3"/>
  <c r="H24" i="3"/>
  <c r="D9" i="3" s="1"/>
  <c r="K27" i="3"/>
  <c r="N35" i="3"/>
  <c r="L37" i="3"/>
  <c r="J39" i="3"/>
  <c r="M42" i="3"/>
  <c r="K44" i="3"/>
  <c r="I51" i="3"/>
  <c r="N52" i="3"/>
  <c r="L54" i="3"/>
  <c r="J56" i="3"/>
  <c r="H58" i="3"/>
  <c r="D33" i="3" s="1"/>
  <c r="M59" i="3"/>
  <c r="K66" i="3"/>
  <c r="I68" i="3"/>
  <c r="N69" i="3"/>
  <c r="L76" i="3"/>
  <c r="J78" i="3"/>
  <c r="H80" i="3"/>
  <c r="D45" i="3" s="1"/>
  <c r="M81" i="3"/>
  <c r="K83" i="3"/>
  <c r="I90" i="3"/>
  <c r="N91" i="3"/>
  <c r="L93" i="3"/>
  <c r="J8" i="3"/>
  <c r="K8" i="3" s="1"/>
  <c r="J14" i="3"/>
  <c r="J22" i="3"/>
  <c r="M25" i="3"/>
  <c r="I34" i="3"/>
  <c r="H41" i="3"/>
  <c r="D21" i="3" s="1"/>
  <c r="K14" i="3"/>
  <c r="K22" i="3"/>
  <c r="I24" i="3"/>
  <c r="N25" i="3"/>
  <c r="L27" i="3"/>
  <c r="J34" i="3"/>
  <c r="H36" i="3"/>
  <c r="D16" i="3" s="1"/>
  <c r="M37" i="3"/>
  <c r="K39" i="3"/>
  <c r="I41" i="3"/>
  <c r="N42" i="3"/>
  <c r="L44" i="3"/>
  <c r="J51" i="3"/>
  <c r="H53" i="3"/>
  <c r="D28" i="3" s="1"/>
  <c r="M54" i="3"/>
  <c r="K56" i="3"/>
  <c r="I58" i="3"/>
  <c r="N59" i="3"/>
  <c r="L66" i="3"/>
  <c r="J68" i="3"/>
  <c r="H75" i="3"/>
  <c r="D40" i="3" s="1"/>
  <c r="M76" i="3"/>
  <c r="K78" i="3"/>
  <c r="I80" i="3"/>
  <c r="N81" i="3"/>
  <c r="L83" i="3"/>
  <c r="J90" i="3"/>
  <c r="H92" i="3"/>
  <c r="D52" i="3" s="1"/>
  <c r="M93" i="3"/>
  <c r="H13" i="3"/>
  <c r="D3" i="3" s="1"/>
  <c r="L14" i="3"/>
  <c r="H16" i="3"/>
  <c r="D6" i="3" s="1"/>
  <c r="L22" i="3"/>
  <c r="J24" i="3"/>
  <c r="H26" i="3"/>
  <c r="D11" i="3" s="1"/>
  <c r="M27" i="3"/>
  <c r="K34" i="3"/>
  <c r="I36" i="3"/>
  <c r="N37" i="3"/>
  <c r="L39" i="3"/>
  <c r="J41" i="3"/>
  <c r="H43" i="3"/>
  <c r="D23" i="3" s="1"/>
  <c r="M44" i="3"/>
  <c r="K51" i="3"/>
  <c r="I53" i="3"/>
  <c r="N54" i="3"/>
  <c r="L56" i="3"/>
  <c r="J58" i="3"/>
  <c r="H65" i="3"/>
  <c r="D35" i="3" s="1"/>
  <c r="M66" i="3"/>
  <c r="K68" i="3"/>
  <c r="I75" i="3"/>
  <c r="N76" i="3"/>
  <c r="L78" i="3"/>
  <c r="J80" i="3"/>
  <c r="H82" i="3"/>
  <c r="D47" i="3" s="1"/>
  <c r="M83" i="3"/>
  <c r="K90" i="3"/>
  <c r="I92" i="3"/>
  <c r="N93" i="3"/>
  <c r="J5" i="3"/>
  <c r="K5" i="3" s="1"/>
  <c r="I13" i="3"/>
  <c r="M14" i="3"/>
  <c r="I16" i="3"/>
  <c r="M22" i="3"/>
  <c r="K24" i="3"/>
  <c r="I26" i="3"/>
  <c r="N27" i="3"/>
  <c r="L34" i="3"/>
  <c r="J36" i="3"/>
  <c r="H38" i="3"/>
  <c r="D18" i="3" s="1"/>
  <c r="M39" i="3"/>
  <c r="K41" i="3"/>
  <c r="I43" i="3"/>
  <c r="N44" i="3"/>
  <c r="L51" i="3"/>
  <c r="J53" i="3"/>
  <c r="H55" i="3"/>
  <c r="D30" i="3" s="1"/>
  <c r="M56" i="3"/>
  <c r="K58" i="3"/>
  <c r="I65" i="3"/>
  <c r="N66" i="3"/>
  <c r="L68" i="3"/>
  <c r="J75" i="3"/>
  <c r="H77" i="3"/>
  <c r="D42" i="3" s="1"/>
  <c r="M78" i="3"/>
  <c r="K80" i="3"/>
  <c r="I82" i="3"/>
  <c r="N83" i="3"/>
  <c r="L90" i="3"/>
  <c r="J92" i="3"/>
  <c r="H94" i="3"/>
  <c r="D54" i="3" s="1"/>
  <c r="J13" i="3"/>
  <c r="N14" i="3"/>
  <c r="J16" i="3"/>
  <c r="N22" i="3"/>
  <c r="L24" i="3"/>
  <c r="J26" i="3"/>
  <c r="H28" i="3"/>
  <c r="D13" i="3" s="1"/>
  <c r="M34" i="3"/>
  <c r="K36" i="3"/>
  <c r="I38" i="3"/>
  <c r="N39" i="3"/>
  <c r="L41" i="3"/>
  <c r="J43" i="3"/>
  <c r="M51" i="3"/>
  <c r="K53" i="3"/>
  <c r="I55" i="3"/>
  <c r="N56" i="3"/>
  <c r="L58" i="3"/>
  <c r="J65" i="3"/>
  <c r="H67" i="3"/>
  <c r="D37" i="3" s="1"/>
  <c r="M68" i="3"/>
  <c r="K75" i="3"/>
  <c r="I77" i="3"/>
  <c r="N78" i="3"/>
  <c r="L80" i="3"/>
  <c r="J82" i="3"/>
  <c r="H89" i="3"/>
  <c r="D49" i="3" s="1"/>
  <c r="M90" i="3"/>
  <c r="K92" i="3"/>
  <c r="I94" i="3"/>
  <c r="K13" i="3"/>
  <c r="K16" i="3"/>
  <c r="H23" i="3"/>
  <c r="D8" i="3" s="1"/>
  <c r="M24" i="3"/>
  <c r="K26" i="3"/>
  <c r="I28" i="3"/>
  <c r="N34" i="3"/>
  <c r="L36" i="3"/>
  <c r="J38" i="3"/>
  <c r="H40" i="3"/>
  <c r="D20" i="3" s="1"/>
  <c r="M41" i="3"/>
  <c r="K43" i="3"/>
  <c r="I45" i="3"/>
  <c r="N51" i="3"/>
  <c r="L53" i="3"/>
  <c r="J55" i="3"/>
  <c r="H57" i="3"/>
  <c r="D32" i="3" s="1"/>
  <c r="M58" i="3"/>
  <c r="K65" i="3"/>
  <c r="I67" i="3"/>
  <c r="N68" i="3"/>
  <c r="L75" i="3"/>
  <c r="J77" i="3"/>
  <c r="H79" i="3"/>
  <c r="D44" i="3" s="1"/>
  <c r="M80" i="3"/>
  <c r="K82" i="3"/>
  <c r="I89" i="3"/>
  <c r="N90" i="3"/>
  <c r="L92" i="3"/>
  <c r="J94" i="3"/>
  <c r="J2" i="3"/>
  <c r="J6" i="3"/>
  <c r="K6" i="3" s="1"/>
  <c r="H12" i="3"/>
  <c r="D2" i="3" s="1"/>
  <c r="L13" i="3"/>
  <c r="H15" i="3"/>
  <c r="D5" i="3" s="1"/>
  <c r="L16" i="3"/>
  <c r="I23" i="3"/>
  <c r="N24" i="3"/>
  <c r="L26" i="3"/>
  <c r="J28" i="3"/>
  <c r="H35" i="3"/>
  <c r="D15" i="3" s="1"/>
  <c r="M36" i="3"/>
  <c r="K38" i="3"/>
  <c r="I40" i="3"/>
  <c r="N41" i="3"/>
  <c r="L43" i="3"/>
  <c r="J45" i="3"/>
  <c r="H52" i="3"/>
  <c r="D27" i="3" s="1"/>
  <c r="M53" i="3"/>
  <c r="K55" i="3"/>
  <c r="I57" i="3"/>
  <c r="N58" i="3"/>
  <c r="L65" i="3"/>
  <c r="J67" i="3"/>
  <c r="H69" i="3"/>
  <c r="D39" i="3" s="1"/>
  <c r="M75" i="3"/>
  <c r="K77" i="3"/>
  <c r="I79" i="3"/>
  <c r="N80" i="3"/>
  <c r="L82" i="3"/>
  <c r="J89" i="3"/>
  <c r="H91" i="3"/>
  <c r="D51" i="3" s="1"/>
  <c r="M92" i="3"/>
  <c r="Q15" i="3" l="1"/>
  <c r="W11" i="5" s="1"/>
  <c r="Q12" i="3"/>
  <c r="H11" i="5" s="1"/>
  <c r="J9" i="3"/>
  <c r="D14" i="4" s="1"/>
  <c r="K2" i="3"/>
  <c r="K9" i="3" s="1"/>
  <c r="AC14" i="4" s="1"/>
  <c r="Q13" i="3"/>
  <c r="M11" i="5" s="1"/>
  <c r="Q16" i="3"/>
  <c r="AB11" i="5" s="1"/>
  <c r="Q14" i="3"/>
  <c r="R11" i="5" s="1"/>
  <c r="Q11" i="3"/>
  <c r="C11" i="5" s="1"/>
</calcChain>
</file>

<file path=xl/sharedStrings.xml><?xml version="1.0" encoding="utf-8"?>
<sst xmlns="http://schemas.openxmlformats.org/spreadsheetml/2006/main" count="410" uniqueCount="211">
  <si>
    <t>Date</t>
  </si>
  <si>
    <t>Time</t>
  </si>
  <si>
    <t>Route Name</t>
  </si>
  <si>
    <t>Vehicle ID</t>
  </si>
  <si>
    <t>City</t>
  </si>
  <si>
    <t>Shop Name</t>
  </si>
  <si>
    <t>Shirt Type 1 Quantity</t>
  </si>
  <si>
    <t>Shirt Type 2 Quantity</t>
  </si>
  <si>
    <t>Shirt Type 3 Quantity</t>
  </si>
  <si>
    <t>Shirt Type 4 Quantity</t>
  </si>
  <si>
    <t>Shirt Type 5 Quantity</t>
  </si>
  <si>
    <t>Shirt Type 6 Quantity</t>
  </si>
  <si>
    <t>2024-10-11</t>
  </si>
  <si>
    <t>22:54:03</t>
  </si>
  <si>
    <t>Trinco</t>
  </si>
  <si>
    <t>V5</t>
  </si>
  <si>
    <t>Habarana</t>
  </si>
  <si>
    <t>Max Fashion</t>
  </si>
  <si>
    <t>23:03:12</t>
  </si>
  <si>
    <t>Hambanthota</t>
  </si>
  <si>
    <t>V3</t>
  </si>
  <si>
    <t>kurunegala</t>
  </si>
  <si>
    <t>Sriyani</t>
  </si>
  <si>
    <t>23:09:44</t>
  </si>
  <si>
    <t>Colombo</t>
  </si>
  <si>
    <t>V6</t>
  </si>
  <si>
    <t>Yakkala</t>
  </si>
  <si>
    <t>Bimak Fashion</t>
  </si>
  <si>
    <t>2024-10-13</t>
  </si>
  <si>
    <t>10:53:46</t>
  </si>
  <si>
    <t>Kiribathgoda</t>
  </si>
  <si>
    <t>Kandy</t>
  </si>
  <si>
    <t>Nolimit</t>
  </si>
  <si>
    <t>11:07:46</t>
  </si>
  <si>
    <t>Jaffna</t>
  </si>
  <si>
    <t>Mihinthale</t>
  </si>
  <si>
    <t>U fashion</t>
  </si>
  <si>
    <t>16:10:36</t>
  </si>
  <si>
    <t>V4</t>
  </si>
  <si>
    <t>Gampola</t>
  </si>
  <si>
    <t>V2</t>
  </si>
  <si>
    <t>Digana</t>
  </si>
  <si>
    <t>16:18:34</t>
  </si>
  <si>
    <t>V8</t>
  </si>
  <si>
    <t>Thilakawardana</t>
  </si>
  <si>
    <t>16:19:54</t>
  </si>
  <si>
    <t>ssssss</t>
  </si>
  <si>
    <t>2024-10-15</t>
  </si>
  <si>
    <t>15:26:53</t>
  </si>
  <si>
    <t>Galle</t>
  </si>
  <si>
    <t>cib</t>
  </si>
  <si>
    <t>15:33:09</t>
  </si>
  <si>
    <t>Kurunegala</t>
  </si>
  <si>
    <t>2024-10-18</t>
  </si>
  <si>
    <t>21:55:21</t>
  </si>
  <si>
    <t>Warakapola</t>
  </si>
  <si>
    <t>2024-10-19</t>
  </si>
  <si>
    <t>00:17:49</t>
  </si>
  <si>
    <t>Piliyandala</t>
  </si>
  <si>
    <t>00:20:46</t>
  </si>
  <si>
    <t>Batticalo</t>
  </si>
  <si>
    <t>Mahaoya</t>
  </si>
  <si>
    <t>2024-10-26</t>
  </si>
  <si>
    <t>00:27:51</t>
  </si>
  <si>
    <t>Puththalama</t>
  </si>
  <si>
    <t>V1</t>
  </si>
  <si>
    <t>Anamaduwa</t>
  </si>
  <si>
    <t>00:40:55</t>
  </si>
  <si>
    <t>Kanthale</t>
  </si>
  <si>
    <t>Pathirana textile</t>
  </si>
  <si>
    <t>10:10:54</t>
  </si>
  <si>
    <t>Thangalla</t>
  </si>
  <si>
    <t>ASB fashion</t>
  </si>
  <si>
    <t>10:28:05</t>
  </si>
  <si>
    <t>Badulla</t>
  </si>
  <si>
    <t>10:30:10</t>
  </si>
  <si>
    <t>Wariyapola</t>
  </si>
  <si>
    <t>Jaya sri fashion</t>
  </si>
  <si>
    <t>12:53:12</t>
  </si>
  <si>
    <t>Baddulla</t>
  </si>
  <si>
    <t>V7</t>
  </si>
  <si>
    <t>Yonash steps</t>
  </si>
  <si>
    <t>13:42:06</t>
  </si>
  <si>
    <t>Meemas</t>
  </si>
  <si>
    <t>17:19:11</t>
  </si>
  <si>
    <t>Kekirawa</t>
  </si>
  <si>
    <t>Choice Park</t>
  </si>
  <si>
    <t>2024-10-27</t>
  </si>
  <si>
    <t>09:08:50</t>
  </si>
  <si>
    <t>Mawathagama</t>
  </si>
  <si>
    <t>ABC</t>
  </si>
  <si>
    <t>2024-10-29</t>
  </si>
  <si>
    <t>15:48:15</t>
  </si>
  <si>
    <t>Nuwaraeliya</t>
  </si>
  <si>
    <t>Xij</t>
  </si>
  <si>
    <t>Route</t>
  </si>
  <si>
    <t>Full Distance</t>
  </si>
  <si>
    <t>Total Cost(One Time)</t>
  </si>
  <si>
    <t>Total Shirts</t>
  </si>
  <si>
    <t>cost per shirts</t>
  </si>
  <si>
    <t>x11</t>
  </si>
  <si>
    <t>Mahiyanganaya</t>
  </si>
  <si>
    <t>x12</t>
  </si>
  <si>
    <t>Padiyathalawa</t>
  </si>
  <si>
    <t>x13</t>
  </si>
  <si>
    <t>x14</t>
  </si>
  <si>
    <t>x15</t>
  </si>
  <si>
    <t>Katugastota</t>
  </si>
  <si>
    <t>x21</t>
  </si>
  <si>
    <t>x22</t>
  </si>
  <si>
    <t>x23</t>
  </si>
  <si>
    <t>x24</t>
  </si>
  <si>
    <t>Shirt type</t>
  </si>
  <si>
    <t>Total Demands</t>
  </si>
  <si>
    <t>Nikaweratiya</t>
  </si>
  <si>
    <t>x25</t>
  </si>
  <si>
    <t>Type1</t>
  </si>
  <si>
    <t>Type2</t>
  </si>
  <si>
    <t>Type3</t>
  </si>
  <si>
    <t>Type4</t>
  </si>
  <si>
    <t>Type5</t>
  </si>
  <si>
    <t>Type6</t>
  </si>
  <si>
    <t>x26</t>
  </si>
  <si>
    <t>x27</t>
  </si>
  <si>
    <t>Pilimathalawa</t>
  </si>
  <si>
    <t>x31</t>
  </si>
  <si>
    <t>Kadugannawa</t>
  </si>
  <si>
    <t>x32</t>
  </si>
  <si>
    <t>Mohaoya</t>
  </si>
  <si>
    <t>Mawanella</t>
  </si>
  <si>
    <t>x33</t>
  </si>
  <si>
    <t>Kegalle</t>
  </si>
  <si>
    <t>x34</t>
  </si>
  <si>
    <t>Kadawata</t>
  </si>
  <si>
    <t>x35</t>
  </si>
  <si>
    <t>x36</t>
  </si>
  <si>
    <t>Ahangama</t>
  </si>
  <si>
    <t>x37</t>
  </si>
  <si>
    <t>Mirissa</t>
  </si>
  <si>
    <t>x38</t>
  </si>
  <si>
    <t>Matara</t>
  </si>
  <si>
    <t>x39</t>
  </si>
  <si>
    <t>Dikwella</t>
  </si>
  <si>
    <t>x310</t>
  </si>
  <si>
    <t>x311</t>
  </si>
  <si>
    <t>x312</t>
  </si>
  <si>
    <t>x41</t>
  </si>
  <si>
    <t>Nittambuwa</t>
  </si>
  <si>
    <t>x42</t>
  </si>
  <si>
    <t>x43</t>
  </si>
  <si>
    <t>x44</t>
  </si>
  <si>
    <t>x45</t>
  </si>
  <si>
    <t>Kottawa</t>
  </si>
  <si>
    <t>x46</t>
  </si>
  <si>
    <t>Maharagama</t>
  </si>
  <si>
    <t>x47</t>
  </si>
  <si>
    <t>x48</t>
  </si>
  <si>
    <t>Malabe</t>
  </si>
  <si>
    <t>x49</t>
  </si>
  <si>
    <t>x51</t>
  </si>
  <si>
    <t>x52</t>
  </si>
  <si>
    <t>Nuwaraelliya</t>
  </si>
  <si>
    <t>x53</t>
  </si>
  <si>
    <t>Welimada</t>
  </si>
  <si>
    <t>x54</t>
  </si>
  <si>
    <t>x55</t>
  </si>
  <si>
    <t>Dambulla</t>
  </si>
  <si>
    <t>x61</t>
  </si>
  <si>
    <t>x62</t>
  </si>
  <si>
    <t>Thalawa</t>
  </si>
  <si>
    <t>x63</t>
  </si>
  <si>
    <t>Anuradhapuraya</t>
  </si>
  <si>
    <t>x64</t>
  </si>
  <si>
    <t>x65</t>
  </si>
  <si>
    <t>Madawachchiya</t>
  </si>
  <si>
    <t>x66</t>
  </si>
  <si>
    <t>Wawniyawa</t>
  </si>
  <si>
    <t>x67</t>
  </si>
  <si>
    <t>Kilinochchiya</t>
  </si>
  <si>
    <t>x68</t>
  </si>
  <si>
    <t>x69</t>
  </si>
  <si>
    <t>Mathale</t>
  </si>
  <si>
    <t>x71</t>
  </si>
  <si>
    <t>Naula</t>
  </si>
  <si>
    <t>x72</t>
  </si>
  <si>
    <t>x73</t>
  </si>
  <si>
    <t>x74</t>
  </si>
  <si>
    <t>x75</t>
  </si>
  <si>
    <t>Trincomalee</t>
  </si>
  <si>
    <t>x76</t>
  </si>
  <si>
    <t>Main Dashboard</t>
  </si>
  <si>
    <t>Total Shirts Demands</t>
  </si>
  <si>
    <t>Total Transport cost</t>
  </si>
  <si>
    <t>AVG Transport cost per shirt</t>
  </si>
  <si>
    <t>Details Dashboard</t>
  </si>
  <si>
    <t>Type1 Shirts</t>
  </si>
  <si>
    <t>Type2 Shirts</t>
  </si>
  <si>
    <t>Type3 Shirts</t>
  </si>
  <si>
    <t>Type4 Shirts</t>
  </si>
  <si>
    <t>Type5 Shirts</t>
  </si>
  <si>
    <t>Type6 Shirts</t>
  </si>
  <si>
    <t>Total Demand</t>
  </si>
  <si>
    <t>City (Xij)</t>
  </si>
  <si>
    <t>Shirt Type 1</t>
  </si>
  <si>
    <t>Shirt Type 2</t>
  </si>
  <si>
    <t>Shirt Type 3</t>
  </si>
  <si>
    <t>Shirt Type 4</t>
  </si>
  <si>
    <t>Shirt Type 5</t>
  </si>
  <si>
    <t>Shirt Type 6</t>
  </si>
  <si>
    <t>Current Demand</t>
  </si>
  <si>
    <t>Past Demand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</si>
</sst>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;[Red]0.00"/>
  </numFmts>
  <fonts count="21" x14ac:knownFonts="1">
    <font>
      <sz val="11"/>
      <color theme="1"/>
      <name val="Calibri"/>
      <family val="2"/>
      <scheme val="minor"/>
    </font>
    <font>
      <sz val="14"/>
      <color rgb="FF000000"/>
      <name val="Arial"/>
      <family val="2"/>
    </font>
    <font>
      <sz val="14"/>
      <color theme="1"/>
      <name val="Arial"/>
      <family val="2"/>
    </font>
    <font>
      <sz val="18"/>
      <color theme="1"/>
      <name val="Calibri"/>
      <family val="2"/>
      <scheme val="minor"/>
    </font>
    <font>
      <sz val="11"/>
      <color rgb="FF000000"/>
      <name val="Arial"/>
      <family val="2"/>
    </font>
    <font>
      <sz val="12"/>
      <color rgb="FF000000"/>
      <name val="Arial"/>
      <family val="2"/>
    </font>
    <font>
      <b/>
      <sz val="36"/>
      <color theme="1" tint="0.34998626667073579"/>
      <name val="Calibri"/>
      <family val="2"/>
      <scheme val="minor"/>
    </font>
    <font>
      <sz val="90"/>
      <color theme="1"/>
      <name val="Calibri"/>
      <family val="2"/>
      <scheme val="minor"/>
    </font>
    <font>
      <b/>
      <sz val="90"/>
      <color rgb="FFC00000"/>
      <name val="Calibri"/>
      <family val="2"/>
      <scheme val="minor"/>
    </font>
    <font>
      <b/>
      <sz val="72"/>
      <color rgb="FFC00000"/>
      <name val="Calibri"/>
      <family val="2"/>
      <scheme val="minor"/>
    </font>
    <font>
      <b/>
      <sz val="22"/>
      <color theme="1" tint="0.34998626667073579"/>
      <name val="Calibri"/>
      <family val="2"/>
      <scheme val="minor"/>
    </font>
    <font>
      <b/>
      <sz val="36"/>
      <color theme="4" tint="-0.249977111117893"/>
      <name val="Calibri"/>
      <family val="2"/>
      <scheme val="minor"/>
    </font>
    <font>
      <b/>
      <sz val="36"/>
      <color theme="3" tint="-0.249977111117893"/>
      <name val="Calibri"/>
      <family val="2"/>
      <scheme val="minor"/>
    </font>
    <font>
      <b/>
      <sz val="36"/>
      <color theme="6" tint="-0.499984740745262"/>
      <name val="Calibri"/>
      <family val="2"/>
      <scheme val="minor"/>
    </font>
    <font>
      <b/>
      <sz val="36"/>
      <color theme="8" tint="-0.499984740745262"/>
      <name val="Calibri"/>
      <family val="2"/>
      <scheme val="minor"/>
    </font>
    <font>
      <b/>
      <sz val="36"/>
      <color theme="0"/>
      <name val="Calibri"/>
      <family val="2"/>
      <scheme val="minor"/>
    </font>
    <font>
      <b/>
      <sz val="72"/>
      <color theme="2" tint="-0.499984740745262"/>
      <name val="Calibri"/>
      <family val="2"/>
      <scheme val="minor"/>
    </font>
    <font>
      <b/>
      <sz val="72"/>
      <color theme="6" tint="0.79998168889431442"/>
      <name val="Calibri"/>
      <family val="2"/>
      <scheme val="minor"/>
    </font>
    <font>
      <b/>
      <sz val="11"/>
      <name val="Calibri"/>
      <family val="2"/>
    </font>
    <font>
      <sz val="10"/>
      <color theme="1"/>
      <name val="Arial"/>
      <family val="2"/>
    </font>
    <font>
      <sz val="16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327CEA"/>
        <bgColor indexed="64"/>
      </patternFill>
    </fill>
    <fill>
      <patternFill patternType="solid">
        <fgColor rgb="FF83BFF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5">
    <xf numFmtId="0" fontId="0" fillId="0" borderId="0" xfId="0"/>
    <xf numFmtId="2" fontId="0" fillId="0" borderId="0" xfId="0" applyNumberFormat="1"/>
    <xf numFmtId="0" fontId="1" fillId="0" borderId="0" xfId="0" applyFont="1"/>
    <xf numFmtId="0" fontId="2" fillId="0" borderId="1" xfId="0" applyFont="1" applyBorder="1" applyAlignment="1">
      <alignment wrapText="1"/>
    </xf>
    <xf numFmtId="164" fontId="0" fillId="0" borderId="0" xfId="0" applyNumberFormat="1"/>
    <xf numFmtId="0" fontId="2" fillId="0" borderId="3" xfId="0" applyFont="1" applyBorder="1" applyAlignment="1">
      <alignment wrapText="1"/>
    </xf>
    <xf numFmtId="0" fontId="2" fillId="0" borderId="0" xfId="0" applyFont="1" applyAlignment="1">
      <alignment wrapText="1"/>
    </xf>
    <xf numFmtId="0" fontId="3" fillId="2" borderId="0" xfId="0" applyFont="1" applyFill="1"/>
    <xf numFmtId="0" fontId="0" fillId="0" borderId="2" xfId="0" applyBorder="1"/>
    <xf numFmtId="0" fontId="4" fillId="0" borderId="2" xfId="0" applyFont="1" applyBorder="1"/>
    <xf numFmtId="0" fontId="0" fillId="0" borderId="4" xfId="0" applyBorder="1"/>
    <xf numFmtId="0" fontId="5" fillId="0" borderId="4" xfId="0" applyFont="1" applyBorder="1"/>
    <xf numFmtId="0" fontId="0" fillId="0" borderId="5" xfId="0" applyBorder="1"/>
    <xf numFmtId="0" fontId="0" fillId="3" borderId="0" xfId="0" applyFill="1"/>
    <xf numFmtId="0" fontId="7" fillId="3" borderId="0" xfId="0" applyFont="1" applyFill="1" applyAlignment="1">
      <alignment horizontal="center" vertical="center"/>
    </xf>
    <xf numFmtId="0" fontId="18" fillId="0" borderId="6" xfId="0" applyFont="1" applyBorder="1" applyAlignment="1">
      <alignment horizontal="center" vertical="top"/>
    </xf>
    <xf numFmtId="164" fontId="18" fillId="0" borderId="6" xfId="0" applyNumberFormat="1" applyFont="1" applyBorder="1" applyAlignment="1">
      <alignment horizontal="center" vertical="top"/>
    </xf>
    <xf numFmtId="2" fontId="18" fillId="0" borderId="6" xfId="0" applyNumberFormat="1" applyFont="1" applyBorder="1" applyAlignment="1">
      <alignment horizontal="center" vertical="top"/>
    </xf>
    <xf numFmtId="0" fontId="19" fillId="0" borderId="1" xfId="0" applyFont="1" applyBorder="1" applyAlignment="1">
      <alignment horizontal="right" wrapText="1"/>
    </xf>
    <xf numFmtId="2" fontId="16" fillId="4" borderId="0" xfId="0" applyNumberFormat="1" applyFont="1" applyFill="1" applyAlignment="1">
      <alignment horizontal="center" vertical="center"/>
    </xf>
    <xf numFmtId="0" fontId="0" fillId="3" borderId="0" xfId="0" applyFill="1"/>
    <xf numFmtId="0" fontId="6" fillId="3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16" fillId="4" borderId="0" xfId="0" applyFont="1" applyFill="1" applyAlignment="1">
      <alignment horizontal="center" vertical="center"/>
    </xf>
    <xf numFmtId="2" fontId="17" fillId="6" borderId="0" xfId="0" applyNumberFormat="1" applyFont="1" applyFill="1" applyAlignment="1">
      <alignment horizontal="center" vertical="center"/>
    </xf>
    <xf numFmtId="0" fontId="14" fillId="10" borderId="0" xfId="0" applyFont="1" applyFill="1" applyAlignment="1">
      <alignment horizontal="center" vertical="center"/>
    </xf>
    <xf numFmtId="0" fontId="0" fillId="0" borderId="0" xfId="0"/>
    <xf numFmtId="0" fontId="12" fillId="8" borderId="0" xfId="0" applyFont="1" applyFill="1" applyAlignment="1">
      <alignment horizontal="center" vertical="center"/>
    </xf>
    <xf numFmtId="0" fontId="15" fillId="11" borderId="0" xfId="0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15" fillId="5" borderId="0" xfId="0" applyFont="1" applyFill="1" applyAlignment="1">
      <alignment horizontal="center" vertical="center"/>
    </xf>
    <xf numFmtId="0" fontId="13" fillId="9" borderId="0" xfId="0" applyFont="1" applyFill="1" applyAlignment="1">
      <alignment horizontal="center" vertical="center"/>
    </xf>
    <xf numFmtId="0" fontId="11" fillId="7" borderId="0" xfId="0" applyFont="1" applyFill="1" applyAlignment="1">
      <alignment horizontal="center" vertical="center"/>
    </xf>
    <xf numFmtId="0" fontId="20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r>
              <a:rPr lang="en-US" sz="2000" b="1">
                <a:solidFill>
                  <a:schemeClr val="bg2">
                    <a:lumMod val="25000"/>
                  </a:schemeClr>
                </a:solidFill>
              </a:rPr>
              <a:t>Total</a:t>
            </a:r>
            <a:r>
              <a:rPr lang="en-US" sz="2000" b="1" baseline="0">
                <a:solidFill>
                  <a:schemeClr val="bg2">
                    <a:lumMod val="25000"/>
                  </a:schemeClr>
                </a:solidFill>
              </a:rPr>
              <a:t> Shirts Demands in each Routes</a:t>
            </a:r>
            <a:endParaRPr lang="en-US" sz="2000" b="1">
              <a:solidFill>
                <a:schemeClr val="bg2">
                  <a:lumMod val="25000"/>
                </a:schemeClr>
              </a:solidFill>
            </a:endParaRP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Analysis '!$G$2</c:f>
              <c:strCache>
                <c:ptCount val="1"/>
                <c:pt idx="0">
                  <c:v>Batticalo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47000"/>
                  </a:schemeClr>
                </a:gs>
                <a:gs pos="75000">
                  <a:schemeClr val="accent1">
                    <a:shade val="47000"/>
                    <a:lumMod val="60000"/>
                    <a:lumOff val="40000"/>
                  </a:schemeClr>
                </a:gs>
                <a:gs pos="51000">
                  <a:schemeClr val="accent1">
                    <a:shade val="47000"/>
                    <a:alpha val="75000"/>
                  </a:schemeClr>
                </a:gs>
                <a:gs pos="100000">
                  <a:schemeClr val="accent1">
                    <a:shade val="47000"/>
                    <a:alpha val="15000"/>
                    <a:lumMod val="20000"/>
                    <a:lumOff val="80000"/>
                  </a:schemeClr>
                </a:gs>
              </a:gsLst>
              <a:lin ang="5400000" scaled="0"/>
            </a:gra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'Data Analysis '!$J$2</c:f>
              <c:numCache>
                <c:formatCode>General</c:formatCode>
                <c:ptCount val="1"/>
                <c:pt idx="0">
                  <c:v>1090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A7-4EAA-A1B8-9003F3DBE0C6}"/>
            </c:ext>
          </c:extLst>
        </c:ser>
        <c:ser>
          <c:idx val="1"/>
          <c:order val="1"/>
          <c:tx>
            <c:strRef>
              <c:f>'Data Analysis '!$G$3</c:f>
              <c:strCache>
                <c:ptCount val="1"/>
                <c:pt idx="0">
                  <c:v>Puththalama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65000"/>
                  </a:schemeClr>
                </a:gs>
                <a:gs pos="75000">
                  <a:schemeClr val="accent1">
                    <a:shade val="65000"/>
                    <a:lumMod val="60000"/>
                    <a:lumOff val="40000"/>
                  </a:schemeClr>
                </a:gs>
                <a:gs pos="51000">
                  <a:schemeClr val="accent1">
                    <a:shade val="65000"/>
                    <a:alpha val="75000"/>
                  </a:schemeClr>
                </a:gs>
                <a:gs pos="100000">
                  <a:schemeClr val="accent1">
                    <a:shade val="65000"/>
                    <a:alpha val="15000"/>
                    <a:lumMod val="20000"/>
                    <a:lumOff val="80000"/>
                  </a:schemeClr>
                </a:gs>
              </a:gsLst>
              <a:lin ang="5400000" scaled="0"/>
            </a:gra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'Data Analysis '!$J$3</c:f>
              <c:numCache>
                <c:formatCode>General</c:formatCode>
                <c:ptCount val="1"/>
                <c:pt idx="0">
                  <c:v>3410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A7-4EAA-A1B8-9003F3DBE0C6}"/>
            </c:ext>
          </c:extLst>
        </c:ser>
        <c:ser>
          <c:idx val="2"/>
          <c:order val="2"/>
          <c:tx>
            <c:strRef>
              <c:f>'Data Analysis '!$G$4</c:f>
              <c:strCache>
                <c:ptCount val="1"/>
                <c:pt idx="0">
                  <c:v>Hambanthota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82000"/>
                  </a:schemeClr>
                </a:gs>
                <a:gs pos="75000">
                  <a:schemeClr val="accent1">
                    <a:shade val="82000"/>
                    <a:lumMod val="60000"/>
                    <a:lumOff val="40000"/>
                  </a:schemeClr>
                </a:gs>
                <a:gs pos="51000">
                  <a:schemeClr val="accent1">
                    <a:shade val="82000"/>
                    <a:alpha val="75000"/>
                  </a:schemeClr>
                </a:gs>
                <a:gs pos="100000">
                  <a:schemeClr val="accent1">
                    <a:shade val="82000"/>
                    <a:alpha val="15000"/>
                    <a:lumMod val="20000"/>
                    <a:lumOff val="80000"/>
                  </a:schemeClr>
                </a:gs>
              </a:gsLst>
              <a:lin ang="5400000" scaled="0"/>
            </a:gra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'Data Analysis '!$J$4</c:f>
              <c:numCache>
                <c:formatCode>General</c:formatCode>
                <c:ptCount val="1"/>
                <c:pt idx="0">
                  <c:v>1460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A7-4EAA-A1B8-9003F3DBE0C6}"/>
            </c:ext>
          </c:extLst>
        </c:ser>
        <c:ser>
          <c:idx val="3"/>
          <c:order val="3"/>
          <c:tx>
            <c:strRef>
              <c:f>'Data Analysis '!$G$5</c:f>
              <c:strCache>
                <c:ptCount val="1"/>
                <c:pt idx="0">
                  <c:v>Colombo</c:v>
                </c:pt>
              </c:strCache>
            </c:strRef>
          </c:tx>
          <c:spPr>
            <a:gradFill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alpha val="15000"/>
                    <a:lumMod val="20000"/>
                    <a:lumOff val="80000"/>
                  </a:schemeClr>
                </a:gs>
              </a:gsLst>
              <a:lin ang="5400000" scaled="0"/>
            </a:gra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'Data Analysis '!$J$5</c:f>
              <c:numCache>
                <c:formatCode>General</c:formatCode>
                <c:ptCount val="1"/>
                <c:pt idx="0">
                  <c:v>5610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8A7-4EAA-A1B8-9003F3DBE0C6}"/>
            </c:ext>
          </c:extLst>
        </c:ser>
        <c:ser>
          <c:idx val="4"/>
          <c:order val="4"/>
          <c:tx>
            <c:strRef>
              <c:f>'Data Analysis '!$G$6</c:f>
              <c:strCache>
                <c:ptCount val="1"/>
                <c:pt idx="0">
                  <c:v>Badulla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83000"/>
                  </a:schemeClr>
                </a:gs>
                <a:gs pos="75000">
                  <a:schemeClr val="accent1">
                    <a:tint val="83000"/>
                    <a:lumMod val="60000"/>
                    <a:lumOff val="40000"/>
                  </a:schemeClr>
                </a:gs>
                <a:gs pos="51000">
                  <a:schemeClr val="accent1">
                    <a:tint val="83000"/>
                    <a:alpha val="75000"/>
                  </a:schemeClr>
                </a:gs>
                <a:gs pos="100000">
                  <a:schemeClr val="accent1">
                    <a:tint val="83000"/>
                    <a:alpha val="15000"/>
                    <a:lumMod val="20000"/>
                    <a:lumOff val="80000"/>
                  </a:schemeClr>
                </a:gs>
              </a:gsLst>
              <a:lin ang="5400000" scaled="0"/>
            </a:gra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'Data Analysis '!$J$6</c:f>
              <c:numCache>
                <c:formatCode>General</c:formatCode>
                <c:ptCount val="1"/>
                <c:pt idx="0">
                  <c:v>2080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8A7-4EAA-A1B8-9003F3DBE0C6}"/>
            </c:ext>
          </c:extLst>
        </c:ser>
        <c:ser>
          <c:idx val="5"/>
          <c:order val="5"/>
          <c:tx>
            <c:strRef>
              <c:f>'Data Analysis '!$G$7</c:f>
              <c:strCache>
                <c:ptCount val="1"/>
                <c:pt idx="0">
                  <c:v>Jaffna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65000"/>
                  </a:schemeClr>
                </a:gs>
                <a:gs pos="75000">
                  <a:schemeClr val="accent1">
                    <a:tint val="65000"/>
                    <a:lumMod val="60000"/>
                    <a:lumOff val="40000"/>
                  </a:schemeClr>
                </a:gs>
                <a:gs pos="51000">
                  <a:schemeClr val="accent1">
                    <a:tint val="65000"/>
                    <a:alpha val="75000"/>
                  </a:schemeClr>
                </a:gs>
                <a:gs pos="100000">
                  <a:schemeClr val="accent1">
                    <a:tint val="65000"/>
                    <a:alpha val="15000"/>
                    <a:lumMod val="20000"/>
                    <a:lumOff val="80000"/>
                  </a:schemeClr>
                </a:gs>
              </a:gsLst>
              <a:lin ang="5400000" scaled="0"/>
            </a:gra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'Data Analysis '!$J$7</c:f>
              <c:numCache>
                <c:formatCode>General</c:formatCode>
                <c:ptCount val="1"/>
                <c:pt idx="0">
                  <c:v>1910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8A7-4EAA-A1B8-9003F3DBE0C6}"/>
            </c:ext>
          </c:extLst>
        </c:ser>
        <c:ser>
          <c:idx val="6"/>
          <c:order val="6"/>
          <c:tx>
            <c:strRef>
              <c:f>'Data Analysis '!$G$8</c:f>
              <c:strCache>
                <c:ptCount val="1"/>
                <c:pt idx="0">
                  <c:v>Trinco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48000"/>
                  </a:schemeClr>
                </a:gs>
                <a:gs pos="75000">
                  <a:schemeClr val="accent1">
                    <a:tint val="48000"/>
                    <a:lumMod val="60000"/>
                    <a:lumOff val="40000"/>
                  </a:schemeClr>
                </a:gs>
                <a:gs pos="51000">
                  <a:schemeClr val="accent1">
                    <a:tint val="48000"/>
                    <a:alpha val="75000"/>
                  </a:schemeClr>
                </a:gs>
                <a:gs pos="100000">
                  <a:schemeClr val="accent1">
                    <a:tint val="48000"/>
                    <a:alpha val="15000"/>
                    <a:lumMod val="20000"/>
                    <a:lumOff val="80000"/>
                  </a:schemeClr>
                </a:gs>
              </a:gsLst>
              <a:lin ang="5400000" scaled="0"/>
            </a:gra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'Data Analysis '!$J$8</c:f>
              <c:numCache>
                <c:formatCode>General</c:formatCode>
                <c:ptCount val="1"/>
                <c:pt idx="0">
                  <c:v>670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8A7-4EAA-A1B8-9003F3DBE0C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55"/>
        <c:overlap val="-70"/>
        <c:axId val="737439152"/>
        <c:axId val="737437712"/>
      </c:barChart>
      <c:catAx>
        <c:axId val="7374391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37437712"/>
        <c:crosses val="autoZero"/>
        <c:auto val="1"/>
        <c:lblAlgn val="ctr"/>
        <c:lblOffset val="100"/>
        <c:noMultiLvlLbl val="0"/>
      </c:catAx>
      <c:valAx>
        <c:axId val="73743771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accent1"/>
            </a:solidFill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43915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3200" b="1" i="0" strike="noStrike" kern="1200" baseline="0">
                <a:solidFill>
                  <a:sysClr val="windowText" lastClr="000000">
                    <a:lumOff val="35000"/>
                    <a:lumMod val="6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3200" b="1" i="0" strike="noStrike" kern="1200" baseline="0">
                <a:solidFill>
                  <a:sysClr val="windowText" lastClr="000000">
                    <a:lumOff val="35000"/>
                    <a:lumMod val="65000"/>
                  </a:sysClr>
                </a:solidFill>
                <a:latin typeface="+mn-lt"/>
                <a:ea typeface="+mn-ea"/>
                <a:cs typeface="+mn-cs"/>
              </a:rPr>
              <a:t>Trinco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0.2556869535455098"/>
          <c:y val="0.17647823862536929"/>
          <c:w val="0.49408709045205818"/>
          <c:h val="0.52071842920591593"/>
        </c:manualLayout>
      </c:layout>
      <c:doughnutChart>
        <c:varyColors val="1"/>
        <c:ser>
          <c:idx val="0"/>
          <c:order val="0"/>
          <c:spPr>
            <a:ln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8B35-49D2-900C-2D42793A70B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8B35-49D2-900C-2D42793A70B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8B35-49D2-900C-2D42793A70B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8B35-49D2-900C-2D42793A70B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8B35-49D2-900C-2D42793A70B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8B35-49D2-900C-2D42793A70BB}"/>
              </c:ext>
            </c:extLst>
          </c:dPt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'Data Analysis '!$G$89:$G$94</c:f>
              <c:strCache>
                <c:ptCount val="6"/>
                <c:pt idx="0">
                  <c:v>Mathale</c:v>
                </c:pt>
                <c:pt idx="1">
                  <c:v>Naula</c:v>
                </c:pt>
                <c:pt idx="2">
                  <c:v>Dambulla</c:v>
                </c:pt>
                <c:pt idx="3">
                  <c:v>Habarana</c:v>
                </c:pt>
                <c:pt idx="4">
                  <c:v>Kanthale</c:v>
                </c:pt>
                <c:pt idx="5">
                  <c:v>Trincomalee</c:v>
                </c:pt>
              </c:strCache>
            </c:strRef>
          </c:cat>
          <c:val>
            <c:numRef>
              <c:f>'Data Analysis '!$H$89:$H$94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310</c:v>
                </c:pt>
                <c:pt idx="4">
                  <c:v>360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B35-49D2-900C-2D42793A70BB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0"/>
      </c:doughnutChart>
    </c:plotArea>
    <c:legend>
      <c:legendPos val="b"/>
      <c:layout>
        <c:manualLayout>
          <c:xMode val="edge"/>
          <c:yMode val="edge"/>
          <c:x val="0.1318854233224433"/>
          <c:y val="0.78262982665309"/>
          <c:w val="0.70398790138321721"/>
          <c:h val="0.14930664916885389"/>
        </c:manualLayout>
      </c:layout>
      <c:overlay val="0"/>
      <c:spPr>
        <a:solidFill>
          <a:schemeClr val="lt1">
            <a:alpha val="78000"/>
          </a:schemeClr>
        </a:solidFill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lang="en-US" sz="1600" b="0" i="0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1"/>
  </c:chart>
  <c:spPr>
    <a:noFill/>
    <a:ln w="9525" cap="flat" cmpd="sng" algn="ctr">
      <a:solidFill>
        <a:schemeClr val="accent1"/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1">
                <a:solidFill>
                  <a:schemeClr val="bg2">
                    <a:lumMod val="25000"/>
                  </a:schemeClr>
                </a:solidFill>
              </a:rPr>
              <a:t>comparing</a:t>
            </a:r>
            <a:r>
              <a:rPr lang="en-US" sz="2400" b="1" baseline="0">
                <a:solidFill>
                  <a:schemeClr val="bg2">
                    <a:lumMod val="25000"/>
                  </a:schemeClr>
                </a:solidFill>
              </a:rPr>
              <a:t> previous shirt demand and current shirt demand</a:t>
            </a:r>
            <a:endParaRPr lang="en-US" sz="2400" b="1">
              <a:solidFill>
                <a:schemeClr val="bg2">
                  <a:lumMod val="25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7327132673523743E-2"/>
          <c:y val="6.2792685975248022E-2"/>
          <c:w val="0.95641336128977195"/>
          <c:h val="0.6744465718585485"/>
        </c:manualLayout>
      </c:layout>
      <c:lineChart>
        <c:grouping val="standard"/>
        <c:varyColors val="0"/>
        <c:ser>
          <c:idx val="0"/>
          <c:order val="0"/>
          <c:spPr>
            <a:ln w="34925" cap="rnd">
              <a:solidFill>
                <a:srgbClr val="C00000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rgbClr val="C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'Data Analysis '!$B$2:$B$54</c:f>
              <c:strCache>
                <c:ptCount val="53"/>
                <c:pt idx="0">
                  <c:v>Digana</c:v>
                </c:pt>
                <c:pt idx="1">
                  <c:v>Mahiyanganaya</c:v>
                </c:pt>
                <c:pt idx="2">
                  <c:v>Padiyathalawa</c:v>
                </c:pt>
                <c:pt idx="3">
                  <c:v>Mahaoya</c:v>
                </c:pt>
                <c:pt idx="4">
                  <c:v>Batticalo</c:v>
                </c:pt>
                <c:pt idx="5">
                  <c:v>Katugastota</c:v>
                </c:pt>
                <c:pt idx="6">
                  <c:v>Mawathagama</c:v>
                </c:pt>
                <c:pt idx="7">
                  <c:v>Kurunegala</c:v>
                </c:pt>
                <c:pt idx="8">
                  <c:v>Wariyapola</c:v>
                </c:pt>
                <c:pt idx="9">
                  <c:v>Nikaweratiya</c:v>
                </c:pt>
                <c:pt idx="10">
                  <c:v>Anamaduwa</c:v>
                </c:pt>
                <c:pt idx="11">
                  <c:v>Puththalama</c:v>
                </c:pt>
                <c:pt idx="12">
                  <c:v>Pilimathalawa</c:v>
                </c:pt>
                <c:pt idx="13">
                  <c:v>Kadugannawa</c:v>
                </c:pt>
                <c:pt idx="14">
                  <c:v>Mawanella</c:v>
                </c:pt>
                <c:pt idx="15">
                  <c:v>Kegalle</c:v>
                </c:pt>
                <c:pt idx="16">
                  <c:v>Kadawata</c:v>
                </c:pt>
                <c:pt idx="17">
                  <c:v>Galle</c:v>
                </c:pt>
                <c:pt idx="18">
                  <c:v>Ahangama</c:v>
                </c:pt>
                <c:pt idx="19">
                  <c:v>Mirissa</c:v>
                </c:pt>
                <c:pt idx="20">
                  <c:v>Matara</c:v>
                </c:pt>
                <c:pt idx="21">
                  <c:v>Dikwella</c:v>
                </c:pt>
                <c:pt idx="22">
                  <c:v>Thangalla</c:v>
                </c:pt>
                <c:pt idx="23">
                  <c:v>Hambanthota</c:v>
                </c:pt>
                <c:pt idx="24">
                  <c:v>Warakapola</c:v>
                </c:pt>
                <c:pt idx="25">
                  <c:v>Nittambuwa</c:v>
                </c:pt>
                <c:pt idx="26">
                  <c:v>Yakkala</c:v>
                </c:pt>
                <c:pt idx="27">
                  <c:v>Kiribathgoda</c:v>
                </c:pt>
                <c:pt idx="28">
                  <c:v>Colombo</c:v>
                </c:pt>
                <c:pt idx="29">
                  <c:v>Kottawa</c:v>
                </c:pt>
                <c:pt idx="30">
                  <c:v>Maharagama</c:v>
                </c:pt>
                <c:pt idx="31">
                  <c:v>Piliyandala</c:v>
                </c:pt>
                <c:pt idx="32">
                  <c:v>Malabe</c:v>
                </c:pt>
                <c:pt idx="33">
                  <c:v>Kandy</c:v>
                </c:pt>
                <c:pt idx="34">
                  <c:v>Gampola</c:v>
                </c:pt>
                <c:pt idx="35">
                  <c:v>Nuwaraeliya</c:v>
                </c:pt>
                <c:pt idx="36">
                  <c:v>Welimada</c:v>
                </c:pt>
                <c:pt idx="37">
                  <c:v>Baddulla</c:v>
                </c:pt>
                <c:pt idx="38">
                  <c:v>Dambulla</c:v>
                </c:pt>
                <c:pt idx="39">
                  <c:v>Kekirawa</c:v>
                </c:pt>
                <c:pt idx="40">
                  <c:v>Thalawa</c:v>
                </c:pt>
                <c:pt idx="41">
                  <c:v>Anuradhapuraya</c:v>
                </c:pt>
                <c:pt idx="42">
                  <c:v>Mihinthale</c:v>
                </c:pt>
                <c:pt idx="43">
                  <c:v>Madawachchiya</c:v>
                </c:pt>
                <c:pt idx="44">
                  <c:v>Wawniyawa</c:v>
                </c:pt>
                <c:pt idx="45">
                  <c:v>Kilinochchiya</c:v>
                </c:pt>
                <c:pt idx="46">
                  <c:v>Jaffna</c:v>
                </c:pt>
                <c:pt idx="47">
                  <c:v>Mathale</c:v>
                </c:pt>
                <c:pt idx="48">
                  <c:v>Naula</c:v>
                </c:pt>
                <c:pt idx="49">
                  <c:v>Dambulla</c:v>
                </c:pt>
                <c:pt idx="50">
                  <c:v>Habarana</c:v>
                </c:pt>
                <c:pt idx="51">
                  <c:v>Kanthale</c:v>
                </c:pt>
                <c:pt idx="52">
                  <c:v>Trincomalee</c:v>
                </c:pt>
              </c:strCache>
            </c:strRef>
          </c:cat>
          <c:val>
            <c:numRef>
              <c:f>'Data Analysis '!$D$2:$D$54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410</c:v>
                </c:pt>
                <c:pt idx="4">
                  <c:v>680</c:v>
                </c:pt>
                <c:pt idx="5">
                  <c:v>0</c:v>
                </c:pt>
                <c:pt idx="6">
                  <c:v>610</c:v>
                </c:pt>
                <c:pt idx="7">
                  <c:v>1910</c:v>
                </c:pt>
                <c:pt idx="8">
                  <c:v>480</c:v>
                </c:pt>
                <c:pt idx="9">
                  <c:v>0</c:v>
                </c:pt>
                <c:pt idx="10">
                  <c:v>410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970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490</c:v>
                </c:pt>
                <c:pt idx="23">
                  <c:v>0</c:v>
                </c:pt>
                <c:pt idx="24">
                  <c:v>600</c:v>
                </c:pt>
                <c:pt idx="25">
                  <c:v>0</c:v>
                </c:pt>
                <c:pt idx="26">
                  <c:v>460</c:v>
                </c:pt>
                <c:pt idx="27">
                  <c:v>2750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1800</c:v>
                </c:pt>
                <c:pt idx="32">
                  <c:v>0</c:v>
                </c:pt>
                <c:pt idx="33">
                  <c:v>710</c:v>
                </c:pt>
                <c:pt idx="34">
                  <c:v>450</c:v>
                </c:pt>
                <c:pt idx="35">
                  <c:v>480</c:v>
                </c:pt>
                <c:pt idx="36">
                  <c:v>0</c:v>
                </c:pt>
                <c:pt idx="37">
                  <c:v>440</c:v>
                </c:pt>
                <c:pt idx="38">
                  <c:v>0</c:v>
                </c:pt>
                <c:pt idx="39">
                  <c:v>460</c:v>
                </c:pt>
                <c:pt idx="40">
                  <c:v>0</c:v>
                </c:pt>
                <c:pt idx="41">
                  <c:v>0</c:v>
                </c:pt>
                <c:pt idx="42">
                  <c:v>450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1000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310</c:v>
                </c:pt>
                <c:pt idx="51">
                  <c:v>360</c:v>
                </c:pt>
                <c:pt idx="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80-4801-BA9A-BC103FE01A07}"/>
            </c:ext>
          </c:extLst>
        </c:ser>
        <c:ser>
          <c:idx val="1"/>
          <c:order val="1"/>
          <c:spPr>
            <a:ln w="19050" cap="rnd">
              <a:solidFill>
                <a:schemeClr val="bg2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55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'Data Analysis '!$B$2:$B$54</c:f>
              <c:strCache>
                <c:ptCount val="53"/>
                <c:pt idx="0">
                  <c:v>Digana</c:v>
                </c:pt>
                <c:pt idx="1">
                  <c:v>Mahiyanganaya</c:v>
                </c:pt>
                <c:pt idx="2">
                  <c:v>Padiyathalawa</c:v>
                </c:pt>
                <c:pt idx="3">
                  <c:v>Mahaoya</c:v>
                </c:pt>
                <c:pt idx="4">
                  <c:v>Batticalo</c:v>
                </c:pt>
                <c:pt idx="5">
                  <c:v>Katugastota</c:v>
                </c:pt>
                <c:pt idx="6">
                  <c:v>Mawathagama</c:v>
                </c:pt>
                <c:pt idx="7">
                  <c:v>Kurunegala</c:v>
                </c:pt>
                <c:pt idx="8">
                  <c:v>Wariyapola</c:v>
                </c:pt>
                <c:pt idx="9">
                  <c:v>Nikaweratiya</c:v>
                </c:pt>
                <c:pt idx="10">
                  <c:v>Anamaduwa</c:v>
                </c:pt>
                <c:pt idx="11">
                  <c:v>Puththalama</c:v>
                </c:pt>
                <c:pt idx="12">
                  <c:v>Pilimathalawa</c:v>
                </c:pt>
                <c:pt idx="13">
                  <c:v>Kadugannawa</c:v>
                </c:pt>
                <c:pt idx="14">
                  <c:v>Mawanella</c:v>
                </c:pt>
                <c:pt idx="15">
                  <c:v>Kegalle</c:v>
                </c:pt>
                <c:pt idx="16">
                  <c:v>Kadawata</c:v>
                </c:pt>
                <c:pt idx="17">
                  <c:v>Galle</c:v>
                </c:pt>
                <c:pt idx="18">
                  <c:v>Ahangama</c:v>
                </c:pt>
                <c:pt idx="19">
                  <c:v>Mirissa</c:v>
                </c:pt>
                <c:pt idx="20">
                  <c:v>Matara</c:v>
                </c:pt>
                <c:pt idx="21">
                  <c:v>Dikwella</c:v>
                </c:pt>
                <c:pt idx="22">
                  <c:v>Thangalla</c:v>
                </c:pt>
                <c:pt idx="23">
                  <c:v>Hambanthota</c:v>
                </c:pt>
                <c:pt idx="24">
                  <c:v>Warakapola</c:v>
                </c:pt>
                <c:pt idx="25">
                  <c:v>Nittambuwa</c:v>
                </c:pt>
                <c:pt idx="26">
                  <c:v>Yakkala</c:v>
                </c:pt>
                <c:pt idx="27">
                  <c:v>Kiribathgoda</c:v>
                </c:pt>
                <c:pt idx="28">
                  <c:v>Colombo</c:v>
                </c:pt>
                <c:pt idx="29">
                  <c:v>Kottawa</c:v>
                </c:pt>
                <c:pt idx="30">
                  <c:v>Maharagama</c:v>
                </c:pt>
                <c:pt idx="31">
                  <c:v>Piliyandala</c:v>
                </c:pt>
                <c:pt idx="32">
                  <c:v>Malabe</c:v>
                </c:pt>
                <c:pt idx="33">
                  <c:v>Kandy</c:v>
                </c:pt>
                <c:pt idx="34">
                  <c:v>Gampola</c:v>
                </c:pt>
                <c:pt idx="35">
                  <c:v>Nuwaraeliya</c:v>
                </c:pt>
                <c:pt idx="36">
                  <c:v>Welimada</c:v>
                </c:pt>
                <c:pt idx="37">
                  <c:v>Baddulla</c:v>
                </c:pt>
                <c:pt idx="38">
                  <c:v>Dambulla</c:v>
                </c:pt>
                <c:pt idx="39">
                  <c:v>Kekirawa</c:v>
                </c:pt>
                <c:pt idx="40">
                  <c:v>Thalawa</c:v>
                </c:pt>
                <c:pt idx="41">
                  <c:v>Anuradhapuraya</c:v>
                </c:pt>
                <c:pt idx="42">
                  <c:v>Mihinthale</c:v>
                </c:pt>
                <c:pt idx="43">
                  <c:v>Madawachchiya</c:v>
                </c:pt>
                <c:pt idx="44">
                  <c:v>Wawniyawa</c:v>
                </c:pt>
                <c:pt idx="45">
                  <c:v>Kilinochchiya</c:v>
                </c:pt>
                <c:pt idx="46">
                  <c:v>Jaffna</c:v>
                </c:pt>
                <c:pt idx="47">
                  <c:v>Mathale</c:v>
                </c:pt>
                <c:pt idx="48">
                  <c:v>Naula</c:v>
                </c:pt>
                <c:pt idx="49">
                  <c:v>Dambulla</c:v>
                </c:pt>
                <c:pt idx="50">
                  <c:v>Habarana</c:v>
                </c:pt>
                <c:pt idx="51">
                  <c:v>Kanthale</c:v>
                </c:pt>
                <c:pt idx="52">
                  <c:v>Trincomalee</c:v>
                </c:pt>
              </c:strCache>
            </c:strRef>
          </c:cat>
          <c:val>
            <c:numRef>
              <c:f>'Data Analysis '!$E$2:$E$54</c:f>
              <c:numCache>
                <c:formatCode>General</c:formatCode>
                <c:ptCount val="53"/>
                <c:pt idx="0">
                  <c:v>950</c:v>
                </c:pt>
                <c:pt idx="1">
                  <c:v>2700</c:v>
                </c:pt>
                <c:pt idx="2">
                  <c:v>700</c:v>
                </c:pt>
                <c:pt idx="3">
                  <c:v>950</c:v>
                </c:pt>
                <c:pt idx="4">
                  <c:v>2800</c:v>
                </c:pt>
                <c:pt idx="5">
                  <c:v>1150</c:v>
                </c:pt>
                <c:pt idx="6">
                  <c:v>800</c:v>
                </c:pt>
                <c:pt idx="7">
                  <c:v>3950</c:v>
                </c:pt>
                <c:pt idx="8">
                  <c:v>600</c:v>
                </c:pt>
                <c:pt idx="9">
                  <c:v>1250</c:v>
                </c:pt>
                <c:pt idx="10">
                  <c:v>700</c:v>
                </c:pt>
                <c:pt idx="11">
                  <c:v>1400</c:v>
                </c:pt>
                <c:pt idx="12">
                  <c:v>300</c:v>
                </c:pt>
                <c:pt idx="13">
                  <c:v>650</c:v>
                </c:pt>
                <c:pt idx="14">
                  <c:v>500</c:v>
                </c:pt>
                <c:pt idx="15">
                  <c:v>1850</c:v>
                </c:pt>
                <c:pt idx="16">
                  <c:v>2700</c:v>
                </c:pt>
                <c:pt idx="17">
                  <c:v>2150</c:v>
                </c:pt>
                <c:pt idx="18">
                  <c:v>400</c:v>
                </c:pt>
                <c:pt idx="19">
                  <c:v>700</c:v>
                </c:pt>
                <c:pt idx="20">
                  <c:v>2200</c:v>
                </c:pt>
                <c:pt idx="21">
                  <c:v>650</c:v>
                </c:pt>
                <c:pt idx="22">
                  <c:v>1500</c:v>
                </c:pt>
                <c:pt idx="23">
                  <c:v>600</c:v>
                </c:pt>
                <c:pt idx="24">
                  <c:v>650</c:v>
                </c:pt>
                <c:pt idx="25">
                  <c:v>1900</c:v>
                </c:pt>
                <c:pt idx="26">
                  <c:v>550</c:v>
                </c:pt>
                <c:pt idx="27">
                  <c:v>3950</c:v>
                </c:pt>
                <c:pt idx="28">
                  <c:v>4700</c:v>
                </c:pt>
                <c:pt idx="29">
                  <c:v>1150</c:v>
                </c:pt>
                <c:pt idx="30">
                  <c:v>5200</c:v>
                </c:pt>
                <c:pt idx="31">
                  <c:v>1950</c:v>
                </c:pt>
                <c:pt idx="32">
                  <c:v>2200</c:v>
                </c:pt>
                <c:pt idx="33">
                  <c:v>4800</c:v>
                </c:pt>
                <c:pt idx="34">
                  <c:v>1500</c:v>
                </c:pt>
                <c:pt idx="35">
                  <c:v>1800</c:v>
                </c:pt>
                <c:pt idx="36">
                  <c:v>1850</c:v>
                </c:pt>
                <c:pt idx="37">
                  <c:v>2150</c:v>
                </c:pt>
                <c:pt idx="38">
                  <c:v>1850</c:v>
                </c:pt>
                <c:pt idx="39">
                  <c:v>1050</c:v>
                </c:pt>
                <c:pt idx="40">
                  <c:v>400</c:v>
                </c:pt>
                <c:pt idx="41">
                  <c:v>2500</c:v>
                </c:pt>
                <c:pt idx="42">
                  <c:v>850</c:v>
                </c:pt>
                <c:pt idx="43">
                  <c:v>450</c:v>
                </c:pt>
                <c:pt idx="44">
                  <c:v>450</c:v>
                </c:pt>
                <c:pt idx="45">
                  <c:v>650</c:v>
                </c:pt>
                <c:pt idx="46">
                  <c:v>2500</c:v>
                </c:pt>
                <c:pt idx="47">
                  <c:v>3400</c:v>
                </c:pt>
                <c:pt idx="48">
                  <c:v>900</c:v>
                </c:pt>
                <c:pt idx="49">
                  <c:v>1100</c:v>
                </c:pt>
                <c:pt idx="50">
                  <c:v>950</c:v>
                </c:pt>
                <c:pt idx="51">
                  <c:v>750</c:v>
                </c:pt>
                <c:pt idx="52">
                  <c:v>2400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80-4801-BA9A-BC103FE01A0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94347648"/>
        <c:axId val="1494353888"/>
      </c:lineChart>
      <c:catAx>
        <c:axId val="1494347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4353888"/>
        <c:crosses val="autoZero"/>
        <c:auto val="1"/>
        <c:lblAlgn val="ctr"/>
        <c:lblOffset val="100"/>
        <c:noMultiLvlLbl val="0"/>
      </c:catAx>
      <c:valAx>
        <c:axId val="149435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4347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strike="noStrike" kern="1200" cap="all" spc="5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Batticalo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Type1</c:v>
          </c:tx>
          <c:spPr>
            <a:solidFill>
              <a:schemeClr val="accent1">
                <a:alpha val="7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'Data Analysis '!$G$12:$G$16</c:f>
              <c:strCache>
                <c:ptCount val="5"/>
                <c:pt idx="0">
                  <c:v>Digana</c:v>
                </c:pt>
                <c:pt idx="1">
                  <c:v>Mahiyanganaya</c:v>
                </c:pt>
                <c:pt idx="2">
                  <c:v>Padiyathalawa</c:v>
                </c:pt>
                <c:pt idx="3">
                  <c:v>Mohaoya</c:v>
                </c:pt>
                <c:pt idx="4">
                  <c:v>Batticalo</c:v>
                </c:pt>
              </c:strCache>
            </c:strRef>
          </c:cat>
          <c:val>
            <c:numRef>
              <c:f>'Data Analysis '!$I$12:$I$16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100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84-4A9C-B053-32D4901F0C98}"/>
            </c:ext>
          </c:extLst>
        </c:ser>
        <c:ser>
          <c:idx val="1"/>
          <c:order val="1"/>
          <c:tx>
            <c:v>Type2</c:v>
          </c:tx>
          <c:spPr>
            <a:solidFill>
              <a:schemeClr val="accent2">
                <a:alpha val="7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'Data Analysis '!$G$12:$G$16</c:f>
              <c:strCache>
                <c:ptCount val="5"/>
                <c:pt idx="0">
                  <c:v>Digana</c:v>
                </c:pt>
                <c:pt idx="1">
                  <c:v>Mahiyanganaya</c:v>
                </c:pt>
                <c:pt idx="2">
                  <c:v>Padiyathalawa</c:v>
                </c:pt>
                <c:pt idx="3">
                  <c:v>Mohaoya</c:v>
                </c:pt>
                <c:pt idx="4">
                  <c:v>Batticalo</c:v>
                </c:pt>
              </c:strCache>
            </c:strRef>
          </c:cat>
          <c:val>
            <c:numRef>
              <c:f>'Data Analysis '!$J$12:$J$16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30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84-4A9C-B053-32D4901F0C98}"/>
            </c:ext>
          </c:extLst>
        </c:ser>
        <c:ser>
          <c:idx val="2"/>
          <c:order val="2"/>
          <c:tx>
            <c:v>Type3</c:v>
          </c:tx>
          <c:spPr>
            <a:solidFill>
              <a:schemeClr val="accent3">
                <a:alpha val="7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'Data Analysis '!$G$12:$G$16</c:f>
              <c:strCache>
                <c:ptCount val="5"/>
                <c:pt idx="0">
                  <c:v>Digana</c:v>
                </c:pt>
                <c:pt idx="1">
                  <c:v>Mahiyanganaya</c:v>
                </c:pt>
                <c:pt idx="2">
                  <c:v>Padiyathalawa</c:v>
                </c:pt>
                <c:pt idx="3">
                  <c:v>Mohaoya</c:v>
                </c:pt>
                <c:pt idx="4">
                  <c:v>Batticalo</c:v>
                </c:pt>
              </c:strCache>
            </c:strRef>
          </c:cat>
          <c:val>
            <c:numRef>
              <c:f>'Data Analysis '!$K$12:$K$16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40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84-4A9C-B053-32D4901F0C98}"/>
            </c:ext>
          </c:extLst>
        </c:ser>
        <c:ser>
          <c:idx val="3"/>
          <c:order val="3"/>
          <c:tx>
            <c:v>Type4</c:v>
          </c:tx>
          <c:spPr>
            <a:solidFill>
              <a:schemeClr val="accent4">
                <a:alpha val="7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'Data Analysis '!$G$12:$G$16</c:f>
              <c:strCache>
                <c:ptCount val="5"/>
                <c:pt idx="0">
                  <c:v>Digana</c:v>
                </c:pt>
                <c:pt idx="1">
                  <c:v>Mahiyanganaya</c:v>
                </c:pt>
                <c:pt idx="2">
                  <c:v>Padiyathalawa</c:v>
                </c:pt>
                <c:pt idx="3">
                  <c:v>Mohaoya</c:v>
                </c:pt>
                <c:pt idx="4">
                  <c:v>Batticalo</c:v>
                </c:pt>
              </c:strCache>
            </c:strRef>
          </c:cat>
          <c:val>
            <c:numRef>
              <c:f>'Data Analysis '!$L$12:$L$16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80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484-4A9C-B053-32D4901F0C98}"/>
            </c:ext>
          </c:extLst>
        </c:ser>
        <c:ser>
          <c:idx val="4"/>
          <c:order val="4"/>
          <c:tx>
            <c:v>Type5</c:v>
          </c:tx>
          <c:spPr>
            <a:solidFill>
              <a:schemeClr val="accent5">
                <a:alpha val="7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'Data Analysis '!$G$12:$G$16</c:f>
              <c:strCache>
                <c:ptCount val="5"/>
                <c:pt idx="0">
                  <c:v>Digana</c:v>
                </c:pt>
                <c:pt idx="1">
                  <c:v>Mahiyanganaya</c:v>
                </c:pt>
                <c:pt idx="2">
                  <c:v>Padiyathalawa</c:v>
                </c:pt>
                <c:pt idx="3">
                  <c:v>Mohaoya</c:v>
                </c:pt>
                <c:pt idx="4">
                  <c:v>Batticalo</c:v>
                </c:pt>
              </c:strCache>
            </c:strRef>
          </c:cat>
          <c:val>
            <c:numRef>
              <c:f>'Data Analysis '!$M$12:$M$16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60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484-4A9C-B053-32D4901F0C98}"/>
            </c:ext>
          </c:extLst>
        </c:ser>
        <c:ser>
          <c:idx val="5"/>
          <c:order val="5"/>
          <c:tx>
            <c:v>Type6</c:v>
          </c:tx>
          <c:spPr>
            <a:solidFill>
              <a:schemeClr val="accent6">
                <a:alpha val="7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'Data Analysis '!$G$12:$G$16</c:f>
              <c:strCache>
                <c:ptCount val="5"/>
                <c:pt idx="0">
                  <c:v>Digana</c:v>
                </c:pt>
                <c:pt idx="1">
                  <c:v>Mahiyanganaya</c:v>
                </c:pt>
                <c:pt idx="2">
                  <c:v>Padiyathalawa</c:v>
                </c:pt>
                <c:pt idx="3">
                  <c:v>Mohaoya</c:v>
                </c:pt>
                <c:pt idx="4">
                  <c:v>Batticalo</c:v>
                </c:pt>
              </c:strCache>
            </c:strRef>
          </c:cat>
          <c:val>
            <c:numRef>
              <c:f>'Data Analysis '!$N$12:$N$16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100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484-4A9C-B053-32D4901F0C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502026431"/>
        <c:axId val="1368957535"/>
      </c:barChart>
      <c:catAx>
        <c:axId val="150202643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68957535"/>
        <c:crosses val="autoZero"/>
        <c:auto val="1"/>
        <c:lblAlgn val="ctr"/>
        <c:lblOffset val="100"/>
        <c:noMultiLvlLbl val="0"/>
      </c:catAx>
      <c:valAx>
        <c:axId val="1368957535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2026431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1"/>
  </c:chart>
  <c:spPr>
    <a:solidFill>
      <a:schemeClr val="lt1"/>
    </a:solidFill>
    <a:ln w="25400" cap="flat" cmpd="sng" algn="ctr">
      <a:solidFill>
        <a:schemeClr val="accent2"/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strike="noStrike" kern="1200" cap="all" spc="5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Puththalam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Type1</c:v>
          </c:tx>
          <c:spPr>
            <a:solidFill>
              <a:schemeClr val="accent1">
                <a:alpha val="7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'Data Analysis '!$G$22:$G$28</c:f>
              <c:strCache>
                <c:ptCount val="7"/>
                <c:pt idx="0">
                  <c:v>Katugastota</c:v>
                </c:pt>
                <c:pt idx="1">
                  <c:v>Mawathagama</c:v>
                </c:pt>
                <c:pt idx="2">
                  <c:v>Kurunegala</c:v>
                </c:pt>
                <c:pt idx="3">
                  <c:v>Wariyapola</c:v>
                </c:pt>
                <c:pt idx="4">
                  <c:v>Nikaweratiya</c:v>
                </c:pt>
                <c:pt idx="5">
                  <c:v>Anamaduwa</c:v>
                </c:pt>
                <c:pt idx="6">
                  <c:v>Puththalama</c:v>
                </c:pt>
              </c:strCache>
            </c:strRef>
          </c:cat>
          <c:val>
            <c:numRef>
              <c:f>'Data Analysis '!$I$22:$I$28</c:f>
              <c:numCache>
                <c:formatCode>General</c:formatCode>
                <c:ptCount val="7"/>
                <c:pt idx="0">
                  <c:v>0</c:v>
                </c:pt>
                <c:pt idx="1">
                  <c:v>100</c:v>
                </c:pt>
                <c:pt idx="2">
                  <c:v>300</c:v>
                </c:pt>
                <c:pt idx="3">
                  <c:v>100</c:v>
                </c:pt>
                <c:pt idx="4">
                  <c:v>0</c:v>
                </c:pt>
                <c:pt idx="5">
                  <c:v>50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D0-4D13-B5D8-5C25CB287E0E}"/>
            </c:ext>
          </c:extLst>
        </c:ser>
        <c:ser>
          <c:idx val="1"/>
          <c:order val="1"/>
          <c:tx>
            <c:v>Type2</c:v>
          </c:tx>
          <c:spPr>
            <a:solidFill>
              <a:schemeClr val="accent2">
                <a:alpha val="7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'Data Analysis '!$G$22:$G$28</c:f>
              <c:strCache>
                <c:ptCount val="7"/>
                <c:pt idx="0">
                  <c:v>Katugastota</c:v>
                </c:pt>
                <c:pt idx="1">
                  <c:v>Mawathagama</c:v>
                </c:pt>
                <c:pt idx="2">
                  <c:v>Kurunegala</c:v>
                </c:pt>
                <c:pt idx="3">
                  <c:v>Wariyapola</c:v>
                </c:pt>
                <c:pt idx="4">
                  <c:v>Nikaweratiya</c:v>
                </c:pt>
                <c:pt idx="5">
                  <c:v>Anamaduwa</c:v>
                </c:pt>
                <c:pt idx="6">
                  <c:v>Puththalama</c:v>
                </c:pt>
              </c:strCache>
            </c:strRef>
          </c:cat>
          <c:val>
            <c:numRef>
              <c:f>'Data Analysis '!$J$22:$J$28</c:f>
              <c:numCache>
                <c:formatCode>General</c:formatCode>
                <c:ptCount val="7"/>
                <c:pt idx="0">
                  <c:v>0</c:v>
                </c:pt>
                <c:pt idx="1">
                  <c:v>200</c:v>
                </c:pt>
                <c:pt idx="2">
                  <c:v>240</c:v>
                </c:pt>
                <c:pt idx="3">
                  <c:v>70</c:v>
                </c:pt>
                <c:pt idx="4">
                  <c:v>0</c:v>
                </c:pt>
                <c:pt idx="5">
                  <c:v>90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D0-4D13-B5D8-5C25CB287E0E}"/>
            </c:ext>
          </c:extLst>
        </c:ser>
        <c:ser>
          <c:idx val="2"/>
          <c:order val="2"/>
          <c:tx>
            <c:v>Type3</c:v>
          </c:tx>
          <c:spPr>
            <a:solidFill>
              <a:schemeClr val="accent3">
                <a:alpha val="7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'Data Analysis '!$G$22:$G$28</c:f>
              <c:strCache>
                <c:ptCount val="7"/>
                <c:pt idx="0">
                  <c:v>Katugastota</c:v>
                </c:pt>
                <c:pt idx="1">
                  <c:v>Mawathagama</c:v>
                </c:pt>
                <c:pt idx="2">
                  <c:v>Kurunegala</c:v>
                </c:pt>
                <c:pt idx="3">
                  <c:v>Wariyapola</c:v>
                </c:pt>
                <c:pt idx="4">
                  <c:v>Nikaweratiya</c:v>
                </c:pt>
                <c:pt idx="5">
                  <c:v>Anamaduwa</c:v>
                </c:pt>
                <c:pt idx="6">
                  <c:v>Puththalama</c:v>
                </c:pt>
              </c:strCache>
            </c:strRef>
          </c:cat>
          <c:val>
            <c:numRef>
              <c:f>'Data Analysis '!$K$22:$K$28</c:f>
              <c:numCache>
                <c:formatCode>General</c:formatCode>
                <c:ptCount val="7"/>
                <c:pt idx="0">
                  <c:v>0</c:v>
                </c:pt>
                <c:pt idx="1">
                  <c:v>100</c:v>
                </c:pt>
                <c:pt idx="2">
                  <c:v>350</c:v>
                </c:pt>
                <c:pt idx="3">
                  <c:v>40</c:v>
                </c:pt>
                <c:pt idx="4">
                  <c:v>0</c:v>
                </c:pt>
                <c:pt idx="5">
                  <c:v>80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D0-4D13-B5D8-5C25CB287E0E}"/>
            </c:ext>
          </c:extLst>
        </c:ser>
        <c:ser>
          <c:idx val="3"/>
          <c:order val="3"/>
          <c:tx>
            <c:v>Type4</c:v>
          </c:tx>
          <c:spPr>
            <a:solidFill>
              <a:schemeClr val="accent4">
                <a:alpha val="7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'Data Analysis '!$G$22:$G$28</c:f>
              <c:strCache>
                <c:ptCount val="7"/>
                <c:pt idx="0">
                  <c:v>Katugastota</c:v>
                </c:pt>
                <c:pt idx="1">
                  <c:v>Mawathagama</c:v>
                </c:pt>
                <c:pt idx="2">
                  <c:v>Kurunegala</c:v>
                </c:pt>
                <c:pt idx="3">
                  <c:v>Wariyapola</c:v>
                </c:pt>
                <c:pt idx="4">
                  <c:v>Nikaweratiya</c:v>
                </c:pt>
                <c:pt idx="5">
                  <c:v>Anamaduwa</c:v>
                </c:pt>
                <c:pt idx="6">
                  <c:v>Puththalama</c:v>
                </c:pt>
              </c:strCache>
            </c:strRef>
          </c:cat>
          <c:val>
            <c:numRef>
              <c:f>'Data Analysis '!$L$22:$L$28</c:f>
              <c:numCache>
                <c:formatCode>General</c:formatCode>
                <c:ptCount val="7"/>
                <c:pt idx="0">
                  <c:v>0</c:v>
                </c:pt>
                <c:pt idx="1">
                  <c:v>50</c:v>
                </c:pt>
                <c:pt idx="2">
                  <c:v>450</c:v>
                </c:pt>
                <c:pt idx="3">
                  <c:v>50</c:v>
                </c:pt>
                <c:pt idx="4">
                  <c:v>0</c:v>
                </c:pt>
                <c:pt idx="5">
                  <c:v>60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7D0-4D13-B5D8-5C25CB287E0E}"/>
            </c:ext>
          </c:extLst>
        </c:ser>
        <c:ser>
          <c:idx val="4"/>
          <c:order val="4"/>
          <c:tx>
            <c:v>Type5</c:v>
          </c:tx>
          <c:spPr>
            <a:solidFill>
              <a:schemeClr val="accent5">
                <a:alpha val="7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'Data Analysis '!$G$22:$G$28</c:f>
              <c:strCache>
                <c:ptCount val="7"/>
                <c:pt idx="0">
                  <c:v>Katugastota</c:v>
                </c:pt>
                <c:pt idx="1">
                  <c:v>Mawathagama</c:v>
                </c:pt>
                <c:pt idx="2">
                  <c:v>Kurunegala</c:v>
                </c:pt>
                <c:pt idx="3">
                  <c:v>Wariyapola</c:v>
                </c:pt>
                <c:pt idx="4">
                  <c:v>Nikaweratiya</c:v>
                </c:pt>
                <c:pt idx="5">
                  <c:v>Anamaduwa</c:v>
                </c:pt>
                <c:pt idx="6">
                  <c:v>Puththalama</c:v>
                </c:pt>
              </c:strCache>
            </c:strRef>
          </c:cat>
          <c:val>
            <c:numRef>
              <c:f>'Data Analysis '!$M$22:$M$28</c:f>
              <c:numCache>
                <c:formatCode>General</c:formatCode>
                <c:ptCount val="7"/>
                <c:pt idx="0">
                  <c:v>0</c:v>
                </c:pt>
                <c:pt idx="1">
                  <c:v>70</c:v>
                </c:pt>
                <c:pt idx="2">
                  <c:v>340</c:v>
                </c:pt>
                <c:pt idx="3">
                  <c:v>100</c:v>
                </c:pt>
                <c:pt idx="4">
                  <c:v>0</c:v>
                </c:pt>
                <c:pt idx="5">
                  <c:v>80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7D0-4D13-B5D8-5C25CB287E0E}"/>
            </c:ext>
          </c:extLst>
        </c:ser>
        <c:ser>
          <c:idx val="5"/>
          <c:order val="5"/>
          <c:tx>
            <c:v>Type6</c:v>
          </c:tx>
          <c:spPr>
            <a:solidFill>
              <a:schemeClr val="accent6">
                <a:alpha val="7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'Data Analysis '!$G$22:$G$28</c:f>
              <c:strCache>
                <c:ptCount val="7"/>
                <c:pt idx="0">
                  <c:v>Katugastota</c:v>
                </c:pt>
                <c:pt idx="1">
                  <c:v>Mawathagama</c:v>
                </c:pt>
                <c:pt idx="2">
                  <c:v>Kurunegala</c:v>
                </c:pt>
                <c:pt idx="3">
                  <c:v>Wariyapola</c:v>
                </c:pt>
                <c:pt idx="4">
                  <c:v>Nikaweratiya</c:v>
                </c:pt>
                <c:pt idx="5">
                  <c:v>Anamaduwa</c:v>
                </c:pt>
                <c:pt idx="6">
                  <c:v>Puththalama</c:v>
                </c:pt>
              </c:strCache>
            </c:strRef>
          </c:cat>
          <c:val>
            <c:numRef>
              <c:f>'Data Analysis '!$N$22:$N$28</c:f>
              <c:numCache>
                <c:formatCode>General</c:formatCode>
                <c:ptCount val="7"/>
                <c:pt idx="0">
                  <c:v>0</c:v>
                </c:pt>
                <c:pt idx="1">
                  <c:v>90</c:v>
                </c:pt>
                <c:pt idx="2">
                  <c:v>230</c:v>
                </c:pt>
                <c:pt idx="3">
                  <c:v>120</c:v>
                </c:pt>
                <c:pt idx="4">
                  <c:v>0</c:v>
                </c:pt>
                <c:pt idx="5">
                  <c:v>50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7D0-4D13-B5D8-5C25CB287E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667928511"/>
        <c:axId val="1667920351"/>
      </c:barChart>
      <c:catAx>
        <c:axId val="166792851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667920351"/>
        <c:crosses val="autoZero"/>
        <c:auto val="1"/>
        <c:lblAlgn val="ctr"/>
        <c:lblOffset val="100"/>
        <c:noMultiLvlLbl val="0"/>
      </c:catAx>
      <c:valAx>
        <c:axId val="166792035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7928511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1"/>
  </c:chart>
  <c:spPr>
    <a:solidFill>
      <a:schemeClr val="lt1"/>
    </a:solidFill>
    <a:ln w="25400" cap="flat" cmpd="sng" algn="ctr">
      <a:solidFill>
        <a:schemeClr val="accent2"/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strike="noStrike" kern="1200" cap="all" spc="5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Hambanthota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Type1</c:v>
          </c:tx>
          <c:spPr>
            <a:solidFill>
              <a:schemeClr val="accent1">
                <a:alpha val="7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'Data Analysis '!$G$34:$G$45</c:f>
              <c:strCache>
                <c:ptCount val="12"/>
                <c:pt idx="0">
                  <c:v>Pilimathalawa</c:v>
                </c:pt>
                <c:pt idx="1">
                  <c:v>Kadugannawa</c:v>
                </c:pt>
                <c:pt idx="2">
                  <c:v>Mawanella</c:v>
                </c:pt>
                <c:pt idx="3">
                  <c:v>Kegalle</c:v>
                </c:pt>
                <c:pt idx="4">
                  <c:v>Kadawata</c:v>
                </c:pt>
                <c:pt idx="5">
                  <c:v>Galle</c:v>
                </c:pt>
                <c:pt idx="6">
                  <c:v>Ahangama</c:v>
                </c:pt>
                <c:pt idx="7">
                  <c:v>Mirissa</c:v>
                </c:pt>
                <c:pt idx="8">
                  <c:v>Matara</c:v>
                </c:pt>
                <c:pt idx="9">
                  <c:v>Dikwella</c:v>
                </c:pt>
                <c:pt idx="10">
                  <c:v>Thangalla</c:v>
                </c:pt>
                <c:pt idx="11">
                  <c:v>Hambanthota</c:v>
                </c:pt>
              </c:strCache>
            </c:strRef>
          </c:cat>
          <c:val>
            <c:numRef>
              <c:f>'Data Analysis '!$I$34:$I$45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300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50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C4-4A8A-983D-01BC1FDA9E0D}"/>
            </c:ext>
          </c:extLst>
        </c:ser>
        <c:ser>
          <c:idx val="1"/>
          <c:order val="1"/>
          <c:tx>
            <c:v>Type2</c:v>
          </c:tx>
          <c:spPr>
            <a:solidFill>
              <a:schemeClr val="accent2">
                <a:alpha val="7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'Data Analysis '!$G$34:$G$45</c:f>
              <c:strCache>
                <c:ptCount val="12"/>
                <c:pt idx="0">
                  <c:v>Pilimathalawa</c:v>
                </c:pt>
                <c:pt idx="1">
                  <c:v>Kadugannawa</c:v>
                </c:pt>
                <c:pt idx="2">
                  <c:v>Mawanella</c:v>
                </c:pt>
                <c:pt idx="3">
                  <c:v>Kegalle</c:v>
                </c:pt>
                <c:pt idx="4">
                  <c:v>Kadawata</c:v>
                </c:pt>
                <c:pt idx="5">
                  <c:v>Galle</c:v>
                </c:pt>
                <c:pt idx="6">
                  <c:v>Ahangama</c:v>
                </c:pt>
                <c:pt idx="7">
                  <c:v>Mirissa</c:v>
                </c:pt>
                <c:pt idx="8">
                  <c:v>Matara</c:v>
                </c:pt>
                <c:pt idx="9">
                  <c:v>Dikwella</c:v>
                </c:pt>
                <c:pt idx="10">
                  <c:v>Thangalla</c:v>
                </c:pt>
                <c:pt idx="11">
                  <c:v>Hambanthota</c:v>
                </c:pt>
              </c:strCache>
            </c:strRef>
          </c:cat>
          <c:val>
            <c:numRef>
              <c:f>'Data Analysis '!$J$34:$J$45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300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80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C4-4A8A-983D-01BC1FDA9E0D}"/>
            </c:ext>
          </c:extLst>
        </c:ser>
        <c:ser>
          <c:idx val="2"/>
          <c:order val="2"/>
          <c:tx>
            <c:v>Type3</c:v>
          </c:tx>
          <c:spPr>
            <a:solidFill>
              <a:schemeClr val="accent3">
                <a:alpha val="7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'Data Analysis '!$G$34:$G$45</c:f>
              <c:strCache>
                <c:ptCount val="12"/>
                <c:pt idx="0">
                  <c:v>Pilimathalawa</c:v>
                </c:pt>
                <c:pt idx="1">
                  <c:v>Kadugannawa</c:v>
                </c:pt>
                <c:pt idx="2">
                  <c:v>Mawanella</c:v>
                </c:pt>
                <c:pt idx="3">
                  <c:v>Kegalle</c:v>
                </c:pt>
                <c:pt idx="4">
                  <c:v>Kadawata</c:v>
                </c:pt>
                <c:pt idx="5">
                  <c:v>Galle</c:v>
                </c:pt>
                <c:pt idx="6">
                  <c:v>Ahangama</c:v>
                </c:pt>
                <c:pt idx="7">
                  <c:v>Mirissa</c:v>
                </c:pt>
                <c:pt idx="8">
                  <c:v>Matara</c:v>
                </c:pt>
                <c:pt idx="9">
                  <c:v>Dikwella</c:v>
                </c:pt>
                <c:pt idx="10">
                  <c:v>Thangalla</c:v>
                </c:pt>
                <c:pt idx="11">
                  <c:v>Hambanthota</c:v>
                </c:pt>
              </c:strCache>
            </c:strRef>
          </c:cat>
          <c:val>
            <c:numRef>
              <c:f>'Data Analysis '!$K$34:$K$45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200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100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9C4-4A8A-983D-01BC1FDA9E0D}"/>
            </c:ext>
          </c:extLst>
        </c:ser>
        <c:ser>
          <c:idx val="3"/>
          <c:order val="3"/>
          <c:tx>
            <c:v>Type4</c:v>
          </c:tx>
          <c:spPr>
            <a:solidFill>
              <a:schemeClr val="accent4">
                <a:alpha val="7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'Data Analysis '!$G$34:$G$45</c:f>
              <c:strCache>
                <c:ptCount val="12"/>
                <c:pt idx="0">
                  <c:v>Pilimathalawa</c:v>
                </c:pt>
                <c:pt idx="1">
                  <c:v>Kadugannawa</c:v>
                </c:pt>
                <c:pt idx="2">
                  <c:v>Mawanella</c:v>
                </c:pt>
                <c:pt idx="3">
                  <c:v>Kegalle</c:v>
                </c:pt>
                <c:pt idx="4">
                  <c:v>Kadawata</c:v>
                </c:pt>
                <c:pt idx="5">
                  <c:v>Galle</c:v>
                </c:pt>
                <c:pt idx="6">
                  <c:v>Ahangama</c:v>
                </c:pt>
                <c:pt idx="7">
                  <c:v>Mirissa</c:v>
                </c:pt>
                <c:pt idx="8">
                  <c:v>Matara</c:v>
                </c:pt>
                <c:pt idx="9">
                  <c:v>Dikwella</c:v>
                </c:pt>
                <c:pt idx="10">
                  <c:v>Thangalla</c:v>
                </c:pt>
                <c:pt idx="11">
                  <c:v>Hambanthota</c:v>
                </c:pt>
              </c:strCache>
            </c:strRef>
          </c:cat>
          <c:val>
            <c:numRef>
              <c:f>'Data Analysis '!$L$34:$L$45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100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90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9C4-4A8A-983D-01BC1FDA9E0D}"/>
            </c:ext>
          </c:extLst>
        </c:ser>
        <c:ser>
          <c:idx val="4"/>
          <c:order val="4"/>
          <c:tx>
            <c:v>Type5</c:v>
          </c:tx>
          <c:spPr>
            <a:solidFill>
              <a:schemeClr val="accent5">
                <a:alpha val="7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'Data Analysis '!$G$34:$G$45</c:f>
              <c:strCache>
                <c:ptCount val="12"/>
                <c:pt idx="0">
                  <c:v>Pilimathalawa</c:v>
                </c:pt>
                <c:pt idx="1">
                  <c:v>Kadugannawa</c:v>
                </c:pt>
                <c:pt idx="2">
                  <c:v>Mawanella</c:v>
                </c:pt>
                <c:pt idx="3">
                  <c:v>Kegalle</c:v>
                </c:pt>
                <c:pt idx="4">
                  <c:v>Kadawata</c:v>
                </c:pt>
                <c:pt idx="5">
                  <c:v>Galle</c:v>
                </c:pt>
                <c:pt idx="6">
                  <c:v>Ahangama</c:v>
                </c:pt>
                <c:pt idx="7">
                  <c:v>Mirissa</c:v>
                </c:pt>
                <c:pt idx="8">
                  <c:v>Matara</c:v>
                </c:pt>
                <c:pt idx="9">
                  <c:v>Dikwella</c:v>
                </c:pt>
                <c:pt idx="10">
                  <c:v>Thangalla</c:v>
                </c:pt>
                <c:pt idx="11">
                  <c:v>Hambanthota</c:v>
                </c:pt>
              </c:strCache>
            </c:strRef>
          </c:cat>
          <c:val>
            <c:numRef>
              <c:f>'Data Analysis '!$M$34:$M$45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100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9C4-4A8A-983D-01BC1FDA9E0D}"/>
            </c:ext>
          </c:extLst>
        </c:ser>
        <c:ser>
          <c:idx val="5"/>
          <c:order val="5"/>
          <c:tx>
            <c:v>Type6</c:v>
          </c:tx>
          <c:spPr>
            <a:solidFill>
              <a:schemeClr val="accent6">
                <a:alpha val="7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'Data Analysis '!$G$34:$G$45</c:f>
              <c:strCache>
                <c:ptCount val="12"/>
                <c:pt idx="0">
                  <c:v>Pilimathalawa</c:v>
                </c:pt>
                <c:pt idx="1">
                  <c:v>Kadugannawa</c:v>
                </c:pt>
                <c:pt idx="2">
                  <c:v>Mawanella</c:v>
                </c:pt>
                <c:pt idx="3">
                  <c:v>Kegalle</c:v>
                </c:pt>
                <c:pt idx="4">
                  <c:v>Kadawata</c:v>
                </c:pt>
                <c:pt idx="5">
                  <c:v>Galle</c:v>
                </c:pt>
                <c:pt idx="6">
                  <c:v>Ahangama</c:v>
                </c:pt>
                <c:pt idx="7">
                  <c:v>Mirissa</c:v>
                </c:pt>
                <c:pt idx="8">
                  <c:v>Matara</c:v>
                </c:pt>
                <c:pt idx="9">
                  <c:v>Dikwella</c:v>
                </c:pt>
                <c:pt idx="10">
                  <c:v>Thangalla</c:v>
                </c:pt>
                <c:pt idx="11">
                  <c:v>Hambanthota</c:v>
                </c:pt>
              </c:strCache>
            </c:strRef>
          </c:cat>
          <c:val>
            <c:numRef>
              <c:f>'Data Analysis '!$N$34:$N$45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70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9C4-4A8A-983D-01BC1FDA9E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502021151"/>
        <c:axId val="1502023071"/>
      </c:barChart>
      <c:catAx>
        <c:axId val="150202115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02023071"/>
        <c:crosses val="autoZero"/>
        <c:auto val="1"/>
        <c:lblAlgn val="ctr"/>
        <c:lblOffset val="100"/>
        <c:noMultiLvlLbl val="0"/>
      </c:catAx>
      <c:valAx>
        <c:axId val="150202307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2021151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1"/>
  </c:chart>
  <c:spPr>
    <a:solidFill>
      <a:schemeClr val="lt1"/>
    </a:solidFill>
    <a:ln w="25400" cap="flat" cmpd="sng" algn="ctr">
      <a:solidFill>
        <a:schemeClr val="accent2"/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strike="noStrike" kern="1200" cap="all" spc="5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colombo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Type1</c:v>
          </c:tx>
          <c:spPr>
            <a:solidFill>
              <a:schemeClr val="accent1">
                <a:alpha val="7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'Data Analysis '!$G$51:$G$59</c:f>
              <c:strCache>
                <c:ptCount val="9"/>
                <c:pt idx="0">
                  <c:v>Warakapola</c:v>
                </c:pt>
                <c:pt idx="1">
                  <c:v>Nittambuwa</c:v>
                </c:pt>
                <c:pt idx="2">
                  <c:v>Yakkala</c:v>
                </c:pt>
                <c:pt idx="3">
                  <c:v>Kiribathgoda</c:v>
                </c:pt>
                <c:pt idx="4">
                  <c:v>Colombo</c:v>
                </c:pt>
                <c:pt idx="5">
                  <c:v>Kottawa</c:v>
                </c:pt>
                <c:pt idx="6">
                  <c:v>Maharagama</c:v>
                </c:pt>
                <c:pt idx="7">
                  <c:v>Piliyandala</c:v>
                </c:pt>
                <c:pt idx="8">
                  <c:v>Malabe</c:v>
                </c:pt>
              </c:strCache>
            </c:strRef>
          </c:cat>
          <c:val>
            <c:numRef>
              <c:f>'Data Analysis '!$I$51:$I$59</c:f>
              <c:numCache>
                <c:formatCode>General</c:formatCode>
                <c:ptCount val="9"/>
                <c:pt idx="0">
                  <c:v>100</c:v>
                </c:pt>
                <c:pt idx="1">
                  <c:v>0</c:v>
                </c:pt>
                <c:pt idx="2">
                  <c:v>30</c:v>
                </c:pt>
                <c:pt idx="3">
                  <c:v>200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200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2F-4ACB-83E9-A299F6884837}"/>
            </c:ext>
          </c:extLst>
        </c:ser>
        <c:ser>
          <c:idx val="1"/>
          <c:order val="1"/>
          <c:tx>
            <c:v>Type2</c:v>
          </c:tx>
          <c:spPr>
            <a:solidFill>
              <a:schemeClr val="accent2">
                <a:alpha val="7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'Data Analysis '!$G$51:$G$59</c:f>
              <c:strCache>
                <c:ptCount val="9"/>
                <c:pt idx="0">
                  <c:v>Warakapola</c:v>
                </c:pt>
                <c:pt idx="1">
                  <c:v>Nittambuwa</c:v>
                </c:pt>
                <c:pt idx="2">
                  <c:v>Yakkala</c:v>
                </c:pt>
                <c:pt idx="3">
                  <c:v>Kiribathgoda</c:v>
                </c:pt>
                <c:pt idx="4">
                  <c:v>Colombo</c:v>
                </c:pt>
                <c:pt idx="5">
                  <c:v>Kottawa</c:v>
                </c:pt>
                <c:pt idx="6">
                  <c:v>Maharagama</c:v>
                </c:pt>
                <c:pt idx="7">
                  <c:v>Piliyandala</c:v>
                </c:pt>
                <c:pt idx="8">
                  <c:v>Malabe</c:v>
                </c:pt>
              </c:strCache>
            </c:strRef>
          </c:cat>
          <c:val>
            <c:numRef>
              <c:f>'Data Analysis '!$J$51:$J$59</c:f>
              <c:numCache>
                <c:formatCode>General</c:formatCode>
                <c:ptCount val="9"/>
                <c:pt idx="0">
                  <c:v>100</c:v>
                </c:pt>
                <c:pt idx="1">
                  <c:v>0</c:v>
                </c:pt>
                <c:pt idx="2">
                  <c:v>40</c:v>
                </c:pt>
                <c:pt idx="3">
                  <c:v>450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100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2F-4ACB-83E9-A299F6884837}"/>
            </c:ext>
          </c:extLst>
        </c:ser>
        <c:ser>
          <c:idx val="2"/>
          <c:order val="2"/>
          <c:tx>
            <c:v>Type3</c:v>
          </c:tx>
          <c:spPr>
            <a:solidFill>
              <a:schemeClr val="accent3">
                <a:alpha val="7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'Data Analysis '!$G$51:$G$59</c:f>
              <c:strCache>
                <c:ptCount val="9"/>
                <c:pt idx="0">
                  <c:v>Warakapola</c:v>
                </c:pt>
                <c:pt idx="1">
                  <c:v>Nittambuwa</c:v>
                </c:pt>
                <c:pt idx="2">
                  <c:v>Yakkala</c:v>
                </c:pt>
                <c:pt idx="3">
                  <c:v>Kiribathgoda</c:v>
                </c:pt>
                <c:pt idx="4">
                  <c:v>Colombo</c:v>
                </c:pt>
                <c:pt idx="5">
                  <c:v>Kottawa</c:v>
                </c:pt>
                <c:pt idx="6">
                  <c:v>Maharagama</c:v>
                </c:pt>
                <c:pt idx="7">
                  <c:v>Piliyandala</c:v>
                </c:pt>
                <c:pt idx="8">
                  <c:v>Malabe</c:v>
                </c:pt>
              </c:strCache>
            </c:strRef>
          </c:cat>
          <c:val>
            <c:numRef>
              <c:f>'Data Analysis '!$K$51:$K$59</c:f>
              <c:numCache>
                <c:formatCode>General</c:formatCode>
                <c:ptCount val="9"/>
                <c:pt idx="0">
                  <c:v>100</c:v>
                </c:pt>
                <c:pt idx="1">
                  <c:v>0</c:v>
                </c:pt>
                <c:pt idx="2">
                  <c:v>70</c:v>
                </c:pt>
                <c:pt idx="3">
                  <c:v>500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200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22F-4ACB-83E9-A299F6884837}"/>
            </c:ext>
          </c:extLst>
        </c:ser>
        <c:ser>
          <c:idx val="3"/>
          <c:order val="3"/>
          <c:tx>
            <c:v>Type4</c:v>
          </c:tx>
          <c:spPr>
            <a:solidFill>
              <a:schemeClr val="accent4">
                <a:alpha val="7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'Data Analysis '!$G$51:$G$59</c:f>
              <c:strCache>
                <c:ptCount val="9"/>
                <c:pt idx="0">
                  <c:v>Warakapola</c:v>
                </c:pt>
                <c:pt idx="1">
                  <c:v>Nittambuwa</c:v>
                </c:pt>
                <c:pt idx="2">
                  <c:v>Yakkala</c:v>
                </c:pt>
                <c:pt idx="3">
                  <c:v>Kiribathgoda</c:v>
                </c:pt>
                <c:pt idx="4">
                  <c:v>Colombo</c:v>
                </c:pt>
                <c:pt idx="5">
                  <c:v>Kottawa</c:v>
                </c:pt>
                <c:pt idx="6">
                  <c:v>Maharagama</c:v>
                </c:pt>
                <c:pt idx="7">
                  <c:v>Piliyandala</c:v>
                </c:pt>
                <c:pt idx="8">
                  <c:v>Malabe</c:v>
                </c:pt>
              </c:strCache>
            </c:strRef>
          </c:cat>
          <c:val>
            <c:numRef>
              <c:f>'Data Analysis '!$L$51:$L$59</c:f>
              <c:numCache>
                <c:formatCode>General</c:formatCode>
                <c:ptCount val="9"/>
                <c:pt idx="0">
                  <c:v>100</c:v>
                </c:pt>
                <c:pt idx="1">
                  <c:v>0</c:v>
                </c:pt>
                <c:pt idx="2">
                  <c:v>60</c:v>
                </c:pt>
                <c:pt idx="3">
                  <c:v>450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800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2F-4ACB-83E9-A299F6884837}"/>
            </c:ext>
          </c:extLst>
        </c:ser>
        <c:ser>
          <c:idx val="4"/>
          <c:order val="4"/>
          <c:tx>
            <c:v>Type5</c:v>
          </c:tx>
          <c:spPr>
            <a:solidFill>
              <a:schemeClr val="accent5">
                <a:alpha val="7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'Data Analysis '!$G$51:$G$59</c:f>
              <c:strCache>
                <c:ptCount val="9"/>
                <c:pt idx="0">
                  <c:v>Warakapola</c:v>
                </c:pt>
                <c:pt idx="1">
                  <c:v>Nittambuwa</c:v>
                </c:pt>
                <c:pt idx="2">
                  <c:v>Yakkala</c:v>
                </c:pt>
                <c:pt idx="3">
                  <c:v>Kiribathgoda</c:v>
                </c:pt>
                <c:pt idx="4">
                  <c:v>Colombo</c:v>
                </c:pt>
                <c:pt idx="5">
                  <c:v>Kottawa</c:v>
                </c:pt>
                <c:pt idx="6">
                  <c:v>Maharagama</c:v>
                </c:pt>
                <c:pt idx="7">
                  <c:v>Piliyandala</c:v>
                </c:pt>
                <c:pt idx="8">
                  <c:v>Malabe</c:v>
                </c:pt>
              </c:strCache>
            </c:strRef>
          </c:cat>
          <c:val>
            <c:numRef>
              <c:f>'Data Analysis '!$M$51:$M$59</c:f>
              <c:numCache>
                <c:formatCode>General</c:formatCode>
                <c:ptCount val="9"/>
                <c:pt idx="0">
                  <c:v>100</c:v>
                </c:pt>
                <c:pt idx="1">
                  <c:v>0</c:v>
                </c:pt>
                <c:pt idx="2">
                  <c:v>90</c:v>
                </c:pt>
                <c:pt idx="3">
                  <c:v>400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200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22F-4ACB-83E9-A299F6884837}"/>
            </c:ext>
          </c:extLst>
        </c:ser>
        <c:ser>
          <c:idx val="5"/>
          <c:order val="5"/>
          <c:tx>
            <c:v>Type6</c:v>
          </c:tx>
          <c:spPr>
            <a:solidFill>
              <a:schemeClr val="accent6">
                <a:alpha val="7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'Data Analysis '!$G$51:$G$59</c:f>
              <c:strCache>
                <c:ptCount val="9"/>
                <c:pt idx="0">
                  <c:v>Warakapola</c:v>
                </c:pt>
                <c:pt idx="1">
                  <c:v>Nittambuwa</c:v>
                </c:pt>
                <c:pt idx="2">
                  <c:v>Yakkala</c:v>
                </c:pt>
                <c:pt idx="3">
                  <c:v>Kiribathgoda</c:v>
                </c:pt>
                <c:pt idx="4">
                  <c:v>Colombo</c:v>
                </c:pt>
                <c:pt idx="5">
                  <c:v>Kottawa</c:v>
                </c:pt>
                <c:pt idx="6">
                  <c:v>Maharagama</c:v>
                </c:pt>
                <c:pt idx="7">
                  <c:v>Piliyandala</c:v>
                </c:pt>
                <c:pt idx="8">
                  <c:v>Malabe</c:v>
                </c:pt>
              </c:strCache>
            </c:strRef>
          </c:cat>
          <c:val>
            <c:numRef>
              <c:f>'Data Analysis '!$N$51:$N$59</c:f>
              <c:numCache>
                <c:formatCode>General</c:formatCode>
                <c:ptCount val="9"/>
                <c:pt idx="0">
                  <c:v>100</c:v>
                </c:pt>
                <c:pt idx="1">
                  <c:v>0</c:v>
                </c:pt>
                <c:pt idx="2">
                  <c:v>170</c:v>
                </c:pt>
                <c:pt idx="3">
                  <c:v>750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300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22F-4ACB-83E9-A299F68848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695311007"/>
        <c:axId val="1695281727"/>
      </c:barChart>
      <c:catAx>
        <c:axId val="169531100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695281727"/>
        <c:crosses val="autoZero"/>
        <c:auto val="1"/>
        <c:lblAlgn val="ctr"/>
        <c:lblOffset val="100"/>
        <c:noMultiLvlLbl val="0"/>
      </c:catAx>
      <c:valAx>
        <c:axId val="16952817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311007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1"/>
  </c:chart>
  <c:spPr>
    <a:solidFill>
      <a:schemeClr val="lt1"/>
    </a:solidFill>
    <a:ln w="25400" cap="flat" cmpd="sng" algn="ctr">
      <a:solidFill>
        <a:schemeClr val="accent2"/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strike="noStrike" kern="1200" cap="all" spc="5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Baddulla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0.16890542836187131"/>
          <c:y val="0.15979073969495211"/>
          <c:w val="0.76805516456310763"/>
          <c:h val="0.44049036429014199"/>
        </c:manualLayout>
      </c:layout>
      <c:barChart>
        <c:barDir val="col"/>
        <c:grouping val="stacked"/>
        <c:varyColors val="0"/>
        <c:ser>
          <c:idx val="0"/>
          <c:order val="0"/>
          <c:tx>
            <c:v>Type1</c:v>
          </c:tx>
          <c:spPr>
            <a:solidFill>
              <a:schemeClr val="accent1">
                <a:alpha val="7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'Data Analysis '!$G$65:$G$69</c:f>
              <c:strCache>
                <c:ptCount val="5"/>
                <c:pt idx="0">
                  <c:v>Kandy</c:v>
                </c:pt>
                <c:pt idx="1">
                  <c:v>Gampola</c:v>
                </c:pt>
                <c:pt idx="2">
                  <c:v>Nuwaraelliya</c:v>
                </c:pt>
                <c:pt idx="3">
                  <c:v>Welimada</c:v>
                </c:pt>
                <c:pt idx="4">
                  <c:v>Baddulla</c:v>
                </c:pt>
              </c:strCache>
            </c:strRef>
          </c:cat>
          <c:val>
            <c:numRef>
              <c:f>'Data Analysis '!$I$65:$I$69</c:f>
              <c:numCache>
                <c:formatCode>General</c:formatCode>
                <c:ptCount val="5"/>
                <c:pt idx="0">
                  <c:v>200</c:v>
                </c:pt>
                <c:pt idx="1">
                  <c:v>50</c:v>
                </c:pt>
                <c:pt idx="2">
                  <c:v>100</c:v>
                </c:pt>
                <c:pt idx="3">
                  <c:v>0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56-49D7-85CC-D5D0B3105654}"/>
            </c:ext>
          </c:extLst>
        </c:ser>
        <c:ser>
          <c:idx val="1"/>
          <c:order val="1"/>
          <c:tx>
            <c:v>Type2</c:v>
          </c:tx>
          <c:spPr>
            <a:solidFill>
              <a:schemeClr val="accent2">
                <a:alpha val="7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'Data Analysis '!$G$65:$G$69</c:f>
              <c:strCache>
                <c:ptCount val="5"/>
                <c:pt idx="0">
                  <c:v>Kandy</c:v>
                </c:pt>
                <c:pt idx="1">
                  <c:v>Gampola</c:v>
                </c:pt>
                <c:pt idx="2">
                  <c:v>Nuwaraelliya</c:v>
                </c:pt>
                <c:pt idx="3">
                  <c:v>Welimada</c:v>
                </c:pt>
                <c:pt idx="4">
                  <c:v>Baddulla</c:v>
                </c:pt>
              </c:strCache>
            </c:strRef>
          </c:cat>
          <c:val>
            <c:numRef>
              <c:f>'Data Analysis '!$J$65:$J$69</c:f>
              <c:numCache>
                <c:formatCode>General</c:formatCode>
                <c:ptCount val="5"/>
                <c:pt idx="0">
                  <c:v>100</c:v>
                </c:pt>
                <c:pt idx="1">
                  <c:v>60</c:v>
                </c:pt>
                <c:pt idx="2">
                  <c:v>120</c:v>
                </c:pt>
                <c:pt idx="3">
                  <c:v>0</c:v>
                </c:pt>
                <c:pt idx="4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56-49D7-85CC-D5D0B3105654}"/>
            </c:ext>
          </c:extLst>
        </c:ser>
        <c:ser>
          <c:idx val="2"/>
          <c:order val="2"/>
          <c:tx>
            <c:v>Type3</c:v>
          </c:tx>
          <c:spPr>
            <a:solidFill>
              <a:schemeClr val="accent3">
                <a:alpha val="7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'Data Analysis '!$G$65:$G$69</c:f>
              <c:strCache>
                <c:ptCount val="5"/>
                <c:pt idx="0">
                  <c:v>Kandy</c:v>
                </c:pt>
                <c:pt idx="1">
                  <c:v>Gampola</c:v>
                </c:pt>
                <c:pt idx="2">
                  <c:v>Nuwaraelliya</c:v>
                </c:pt>
                <c:pt idx="3">
                  <c:v>Welimada</c:v>
                </c:pt>
                <c:pt idx="4">
                  <c:v>Baddulla</c:v>
                </c:pt>
              </c:strCache>
            </c:strRef>
          </c:cat>
          <c:val>
            <c:numRef>
              <c:f>'Data Analysis '!$K$65:$K$69</c:f>
              <c:numCache>
                <c:formatCode>General</c:formatCode>
                <c:ptCount val="5"/>
                <c:pt idx="0">
                  <c:v>120</c:v>
                </c:pt>
                <c:pt idx="1">
                  <c:v>70</c:v>
                </c:pt>
                <c:pt idx="2">
                  <c:v>40</c:v>
                </c:pt>
                <c:pt idx="3">
                  <c:v>0</c:v>
                </c:pt>
                <c:pt idx="4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856-49D7-85CC-D5D0B3105654}"/>
            </c:ext>
          </c:extLst>
        </c:ser>
        <c:ser>
          <c:idx val="3"/>
          <c:order val="3"/>
          <c:tx>
            <c:v>Type4</c:v>
          </c:tx>
          <c:spPr>
            <a:solidFill>
              <a:schemeClr val="accent4">
                <a:alpha val="7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'Data Analysis '!$G$65:$G$69</c:f>
              <c:strCache>
                <c:ptCount val="5"/>
                <c:pt idx="0">
                  <c:v>Kandy</c:v>
                </c:pt>
                <c:pt idx="1">
                  <c:v>Gampola</c:v>
                </c:pt>
                <c:pt idx="2">
                  <c:v>Nuwaraelliya</c:v>
                </c:pt>
                <c:pt idx="3">
                  <c:v>Welimada</c:v>
                </c:pt>
                <c:pt idx="4">
                  <c:v>Baddulla</c:v>
                </c:pt>
              </c:strCache>
            </c:strRef>
          </c:cat>
          <c:val>
            <c:numRef>
              <c:f>'Data Analysis '!$L$65:$L$69</c:f>
              <c:numCache>
                <c:formatCode>General</c:formatCode>
                <c:ptCount val="5"/>
                <c:pt idx="0">
                  <c:v>150</c:v>
                </c:pt>
                <c:pt idx="1">
                  <c:v>80</c:v>
                </c:pt>
                <c:pt idx="2">
                  <c:v>70</c:v>
                </c:pt>
                <c:pt idx="3">
                  <c:v>0</c:v>
                </c:pt>
                <c:pt idx="4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856-49D7-85CC-D5D0B3105654}"/>
            </c:ext>
          </c:extLst>
        </c:ser>
        <c:ser>
          <c:idx val="4"/>
          <c:order val="4"/>
          <c:tx>
            <c:v>Type5</c:v>
          </c:tx>
          <c:spPr>
            <a:solidFill>
              <a:schemeClr val="accent5">
                <a:alpha val="7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'Data Analysis '!$G$65:$G$69</c:f>
              <c:strCache>
                <c:ptCount val="5"/>
                <c:pt idx="0">
                  <c:v>Kandy</c:v>
                </c:pt>
                <c:pt idx="1">
                  <c:v>Gampola</c:v>
                </c:pt>
                <c:pt idx="2">
                  <c:v>Nuwaraelliya</c:v>
                </c:pt>
                <c:pt idx="3">
                  <c:v>Welimada</c:v>
                </c:pt>
                <c:pt idx="4">
                  <c:v>Baddulla</c:v>
                </c:pt>
              </c:strCache>
            </c:strRef>
          </c:cat>
          <c:val>
            <c:numRef>
              <c:f>'Data Analysis '!$M$65:$M$69</c:f>
              <c:numCache>
                <c:formatCode>General</c:formatCode>
                <c:ptCount val="5"/>
                <c:pt idx="0">
                  <c:v>100</c:v>
                </c:pt>
                <c:pt idx="1">
                  <c:v>90</c:v>
                </c:pt>
                <c:pt idx="2">
                  <c:v>50</c:v>
                </c:pt>
                <c:pt idx="3">
                  <c:v>0</c:v>
                </c:pt>
                <c:pt idx="4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856-49D7-85CC-D5D0B3105654}"/>
            </c:ext>
          </c:extLst>
        </c:ser>
        <c:ser>
          <c:idx val="5"/>
          <c:order val="5"/>
          <c:tx>
            <c:v>Type6</c:v>
          </c:tx>
          <c:spPr>
            <a:solidFill>
              <a:schemeClr val="accent6">
                <a:alpha val="7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'Data Analysis '!$G$65:$G$69</c:f>
              <c:strCache>
                <c:ptCount val="5"/>
                <c:pt idx="0">
                  <c:v>Kandy</c:v>
                </c:pt>
                <c:pt idx="1">
                  <c:v>Gampola</c:v>
                </c:pt>
                <c:pt idx="2">
                  <c:v>Nuwaraelliya</c:v>
                </c:pt>
                <c:pt idx="3">
                  <c:v>Welimada</c:v>
                </c:pt>
                <c:pt idx="4">
                  <c:v>Baddulla</c:v>
                </c:pt>
              </c:strCache>
            </c:strRef>
          </c:cat>
          <c:val>
            <c:numRef>
              <c:f>'Data Analysis '!$N$65:$N$69</c:f>
              <c:numCache>
                <c:formatCode>General</c:formatCode>
                <c:ptCount val="5"/>
                <c:pt idx="0">
                  <c:v>40</c:v>
                </c:pt>
                <c:pt idx="1">
                  <c:v>100</c:v>
                </c:pt>
                <c:pt idx="2">
                  <c:v>100</c:v>
                </c:pt>
                <c:pt idx="3">
                  <c:v>0</c:v>
                </c:pt>
                <c:pt idx="4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856-49D7-85CC-D5D0B31056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09569583"/>
        <c:axId val="1709570063"/>
      </c:barChart>
      <c:catAx>
        <c:axId val="170956958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709570063"/>
        <c:crosses val="autoZero"/>
        <c:auto val="1"/>
        <c:lblAlgn val="ctr"/>
        <c:lblOffset val="100"/>
        <c:noMultiLvlLbl val="0"/>
      </c:catAx>
      <c:valAx>
        <c:axId val="17095700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9569583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1"/>
  </c:chart>
  <c:spPr>
    <a:solidFill>
      <a:schemeClr val="lt1"/>
    </a:solidFill>
    <a:ln w="25400" cap="flat" cmpd="sng" algn="ctr">
      <a:solidFill>
        <a:schemeClr val="accent2"/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strike="noStrike" kern="1200" cap="all" spc="5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jaffna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Type1</c:v>
          </c:tx>
          <c:spPr>
            <a:solidFill>
              <a:schemeClr val="accent1">
                <a:alpha val="7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'Data Analysis '!$G$75:$G$83</c:f>
              <c:strCache>
                <c:ptCount val="9"/>
                <c:pt idx="0">
                  <c:v>Dambulla</c:v>
                </c:pt>
                <c:pt idx="1">
                  <c:v>Kekirawa</c:v>
                </c:pt>
                <c:pt idx="2">
                  <c:v>Thalawa</c:v>
                </c:pt>
                <c:pt idx="3">
                  <c:v>Anuradhapuraya</c:v>
                </c:pt>
                <c:pt idx="4">
                  <c:v>Mihinthale</c:v>
                </c:pt>
                <c:pt idx="5">
                  <c:v>Madawachchiya</c:v>
                </c:pt>
                <c:pt idx="6">
                  <c:v>Wawniyawa</c:v>
                </c:pt>
                <c:pt idx="7">
                  <c:v>Kilinochchiya</c:v>
                </c:pt>
                <c:pt idx="8">
                  <c:v>Jaffna</c:v>
                </c:pt>
              </c:strCache>
            </c:strRef>
          </c:cat>
          <c:val>
            <c:numRef>
              <c:f>'Data Analysis '!$I$75:$I$83</c:f>
              <c:numCache>
                <c:formatCode>General</c:formatCode>
                <c:ptCount val="9"/>
                <c:pt idx="0">
                  <c:v>0</c:v>
                </c:pt>
                <c:pt idx="1">
                  <c:v>50</c:v>
                </c:pt>
                <c:pt idx="2">
                  <c:v>0</c:v>
                </c:pt>
                <c:pt idx="3">
                  <c:v>0</c:v>
                </c:pt>
                <c:pt idx="4">
                  <c:v>50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11-4BE6-96AF-42A61EB6D0B9}"/>
            </c:ext>
          </c:extLst>
        </c:ser>
        <c:ser>
          <c:idx val="1"/>
          <c:order val="1"/>
          <c:tx>
            <c:v>Type2</c:v>
          </c:tx>
          <c:spPr>
            <a:solidFill>
              <a:schemeClr val="accent2">
                <a:alpha val="7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'Data Analysis '!$G$75:$G$83</c:f>
              <c:strCache>
                <c:ptCount val="9"/>
                <c:pt idx="0">
                  <c:v>Dambulla</c:v>
                </c:pt>
                <c:pt idx="1">
                  <c:v>Kekirawa</c:v>
                </c:pt>
                <c:pt idx="2">
                  <c:v>Thalawa</c:v>
                </c:pt>
                <c:pt idx="3">
                  <c:v>Anuradhapuraya</c:v>
                </c:pt>
                <c:pt idx="4">
                  <c:v>Mihinthale</c:v>
                </c:pt>
                <c:pt idx="5">
                  <c:v>Madawachchiya</c:v>
                </c:pt>
                <c:pt idx="6">
                  <c:v>Wawniyawa</c:v>
                </c:pt>
                <c:pt idx="7">
                  <c:v>Kilinochchiya</c:v>
                </c:pt>
                <c:pt idx="8">
                  <c:v>Jaffna</c:v>
                </c:pt>
              </c:strCache>
            </c:strRef>
          </c:cat>
          <c:val>
            <c:numRef>
              <c:f>'Data Analysis '!$J$75:$J$83</c:f>
              <c:numCache>
                <c:formatCode>General</c:formatCode>
                <c:ptCount val="9"/>
                <c:pt idx="0">
                  <c:v>0</c:v>
                </c:pt>
                <c:pt idx="1">
                  <c:v>100</c:v>
                </c:pt>
                <c:pt idx="2">
                  <c:v>0</c:v>
                </c:pt>
                <c:pt idx="3">
                  <c:v>0</c:v>
                </c:pt>
                <c:pt idx="4">
                  <c:v>60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11-4BE6-96AF-42A61EB6D0B9}"/>
            </c:ext>
          </c:extLst>
        </c:ser>
        <c:ser>
          <c:idx val="2"/>
          <c:order val="2"/>
          <c:tx>
            <c:v>Type3</c:v>
          </c:tx>
          <c:spPr>
            <a:solidFill>
              <a:schemeClr val="accent3">
                <a:alpha val="7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'Data Analysis '!$G$75:$G$83</c:f>
              <c:strCache>
                <c:ptCount val="9"/>
                <c:pt idx="0">
                  <c:v>Dambulla</c:v>
                </c:pt>
                <c:pt idx="1">
                  <c:v>Kekirawa</c:v>
                </c:pt>
                <c:pt idx="2">
                  <c:v>Thalawa</c:v>
                </c:pt>
                <c:pt idx="3">
                  <c:v>Anuradhapuraya</c:v>
                </c:pt>
                <c:pt idx="4">
                  <c:v>Mihinthale</c:v>
                </c:pt>
                <c:pt idx="5">
                  <c:v>Madawachchiya</c:v>
                </c:pt>
                <c:pt idx="6">
                  <c:v>Wawniyawa</c:v>
                </c:pt>
                <c:pt idx="7">
                  <c:v>Kilinochchiya</c:v>
                </c:pt>
                <c:pt idx="8">
                  <c:v>Jaffna</c:v>
                </c:pt>
              </c:strCache>
            </c:strRef>
          </c:cat>
          <c:val>
            <c:numRef>
              <c:f>'Data Analysis '!$K$75:$K$83</c:f>
              <c:numCache>
                <c:formatCode>General</c:formatCode>
                <c:ptCount val="9"/>
                <c:pt idx="0">
                  <c:v>0</c:v>
                </c:pt>
                <c:pt idx="1">
                  <c:v>120</c:v>
                </c:pt>
                <c:pt idx="2">
                  <c:v>0</c:v>
                </c:pt>
                <c:pt idx="3">
                  <c:v>0</c:v>
                </c:pt>
                <c:pt idx="4">
                  <c:v>70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11-4BE6-96AF-42A61EB6D0B9}"/>
            </c:ext>
          </c:extLst>
        </c:ser>
        <c:ser>
          <c:idx val="3"/>
          <c:order val="3"/>
          <c:tx>
            <c:v>Type4</c:v>
          </c:tx>
          <c:spPr>
            <a:solidFill>
              <a:schemeClr val="accent4">
                <a:alpha val="7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'Data Analysis '!$G$75:$G$83</c:f>
              <c:strCache>
                <c:ptCount val="9"/>
                <c:pt idx="0">
                  <c:v>Dambulla</c:v>
                </c:pt>
                <c:pt idx="1">
                  <c:v>Kekirawa</c:v>
                </c:pt>
                <c:pt idx="2">
                  <c:v>Thalawa</c:v>
                </c:pt>
                <c:pt idx="3">
                  <c:v>Anuradhapuraya</c:v>
                </c:pt>
                <c:pt idx="4">
                  <c:v>Mihinthale</c:v>
                </c:pt>
                <c:pt idx="5">
                  <c:v>Madawachchiya</c:v>
                </c:pt>
                <c:pt idx="6">
                  <c:v>Wawniyawa</c:v>
                </c:pt>
                <c:pt idx="7">
                  <c:v>Kilinochchiya</c:v>
                </c:pt>
                <c:pt idx="8">
                  <c:v>Jaffna</c:v>
                </c:pt>
              </c:strCache>
            </c:strRef>
          </c:cat>
          <c:val>
            <c:numRef>
              <c:f>'Data Analysis '!$L$75:$L$83</c:f>
              <c:numCache>
                <c:formatCode>General</c:formatCode>
                <c:ptCount val="9"/>
                <c:pt idx="0">
                  <c:v>0</c:v>
                </c:pt>
                <c:pt idx="1">
                  <c:v>80</c:v>
                </c:pt>
                <c:pt idx="2">
                  <c:v>0</c:v>
                </c:pt>
                <c:pt idx="3">
                  <c:v>0</c:v>
                </c:pt>
                <c:pt idx="4">
                  <c:v>80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811-4BE6-96AF-42A61EB6D0B9}"/>
            </c:ext>
          </c:extLst>
        </c:ser>
        <c:ser>
          <c:idx val="4"/>
          <c:order val="4"/>
          <c:tx>
            <c:v>Type5</c:v>
          </c:tx>
          <c:spPr>
            <a:solidFill>
              <a:schemeClr val="accent5">
                <a:alpha val="7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'Data Analysis '!$G$75:$G$83</c:f>
              <c:strCache>
                <c:ptCount val="9"/>
                <c:pt idx="0">
                  <c:v>Dambulla</c:v>
                </c:pt>
                <c:pt idx="1">
                  <c:v>Kekirawa</c:v>
                </c:pt>
                <c:pt idx="2">
                  <c:v>Thalawa</c:v>
                </c:pt>
                <c:pt idx="3">
                  <c:v>Anuradhapuraya</c:v>
                </c:pt>
                <c:pt idx="4">
                  <c:v>Mihinthale</c:v>
                </c:pt>
                <c:pt idx="5">
                  <c:v>Madawachchiya</c:v>
                </c:pt>
                <c:pt idx="6">
                  <c:v>Wawniyawa</c:v>
                </c:pt>
                <c:pt idx="7">
                  <c:v>Kilinochchiya</c:v>
                </c:pt>
                <c:pt idx="8">
                  <c:v>Jaffna</c:v>
                </c:pt>
              </c:strCache>
            </c:strRef>
          </c:cat>
          <c:val>
            <c:numRef>
              <c:f>'Data Analysis '!$M$75:$M$83</c:f>
              <c:numCache>
                <c:formatCode>General</c:formatCode>
                <c:ptCount val="9"/>
                <c:pt idx="0">
                  <c:v>0</c:v>
                </c:pt>
                <c:pt idx="1">
                  <c:v>60</c:v>
                </c:pt>
                <c:pt idx="2">
                  <c:v>0</c:v>
                </c:pt>
                <c:pt idx="3">
                  <c:v>0</c:v>
                </c:pt>
                <c:pt idx="4">
                  <c:v>90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811-4BE6-96AF-42A61EB6D0B9}"/>
            </c:ext>
          </c:extLst>
        </c:ser>
        <c:ser>
          <c:idx val="5"/>
          <c:order val="5"/>
          <c:tx>
            <c:v>Type6</c:v>
          </c:tx>
          <c:spPr>
            <a:solidFill>
              <a:schemeClr val="accent6">
                <a:alpha val="7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'Data Analysis '!$G$75:$G$83</c:f>
              <c:strCache>
                <c:ptCount val="9"/>
                <c:pt idx="0">
                  <c:v>Dambulla</c:v>
                </c:pt>
                <c:pt idx="1">
                  <c:v>Kekirawa</c:v>
                </c:pt>
                <c:pt idx="2">
                  <c:v>Thalawa</c:v>
                </c:pt>
                <c:pt idx="3">
                  <c:v>Anuradhapuraya</c:v>
                </c:pt>
                <c:pt idx="4">
                  <c:v>Mihinthale</c:v>
                </c:pt>
                <c:pt idx="5">
                  <c:v>Madawachchiya</c:v>
                </c:pt>
                <c:pt idx="6">
                  <c:v>Wawniyawa</c:v>
                </c:pt>
                <c:pt idx="7">
                  <c:v>Kilinochchiya</c:v>
                </c:pt>
                <c:pt idx="8">
                  <c:v>Jaffna</c:v>
                </c:pt>
              </c:strCache>
            </c:strRef>
          </c:cat>
          <c:val>
            <c:numRef>
              <c:f>'Data Analysis '!$N$75:$N$83</c:f>
              <c:numCache>
                <c:formatCode>General</c:formatCode>
                <c:ptCount val="9"/>
                <c:pt idx="0">
                  <c:v>0</c:v>
                </c:pt>
                <c:pt idx="1">
                  <c:v>50</c:v>
                </c:pt>
                <c:pt idx="2">
                  <c:v>0</c:v>
                </c:pt>
                <c:pt idx="3">
                  <c:v>0</c:v>
                </c:pt>
                <c:pt idx="4">
                  <c:v>100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811-4BE6-96AF-42A61EB6D0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09571023"/>
        <c:axId val="1709575823"/>
      </c:barChart>
      <c:catAx>
        <c:axId val="170957102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709575823"/>
        <c:crosses val="autoZero"/>
        <c:auto val="1"/>
        <c:lblAlgn val="ctr"/>
        <c:lblOffset val="100"/>
        <c:noMultiLvlLbl val="0"/>
      </c:catAx>
      <c:valAx>
        <c:axId val="17095758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9571023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1"/>
  </c:chart>
  <c:spPr>
    <a:solidFill>
      <a:schemeClr val="lt1"/>
    </a:solidFill>
    <a:ln w="25400" cap="flat" cmpd="sng" algn="ctr">
      <a:solidFill>
        <a:schemeClr val="accent2"/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strike="noStrike" kern="1200" cap="all" spc="5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thrinco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0.15079828003025311"/>
          <c:y val="0.1444616524869686"/>
          <c:w val="0.80364058574862929"/>
          <c:h val="0.49416538961311712"/>
        </c:manualLayout>
      </c:layout>
      <c:barChart>
        <c:barDir val="col"/>
        <c:grouping val="stacked"/>
        <c:varyColors val="0"/>
        <c:ser>
          <c:idx val="0"/>
          <c:order val="0"/>
          <c:tx>
            <c:v>Type1</c:v>
          </c:tx>
          <c:spPr>
            <a:solidFill>
              <a:schemeClr val="accent1">
                <a:alpha val="7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'Data Analysis '!$G$89:$G$94</c:f>
              <c:strCache>
                <c:ptCount val="6"/>
                <c:pt idx="0">
                  <c:v>Mathale</c:v>
                </c:pt>
                <c:pt idx="1">
                  <c:v>Naula</c:v>
                </c:pt>
                <c:pt idx="2">
                  <c:v>Dambulla</c:v>
                </c:pt>
                <c:pt idx="3">
                  <c:v>Habarana</c:v>
                </c:pt>
                <c:pt idx="4">
                  <c:v>Kanthale</c:v>
                </c:pt>
                <c:pt idx="5">
                  <c:v>Trincomalee</c:v>
                </c:pt>
              </c:strCache>
            </c:strRef>
          </c:cat>
          <c:val>
            <c:numRef>
              <c:f>'Data Analysis '!$I$89:$I$94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40</c:v>
                </c:pt>
                <c:pt idx="4">
                  <c:v>100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01-44BD-B6B5-58A0941A40B3}"/>
            </c:ext>
          </c:extLst>
        </c:ser>
        <c:ser>
          <c:idx val="1"/>
          <c:order val="1"/>
          <c:tx>
            <c:v>Type2</c:v>
          </c:tx>
          <c:spPr>
            <a:solidFill>
              <a:schemeClr val="accent2">
                <a:alpha val="7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'Data Analysis '!$G$89:$G$94</c:f>
              <c:strCache>
                <c:ptCount val="6"/>
                <c:pt idx="0">
                  <c:v>Mathale</c:v>
                </c:pt>
                <c:pt idx="1">
                  <c:v>Naula</c:v>
                </c:pt>
                <c:pt idx="2">
                  <c:v>Dambulla</c:v>
                </c:pt>
                <c:pt idx="3">
                  <c:v>Habarana</c:v>
                </c:pt>
                <c:pt idx="4">
                  <c:v>Kanthale</c:v>
                </c:pt>
                <c:pt idx="5">
                  <c:v>Trincomalee</c:v>
                </c:pt>
              </c:strCache>
            </c:strRef>
          </c:cat>
          <c:val>
            <c:numRef>
              <c:f>'Data Analysis '!$J$89:$J$94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70</c:v>
                </c:pt>
                <c:pt idx="4">
                  <c:v>40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01-44BD-B6B5-58A0941A40B3}"/>
            </c:ext>
          </c:extLst>
        </c:ser>
        <c:ser>
          <c:idx val="2"/>
          <c:order val="2"/>
          <c:tx>
            <c:v>Type3</c:v>
          </c:tx>
          <c:spPr>
            <a:solidFill>
              <a:schemeClr val="accent3">
                <a:alpha val="7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'Data Analysis '!$G$89:$G$94</c:f>
              <c:strCache>
                <c:ptCount val="6"/>
                <c:pt idx="0">
                  <c:v>Mathale</c:v>
                </c:pt>
                <c:pt idx="1">
                  <c:v>Naula</c:v>
                </c:pt>
                <c:pt idx="2">
                  <c:v>Dambulla</c:v>
                </c:pt>
                <c:pt idx="3">
                  <c:v>Habarana</c:v>
                </c:pt>
                <c:pt idx="4">
                  <c:v>Kanthale</c:v>
                </c:pt>
                <c:pt idx="5">
                  <c:v>Trincomalee</c:v>
                </c:pt>
              </c:strCache>
            </c:strRef>
          </c:cat>
          <c:val>
            <c:numRef>
              <c:f>'Data Analysis '!$K$89:$K$94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30</c:v>
                </c:pt>
                <c:pt idx="4">
                  <c:v>60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01-44BD-B6B5-58A0941A40B3}"/>
            </c:ext>
          </c:extLst>
        </c:ser>
        <c:ser>
          <c:idx val="3"/>
          <c:order val="3"/>
          <c:tx>
            <c:v>Type4</c:v>
          </c:tx>
          <c:spPr>
            <a:solidFill>
              <a:schemeClr val="accent4">
                <a:alpha val="7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'Data Analysis '!$G$89:$G$94</c:f>
              <c:strCache>
                <c:ptCount val="6"/>
                <c:pt idx="0">
                  <c:v>Mathale</c:v>
                </c:pt>
                <c:pt idx="1">
                  <c:v>Naula</c:v>
                </c:pt>
                <c:pt idx="2">
                  <c:v>Dambulla</c:v>
                </c:pt>
                <c:pt idx="3">
                  <c:v>Habarana</c:v>
                </c:pt>
                <c:pt idx="4">
                  <c:v>Kanthale</c:v>
                </c:pt>
                <c:pt idx="5">
                  <c:v>Trincomalee</c:v>
                </c:pt>
              </c:strCache>
            </c:strRef>
          </c:cat>
          <c:val>
            <c:numRef>
              <c:f>'Data Analysis '!$L$89:$L$94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80</c:v>
                </c:pt>
                <c:pt idx="4">
                  <c:v>40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201-44BD-B6B5-58A0941A40B3}"/>
            </c:ext>
          </c:extLst>
        </c:ser>
        <c:ser>
          <c:idx val="4"/>
          <c:order val="4"/>
          <c:tx>
            <c:v>Type5</c:v>
          </c:tx>
          <c:spPr>
            <a:solidFill>
              <a:schemeClr val="accent5">
                <a:alpha val="7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'Data Analysis '!$G$89:$G$94</c:f>
              <c:strCache>
                <c:ptCount val="6"/>
                <c:pt idx="0">
                  <c:v>Mathale</c:v>
                </c:pt>
                <c:pt idx="1">
                  <c:v>Naula</c:v>
                </c:pt>
                <c:pt idx="2">
                  <c:v>Dambulla</c:v>
                </c:pt>
                <c:pt idx="3">
                  <c:v>Habarana</c:v>
                </c:pt>
                <c:pt idx="4">
                  <c:v>Kanthale</c:v>
                </c:pt>
                <c:pt idx="5">
                  <c:v>Trincomalee</c:v>
                </c:pt>
              </c:strCache>
            </c:strRef>
          </c:cat>
          <c:val>
            <c:numRef>
              <c:f>'Data Analysis '!$M$89:$M$94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60</c:v>
                </c:pt>
                <c:pt idx="4">
                  <c:v>20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201-44BD-B6B5-58A0941A40B3}"/>
            </c:ext>
          </c:extLst>
        </c:ser>
        <c:ser>
          <c:idx val="5"/>
          <c:order val="5"/>
          <c:tx>
            <c:v>Type6</c:v>
          </c:tx>
          <c:spPr>
            <a:solidFill>
              <a:schemeClr val="accent6">
                <a:alpha val="7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'Data Analysis '!$G$89:$G$94</c:f>
              <c:strCache>
                <c:ptCount val="6"/>
                <c:pt idx="0">
                  <c:v>Mathale</c:v>
                </c:pt>
                <c:pt idx="1">
                  <c:v>Naula</c:v>
                </c:pt>
                <c:pt idx="2">
                  <c:v>Dambulla</c:v>
                </c:pt>
                <c:pt idx="3">
                  <c:v>Habarana</c:v>
                </c:pt>
                <c:pt idx="4">
                  <c:v>Kanthale</c:v>
                </c:pt>
                <c:pt idx="5">
                  <c:v>Trincomalee</c:v>
                </c:pt>
              </c:strCache>
            </c:strRef>
          </c:cat>
          <c:val>
            <c:numRef>
              <c:f>'Data Analysis '!$N$89:$N$94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30</c:v>
                </c:pt>
                <c:pt idx="4">
                  <c:v>100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201-44BD-B6B5-58A0941A40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09518223"/>
        <c:axId val="1709537903"/>
      </c:barChart>
      <c:catAx>
        <c:axId val="170951822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709537903"/>
        <c:crosses val="autoZero"/>
        <c:auto val="1"/>
        <c:lblAlgn val="ctr"/>
        <c:lblOffset val="100"/>
        <c:noMultiLvlLbl val="0"/>
      </c:catAx>
      <c:valAx>
        <c:axId val="17095379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9518223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1"/>
  </c:chart>
  <c:spPr>
    <a:solidFill>
      <a:schemeClr val="lt1"/>
    </a:solidFill>
    <a:ln w="25400" cap="flat" cmpd="sng" algn="ctr">
      <a:solidFill>
        <a:schemeClr val="accent2"/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US" sz="2400">
                <a:solidFill>
                  <a:schemeClr val="bg2">
                    <a:lumMod val="25000"/>
                  </a:schemeClr>
                </a:solidFill>
              </a:rPr>
              <a:t>Transport</a:t>
            </a:r>
            <a:r>
              <a:rPr lang="en-US" sz="2400" baseline="0">
                <a:solidFill>
                  <a:schemeClr val="bg2">
                    <a:lumMod val="25000"/>
                  </a:schemeClr>
                </a:solidFill>
              </a:rPr>
              <a:t> cost per shirt in each Routes</a:t>
            </a:r>
            <a:endParaRPr lang="en-US" sz="2400">
              <a:solidFill>
                <a:schemeClr val="bg2">
                  <a:lumMod val="25000"/>
                </a:schemeClr>
              </a:solidFill>
            </a:endParaRP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'Data Analysis '!$G$2</c:f>
              <c:strCache>
                <c:ptCount val="1"/>
                <c:pt idx="0">
                  <c:v>Batticalo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tint val="48000"/>
                  </a:schemeClr>
                </a:gs>
                <a:gs pos="75000">
                  <a:schemeClr val="accent3">
                    <a:tint val="48000"/>
                    <a:lumMod val="60000"/>
                    <a:lumOff val="40000"/>
                  </a:schemeClr>
                </a:gs>
                <a:gs pos="51000">
                  <a:schemeClr val="accent3">
                    <a:tint val="48000"/>
                    <a:alpha val="75000"/>
                  </a:schemeClr>
                </a:gs>
                <a:gs pos="100000">
                  <a:schemeClr val="accent3">
                    <a:tint val="48000"/>
                    <a:alpha val="15000"/>
                    <a:lumMod val="20000"/>
                    <a:lumOff val="80000"/>
                  </a:schemeClr>
                </a:gs>
              </a:gsLst>
              <a:lin ang="10800000" scaled="1"/>
              <a:tileRect/>
            </a:gra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'Data Analysis '!$K$2</c:f>
              <c:numCache>
                <c:formatCode>General</c:formatCode>
                <c:ptCount val="1"/>
                <c:pt idx="0">
                  <c:v>88.648463532110085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8A-452B-8353-7066942BC4C2}"/>
            </c:ext>
          </c:extLst>
        </c:ser>
        <c:ser>
          <c:idx val="1"/>
          <c:order val="1"/>
          <c:tx>
            <c:strRef>
              <c:f>'Data Analysis '!$G$3</c:f>
              <c:strCache>
                <c:ptCount val="1"/>
                <c:pt idx="0">
                  <c:v>Puththalama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tint val="65000"/>
                  </a:schemeClr>
                </a:gs>
                <a:gs pos="75000">
                  <a:schemeClr val="accent3">
                    <a:tint val="65000"/>
                    <a:lumMod val="60000"/>
                    <a:lumOff val="40000"/>
                  </a:schemeClr>
                </a:gs>
                <a:gs pos="51000">
                  <a:schemeClr val="accent3">
                    <a:tint val="65000"/>
                    <a:alpha val="75000"/>
                  </a:schemeClr>
                </a:gs>
                <a:gs pos="100000">
                  <a:schemeClr val="accent3">
                    <a:tint val="65000"/>
                    <a:alpha val="15000"/>
                    <a:lumMod val="20000"/>
                    <a:lumOff val="80000"/>
                  </a:schemeClr>
                </a:gs>
              </a:gsLst>
              <a:lin ang="10800000" scaled="1"/>
              <a:tileRect/>
            </a:gra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'Data Analysis '!$K$3</c:f>
              <c:numCache>
                <c:formatCode>General</c:formatCode>
                <c:ptCount val="1"/>
                <c:pt idx="0">
                  <c:v>34.379732082111438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8A-452B-8353-7066942BC4C2}"/>
            </c:ext>
          </c:extLst>
        </c:ser>
        <c:ser>
          <c:idx val="2"/>
          <c:order val="2"/>
          <c:tx>
            <c:strRef>
              <c:f>'Data Analysis '!$G$4</c:f>
              <c:strCache>
                <c:ptCount val="1"/>
                <c:pt idx="0">
                  <c:v>Hambanthota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tint val="83000"/>
                  </a:schemeClr>
                </a:gs>
                <a:gs pos="75000">
                  <a:schemeClr val="accent3">
                    <a:tint val="83000"/>
                    <a:lumMod val="60000"/>
                    <a:lumOff val="40000"/>
                  </a:schemeClr>
                </a:gs>
                <a:gs pos="51000">
                  <a:schemeClr val="accent3">
                    <a:tint val="83000"/>
                    <a:alpha val="75000"/>
                  </a:schemeClr>
                </a:gs>
                <a:gs pos="100000">
                  <a:schemeClr val="accent3">
                    <a:tint val="83000"/>
                    <a:alpha val="15000"/>
                    <a:lumMod val="20000"/>
                    <a:lumOff val="80000"/>
                  </a:schemeClr>
                </a:gs>
              </a:gsLst>
              <a:lin ang="10800000" scaled="1"/>
              <a:tileRect/>
            </a:gra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'Data Analysis '!$K$4</c:f>
              <c:numCache>
                <c:formatCode>General</c:formatCode>
                <c:ptCount val="1"/>
                <c:pt idx="0">
                  <c:v>185.26409397260275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18A-452B-8353-7066942BC4C2}"/>
            </c:ext>
          </c:extLst>
        </c:ser>
        <c:ser>
          <c:idx val="3"/>
          <c:order val="3"/>
          <c:tx>
            <c:strRef>
              <c:f>'Data Analysis '!$G$5</c:f>
              <c:strCache>
                <c:ptCount val="1"/>
                <c:pt idx="0">
                  <c:v>Colombo</c:v>
                </c:pt>
              </c:strCache>
            </c:strRef>
          </c:tx>
          <c:spPr>
            <a:gradFill rotWithShape="1">
              <a:gsLst>
                <a:gs pos="0">
                  <a:schemeClr val="accent3"/>
                </a:gs>
                <a:gs pos="75000">
                  <a:schemeClr val="accent3">
                    <a:lumMod val="60000"/>
                    <a:lumOff val="40000"/>
                  </a:schemeClr>
                </a:gs>
                <a:gs pos="51000">
                  <a:schemeClr val="accent3">
                    <a:alpha val="75000"/>
                  </a:schemeClr>
                </a:gs>
                <a:gs pos="100000">
                  <a:schemeClr val="accent3">
                    <a:alpha val="15000"/>
                    <a:lumMod val="20000"/>
                    <a:lumOff val="80000"/>
                  </a:schemeClr>
                </a:gs>
              </a:gsLst>
              <a:lin ang="10800000" scaled="1"/>
              <a:tileRect/>
            </a:gra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'Data Analysis '!$K$5</c:f>
              <c:numCache>
                <c:formatCode>General</c:formatCode>
                <c:ptCount val="1"/>
                <c:pt idx="0">
                  <c:v>54.74631814616756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18A-452B-8353-7066942BC4C2}"/>
            </c:ext>
          </c:extLst>
        </c:ser>
        <c:ser>
          <c:idx val="4"/>
          <c:order val="4"/>
          <c:tx>
            <c:strRef>
              <c:f>'Data Analysis '!$G$6</c:f>
              <c:strCache>
                <c:ptCount val="1"/>
                <c:pt idx="0">
                  <c:v>Badulla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82000"/>
                  </a:schemeClr>
                </a:gs>
                <a:gs pos="75000">
                  <a:schemeClr val="accent3">
                    <a:shade val="82000"/>
                    <a:lumMod val="60000"/>
                    <a:lumOff val="40000"/>
                  </a:schemeClr>
                </a:gs>
                <a:gs pos="51000">
                  <a:schemeClr val="accent3">
                    <a:shade val="82000"/>
                    <a:alpha val="75000"/>
                  </a:schemeClr>
                </a:gs>
                <a:gs pos="100000">
                  <a:schemeClr val="accent3">
                    <a:shade val="82000"/>
                    <a:alpha val="15000"/>
                    <a:lumMod val="20000"/>
                    <a:lumOff val="80000"/>
                  </a:schemeClr>
                </a:gs>
              </a:gsLst>
              <a:lin ang="10800000" scaled="1"/>
              <a:tileRect/>
            </a:gra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'Data Analysis '!$K$6</c:f>
              <c:numCache>
                <c:formatCode>General</c:formatCode>
                <c:ptCount val="1"/>
                <c:pt idx="0">
                  <c:v>60.065834663461544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18A-452B-8353-7066942BC4C2}"/>
            </c:ext>
          </c:extLst>
        </c:ser>
        <c:ser>
          <c:idx val="5"/>
          <c:order val="5"/>
          <c:tx>
            <c:strRef>
              <c:f>'Data Analysis '!$G$7</c:f>
              <c:strCache>
                <c:ptCount val="1"/>
                <c:pt idx="0">
                  <c:v>Jaffna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65000"/>
                  </a:schemeClr>
                </a:gs>
                <a:gs pos="75000">
                  <a:schemeClr val="accent3">
                    <a:shade val="65000"/>
                    <a:lumMod val="60000"/>
                    <a:lumOff val="40000"/>
                  </a:schemeClr>
                </a:gs>
                <a:gs pos="51000">
                  <a:schemeClr val="accent3">
                    <a:shade val="65000"/>
                    <a:alpha val="75000"/>
                  </a:schemeClr>
                </a:gs>
                <a:gs pos="100000">
                  <a:schemeClr val="accent3">
                    <a:shade val="65000"/>
                    <a:alpha val="15000"/>
                    <a:lumMod val="20000"/>
                    <a:lumOff val="80000"/>
                  </a:schemeClr>
                </a:gs>
              </a:gsLst>
              <a:lin ang="10800000" scaled="1"/>
              <a:tileRect/>
            </a:gra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'Data Analysis '!$K$7</c:f>
              <c:numCache>
                <c:formatCode>General</c:formatCode>
                <c:ptCount val="1"/>
                <c:pt idx="0">
                  <c:v>87.812906387434552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18A-452B-8353-7066942BC4C2}"/>
            </c:ext>
          </c:extLst>
        </c:ser>
        <c:ser>
          <c:idx val="6"/>
          <c:order val="6"/>
          <c:tx>
            <c:strRef>
              <c:f>'Data Analysis '!$G$8</c:f>
              <c:strCache>
                <c:ptCount val="1"/>
                <c:pt idx="0">
                  <c:v>Trinco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47000"/>
                  </a:schemeClr>
                </a:gs>
                <a:gs pos="75000">
                  <a:schemeClr val="accent3">
                    <a:shade val="47000"/>
                    <a:lumMod val="60000"/>
                    <a:lumOff val="40000"/>
                  </a:schemeClr>
                </a:gs>
                <a:gs pos="51000">
                  <a:schemeClr val="accent3">
                    <a:shade val="47000"/>
                    <a:alpha val="75000"/>
                  </a:schemeClr>
                </a:gs>
                <a:gs pos="100000">
                  <a:schemeClr val="accent3">
                    <a:shade val="47000"/>
                    <a:alpha val="15000"/>
                    <a:lumMod val="20000"/>
                    <a:lumOff val="80000"/>
                  </a:schemeClr>
                </a:gs>
              </a:gsLst>
              <a:lin ang="10800000" scaled="1"/>
              <a:tileRect/>
            </a:gra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'Data Analysis '!$K$8</c:f>
              <c:numCache>
                <c:formatCode>General</c:formatCode>
                <c:ptCount val="1"/>
                <c:pt idx="0">
                  <c:v>140.61713988059702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18A-452B-8353-7066942BC4C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26"/>
        <c:overlap val="-58"/>
        <c:axId val="817836512"/>
        <c:axId val="817837472"/>
      </c:barChart>
      <c:catAx>
        <c:axId val="8178365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  <a:headEnd w="sm" len="sm"/>
            <a:tailEnd w="sm" len="sm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7837472"/>
        <c:crosses val="autoZero"/>
        <c:auto val="1"/>
        <c:lblAlgn val="ctr"/>
        <c:lblOffset val="100"/>
        <c:noMultiLvlLbl val="0"/>
      </c:catAx>
      <c:valAx>
        <c:axId val="817837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783651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3200"/>
              <a:t>Batticalo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0.1763371639355891"/>
          <c:y val="0.202860027975545"/>
          <c:w val="0.61942301553522028"/>
          <c:h val="0.54894973831863836"/>
        </c:manualLayout>
      </c:layout>
      <c:doughnutChart>
        <c:varyColors val="1"/>
        <c:ser>
          <c:idx val="0"/>
          <c:order val="0"/>
          <c:spPr>
            <a:ln>
              <a:prstDash val="solid"/>
            </a:ln>
          </c:spPr>
          <c:dPt>
            <c:idx val="0"/>
            <c:bubble3D val="0"/>
            <c:spPr>
              <a:solidFill>
                <a:schemeClr val="accent2">
                  <a:shade val="53000"/>
                </a:schemeClr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D157-449C-8856-16B22FC1939E}"/>
              </c:ext>
            </c:extLst>
          </c:dPt>
          <c:dPt>
            <c:idx val="1"/>
            <c:bubble3D val="0"/>
            <c:spPr>
              <a:solidFill>
                <a:schemeClr val="accent2">
                  <a:shade val="76000"/>
                </a:schemeClr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D157-449C-8856-16B22FC1939E}"/>
              </c:ext>
            </c:extLst>
          </c:dPt>
          <c:dPt>
            <c:idx val="2"/>
            <c:bubble3D val="0"/>
            <c:spPr>
              <a:solidFill>
                <a:schemeClr val="accent2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D157-449C-8856-16B22FC1939E}"/>
              </c:ext>
            </c:extLst>
          </c:dPt>
          <c:dPt>
            <c:idx val="3"/>
            <c:bubble3D val="0"/>
            <c:spPr>
              <a:solidFill>
                <a:schemeClr val="accent2">
                  <a:tint val="77000"/>
                </a:schemeClr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D157-449C-8856-16B22FC1939E}"/>
              </c:ext>
            </c:extLst>
          </c:dPt>
          <c:dPt>
            <c:idx val="4"/>
            <c:bubble3D val="0"/>
            <c:spPr>
              <a:solidFill>
                <a:schemeClr val="accent2">
                  <a:tint val="54000"/>
                </a:schemeClr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D157-449C-8856-16B22FC1939E}"/>
              </c:ext>
            </c:extLst>
          </c:dPt>
          <c:dLbls>
            <c:spPr>
              <a:noFill/>
              <a:ln w="9525">
                <a:noFill/>
                <a:prstDash val="solid"/>
              </a:ln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'Data Analysis '!$G$12:$G$16</c:f>
              <c:strCache>
                <c:ptCount val="5"/>
                <c:pt idx="0">
                  <c:v>Digana</c:v>
                </c:pt>
                <c:pt idx="1">
                  <c:v>Mahiyanganaya</c:v>
                </c:pt>
                <c:pt idx="2">
                  <c:v>Padiyathalawa</c:v>
                </c:pt>
                <c:pt idx="3">
                  <c:v>Mohaoya</c:v>
                </c:pt>
                <c:pt idx="4">
                  <c:v>Batticalo</c:v>
                </c:pt>
              </c:strCache>
            </c:strRef>
          </c:cat>
          <c:val>
            <c:numRef>
              <c:f>'Data Analysis '!$H$12:$H$16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410</c:v>
                </c:pt>
                <c:pt idx="4">
                  <c:v>680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157-449C-8856-16B22FC193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70"/>
      </c:doughnutChart>
    </c:plotArea>
    <c:legend>
      <c:legendPos val="b"/>
      <c:layout>
        <c:manualLayout>
          <c:xMode val="edge"/>
          <c:yMode val="edge"/>
          <c:x val="0.1071411470525644"/>
          <c:y val="0.79963458908953733"/>
          <c:w val="0.82513212030928562"/>
          <c:h val="0.19396736849900029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600" b="0" i="0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chemeClr val="bg2">
        <a:alpha val="30000"/>
        <a:lumMod val="90000"/>
      </a:schemeClr>
    </a:solidFill>
    <a:ln>
      <a:prstDash val="solid"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3200" b="1" i="0" strike="noStrike" kern="1200" baseline="0">
                <a:solidFill>
                  <a:sysClr val="windowText" lastClr="000000">
                    <a:lumOff val="35000"/>
                    <a:lumMod val="6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3200" b="1" i="0" strike="noStrike" kern="1200" baseline="0">
                <a:solidFill>
                  <a:sysClr val="windowText" lastClr="000000">
                    <a:lumOff val="35000"/>
                    <a:lumMod val="65000"/>
                  </a:sysClr>
                </a:solidFill>
                <a:latin typeface="+mn-lt"/>
                <a:ea typeface="+mn-ea"/>
                <a:cs typeface="+mn-cs"/>
              </a:rPr>
              <a:t>Puththalama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0.2266490254291984"/>
          <c:y val="0.19701282216772081"/>
          <c:w val="0.60681166903317418"/>
          <c:h val="0.50567639086097849"/>
        </c:manualLayout>
      </c:layout>
      <c:doughnutChart>
        <c:varyColors val="1"/>
        <c:ser>
          <c:idx val="0"/>
          <c:order val="0"/>
          <c:spPr>
            <a:ln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A949-4269-8406-B001CC2B4D2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A949-4269-8406-B001CC2B4D2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A949-4269-8406-B001CC2B4D2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A949-4269-8406-B001CC2B4D2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A949-4269-8406-B001CC2B4D2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A949-4269-8406-B001CC2B4D2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A949-4269-8406-B001CC2B4D2C}"/>
              </c:ext>
            </c:extLst>
          </c:dPt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'Data Analysis '!$G$22:$G$28</c:f>
              <c:strCache>
                <c:ptCount val="7"/>
                <c:pt idx="0">
                  <c:v>Katugastota</c:v>
                </c:pt>
                <c:pt idx="1">
                  <c:v>Mawathagama</c:v>
                </c:pt>
                <c:pt idx="2">
                  <c:v>Kurunegala</c:v>
                </c:pt>
                <c:pt idx="3">
                  <c:v>Wariyapola</c:v>
                </c:pt>
                <c:pt idx="4">
                  <c:v>Nikaweratiya</c:v>
                </c:pt>
                <c:pt idx="5">
                  <c:v>Anamaduwa</c:v>
                </c:pt>
                <c:pt idx="6">
                  <c:v>Puththalama</c:v>
                </c:pt>
              </c:strCache>
            </c:strRef>
          </c:cat>
          <c:val>
            <c:numRef>
              <c:f>'Data Analysis '!$H$22:$H$28</c:f>
              <c:numCache>
                <c:formatCode>General</c:formatCode>
                <c:ptCount val="7"/>
                <c:pt idx="0">
                  <c:v>0</c:v>
                </c:pt>
                <c:pt idx="1">
                  <c:v>610</c:v>
                </c:pt>
                <c:pt idx="2">
                  <c:v>1910</c:v>
                </c:pt>
                <c:pt idx="3">
                  <c:v>480</c:v>
                </c:pt>
                <c:pt idx="4">
                  <c:v>0</c:v>
                </c:pt>
                <c:pt idx="5">
                  <c:v>410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A949-4269-8406-B001CC2B4D2C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  <c:holeSize val="70"/>
      </c:doughnutChart>
    </c:plotArea>
    <c:legend>
      <c:legendPos val="b"/>
      <c:layout>
        <c:manualLayout>
          <c:xMode val="edge"/>
          <c:yMode val="edge"/>
          <c:x val="8.2137914578859481E-2"/>
          <c:y val="0.7752605804466135"/>
          <c:w val="0.83572417084228112"/>
          <c:h val="0.19358674414899421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lang="en-US" sz="1600" b="0" i="0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chemeClr val="accent3">
        <a:alpha val="23000"/>
        <a:lumMod val="40000"/>
        <a:lumOff val="60000"/>
      </a:schemeClr>
    </a:solidFill>
    <a:ln w="9525" cap="flat" cmpd="sng" algn="ctr">
      <a:solidFill>
        <a:schemeClr val="accent1"/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3200" b="1" i="0" strike="noStrike" kern="1200" baseline="0">
                <a:solidFill>
                  <a:sysClr val="windowText" lastClr="000000">
                    <a:lumOff val="35000"/>
                    <a:lumMod val="6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3200" b="1" i="0" strike="noStrike" kern="1200" baseline="0">
                <a:solidFill>
                  <a:sysClr val="windowText" lastClr="000000">
                    <a:lumOff val="35000"/>
                    <a:lumMod val="65000"/>
                  </a:sysClr>
                </a:solidFill>
                <a:latin typeface="+mn-lt"/>
                <a:ea typeface="+mn-ea"/>
                <a:cs typeface="+mn-cs"/>
              </a:rPr>
              <a:t>Hambanthota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0.2110875006518225"/>
          <c:y val="0.17094315513192429"/>
          <c:w val="0.60135622533938227"/>
          <c:h val="0.47791994750656169"/>
        </c:manualLayout>
      </c:layout>
      <c:doughnutChart>
        <c:varyColors val="1"/>
        <c:ser>
          <c:idx val="0"/>
          <c:order val="0"/>
          <c:spPr>
            <a:ln>
              <a:prstDash val="solid"/>
            </a:ln>
          </c:spPr>
          <c:dPt>
            <c:idx val="0"/>
            <c:bubble3D val="0"/>
            <c:spPr>
              <a:solidFill>
                <a:schemeClr val="accent5">
                  <a:shade val="40000"/>
                </a:schemeClr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1E19-4A89-A327-5941934A8A1D}"/>
              </c:ext>
            </c:extLst>
          </c:dPt>
          <c:dPt>
            <c:idx val="1"/>
            <c:bubble3D val="0"/>
            <c:spPr>
              <a:solidFill>
                <a:schemeClr val="accent5">
                  <a:shade val="51000"/>
                </a:schemeClr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1E19-4A89-A327-5941934A8A1D}"/>
              </c:ext>
            </c:extLst>
          </c:dPt>
          <c:dPt>
            <c:idx val="2"/>
            <c:bubble3D val="0"/>
            <c:spPr>
              <a:solidFill>
                <a:schemeClr val="accent5">
                  <a:shade val="62000"/>
                </a:schemeClr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1E19-4A89-A327-5941934A8A1D}"/>
              </c:ext>
            </c:extLst>
          </c:dPt>
          <c:dPt>
            <c:idx val="3"/>
            <c:bubble3D val="0"/>
            <c:spPr>
              <a:solidFill>
                <a:schemeClr val="accent5">
                  <a:shade val="73000"/>
                </a:schemeClr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1E19-4A89-A327-5941934A8A1D}"/>
              </c:ext>
            </c:extLst>
          </c:dPt>
          <c:dPt>
            <c:idx val="4"/>
            <c:bubble3D val="0"/>
            <c:spPr>
              <a:solidFill>
                <a:schemeClr val="accent5">
                  <a:shade val="83000"/>
                </a:schemeClr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1E19-4A89-A327-5941934A8A1D}"/>
              </c:ext>
            </c:extLst>
          </c:dPt>
          <c:dPt>
            <c:idx val="5"/>
            <c:bubble3D val="0"/>
            <c:spPr>
              <a:solidFill>
                <a:schemeClr val="accent5">
                  <a:shade val="94000"/>
                </a:schemeClr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1E19-4A89-A327-5941934A8A1D}"/>
              </c:ext>
            </c:extLst>
          </c:dPt>
          <c:dPt>
            <c:idx val="6"/>
            <c:bubble3D val="0"/>
            <c:spPr>
              <a:solidFill>
                <a:schemeClr val="accent5">
                  <a:tint val="95000"/>
                </a:schemeClr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1E19-4A89-A327-5941934A8A1D}"/>
              </c:ext>
            </c:extLst>
          </c:dPt>
          <c:dPt>
            <c:idx val="7"/>
            <c:bubble3D val="0"/>
            <c:spPr>
              <a:solidFill>
                <a:schemeClr val="accent5">
                  <a:tint val="84000"/>
                </a:schemeClr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1E19-4A89-A327-5941934A8A1D}"/>
              </c:ext>
            </c:extLst>
          </c:dPt>
          <c:dPt>
            <c:idx val="8"/>
            <c:bubble3D val="0"/>
            <c:spPr>
              <a:solidFill>
                <a:schemeClr val="accent5">
                  <a:tint val="74000"/>
                </a:schemeClr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1E19-4A89-A327-5941934A8A1D}"/>
              </c:ext>
            </c:extLst>
          </c:dPt>
          <c:dPt>
            <c:idx val="9"/>
            <c:bubble3D val="0"/>
            <c:spPr>
              <a:solidFill>
                <a:schemeClr val="accent5">
                  <a:tint val="63000"/>
                </a:schemeClr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1E19-4A89-A327-5941934A8A1D}"/>
              </c:ext>
            </c:extLst>
          </c:dPt>
          <c:dPt>
            <c:idx val="10"/>
            <c:bubble3D val="0"/>
            <c:spPr>
              <a:solidFill>
                <a:schemeClr val="accent5">
                  <a:tint val="52000"/>
                </a:schemeClr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1E19-4A89-A327-5941934A8A1D}"/>
              </c:ext>
            </c:extLst>
          </c:dPt>
          <c:dPt>
            <c:idx val="11"/>
            <c:bubble3D val="0"/>
            <c:spPr>
              <a:solidFill>
                <a:schemeClr val="accent5">
                  <a:tint val="41000"/>
                </a:schemeClr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1E19-4A89-A327-5941934A8A1D}"/>
              </c:ext>
            </c:extLst>
          </c:dPt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'Data Analysis '!$G$34:$G$45</c:f>
              <c:strCache>
                <c:ptCount val="12"/>
                <c:pt idx="0">
                  <c:v>Pilimathalawa</c:v>
                </c:pt>
                <c:pt idx="1">
                  <c:v>Kadugannawa</c:v>
                </c:pt>
                <c:pt idx="2">
                  <c:v>Mawanella</c:v>
                </c:pt>
                <c:pt idx="3">
                  <c:v>Kegalle</c:v>
                </c:pt>
                <c:pt idx="4">
                  <c:v>Kadawata</c:v>
                </c:pt>
                <c:pt idx="5">
                  <c:v>Galle</c:v>
                </c:pt>
                <c:pt idx="6">
                  <c:v>Ahangama</c:v>
                </c:pt>
                <c:pt idx="7">
                  <c:v>Mirissa</c:v>
                </c:pt>
                <c:pt idx="8">
                  <c:v>Matara</c:v>
                </c:pt>
                <c:pt idx="9">
                  <c:v>Dikwella</c:v>
                </c:pt>
                <c:pt idx="10">
                  <c:v>Thangalla</c:v>
                </c:pt>
                <c:pt idx="11">
                  <c:v>Hambanthota</c:v>
                </c:pt>
              </c:strCache>
            </c:strRef>
          </c:cat>
          <c:val>
            <c:numRef>
              <c:f>'Data Analysis '!$H$34:$H$45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970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490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1E19-4A89-A327-5941934A8A1D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  <c:holeSize val="70"/>
      </c:doughnutChart>
    </c:plotArea>
    <c:legend>
      <c:legendPos val="b"/>
      <c:layout>
        <c:manualLayout>
          <c:xMode val="edge"/>
          <c:yMode val="edge"/>
          <c:x val="0.1186095078679542"/>
          <c:y val="0.71444820648007556"/>
          <c:w val="0.77614285944318295"/>
          <c:h val="0.26206451167288303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lang="en-US" sz="1600" b="0" i="0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1"/>
  </c:chart>
  <c:spPr>
    <a:noFill/>
    <a:ln w="9525" cap="flat" cmpd="sng" algn="ctr">
      <a:solidFill>
        <a:schemeClr val="accent1"/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3200" b="1" i="0" strike="noStrike" kern="1200" baseline="0">
                <a:solidFill>
                  <a:sysClr val="windowText" lastClr="000000">
                    <a:lumOff val="35000"/>
                    <a:lumMod val="6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3200" b="1" i="0" strike="noStrike" kern="1200" baseline="0">
                <a:solidFill>
                  <a:sysClr val="windowText" lastClr="000000">
                    <a:lumOff val="35000"/>
                    <a:lumMod val="65000"/>
                  </a:sysClr>
                </a:solidFill>
                <a:latin typeface="+mn-lt"/>
                <a:ea typeface="+mn-ea"/>
                <a:cs typeface="+mn-cs"/>
              </a:rPr>
              <a:t>Colombo</a:t>
            </a:r>
          </a:p>
        </c:rich>
      </c:tx>
      <c:layout>
        <c:manualLayout>
          <c:xMode val="edge"/>
          <c:yMode val="edge"/>
          <c:x val="0.2909923575729505"/>
          <c:y val="3.9787798408488062E-2"/>
        </c:manualLayout>
      </c:layout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0.2142473367299676"/>
          <c:y val="0.19775092768576341"/>
          <c:w val="0.53719198703103288"/>
          <c:h val="0.48447022703063969"/>
        </c:manualLayout>
      </c:layout>
      <c:doughnutChart>
        <c:varyColors val="1"/>
        <c:ser>
          <c:idx val="0"/>
          <c:order val="0"/>
          <c:spPr>
            <a:ln>
              <a:solidFill>
                <a:schemeClr val="accent1"/>
              </a:solidFill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CC44-49E1-859C-A6F46C9C5C3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accen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CC44-49E1-859C-A6F46C9C5C3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accen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CC44-49E1-859C-A6F46C9C5C3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accen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CC44-49E1-859C-A6F46C9C5C3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accen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CC44-49E1-859C-A6F46C9C5C3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accen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CC44-49E1-859C-A6F46C9C5C3A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accen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CC44-49E1-859C-A6F46C9C5C3A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accen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CC44-49E1-859C-A6F46C9C5C3A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accen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CC44-49E1-859C-A6F46C9C5C3A}"/>
              </c:ext>
            </c:extLst>
          </c:dPt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'Data Analysis '!$G$51:$G$59</c:f>
              <c:strCache>
                <c:ptCount val="9"/>
                <c:pt idx="0">
                  <c:v>Warakapola</c:v>
                </c:pt>
                <c:pt idx="1">
                  <c:v>Nittambuwa</c:v>
                </c:pt>
                <c:pt idx="2">
                  <c:v>Yakkala</c:v>
                </c:pt>
                <c:pt idx="3">
                  <c:v>Kiribathgoda</c:v>
                </c:pt>
                <c:pt idx="4">
                  <c:v>Colombo</c:v>
                </c:pt>
                <c:pt idx="5">
                  <c:v>Kottawa</c:v>
                </c:pt>
                <c:pt idx="6">
                  <c:v>Maharagama</c:v>
                </c:pt>
                <c:pt idx="7">
                  <c:v>Piliyandala</c:v>
                </c:pt>
                <c:pt idx="8">
                  <c:v>Malabe</c:v>
                </c:pt>
              </c:strCache>
            </c:strRef>
          </c:cat>
          <c:val>
            <c:numRef>
              <c:f>'Data Analysis '!$H$51:$H$59</c:f>
              <c:numCache>
                <c:formatCode>General</c:formatCode>
                <c:ptCount val="9"/>
                <c:pt idx="0">
                  <c:v>600</c:v>
                </c:pt>
                <c:pt idx="1">
                  <c:v>0</c:v>
                </c:pt>
                <c:pt idx="2">
                  <c:v>460</c:v>
                </c:pt>
                <c:pt idx="3">
                  <c:v>2750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1800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CC44-49E1-859C-A6F46C9C5C3A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  <c:holeSize val="70"/>
      </c:doughnutChart>
    </c:plotArea>
    <c:legend>
      <c:legendPos val="b"/>
      <c:layout>
        <c:manualLayout>
          <c:xMode val="edge"/>
          <c:yMode val="edge"/>
          <c:x val="0.109608229118419"/>
          <c:y val="0.73861470233992632"/>
          <c:w val="0.79058746333178953"/>
          <c:h val="0.21717663276175361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lang="en-US" sz="1600" b="0" i="0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1"/>
  </c:chart>
  <c:spPr>
    <a:noFill/>
    <a:ln w="9525" cap="flat" cmpd="sng" algn="ctr">
      <a:solidFill>
        <a:schemeClr val="accent1"/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US" sz="2200">
                <a:solidFill>
                  <a:schemeClr val="bg2">
                    <a:lumMod val="25000"/>
                  </a:schemeClr>
                </a:solidFill>
              </a:rPr>
              <a:t> Total</a:t>
            </a:r>
            <a:r>
              <a:rPr lang="en-US" sz="2200" baseline="0">
                <a:solidFill>
                  <a:schemeClr val="bg2">
                    <a:lumMod val="25000"/>
                  </a:schemeClr>
                </a:solidFill>
              </a:rPr>
              <a:t> Shirts demand of each Shirt Type</a:t>
            </a:r>
            <a:endParaRPr lang="en-US" sz="2200">
              <a:solidFill>
                <a:schemeClr val="bg2">
                  <a:lumMod val="25000"/>
                </a:schemeClr>
              </a:solidFill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2"/>
                </a:gs>
                <a:gs pos="75000">
                  <a:schemeClr val="accent2">
                    <a:lumMod val="60000"/>
                    <a:lumOff val="40000"/>
                  </a:schemeClr>
                </a:gs>
                <a:gs pos="51000">
                  <a:schemeClr val="accent2">
                    <a:alpha val="75000"/>
                  </a:schemeClr>
                </a:gs>
                <a:gs pos="100000">
                  <a:schemeClr val="accent2">
                    <a:alpha val="15000"/>
                    <a:lumMod val="20000"/>
                    <a:lumOff val="80000"/>
                  </a:schemeClr>
                </a:gs>
              </a:gsLst>
              <a:lin ang="5400000" scaled="0"/>
            </a:gra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'Data Analysis '!$P$11:$P$16</c:f>
              <c:strCache>
                <c:ptCount val="6"/>
                <c:pt idx="0">
                  <c:v>Type1</c:v>
                </c:pt>
                <c:pt idx="1">
                  <c:v>Type2</c:v>
                </c:pt>
                <c:pt idx="2">
                  <c:v>Type3</c:v>
                </c:pt>
                <c:pt idx="3">
                  <c:v>Type4</c:v>
                </c:pt>
                <c:pt idx="4">
                  <c:v>Type5</c:v>
                </c:pt>
                <c:pt idx="5">
                  <c:v>Type6</c:v>
                </c:pt>
              </c:strCache>
            </c:strRef>
          </c:cat>
          <c:val>
            <c:numRef>
              <c:f>'Data Analysis '!$Q$11:$Q$16</c:f>
              <c:numCache>
                <c:formatCode>General</c:formatCode>
                <c:ptCount val="6"/>
                <c:pt idx="0">
                  <c:v>2520</c:v>
                </c:pt>
                <c:pt idx="1">
                  <c:v>2720</c:v>
                </c:pt>
                <c:pt idx="2">
                  <c:v>2550</c:v>
                </c:pt>
                <c:pt idx="3">
                  <c:v>3210</c:v>
                </c:pt>
                <c:pt idx="4">
                  <c:v>2330</c:v>
                </c:pt>
                <c:pt idx="5">
                  <c:v>2820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B5-4137-9549-DE15E7A1679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70"/>
        <c:axId val="1528624256"/>
        <c:axId val="1528627136"/>
      </c:barChart>
      <c:catAx>
        <c:axId val="1528624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8627136"/>
        <c:crosses val="autoZero"/>
        <c:auto val="1"/>
        <c:lblAlgn val="ctr"/>
        <c:lblOffset val="100"/>
        <c:noMultiLvlLbl val="0"/>
      </c:catAx>
      <c:valAx>
        <c:axId val="15286271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8624256"/>
        <c:crosses val="autoZero"/>
        <c:crossBetween val="between"/>
      </c:valAx>
    </c:plotArea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3200" b="1" i="0" strike="noStrike" kern="1200" baseline="0">
                <a:solidFill>
                  <a:sysClr val="windowText" lastClr="000000">
                    <a:lumOff val="35000"/>
                    <a:lumMod val="6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3200" b="1" i="0" strike="noStrike" kern="1200" baseline="0">
                <a:solidFill>
                  <a:sysClr val="windowText" lastClr="000000">
                    <a:lumOff val="35000"/>
                    <a:lumMod val="65000"/>
                  </a:sysClr>
                </a:solidFill>
                <a:latin typeface="+mn-lt"/>
                <a:ea typeface="+mn-ea"/>
                <a:cs typeface="+mn-cs"/>
              </a:rPr>
              <a:t>Baddulla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0.23755333120180419"/>
          <c:y val="0.20039974806503161"/>
          <c:w val="0.49138654881023469"/>
          <c:h val="0.53632443576046818"/>
        </c:manualLayout>
      </c:layout>
      <c:doughnutChart>
        <c:varyColors val="1"/>
        <c:ser>
          <c:idx val="0"/>
          <c:order val="0"/>
          <c:spPr>
            <a:ln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BAB9-4805-A3E6-15AE96614F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BAB9-4805-A3E6-15AE96614FB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BAB9-4805-A3E6-15AE96614FB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BAB9-4805-A3E6-15AE96614FB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BAB9-4805-A3E6-15AE96614FB5}"/>
              </c:ext>
            </c:extLst>
          </c:dPt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'Data Analysis '!$G$65:$G$69</c:f>
              <c:strCache>
                <c:ptCount val="5"/>
                <c:pt idx="0">
                  <c:v>Kandy</c:v>
                </c:pt>
                <c:pt idx="1">
                  <c:v>Gampola</c:v>
                </c:pt>
                <c:pt idx="2">
                  <c:v>Nuwaraelliya</c:v>
                </c:pt>
                <c:pt idx="3">
                  <c:v>Welimada</c:v>
                </c:pt>
                <c:pt idx="4">
                  <c:v>Baddulla</c:v>
                </c:pt>
              </c:strCache>
            </c:strRef>
          </c:cat>
          <c:val>
            <c:numRef>
              <c:f>'Data Analysis '!$H$65:$H$69</c:f>
              <c:numCache>
                <c:formatCode>General</c:formatCode>
                <c:ptCount val="5"/>
                <c:pt idx="0">
                  <c:v>710</c:v>
                </c:pt>
                <c:pt idx="1">
                  <c:v>450</c:v>
                </c:pt>
                <c:pt idx="2">
                  <c:v>480</c:v>
                </c:pt>
                <c:pt idx="3">
                  <c:v>0</c:v>
                </c:pt>
                <c:pt idx="4">
                  <c:v>440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AB9-4805-A3E6-15AE96614FB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  <c:holeSize val="70"/>
      </c:doughnutChart>
    </c:plotArea>
    <c:legend>
      <c:legendPos val="b"/>
      <c:layout>
        <c:manualLayout>
          <c:xMode val="edge"/>
          <c:yMode val="edge"/>
          <c:x val="7.7232223493286775E-2"/>
          <c:y val="0.79472051047690262"/>
          <c:w val="0.80644564321195655"/>
          <c:h val="0.14930664916885389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lang="en-US" sz="1600" b="0" i="0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1"/>
  </c:chart>
  <c:spPr>
    <a:noFill/>
    <a:ln w="9525" cap="flat" cmpd="sng" algn="ctr">
      <a:solidFill>
        <a:schemeClr val="accent1"/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3200" b="1" i="0" strike="noStrike" kern="1200" baseline="0">
                <a:solidFill>
                  <a:sysClr val="windowText" lastClr="000000">
                    <a:lumOff val="35000"/>
                    <a:lumMod val="6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3200" b="1" i="0" strike="noStrike" kern="1200" baseline="0">
                <a:solidFill>
                  <a:sysClr val="windowText" lastClr="000000">
                    <a:lumOff val="35000"/>
                    <a:lumMod val="65000"/>
                  </a:sysClr>
                </a:solidFill>
                <a:latin typeface="+mn-lt"/>
                <a:ea typeface="+mn-ea"/>
                <a:cs typeface="+mn-cs"/>
              </a:rPr>
              <a:t>Jaffna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0.28326779989238371"/>
          <c:y val="0.18840726816085809"/>
          <c:w val="0.46306351358756059"/>
          <c:h val="0.49531536249406588"/>
        </c:manualLayout>
      </c:layout>
      <c:doughnutChart>
        <c:varyColors val="1"/>
        <c:ser>
          <c:idx val="0"/>
          <c:order val="0"/>
          <c:spPr>
            <a:ln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DCC1-4283-8A0B-00E3F684E97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DCC1-4283-8A0B-00E3F684E97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DCC1-4283-8A0B-00E3F684E97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DCC1-4283-8A0B-00E3F684E97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DCC1-4283-8A0B-00E3F684E97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DCC1-4283-8A0B-00E3F684E97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DCC1-4283-8A0B-00E3F684E976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DCC1-4283-8A0B-00E3F684E976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DCC1-4283-8A0B-00E3F684E976}"/>
              </c:ext>
            </c:extLst>
          </c:dPt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'Data Analysis '!$G$75:$G$83</c:f>
              <c:strCache>
                <c:ptCount val="9"/>
                <c:pt idx="0">
                  <c:v>Dambulla</c:v>
                </c:pt>
                <c:pt idx="1">
                  <c:v>Kekirawa</c:v>
                </c:pt>
                <c:pt idx="2">
                  <c:v>Thalawa</c:v>
                </c:pt>
                <c:pt idx="3">
                  <c:v>Anuradhapuraya</c:v>
                </c:pt>
                <c:pt idx="4">
                  <c:v>Mihinthale</c:v>
                </c:pt>
                <c:pt idx="5">
                  <c:v>Madawachchiya</c:v>
                </c:pt>
                <c:pt idx="6">
                  <c:v>Wawniyawa</c:v>
                </c:pt>
                <c:pt idx="7">
                  <c:v>Kilinochchiya</c:v>
                </c:pt>
                <c:pt idx="8">
                  <c:v>Jaffna</c:v>
                </c:pt>
              </c:strCache>
            </c:strRef>
          </c:cat>
          <c:val>
            <c:numRef>
              <c:f>'Data Analysis '!$H$75:$H$83</c:f>
              <c:numCache>
                <c:formatCode>General</c:formatCode>
                <c:ptCount val="9"/>
                <c:pt idx="0">
                  <c:v>0</c:v>
                </c:pt>
                <c:pt idx="1">
                  <c:v>460</c:v>
                </c:pt>
                <c:pt idx="2">
                  <c:v>0</c:v>
                </c:pt>
                <c:pt idx="3">
                  <c:v>0</c:v>
                </c:pt>
                <c:pt idx="4">
                  <c:v>450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DCC1-4283-8A0B-00E3F684E976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0"/>
      </c:doughnutChart>
    </c:plotArea>
    <c:legend>
      <c:legendPos val="b"/>
      <c:layout>
        <c:manualLayout>
          <c:xMode val="edge"/>
          <c:yMode val="edge"/>
          <c:x val="0.14656208188709441"/>
          <c:y val="0.75199401940146404"/>
          <c:w val="0.74896428365734513"/>
          <c:h val="0.2159291214558911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lang="en-US" sz="1600" b="0" i="0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1"/>
  </c:chart>
  <c:spPr>
    <a:noFill/>
    <a:ln w="9525" cap="flat" cmpd="sng" algn="ctr">
      <a:solidFill>
        <a:schemeClr val="accent1"/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7" Type="http://schemas.openxmlformats.org/officeDocument/2006/relationships/chart" Target="../charts/chart18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6" Type="http://schemas.openxmlformats.org/officeDocument/2006/relationships/chart" Target="../charts/chart17.xml"/><Relationship Id="rId5" Type="http://schemas.openxmlformats.org/officeDocument/2006/relationships/chart" Target="../charts/chart16.xml"/><Relationship Id="rId4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419100</xdr:colOff>
      <xdr:row>20</xdr:row>
      <xdr:rowOff>160020</xdr:rowOff>
    </xdr:from>
    <xdr:to>
      <xdr:col>13</xdr:col>
      <xdr:colOff>408214</xdr:colOff>
      <xdr:row>43</xdr:row>
      <xdr:rowOff>54428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91440</xdr:colOff>
      <xdr:row>21</xdr:row>
      <xdr:rowOff>7619</xdr:rowOff>
    </xdr:from>
    <xdr:to>
      <xdr:col>26</xdr:col>
      <xdr:colOff>353786</xdr:colOff>
      <xdr:row>43</xdr:row>
      <xdr:rowOff>81641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34833</xdr:colOff>
      <xdr:row>47</xdr:row>
      <xdr:rowOff>100148</xdr:rowOff>
    </xdr:from>
    <xdr:to>
      <xdr:col>11</xdr:col>
      <xdr:colOff>237343</xdr:colOff>
      <xdr:row>71</xdr:row>
      <xdr:rowOff>49966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10500</xdr:colOff>
      <xdr:row>47</xdr:row>
      <xdr:rowOff>110411</xdr:rowOff>
    </xdr:from>
    <xdr:to>
      <xdr:col>20</xdr:col>
      <xdr:colOff>362263</xdr:colOff>
      <xdr:row>71</xdr:row>
      <xdr:rowOff>87444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274820</xdr:colOff>
      <xdr:row>47</xdr:row>
      <xdr:rowOff>144573</xdr:rowOff>
    </xdr:from>
    <xdr:to>
      <xdr:col>29</xdr:col>
      <xdr:colOff>549640</xdr:colOff>
      <xdr:row>71</xdr:row>
      <xdr:rowOff>137410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31</xdr:col>
      <xdr:colOff>187377</xdr:colOff>
      <xdr:row>47</xdr:row>
      <xdr:rowOff>169206</xdr:rowOff>
    </xdr:from>
    <xdr:to>
      <xdr:col>38</xdr:col>
      <xdr:colOff>280357</xdr:colOff>
      <xdr:row>71</xdr:row>
      <xdr:rowOff>99935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27</xdr:col>
      <xdr:colOff>415201</xdr:colOff>
      <xdr:row>21</xdr:row>
      <xdr:rowOff>85685</xdr:rowOff>
    </xdr:from>
    <xdr:to>
      <xdr:col>38</xdr:col>
      <xdr:colOff>449036</xdr:colOff>
      <xdr:row>43</xdr:row>
      <xdr:rowOff>149677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467703</xdr:colOff>
      <xdr:row>75</xdr:row>
      <xdr:rowOff>67663</xdr:rowOff>
    </xdr:from>
    <xdr:to>
      <xdr:col>15</xdr:col>
      <xdr:colOff>224853</xdr:colOff>
      <xdr:row>99</xdr:row>
      <xdr:rowOff>74950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581525</xdr:colOff>
      <xdr:row>75</xdr:row>
      <xdr:rowOff>95450</xdr:rowOff>
    </xdr:from>
    <xdr:to>
      <xdr:col>25</xdr:col>
      <xdr:colOff>447955</xdr:colOff>
      <xdr:row>99</xdr:row>
      <xdr:rowOff>51466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28</xdr:col>
      <xdr:colOff>200969</xdr:colOff>
      <xdr:row>75</xdr:row>
      <xdr:rowOff>122562</xdr:rowOff>
    </xdr:from>
    <xdr:to>
      <xdr:col>35</xdr:col>
      <xdr:colOff>567628</xdr:colOff>
      <xdr:row>99</xdr:row>
      <xdr:rowOff>38974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219560</xdr:colOff>
      <xdr:row>103</xdr:row>
      <xdr:rowOff>64576</xdr:rowOff>
    </xdr:from>
    <xdr:to>
      <xdr:col>38</xdr:col>
      <xdr:colOff>381000</xdr:colOff>
      <xdr:row>149</xdr:row>
      <xdr:rowOff>1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B152689-9AE3-4DC3-8474-654768B169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487680</xdr:colOff>
      <xdr:row>15</xdr:row>
      <xdr:rowOff>38100</xdr:rowOff>
    </xdr:from>
    <xdr:to>
      <xdr:col>7</xdr:col>
      <xdr:colOff>231169</xdr:colOff>
      <xdr:row>36</xdr:row>
      <xdr:rowOff>59932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205483</xdr:colOff>
      <xdr:row>15</xdr:row>
      <xdr:rowOff>42810</xdr:rowOff>
    </xdr:from>
    <xdr:to>
      <xdr:col>15</xdr:col>
      <xdr:colOff>111303</xdr:colOff>
      <xdr:row>36</xdr:row>
      <xdr:rowOff>55626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453774</xdr:colOff>
      <xdr:row>37</xdr:row>
      <xdr:rowOff>162674</xdr:rowOff>
    </xdr:from>
    <xdr:to>
      <xdr:col>12</xdr:col>
      <xdr:colOff>13823</xdr:colOff>
      <xdr:row>57</xdr:row>
      <xdr:rowOff>109225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445213</xdr:colOff>
      <xdr:row>37</xdr:row>
      <xdr:rowOff>171235</xdr:rowOff>
    </xdr:from>
    <xdr:to>
      <xdr:col>21</xdr:col>
      <xdr:colOff>85618</xdr:colOff>
      <xdr:row>57</xdr:row>
      <xdr:rowOff>119866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25686</xdr:colOff>
      <xdr:row>15</xdr:row>
      <xdr:rowOff>85618</xdr:rowOff>
    </xdr:from>
    <xdr:to>
      <xdr:col>22</xdr:col>
      <xdr:colOff>34248</xdr:colOff>
      <xdr:row>36</xdr:row>
      <xdr:rowOff>42809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539393</xdr:colOff>
      <xdr:row>38</xdr:row>
      <xdr:rowOff>0</xdr:rowOff>
    </xdr:from>
    <xdr:to>
      <xdr:col>30</xdr:col>
      <xdr:colOff>273977</xdr:colOff>
      <xdr:row>57</xdr:row>
      <xdr:rowOff>102742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393842</xdr:colOff>
      <xdr:row>15</xdr:row>
      <xdr:rowOff>111303</xdr:rowOff>
    </xdr:from>
    <xdr:to>
      <xdr:col>30</xdr:col>
      <xdr:colOff>269429</xdr:colOff>
      <xdr:row>36</xdr:row>
      <xdr:rowOff>25685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Blue">
      <a:dk1>
        <a:sysClr val="windowText" lastClr="000000"/>
      </a:dk1>
      <a:lt1>
        <a:sysClr val="window" lastClr="FFFFFF"/>
      </a:lt1>
      <a:dk2>
        <a:srgbClr val="17406D"/>
      </a:dk2>
      <a:lt2>
        <a:srgbClr val="DBEFF9"/>
      </a:lt2>
      <a:accent1>
        <a:srgbClr val="0F6FC6"/>
      </a:accent1>
      <a:accent2>
        <a:srgbClr val="009DD9"/>
      </a:accent2>
      <a:accent3>
        <a:srgbClr val="0BD0D9"/>
      </a:accent3>
      <a:accent4>
        <a:srgbClr val="10CF9B"/>
      </a:accent4>
      <a:accent5>
        <a:srgbClr val="7CCA62"/>
      </a:accent5>
      <a:accent6>
        <a:srgbClr val="A5C249"/>
      </a:accent6>
      <a:hlink>
        <a:srgbClr val="F49100"/>
      </a:hlink>
      <a:folHlink>
        <a:srgbClr val="85DFD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4"/>
  <sheetViews>
    <sheetView zoomScale="114" zoomScaleNormal="102" workbookViewId="0">
      <selection activeCell="C18" sqref="C18"/>
    </sheetView>
  </sheetViews>
  <sheetFormatPr defaultRowHeight="14.4" x14ac:dyDescent="0.3"/>
  <cols>
    <col min="1" max="1" width="10.33203125" bestFit="1" customWidth="1"/>
    <col min="2" max="2" width="8.109375" bestFit="1" customWidth="1"/>
    <col min="3" max="3" width="11.44140625" bestFit="1" customWidth="1"/>
    <col min="4" max="4" width="9.33203125" bestFit="1" customWidth="1"/>
    <col min="5" max="5" width="11.21875" bestFit="1" customWidth="1"/>
    <col min="6" max="6" width="12.6640625" bestFit="1" customWidth="1"/>
    <col min="7" max="7" width="18.88671875" style="4" bestFit="1" customWidth="1"/>
    <col min="8" max="12" width="18.88671875" style="1" bestFit="1" customWidth="1"/>
  </cols>
  <sheetData>
    <row r="1" spans="1:12" x14ac:dyDescent="0.3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6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</row>
    <row r="2" spans="1:12" x14ac:dyDescent="0.3">
      <c r="A2" t="s">
        <v>12</v>
      </c>
      <c r="B2" t="s">
        <v>13</v>
      </c>
      <c r="C2" t="s">
        <v>14</v>
      </c>
      <c r="D2" t="s">
        <v>15</v>
      </c>
      <c r="E2" t="s">
        <v>16</v>
      </c>
      <c r="F2" t="s">
        <v>17</v>
      </c>
      <c r="G2">
        <v>40</v>
      </c>
      <c r="H2">
        <v>70</v>
      </c>
      <c r="I2">
        <v>30</v>
      </c>
      <c r="J2">
        <v>80</v>
      </c>
      <c r="K2">
        <v>60</v>
      </c>
      <c r="L2">
        <v>30</v>
      </c>
    </row>
    <row r="3" spans="1:12" x14ac:dyDescent="0.3">
      <c r="A3" t="s">
        <v>12</v>
      </c>
      <c r="B3" t="s">
        <v>18</v>
      </c>
      <c r="C3" t="s">
        <v>19</v>
      </c>
      <c r="D3" t="s">
        <v>20</v>
      </c>
      <c r="E3" t="s">
        <v>21</v>
      </c>
      <c r="F3" t="s">
        <v>22</v>
      </c>
      <c r="G3">
        <v>100</v>
      </c>
      <c r="H3">
        <v>140</v>
      </c>
      <c r="I3">
        <v>50</v>
      </c>
      <c r="J3">
        <v>250</v>
      </c>
      <c r="K3">
        <v>300</v>
      </c>
      <c r="L3">
        <v>200</v>
      </c>
    </row>
    <row r="4" spans="1:12" x14ac:dyDescent="0.3">
      <c r="A4" t="s">
        <v>12</v>
      </c>
      <c r="B4" t="s">
        <v>23</v>
      </c>
      <c r="C4" t="s">
        <v>24</v>
      </c>
      <c r="D4" t="s">
        <v>25</v>
      </c>
      <c r="E4" t="s">
        <v>26</v>
      </c>
      <c r="F4" t="s">
        <v>27</v>
      </c>
      <c r="G4">
        <v>30</v>
      </c>
      <c r="H4">
        <v>40</v>
      </c>
      <c r="I4">
        <v>70</v>
      </c>
      <c r="J4">
        <v>60</v>
      </c>
      <c r="K4">
        <v>90</v>
      </c>
      <c r="L4">
        <v>170</v>
      </c>
    </row>
    <row r="5" spans="1:12" x14ac:dyDescent="0.3">
      <c r="A5" t="s">
        <v>28</v>
      </c>
      <c r="B5" t="s">
        <v>29</v>
      </c>
      <c r="C5" t="s">
        <v>24</v>
      </c>
      <c r="D5" t="s">
        <v>15</v>
      </c>
      <c r="E5" t="s">
        <v>30</v>
      </c>
      <c r="F5" t="s">
        <v>31</v>
      </c>
      <c r="G5">
        <v>100</v>
      </c>
      <c r="H5">
        <v>150</v>
      </c>
      <c r="I5">
        <v>200</v>
      </c>
      <c r="J5">
        <v>250</v>
      </c>
      <c r="K5">
        <v>300</v>
      </c>
      <c r="L5">
        <v>350</v>
      </c>
    </row>
    <row r="6" spans="1:12" x14ac:dyDescent="0.3">
      <c r="A6" t="s">
        <v>28</v>
      </c>
      <c r="B6" t="s">
        <v>33</v>
      </c>
      <c r="C6" t="s">
        <v>34</v>
      </c>
      <c r="D6" t="s">
        <v>15</v>
      </c>
      <c r="E6" t="s">
        <v>35</v>
      </c>
      <c r="F6" t="s">
        <v>36</v>
      </c>
      <c r="G6">
        <v>50</v>
      </c>
      <c r="H6">
        <v>60</v>
      </c>
      <c r="I6">
        <v>70</v>
      </c>
      <c r="J6">
        <v>80</v>
      </c>
      <c r="K6">
        <v>90</v>
      </c>
      <c r="L6">
        <v>100</v>
      </c>
    </row>
    <row r="7" spans="1:12" x14ac:dyDescent="0.3">
      <c r="A7" t="s">
        <v>28</v>
      </c>
      <c r="B7" t="s">
        <v>37</v>
      </c>
      <c r="C7" t="s">
        <v>24</v>
      </c>
      <c r="D7" t="s">
        <v>38</v>
      </c>
      <c r="E7" t="s">
        <v>39</v>
      </c>
      <c r="F7" t="s">
        <v>36</v>
      </c>
      <c r="G7">
        <v>50</v>
      </c>
      <c r="H7">
        <v>60</v>
      </c>
      <c r="I7">
        <v>70</v>
      </c>
      <c r="J7">
        <v>80</v>
      </c>
      <c r="K7">
        <v>90</v>
      </c>
      <c r="L7">
        <v>100</v>
      </c>
    </row>
    <row r="8" spans="1:12" x14ac:dyDescent="0.3">
      <c r="A8" t="s">
        <v>28</v>
      </c>
      <c r="B8" t="s">
        <v>42</v>
      </c>
      <c r="C8" t="s">
        <v>24</v>
      </c>
      <c r="D8" t="s">
        <v>43</v>
      </c>
      <c r="E8" t="s">
        <v>30</v>
      </c>
      <c r="F8" t="s">
        <v>44</v>
      </c>
      <c r="G8">
        <v>100</v>
      </c>
      <c r="H8">
        <v>300</v>
      </c>
      <c r="I8">
        <v>300</v>
      </c>
      <c r="J8">
        <v>200</v>
      </c>
      <c r="K8">
        <v>100</v>
      </c>
      <c r="L8">
        <v>400</v>
      </c>
    </row>
    <row r="9" spans="1:12" x14ac:dyDescent="0.3">
      <c r="A9" t="s">
        <v>28</v>
      </c>
      <c r="B9" t="s">
        <v>45</v>
      </c>
      <c r="C9" t="s">
        <v>34</v>
      </c>
      <c r="D9" t="s">
        <v>25</v>
      </c>
      <c r="E9" t="s">
        <v>34</v>
      </c>
      <c r="F9" t="s">
        <v>46</v>
      </c>
      <c r="G9">
        <v>200</v>
      </c>
      <c r="H9">
        <v>300</v>
      </c>
      <c r="I9">
        <v>100</v>
      </c>
      <c r="J9">
        <v>200</v>
      </c>
      <c r="K9">
        <v>100</v>
      </c>
      <c r="L9">
        <v>100</v>
      </c>
    </row>
    <row r="10" spans="1:12" x14ac:dyDescent="0.3">
      <c r="A10" t="s">
        <v>47</v>
      </c>
      <c r="B10" t="s">
        <v>48</v>
      </c>
      <c r="C10" t="s">
        <v>19</v>
      </c>
      <c r="D10" t="s">
        <v>15</v>
      </c>
      <c r="E10" t="s">
        <v>49</v>
      </c>
      <c r="F10" t="s">
        <v>50</v>
      </c>
      <c r="G10">
        <v>300</v>
      </c>
      <c r="H10">
        <v>300</v>
      </c>
      <c r="I10">
        <v>200</v>
      </c>
      <c r="J10">
        <v>100</v>
      </c>
      <c r="K10">
        <v>40</v>
      </c>
      <c r="L10">
        <v>30</v>
      </c>
    </row>
    <row r="11" spans="1:12" x14ac:dyDescent="0.3">
      <c r="A11" t="s">
        <v>47</v>
      </c>
      <c r="B11" t="s">
        <v>51</v>
      </c>
      <c r="C11" t="s">
        <v>34</v>
      </c>
      <c r="D11" t="s">
        <v>20</v>
      </c>
      <c r="E11" t="s">
        <v>52</v>
      </c>
      <c r="F11" t="s">
        <v>50</v>
      </c>
      <c r="G11">
        <v>200</v>
      </c>
      <c r="H11">
        <v>100</v>
      </c>
      <c r="I11">
        <v>300</v>
      </c>
      <c r="J11">
        <v>200</v>
      </c>
      <c r="K11">
        <v>40</v>
      </c>
      <c r="L11">
        <v>30</v>
      </c>
    </row>
    <row r="12" spans="1:12" x14ac:dyDescent="0.3">
      <c r="A12" t="s">
        <v>53</v>
      </c>
      <c r="B12" t="s">
        <v>54</v>
      </c>
      <c r="C12" t="s">
        <v>24</v>
      </c>
      <c r="D12" t="s">
        <v>15</v>
      </c>
      <c r="E12" t="s">
        <v>55</v>
      </c>
      <c r="F12" t="s">
        <v>36</v>
      </c>
      <c r="G12">
        <v>100</v>
      </c>
      <c r="H12">
        <v>100</v>
      </c>
      <c r="I12">
        <v>100</v>
      </c>
      <c r="J12">
        <v>100</v>
      </c>
      <c r="K12">
        <v>100</v>
      </c>
      <c r="L12">
        <v>100</v>
      </c>
    </row>
    <row r="13" spans="1:12" x14ac:dyDescent="0.3">
      <c r="A13" t="s">
        <v>56</v>
      </c>
      <c r="B13" t="s">
        <v>57</v>
      </c>
      <c r="C13" t="s">
        <v>24</v>
      </c>
      <c r="D13" t="s">
        <v>38</v>
      </c>
      <c r="E13" t="s">
        <v>58</v>
      </c>
      <c r="F13" t="s">
        <v>32</v>
      </c>
      <c r="G13">
        <v>200</v>
      </c>
      <c r="H13">
        <v>100</v>
      </c>
      <c r="I13">
        <v>200</v>
      </c>
      <c r="J13">
        <v>800</v>
      </c>
      <c r="K13">
        <v>200</v>
      </c>
      <c r="L13">
        <v>300</v>
      </c>
    </row>
    <row r="14" spans="1:12" x14ac:dyDescent="0.3">
      <c r="A14" t="s">
        <v>56</v>
      </c>
      <c r="B14" t="s">
        <v>59</v>
      </c>
      <c r="C14" t="s">
        <v>60</v>
      </c>
      <c r="D14" t="s">
        <v>40</v>
      </c>
      <c r="E14" t="s">
        <v>61</v>
      </c>
      <c r="F14" t="s">
        <v>50</v>
      </c>
      <c r="G14">
        <v>100</v>
      </c>
      <c r="H14">
        <v>30</v>
      </c>
      <c r="I14">
        <v>40</v>
      </c>
      <c r="J14">
        <v>80</v>
      </c>
      <c r="K14">
        <v>60</v>
      </c>
      <c r="L14">
        <v>100</v>
      </c>
    </row>
    <row r="15" spans="1:12" x14ac:dyDescent="0.3">
      <c r="A15" t="s">
        <v>62</v>
      </c>
      <c r="B15" t="s">
        <v>63</v>
      </c>
      <c r="C15" t="s">
        <v>64</v>
      </c>
      <c r="D15" t="s">
        <v>65</v>
      </c>
      <c r="E15" t="s">
        <v>66</v>
      </c>
      <c r="F15" t="s">
        <v>32</v>
      </c>
      <c r="G15">
        <v>50</v>
      </c>
      <c r="H15">
        <v>90</v>
      </c>
      <c r="I15">
        <v>80</v>
      </c>
      <c r="J15">
        <v>60</v>
      </c>
      <c r="K15">
        <v>80</v>
      </c>
      <c r="L15">
        <v>50</v>
      </c>
    </row>
    <row r="16" spans="1:12" x14ac:dyDescent="0.3">
      <c r="A16" t="s">
        <v>62</v>
      </c>
      <c r="B16" t="s">
        <v>67</v>
      </c>
      <c r="C16" t="s">
        <v>14</v>
      </c>
      <c r="D16" t="s">
        <v>20</v>
      </c>
      <c r="E16" t="s">
        <v>68</v>
      </c>
      <c r="F16" t="s">
        <v>69</v>
      </c>
      <c r="G16">
        <v>100</v>
      </c>
      <c r="H16">
        <v>40</v>
      </c>
      <c r="I16">
        <v>60</v>
      </c>
      <c r="J16">
        <v>40</v>
      </c>
      <c r="K16">
        <v>20</v>
      </c>
      <c r="L16">
        <v>100</v>
      </c>
    </row>
    <row r="17" spans="1:12" x14ac:dyDescent="0.3">
      <c r="A17" t="s">
        <v>62</v>
      </c>
      <c r="B17" t="s">
        <v>70</v>
      </c>
      <c r="C17" t="s">
        <v>19</v>
      </c>
      <c r="D17" t="s">
        <v>40</v>
      </c>
      <c r="E17" t="s">
        <v>71</v>
      </c>
      <c r="F17" t="s">
        <v>72</v>
      </c>
      <c r="G17">
        <v>50</v>
      </c>
      <c r="H17">
        <v>80</v>
      </c>
      <c r="I17">
        <v>100</v>
      </c>
      <c r="J17">
        <v>90</v>
      </c>
      <c r="K17">
        <v>100</v>
      </c>
      <c r="L17">
        <v>70</v>
      </c>
    </row>
    <row r="18" spans="1:12" x14ac:dyDescent="0.3">
      <c r="A18" t="s">
        <v>62</v>
      </c>
      <c r="B18" t="s">
        <v>73</v>
      </c>
      <c r="C18" t="s">
        <v>74</v>
      </c>
      <c r="D18" t="s">
        <v>65</v>
      </c>
      <c r="E18" t="s">
        <v>31</v>
      </c>
      <c r="F18" t="s">
        <v>32</v>
      </c>
      <c r="G18">
        <v>200</v>
      </c>
      <c r="H18">
        <v>100</v>
      </c>
      <c r="I18">
        <v>120</v>
      </c>
      <c r="J18">
        <v>150</v>
      </c>
      <c r="K18">
        <v>100</v>
      </c>
      <c r="L18">
        <v>40</v>
      </c>
    </row>
    <row r="19" spans="1:12" x14ac:dyDescent="0.3">
      <c r="A19" t="s">
        <v>62</v>
      </c>
      <c r="B19" t="s">
        <v>75</v>
      </c>
      <c r="C19" t="s">
        <v>64</v>
      </c>
      <c r="D19" t="s">
        <v>25</v>
      </c>
      <c r="E19" t="s">
        <v>76</v>
      </c>
      <c r="F19" t="s">
        <v>77</v>
      </c>
      <c r="G19">
        <v>100</v>
      </c>
      <c r="H19">
        <v>70</v>
      </c>
      <c r="I19">
        <v>40</v>
      </c>
      <c r="J19">
        <v>50</v>
      </c>
      <c r="K19">
        <v>100</v>
      </c>
      <c r="L19">
        <v>120</v>
      </c>
    </row>
    <row r="20" spans="1:12" x14ac:dyDescent="0.3">
      <c r="A20" t="s">
        <v>62</v>
      </c>
      <c r="B20" t="s">
        <v>78</v>
      </c>
      <c r="C20" t="s">
        <v>79</v>
      </c>
      <c r="D20" t="s">
        <v>80</v>
      </c>
      <c r="E20" t="s">
        <v>79</v>
      </c>
      <c r="F20" t="s">
        <v>81</v>
      </c>
      <c r="G20">
        <v>100</v>
      </c>
      <c r="H20">
        <v>70</v>
      </c>
      <c r="I20">
        <v>60</v>
      </c>
      <c r="J20">
        <v>40</v>
      </c>
      <c r="K20">
        <v>80</v>
      </c>
      <c r="L20">
        <v>90</v>
      </c>
    </row>
    <row r="21" spans="1:12" x14ac:dyDescent="0.3">
      <c r="A21" t="s">
        <v>62</v>
      </c>
      <c r="B21" t="s">
        <v>82</v>
      </c>
      <c r="C21" t="s">
        <v>60</v>
      </c>
      <c r="D21" t="s">
        <v>38</v>
      </c>
      <c r="E21" t="s">
        <v>60</v>
      </c>
      <c r="F21" t="s">
        <v>83</v>
      </c>
      <c r="G21">
        <v>100</v>
      </c>
      <c r="H21">
        <v>200</v>
      </c>
      <c r="I21">
        <v>50</v>
      </c>
      <c r="J21">
        <v>80</v>
      </c>
      <c r="K21">
        <v>100</v>
      </c>
      <c r="L21">
        <v>150</v>
      </c>
    </row>
    <row r="22" spans="1:12" x14ac:dyDescent="0.3">
      <c r="A22" t="s">
        <v>62</v>
      </c>
      <c r="B22" t="s">
        <v>84</v>
      </c>
      <c r="C22" t="s">
        <v>34</v>
      </c>
      <c r="D22" t="s">
        <v>80</v>
      </c>
      <c r="E22" t="s">
        <v>85</v>
      </c>
      <c r="F22" t="s">
        <v>86</v>
      </c>
      <c r="G22">
        <v>50</v>
      </c>
      <c r="H22">
        <v>100</v>
      </c>
      <c r="I22">
        <v>120</v>
      </c>
      <c r="J22">
        <v>80</v>
      </c>
      <c r="K22">
        <v>60</v>
      </c>
      <c r="L22">
        <v>50</v>
      </c>
    </row>
    <row r="23" spans="1:12" x14ac:dyDescent="0.3">
      <c r="A23" t="s">
        <v>87</v>
      </c>
      <c r="B23" t="s">
        <v>88</v>
      </c>
      <c r="C23" t="s">
        <v>64</v>
      </c>
      <c r="D23" t="s">
        <v>15</v>
      </c>
      <c r="E23" t="s">
        <v>89</v>
      </c>
      <c r="F23" t="s">
        <v>90</v>
      </c>
      <c r="G23">
        <v>100</v>
      </c>
      <c r="H23">
        <v>200</v>
      </c>
      <c r="I23">
        <v>100</v>
      </c>
      <c r="J23">
        <v>50</v>
      </c>
      <c r="K23">
        <v>70</v>
      </c>
      <c r="L23">
        <v>90</v>
      </c>
    </row>
    <row r="24" spans="1:12" x14ac:dyDescent="0.3">
      <c r="A24" t="s">
        <v>91</v>
      </c>
      <c r="B24" t="s">
        <v>92</v>
      </c>
      <c r="C24" t="s">
        <v>79</v>
      </c>
      <c r="D24" t="s">
        <v>40</v>
      </c>
      <c r="E24" t="s">
        <v>93</v>
      </c>
      <c r="F24" t="s">
        <v>90</v>
      </c>
      <c r="G24">
        <v>100</v>
      </c>
      <c r="H24">
        <v>120</v>
      </c>
      <c r="I24">
        <v>40</v>
      </c>
      <c r="J24">
        <v>70</v>
      </c>
      <c r="K24">
        <v>50</v>
      </c>
      <c r="L24">
        <v>100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5"/>
  <sheetViews>
    <sheetView zoomScale="162" zoomScaleNormal="198" workbookViewId="0">
      <selection activeCell="J6" sqref="J6"/>
    </sheetView>
  </sheetViews>
  <sheetFormatPr defaultRowHeight="14.4" x14ac:dyDescent="0.3"/>
  <cols>
    <col min="1" max="1" width="12.6640625" style="1" bestFit="1" customWidth="1"/>
    <col min="3" max="8" width="10.77734375" bestFit="1" customWidth="1"/>
  </cols>
  <sheetData>
    <row r="1" spans="1:8" x14ac:dyDescent="0.3">
      <c r="A1" s="1" t="s">
        <v>201</v>
      </c>
      <c r="B1" t="s">
        <v>202</v>
      </c>
      <c r="C1" t="s">
        <v>203</v>
      </c>
      <c r="D1" t="s">
        <v>204</v>
      </c>
      <c r="E1" t="s">
        <v>205</v>
      </c>
      <c r="F1" t="s">
        <v>206</v>
      </c>
      <c r="G1" t="s">
        <v>207</v>
      </c>
      <c r="H1" t="s">
        <v>208</v>
      </c>
    </row>
    <row r="2" spans="1:8" x14ac:dyDescent="0.3">
      <c r="A2" s="1">
        <f>SUM('Data Store'!G2:L2)</f>
        <v>310</v>
      </c>
      <c r="B2" t="str">
        <f>VLOOKUP('Data Store'!E2, 'Data Analysis '!B$2:$C$54, 2, FALSE)</f>
        <v>x74</v>
      </c>
      <c r="C2">
        <f>'Data Store'!G2</f>
        <v>40</v>
      </c>
      <c r="D2">
        <f>'Data Store'!H2</f>
        <v>70</v>
      </c>
      <c r="E2">
        <f>'Data Store'!I2</f>
        <v>30</v>
      </c>
      <c r="F2">
        <f>'Data Store'!J2</f>
        <v>80</v>
      </c>
      <c r="G2">
        <f>'Data Store'!K2</f>
        <v>60</v>
      </c>
      <c r="H2">
        <f>'Data Store'!L2</f>
        <v>30</v>
      </c>
    </row>
    <row r="3" spans="1:8" x14ac:dyDescent="0.3">
      <c r="A3" s="1">
        <f>SUM('Data Store'!G3:L3)</f>
        <v>1040</v>
      </c>
      <c r="B3" t="str">
        <f>VLOOKUP('Data Store'!E3, 'Data Analysis '!B$2:$C$54, 2, FALSE)</f>
        <v>x23</v>
      </c>
      <c r="C3">
        <f>'Data Store'!G3</f>
        <v>100</v>
      </c>
      <c r="D3">
        <f>'Data Store'!H3</f>
        <v>140</v>
      </c>
      <c r="E3">
        <f>'Data Store'!I3</f>
        <v>50</v>
      </c>
      <c r="F3">
        <f>'Data Store'!J3</f>
        <v>250</v>
      </c>
      <c r="G3">
        <f>'Data Store'!K3</f>
        <v>300</v>
      </c>
      <c r="H3">
        <f>'Data Store'!L3</f>
        <v>200</v>
      </c>
    </row>
    <row r="4" spans="1:8" x14ac:dyDescent="0.3">
      <c r="A4" s="1">
        <f>SUM('Data Store'!G4:L4)</f>
        <v>460</v>
      </c>
      <c r="B4" t="str">
        <f>VLOOKUP('Data Store'!E4, 'Data Analysis '!B$2:$C$54, 2, FALSE)</f>
        <v>x43</v>
      </c>
      <c r="C4">
        <f>'Data Store'!G4</f>
        <v>30</v>
      </c>
      <c r="D4">
        <f>'Data Store'!H4</f>
        <v>40</v>
      </c>
      <c r="E4">
        <f>'Data Store'!I4</f>
        <v>70</v>
      </c>
      <c r="F4">
        <f>'Data Store'!J4</f>
        <v>60</v>
      </c>
      <c r="G4">
        <f>'Data Store'!K4</f>
        <v>90</v>
      </c>
      <c r="H4">
        <f>'Data Store'!L4</f>
        <v>170</v>
      </c>
    </row>
    <row r="5" spans="1:8" x14ac:dyDescent="0.3">
      <c r="A5" s="1">
        <f>SUM('Data Store'!G5:L5)</f>
        <v>1350</v>
      </c>
      <c r="B5" t="str">
        <f>VLOOKUP('Data Store'!E5, 'Data Analysis '!B$2:$C$54, 2, FALSE)</f>
        <v>x44</v>
      </c>
      <c r="C5">
        <f>'Data Store'!G5</f>
        <v>100</v>
      </c>
      <c r="D5">
        <f>'Data Store'!H5</f>
        <v>150</v>
      </c>
      <c r="E5">
        <f>'Data Store'!I5</f>
        <v>200</v>
      </c>
      <c r="F5">
        <f>'Data Store'!J5</f>
        <v>250</v>
      </c>
      <c r="G5">
        <f>'Data Store'!K5</f>
        <v>300</v>
      </c>
      <c r="H5">
        <f>'Data Store'!L5</f>
        <v>350</v>
      </c>
    </row>
    <row r="6" spans="1:8" x14ac:dyDescent="0.3">
      <c r="A6" s="1">
        <f>SUM('Data Store'!G6:L6)</f>
        <v>450</v>
      </c>
      <c r="B6" t="str">
        <f>VLOOKUP('Data Store'!E6, 'Data Analysis '!B$2:$C$54, 2, FALSE)</f>
        <v>x65</v>
      </c>
      <c r="C6">
        <f>'Data Store'!G6</f>
        <v>50</v>
      </c>
      <c r="D6">
        <f>'Data Store'!H6</f>
        <v>60</v>
      </c>
      <c r="E6">
        <f>'Data Store'!I6</f>
        <v>70</v>
      </c>
      <c r="F6">
        <f>'Data Store'!J6</f>
        <v>80</v>
      </c>
      <c r="G6">
        <f>'Data Store'!K6</f>
        <v>90</v>
      </c>
      <c r="H6">
        <f>'Data Store'!L6</f>
        <v>100</v>
      </c>
    </row>
    <row r="7" spans="1:8" x14ac:dyDescent="0.3">
      <c r="A7" s="1">
        <f>SUM('Data Store'!G7:L7)</f>
        <v>450</v>
      </c>
      <c r="B7" t="str">
        <f>VLOOKUP('Data Store'!E7, 'Data Analysis '!B$2:$C$54, 2, FALSE)</f>
        <v>x52</v>
      </c>
      <c r="C7">
        <f>'Data Store'!G7</f>
        <v>50</v>
      </c>
      <c r="D7">
        <f>'Data Store'!H7</f>
        <v>60</v>
      </c>
      <c r="E7">
        <f>'Data Store'!I7</f>
        <v>70</v>
      </c>
      <c r="F7">
        <f>'Data Store'!J7</f>
        <v>80</v>
      </c>
      <c r="G7">
        <f>'Data Store'!K7</f>
        <v>90</v>
      </c>
      <c r="H7">
        <f>'Data Store'!L7</f>
        <v>100</v>
      </c>
    </row>
    <row r="8" spans="1:8" x14ac:dyDescent="0.3">
      <c r="A8" s="1">
        <f>SUM('Data Store'!G8:L8)</f>
        <v>1400</v>
      </c>
      <c r="B8" t="str">
        <f>VLOOKUP('Data Store'!E8, 'Data Analysis '!B$2:$C$54, 2, FALSE)</f>
        <v>x44</v>
      </c>
      <c r="C8">
        <f>'Data Store'!G8</f>
        <v>100</v>
      </c>
      <c r="D8">
        <f>'Data Store'!H8</f>
        <v>300</v>
      </c>
      <c r="E8">
        <f>'Data Store'!I8</f>
        <v>300</v>
      </c>
      <c r="F8">
        <f>'Data Store'!J8</f>
        <v>200</v>
      </c>
      <c r="G8">
        <f>'Data Store'!K8</f>
        <v>100</v>
      </c>
      <c r="H8">
        <f>'Data Store'!L8</f>
        <v>400</v>
      </c>
    </row>
    <row r="9" spans="1:8" x14ac:dyDescent="0.3">
      <c r="A9" s="1">
        <f>SUM('Data Store'!G9:L9)</f>
        <v>1000</v>
      </c>
      <c r="B9" t="str">
        <f>VLOOKUP('Data Store'!E9, 'Data Analysis '!B$2:$C$54, 2, FALSE)</f>
        <v>x69</v>
      </c>
      <c r="C9">
        <f>'Data Store'!G9</f>
        <v>200</v>
      </c>
      <c r="D9">
        <f>'Data Store'!H9</f>
        <v>300</v>
      </c>
      <c r="E9">
        <f>'Data Store'!I9</f>
        <v>100</v>
      </c>
      <c r="F9">
        <f>'Data Store'!J9</f>
        <v>200</v>
      </c>
      <c r="G9">
        <f>'Data Store'!K9</f>
        <v>100</v>
      </c>
      <c r="H9">
        <f>'Data Store'!L9</f>
        <v>100</v>
      </c>
    </row>
    <row r="10" spans="1:8" x14ac:dyDescent="0.3">
      <c r="A10" s="1">
        <f>SUM('Data Store'!G10:L10)</f>
        <v>970</v>
      </c>
      <c r="B10" t="str">
        <f>VLOOKUP('Data Store'!E10, 'Data Analysis '!B$2:$C$54, 2, FALSE)</f>
        <v>x36</v>
      </c>
      <c r="C10">
        <f>'Data Store'!G10</f>
        <v>300</v>
      </c>
      <c r="D10">
        <f>'Data Store'!H10</f>
        <v>300</v>
      </c>
      <c r="E10">
        <f>'Data Store'!I10</f>
        <v>200</v>
      </c>
      <c r="F10">
        <f>'Data Store'!J10</f>
        <v>100</v>
      </c>
      <c r="G10">
        <f>'Data Store'!K10</f>
        <v>40</v>
      </c>
      <c r="H10">
        <f>'Data Store'!L10</f>
        <v>30</v>
      </c>
    </row>
    <row r="11" spans="1:8" x14ac:dyDescent="0.3">
      <c r="A11" s="1">
        <f>SUM('Data Store'!G11:L11)</f>
        <v>870</v>
      </c>
      <c r="B11" t="str">
        <f>VLOOKUP('Data Store'!E11, 'Data Analysis '!B$2:$C$54, 2, FALSE)</f>
        <v>x23</v>
      </c>
      <c r="C11">
        <f>'Data Store'!G11</f>
        <v>200</v>
      </c>
      <c r="D11">
        <f>'Data Store'!H11</f>
        <v>100</v>
      </c>
      <c r="E11">
        <f>'Data Store'!I11</f>
        <v>300</v>
      </c>
      <c r="F11">
        <f>'Data Store'!J11</f>
        <v>200</v>
      </c>
      <c r="G11">
        <f>'Data Store'!K11</f>
        <v>40</v>
      </c>
      <c r="H11">
        <f>'Data Store'!L11</f>
        <v>30</v>
      </c>
    </row>
    <row r="12" spans="1:8" x14ac:dyDescent="0.3">
      <c r="A12" s="1">
        <f>SUM('Data Store'!G12:L12)</f>
        <v>600</v>
      </c>
      <c r="B12" t="str">
        <f>VLOOKUP('Data Store'!E12, 'Data Analysis '!B$2:$C$54, 2, FALSE)</f>
        <v>x41</v>
      </c>
      <c r="C12">
        <f>'Data Store'!G12</f>
        <v>100</v>
      </c>
      <c r="D12">
        <f>'Data Store'!H12</f>
        <v>100</v>
      </c>
      <c r="E12">
        <f>'Data Store'!I12</f>
        <v>100</v>
      </c>
      <c r="F12">
        <f>'Data Store'!J12</f>
        <v>100</v>
      </c>
      <c r="G12">
        <f>'Data Store'!K12</f>
        <v>100</v>
      </c>
      <c r="H12">
        <f>'Data Store'!L12</f>
        <v>100</v>
      </c>
    </row>
    <row r="13" spans="1:8" x14ac:dyDescent="0.3">
      <c r="A13" s="1">
        <f>SUM('Data Store'!G13:L13)</f>
        <v>1800</v>
      </c>
      <c r="B13" t="str">
        <f>VLOOKUP('Data Store'!E13, 'Data Analysis '!B$2:$C$54, 2, FALSE)</f>
        <v>x48</v>
      </c>
      <c r="C13">
        <f>'Data Store'!G13</f>
        <v>200</v>
      </c>
      <c r="D13">
        <f>'Data Store'!H13</f>
        <v>100</v>
      </c>
      <c r="E13">
        <f>'Data Store'!I13</f>
        <v>200</v>
      </c>
      <c r="F13">
        <f>'Data Store'!J13</f>
        <v>800</v>
      </c>
      <c r="G13">
        <f>'Data Store'!K13</f>
        <v>200</v>
      </c>
      <c r="H13">
        <f>'Data Store'!L13</f>
        <v>300</v>
      </c>
    </row>
    <row r="14" spans="1:8" x14ac:dyDescent="0.3">
      <c r="A14" s="1">
        <f>SUM('Data Store'!G14:L14)</f>
        <v>410</v>
      </c>
      <c r="B14" t="str">
        <f>VLOOKUP('Data Store'!E14, 'Data Analysis '!B$2:$C$54, 2, FALSE)</f>
        <v>x14</v>
      </c>
      <c r="C14">
        <f>'Data Store'!G14</f>
        <v>100</v>
      </c>
      <c r="D14">
        <f>'Data Store'!H14</f>
        <v>30</v>
      </c>
      <c r="E14">
        <f>'Data Store'!I14</f>
        <v>40</v>
      </c>
      <c r="F14">
        <f>'Data Store'!J14</f>
        <v>80</v>
      </c>
      <c r="G14">
        <f>'Data Store'!K14</f>
        <v>60</v>
      </c>
      <c r="H14">
        <f>'Data Store'!L14</f>
        <v>100</v>
      </c>
    </row>
    <row r="15" spans="1:8" x14ac:dyDescent="0.3">
      <c r="A15" s="1">
        <f>SUM('Data Store'!G15:L15)</f>
        <v>410</v>
      </c>
      <c r="B15" t="str">
        <f>VLOOKUP('Data Store'!E15, 'Data Analysis '!B$2:$C$54, 2, FALSE)</f>
        <v>x26</v>
      </c>
      <c r="C15">
        <f>'Data Store'!G15</f>
        <v>50</v>
      </c>
      <c r="D15">
        <f>'Data Store'!H15</f>
        <v>90</v>
      </c>
      <c r="E15">
        <f>'Data Store'!I15</f>
        <v>80</v>
      </c>
      <c r="F15">
        <f>'Data Store'!J15</f>
        <v>60</v>
      </c>
      <c r="G15">
        <f>'Data Store'!K15</f>
        <v>80</v>
      </c>
      <c r="H15">
        <f>'Data Store'!L15</f>
        <v>50</v>
      </c>
    </row>
    <row r="16" spans="1:8" x14ac:dyDescent="0.3">
      <c r="A16" s="1">
        <f>SUM('Data Store'!G16:L16)</f>
        <v>360</v>
      </c>
      <c r="B16" t="str">
        <f>VLOOKUP('Data Store'!E16, 'Data Analysis '!B$2:$C$54, 2, FALSE)</f>
        <v>x75</v>
      </c>
      <c r="C16">
        <f>'Data Store'!G16</f>
        <v>100</v>
      </c>
      <c r="D16">
        <f>'Data Store'!H16</f>
        <v>40</v>
      </c>
      <c r="E16">
        <f>'Data Store'!I16</f>
        <v>60</v>
      </c>
      <c r="F16">
        <f>'Data Store'!J16</f>
        <v>40</v>
      </c>
      <c r="G16">
        <f>'Data Store'!K16</f>
        <v>20</v>
      </c>
      <c r="H16">
        <f>'Data Store'!L16</f>
        <v>100</v>
      </c>
    </row>
    <row r="17" spans="1:8" x14ac:dyDescent="0.3">
      <c r="A17" s="1">
        <f>SUM('Data Store'!G17:L17)</f>
        <v>490</v>
      </c>
      <c r="B17" t="str">
        <f>VLOOKUP('Data Store'!E17, 'Data Analysis '!B$2:$C$54, 2, FALSE)</f>
        <v>x311</v>
      </c>
      <c r="C17">
        <f>'Data Store'!G17</f>
        <v>50</v>
      </c>
      <c r="D17">
        <f>'Data Store'!H17</f>
        <v>80</v>
      </c>
      <c r="E17">
        <f>'Data Store'!I17</f>
        <v>100</v>
      </c>
      <c r="F17">
        <f>'Data Store'!J17</f>
        <v>90</v>
      </c>
      <c r="G17">
        <f>'Data Store'!K17</f>
        <v>100</v>
      </c>
      <c r="H17">
        <f>'Data Store'!L17</f>
        <v>70</v>
      </c>
    </row>
    <row r="18" spans="1:8" x14ac:dyDescent="0.3">
      <c r="A18" s="1">
        <f>SUM('Data Store'!G18:L18)</f>
        <v>710</v>
      </c>
      <c r="B18" t="str">
        <f>VLOOKUP('Data Store'!E18, 'Data Analysis '!B$2:$C$54, 2, FALSE)</f>
        <v>x51</v>
      </c>
      <c r="C18">
        <f>'Data Store'!G18</f>
        <v>200</v>
      </c>
      <c r="D18">
        <f>'Data Store'!H18</f>
        <v>100</v>
      </c>
      <c r="E18">
        <f>'Data Store'!I18</f>
        <v>120</v>
      </c>
      <c r="F18">
        <f>'Data Store'!J18</f>
        <v>150</v>
      </c>
      <c r="G18">
        <f>'Data Store'!K18</f>
        <v>100</v>
      </c>
      <c r="H18">
        <f>'Data Store'!L18</f>
        <v>40</v>
      </c>
    </row>
    <row r="19" spans="1:8" x14ac:dyDescent="0.3">
      <c r="A19" s="1">
        <f>SUM('Data Store'!G19:L19)</f>
        <v>480</v>
      </c>
      <c r="B19" t="str">
        <f>VLOOKUP('Data Store'!E19, 'Data Analysis '!B$2:$C$54, 2, FALSE)</f>
        <v>x24</v>
      </c>
      <c r="C19">
        <f>'Data Store'!G19</f>
        <v>100</v>
      </c>
      <c r="D19">
        <f>'Data Store'!H19</f>
        <v>70</v>
      </c>
      <c r="E19">
        <f>'Data Store'!I19</f>
        <v>40</v>
      </c>
      <c r="F19">
        <f>'Data Store'!J19</f>
        <v>50</v>
      </c>
      <c r="G19">
        <f>'Data Store'!K19</f>
        <v>100</v>
      </c>
      <c r="H19">
        <f>'Data Store'!L19</f>
        <v>120</v>
      </c>
    </row>
    <row r="20" spans="1:8" x14ac:dyDescent="0.3">
      <c r="A20" s="1">
        <f>SUM('Data Store'!G20:L20)</f>
        <v>440</v>
      </c>
      <c r="B20" t="str">
        <f>VLOOKUP('Data Store'!E20, 'Data Analysis '!B$2:$C$54, 2, FALSE)</f>
        <v>x55</v>
      </c>
      <c r="C20">
        <f>'Data Store'!G20</f>
        <v>100</v>
      </c>
      <c r="D20">
        <f>'Data Store'!H20</f>
        <v>70</v>
      </c>
      <c r="E20">
        <f>'Data Store'!I20</f>
        <v>60</v>
      </c>
      <c r="F20">
        <f>'Data Store'!J20</f>
        <v>40</v>
      </c>
      <c r="G20">
        <f>'Data Store'!K20</f>
        <v>80</v>
      </c>
      <c r="H20">
        <f>'Data Store'!L20</f>
        <v>90</v>
      </c>
    </row>
    <row r="21" spans="1:8" x14ac:dyDescent="0.3">
      <c r="A21" s="1">
        <f>SUM('Data Store'!G21:L21)</f>
        <v>680</v>
      </c>
      <c r="B21" t="str">
        <f>VLOOKUP('Data Store'!E21, 'Data Analysis '!B$2:$C$54, 2, FALSE)</f>
        <v>x15</v>
      </c>
      <c r="C21">
        <f>'Data Store'!G21</f>
        <v>100</v>
      </c>
      <c r="D21">
        <f>'Data Store'!H21</f>
        <v>200</v>
      </c>
      <c r="E21">
        <f>'Data Store'!I21</f>
        <v>50</v>
      </c>
      <c r="F21">
        <f>'Data Store'!J21</f>
        <v>80</v>
      </c>
      <c r="G21">
        <f>'Data Store'!K21</f>
        <v>100</v>
      </c>
      <c r="H21">
        <f>'Data Store'!L21</f>
        <v>150</v>
      </c>
    </row>
    <row r="22" spans="1:8" x14ac:dyDescent="0.3">
      <c r="A22" s="1">
        <f>SUM('Data Store'!G22:L22)</f>
        <v>460</v>
      </c>
      <c r="B22" t="str">
        <f>VLOOKUP('Data Store'!E22, 'Data Analysis '!B$2:$C$54, 2, FALSE)</f>
        <v>x62</v>
      </c>
      <c r="C22">
        <f>'Data Store'!G22</f>
        <v>50</v>
      </c>
      <c r="D22">
        <f>'Data Store'!H22</f>
        <v>100</v>
      </c>
      <c r="E22">
        <f>'Data Store'!I22</f>
        <v>120</v>
      </c>
      <c r="F22">
        <f>'Data Store'!J22</f>
        <v>80</v>
      </c>
      <c r="G22">
        <f>'Data Store'!K22</f>
        <v>60</v>
      </c>
      <c r="H22">
        <f>'Data Store'!L22</f>
        <v>50</v>
      </c>
    </row>
    <row r="23" spans="1:8" x14ac:dyDescent="0.3">
      <c r="A23" s="1">
        <f>SUM('Data Store'!G23:L23)</f>
        <v>610</v>
      </c>
      <c r="B23" t="str">
        <f>VLOOKUP('Data Store'!E23, 'Data Analysis '!B$2:$C$54, 2, FALSE)</f>
        <v>x22</v>
      </c>
      <c r="C23">
        <f>'Data Store'!G23</f>
        <v>100</v>
      </c>
      <c r="D23">
        <f>'Data Store'!H23</f>
        <v>200</v>
      </c>
      <c r="E23">
        <f>'Data Store'!I23</f>
        <v>100</v>
      </c>
      <c r="F23">
        <f>'Data Store'!J23</f>
        <v>50</v>
      </c>
      <c r="G23">
        <f>'Data Store'!K23</f>
        <v>70</v>
      </c>
      <c r="H23">
        <f>'Data Store'!L23</f>
        <v>90</v>
      </c>
    </row>
    <row r="24" spans="1:8" x14ac:dyDescent="0.3">
      <c r="A24" s="1">
        <f>SUM('Data Store'!G24:L24)</f>
        <v>480</v>
      </c>
      <c r="B24" t="str">
        <f>VLOOKUP('Data Store'!E24, 'Data Analysis '!B$2:$C$54, 2, FALSE)</f>
        <v>x53</v>
      </c>
      <c r="C24">
        <f>'Data Store'!G24</f>
        <v>100</v>
      </c>
      <c r="D24">
        <f>'Data Store'!H24</f>
        <v>120</v>
      </c>
      <c r="E24">
        <f>'Data Store'!I24</f>
        <v>40</v>
      </c>
      <c r="F24">
        <f>'Data Store'!J24</f>
        <v>70</v>
      </c>
      <c r="G24">
        <f>'Data Store'!K24</f>
        <v>50</v>
      </c>
      <c r="H24">
        <f>'Data Store'!L24</f>
        <v>100</v>
      </c>
    </row>
    <row r="25" spans="1:8" x14ac:dyDescent="0.3">
      <c r="A25" s="1">
        <f>SUM('Data Store'!G25:L25)</f>
        <v>0</v>
      </c>
      <c r="B25" t="e">
        <f>VLOOKUP('Data Store'!E25, 'Data Analysis '!B$2:$C$54, 2, FALSE)</f>
        <v>#N/A</v>
      </c>
      <c r="C25">
        <f>'Data Store'!G25</f>
        <v>0</v>
      </c>
      <c r="D25">
        <f>'Data Store'!H25</f>
        <v>0</v>
      </c>
      <c r="E25">
        <f>'Data Store'!I25</f>
        <v>0</v>
      </c>
      <c r="F25">
        <f>'Data Store'!J25</f>
        <v>0</v>
      </c>
      <c r="G25">
        <f>'Data Store'!K25</f>
        <v>0</v>
      </c>
      <c r="H25">
        <f>'Data Store'!L25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Q94"/>
  <sheetViews>
    <sheetView tabSelected="1" topLeftCell="B1" zoomScale="99" workbookViewId="0">
      <selection activeCell="O6" sqref="O6"/>
    </sheetView>
  </sheetViews>
  <sheetFormatPr defaultRowHeight="14.4" x14ac:dyDescent="0.3"/>
  <cols>
    <col min="2" max="2" width="19.6640625" bestFit="1" customWidth="1"/>
    <col min="4" max="4" width="22" bestFit="1" customWidth="1"/>
    <col min="5" max="5" width="17.77734375" bestFit="1" customWidth="1"/>
    <col min="7" max="7" width="15.6640625" bestFit="1" customWidth="1"/>
    <col min="8" max="8" width="11.5546875" bestFit="1" customWidth="1"/>
    <col min="9" max="9" width="19" bestFit="1" customWidth="1"/>
    <col min="10" max="10" width="10.44140625" bestFit="1" customWidth="1"/>
    <col min="11" max="11" width="12.6640625" bestFit="1" customWidth="1"/>
    <col min="17" max="17" width="13.77734375" bestFit="1" customWidth="1"/>
  </cols>
  <sheetData>
    <row r="1" spans="2:17" ht="24" customHeight="1" thickBot="1" x14ac:dyDescent="0.5">
      <c r="B1" s="7" t="s">
        <v>4</v>
      </c>
      <c r="C1" s="7" t="s">
        <v>94</v>
      </c>
      <c r="D1" s="34" t="s">
        <v>209</v>
      </c>
      <c r="E1" s="34" t="s">
        <v>210</v>
      </c>
      <c r="G1" t="s">
        <v>95</v>
      </c>
      <c r="H1" t="s">
        <v>96</v>
      </c>
      <c r="I1" t="s">
        <v>97</v>
      </c>
      <c r="J1" t="s">
        <v>98</v>
      </c>
      <c r="K1" t="s">
        <v>99</v>
      </c>
    </row>
    <row r="2" spans="2:17" ht="18" customHeight="1" thickBot="1" x14ac:dyDescent="0.35">
      <c r="B2" s="2" t="s">
        <v>41</v>
      </c>
      <c r="C2" s="3" t="s">
        <v>100</v>
      </c>
      <c r="D2">
        <f>H12</f>
        <v>0</v>
      </c>
      <c r="E2" s="18">
        <v>950</v>
      </c>
      <c r="G2" t="s">
        <v>60</v>
      </c>
      <c r="H2">
        <v>201</v>
      </c>
      <c r="I2">
        <f>96626.82525</f>
        <v>96626.825249999994</v>
      </c>
      <c r="J2">
        <f>SUMIF('Data Filter'!B2:B498, "x11", 'Data Filter'!A2:A498)+SUMIF('Data Filter'!B2:B498, "x12", 'Data Filter'!A2:A498)+SUMIF('Data Filter'!B2:B498, "x13", 'Data Filter'!A2:A498)+SUMIF('Data Filter'!B2:B498, "x14", 'Data Filter'!A2:A498)+SUMIF('Data Filter'!B2:B498, "x15", 'Data Filter'!A2:A498)</f>
        <v>1090</v>
      </c>
      <c r="K2">
        <f t="shared" ref="K2:K8" si="0">I2/J2</f>
        <v>88.648463532110085</v>
      </c>
    </row>
    <row r="3" spans="2:17" ht="18" customHeight="1" thickBot="1" x14ac:dyDescent="0.35">
      <c r="B3" s="2" t="s">
        <v>101</v>
      </c>
      <c r="C3" s="3" t="s">
        <v>102</v>
      </c>
      <c r="D3">
        <f t="shared" ref="D3:D6" si="1">H13</f>
        <v>0</v>
      </c>
      <c r="E3" s="18">
        <v>2700</v>
      </c>
      <c r="G3" t="s">
        <v>64</v>
      </c>
      <c r="H3">
        <v>145</v>
      </c>
      <c r="I3">
        <f>117234.8864</f>
        <v>117234.8864</v>
      </c>
      <c r="J3">
        <f>SUMIF('Data Filter'!B2:B498, "x21", 'Data Filter'!A2:A498)+SUMIF('Data Filter'!B2:B498, "x22", 'Data Filter'!A2:A498)+SUMIF('Data Filter'!B2:B498, "x23", 'Data Filter'!A2:A498)+SUMIF('Data Filter'!B2:B498, "x24", 'Data Filter'!A2:A498)+SUMIF('Data Filter'!B2:B498, "x25", 'Data Filter'!A2:A498)+SUMIF('Data Filter'!B2:B498, "x26", 'Data Filter'!A2:A498)+SUMIF('Data Filter'!B2:B498, "x27", 'Data Filter'!A2:A498)</f>
        <v>3410</v>
      </c>
      <c r="K3">
        <f t="shared" si="0"/>
        <v>34.379732082111438</v>
      </c>
    </row>
    <row r="4" spans="2:17" ht="18" customHeight="1" thickBot="1" x14ac:dyDescent="0.35">
      <c r="B4" s="2" t="s">
        <v>103</v>
      </c>
      <c r="C4" s="3" t="s">
        <v>104</v>
      </c>
      <c r="D4">
        <f t="shared" si="1"/>
        <v>0</v>
      </c>
      <c r="E4" s="18">
        <v>700</v>
      </c>
      <c r="G4" t="s">
        <v>19</v>
      </c>
      <c r="H4">
        <v>399</v>
      </c>
      <c r="I4">
        <f>270485.5772</f>
        <v>270485.5772</v>
      </c>
      <c r="J4">
        <f>SUMIF('Data Filter'!B2:B498, "x31", 'Data Filter'!A2:A498)+SUMIF('Data Filter'!B2:B498, "x32", 'Data Filter'!A2:A498)+SUMIF('Data Filter'!B2:B498, "x33", 'Data Filter'!A2:A498)+SUMIF('Data Filter'!B2:B498, "x34", 'Data Filter'!A2:A498)+SUMIF('Data Filter'!B2:B498, "x35", 'Data Filter'!A2:A498)+SUMIF('Data Filter'!B2:B498, "x36", 'Data Filter'!A2:A498)+SUMIF('Data Filter'!B2:B498, "x37", 'Data Filter'!A2:A498)+SUMIF('Data Filter'!B2:B498, "x38", 'Data Filter'!A2:A498)+SUMIF('Data Filter'!B2:B498, "x39", 'Data Filter'!A2:A498)+SUMIF('Data Filter'!B2:B498, "x310", 'Data Filter'!A2:A498)+SUMIF('Data Filter'!B2:B498, "x311", 'Data Filter'!A2:A498)+SUMIF('Data Filter'!B2:B498, "x312", 'Data Filter'!A2:A498)</f>
        <v>1460</v>
      </c>
      <c r="K4">
        <f t="shared" si="0"/>
        <v>185.26409397260275</v>
      </c>
    </row>
    <row r="5" spans="2:17" ht="18" customHeight="1" thickBot="1" x14ac:dyDescent="0.35">
      <c r="B5" s="2" t="s">
        <v>61</v>
      </c>
      <c r="C5" s="3" t="s">
        <v>105</v>
      </c>
      <c r="D5">
        <f t="shared" si="1"/>
        <v>410</v>
      </c>
      <c r="E5" s="18">
        <v>950</v>
      </c>
      <c r="G5" t="s">
        <v>24</v>
      </c>
      <c r="H5">
        <v>147.5</v>
      </c>
      <c r="I5">
        <f>307126.8448</f>
        <v>307126.84480000002</v>
      </c>
      <c r="J5">
        <f>SUMIF('Data Filter'!B2:B498, "x41", 'Data Filter'!A2:A498)+SUMIF('Data Filter'!B2:B498, "x42", 'Data Filter'!A2:A498)+SUMIF('Data Filter'!B2:B498, "x43", 'Data Filter'!A2:A498)+SUMIF('Data Filter'!B2:B498, "x44", 'Data Filter'!A2:A498)+SUMIF('Data Filter'!B2:B498, "x45", 'Data Filter'!A2:A498)+SUMIF('Data Filter'!B2:B498, "x46", 'Data Filter'!A2:A498)+SUMIF('Data Filter'!B2:B498, "x47", 'Data Filter'!A2:A498)+SUMIF('Data Filter'!B2:B498, "x48", 'Data Filter'!A2:A498)+SUMIF('Data Filter'!B2:B498, "x49", 'Data Filter'!A2:A498)</f>
        <v>5610</v>
      </c>
      <c r="K5">
        <f t="shared" si="0"/>
        <v>54.74631814616756</v>
      </c>
    </row>
    <row r="6" spans="2:17" ht="18" customHeight="1" thickBot="1" x14ac:dyDescent="0.35">
      <c r="B6" s="2" t="s">
        <v>60</v>
      </c>
      <c r="C6" s="3" t="s">
        <v>106</v>
      </c>
      <c r="D6">
        <f t="shared" si="1"/>
        <v>680</v>
      </c>
      <c r="E6" s="18">
        <v>2800</v>
      </c>
      <c r="G6" t="s">
        <v>74</v>
      </c>
      <c r="H6">
        <v>146</v>
      </c>
      <c r="I6">
        <f>124936.9361</f>
        <v>124936.93610000001</v>
      </c>
      <c r="J6">
        <f>SUMIF('Data Filter'!B2:B498, "x51", 'Data Filter'!A2:A498)+SUMIF('Data Filter'!B2:B498, "x52", 'Data Filter'!A2:A498)+SUMIF('Data Filter'!B2:B498, "x53", 'Data Filter'!A2:A498)+SUMIF('Data Filter'!B2:B498, "x54", 'Data Filter'!A2:A498)+SUMIF('Data Filter'!B2:B498, "x55", 'Data Filter'!A2:A498)</f>
        <v>2080</v>
      </c>
      <c r="K6">
        <f t="shared" si="0"/>
        <v>60.065834663461544</v>
      </c>
    </row>
    <row r="7" spans="2:17" ht="18" customHeight="1" thickBot="1" x14ac:dyDescent="0.35">
      <c r="B7" s="2" t="s">
        <v>107</v>
      </c>
      <c r="C7" s="3" t="s">
        <v>108</v>
      </c>
      <c r="D7">
        <f>H22</f>
        <v>0</v>
      </c>
      <c r="E7" s="18">
        <v>1150</v>
      </c>
      <c r="G7" t="s">
        <v>34</v>
      </c>
      <c r="H7">
        <v>344</v>
      </c>
      <c r="I7">
        <f>167722.6512</f>
        <v>167722.65119999999</v>
      </c>
      <c r="J7">
        <f>SUMIF('Data Filter'!B2:B498, "x61", 'Data Filter'!A2:A498)+SUMIF('Data Filter'!B2:B498, "x62", 'Data Filter'!A2:A498)+SUMIF('Data Filter'!B2:B498, "x63", 'Data Filter'!A2:A498)+SUMIF('Data Filter'!B2:B498, "x64", 'Data Filter'!A2:A498)+SUMIF('Data Filter'!B2:B498, "x65", 'Data Filter'!A2:A498)+SUMIF('Data Filter'!B2:B498, "x66", 'Data Filter'!A2:A498)+SUMIF('Data Filter'!B2:B498, "x67", 'Data Filter'!A2:A498)+SUMIF('Data Filter'!B2:B498, "x68", 'Data Filter'!A2:A498)+SUMIF('Data Filter'!B2:B498, "x69", 'Data Filter'!A2:A498)</f>
        <v>1910</v>
      </c>
      <c r="K7">
        <f t="shared" si="0"/>
        <v>87.812906387434552</v>
      </c>
    </row>
    <row r="8" spans="2:17" ht="18" customHeight="1" thickBot="1" x14ac:dyDescent="0.35">
      <c r="B8" s="2" t="s">
        <v>89</v>
      </c>
      <c r="C8" s="3" t="s">
        <v>109</v>
      </c>
      <c r="D8">
        <f t="shared" ref="D8:D13" si="2">H23</f>
        <v>610</v>
      </c>
      <c r="E8" s="18">
        <v>800</v>
      </c>
      <c r="G8" t="s">
        <v>14</v>
      </c>
      <c r="H8">
        <v>164.5</v>
      </c>
      <c r="I8">
        <f>94213.48372</f>
        <v>94213.483720000004</v>
      </c>
      <c r="J8">
        <f>SUMIF('Data Filter'!B2:B498, "x71", 'Data Filter'!A2:A498)+SUMIF('Data Filter'!B2:B498, "x72", 'Data Filter'!A2:A498)+SUMIF('Data Filter'!B2:B498, "x73", 'Data Filter'!A2:A498)+SUMIF('Data Filter'!B2:B498, "x74", 'Data Filter'!A2:A498)+SUMIF('Data Filter'!B2:B498, "x75", 'Data Filter'!A2:A498)+SUMIF('Data Filter'!B2:B498, "x76", 'Data Filter'!A2:A498)</f>
        <v>670</v>
      </c>
      <c r="K8">
        <f t="shared" si="0"/>
        <v>140.61713988059702</v>
      </c>
    </row>
    <row r="9" spans="2:17" ht="18" customHeight="1" thickBot="1" x14ac:dyDescent="0.35">
      <c r="B9" s="2" t="s">
        <v>52</v>
      </c>
      <c r="C9" s="3" t="s">
        <v>110</v>
      </c>
      <c r="D9">
        <f t="shared" si="2"/>
        <v>1910</v>
      </c>
      <c r="E9" s="18">
        <v>3950</v>
      </c>
      <c r="I9">
        <f>SUM(I2:I8)</f>
        <v>1178347.2046699999</v>
      </c>
      <c r="J9">
        <f>SUM(J2:J8)</f>
        <v>16230</v>
      </c>
      <c r="K9">
        <f>AVERAGE(K2:K8)</f>
        <v>93.076355523497838</v>
      </c>
    </row>
    <row r="10" spans="2:17" ht="18" customHeight="1" thickBot="1" x14ac:dyDescent="0.35">
      <c r="B10" s="2" t="s">
        <v>76</v>
      </c>
      <c r="C10" s="3" t="s">
        <v>111</v>
      </c>
      <c r="D10">
        <f t="shared" si="2"/>
        <v>480</v>
      </c>
      <c r="E10" s="18">
        <v>600</v>
      </c>
      <c r="G10" t="s">
        <v>60</v>
      </c>
      <c r="P10" s="10" t="s">
        <v>112</v>
      </c>
      <c r="Q10" s="10" t="s">
        <v>113</v>
      </c>
    </row>
    <row r="11" spans="2:17" ht="18" customHeight="1" thickBot="1" x14ac:dyDescent="0.35">
      <c r="B11" s="2" t="s">
        <v>114</v>
      </c>
      <c r="C11" s="3" t="s">
        <v>115</v>
      </c>
      <c r="D11">
        <f t="shared" si="2"/>
        <v>0</v>
      </c>
      <c r="E11" s="18">
        <v>1250</v>
      </c>
      <c r="G11" s="8" t="s">
        <v>4</v>
      </c>
      <c r="H11" s="8" t="s">
        <v>98</v>
      </c>
      <c r="I11" s="8" t="s">
        <v>116</v>
      </c>
      <c r="J11" s="8" t="s">
        <v>117</v>
      </c>
      <c r="K11" s="8" t="s">
        <v>118</v>
      </c>
      <c r="L11" s="8" t="s">
        <v>119</v>
      </c>
      <c r="M11" s="8" t="s">
        <v>120</v>
      </c>
      <c r="N11" s="8" t="s">
        <v>121</v>
      </c>
      <c r="P11" s="10" t="s">
        <v>116</v>
      </c>
      <c r="Q11" s="10">
        <f>SUM(I12:I16)+SUM(I22:I28)+SUM(I34:I45)+SUM(I51:I59)+SUM(I65:I69)+SUM(I75:I83)+SUM(I89:I94)</f>
        <v>2520</v>
      </c>
    </row>
    <row r="12" spans="2:17" ht="18" customHeight="1" thickBot="1" x14ac:dyDescent="0.35">
      <c r="B12" s="2" t="s">
        <v>66</v>
      </c>
      <c r="C12" s="3" t="s">
        <v>122</v>
      </c>
      <c r="D12">
        <f t="shared" si="2"/>
        <v>410</v>
      </c>
      <c r="E12" s="18">
        <v>700</v>
      </c>
      <c r="G12" s="9" t="s">
        <v>41</v>
      </c>
      <c r="H12" s="8">
        <f>SUMIF('Data Filter'!$B$2:$B$498, "x11", 'Data Filter'!$A$2:$A$498)</f>
        <v>0</v>
      </c>
      <c r="I12" s="8">
        <f>SUMIF('Data Filter'!$B$2:$B$498, "x11", 'Data Filter'!$C$2:$C$498)</f>
        <v>0</v>
      </c>
      <c r="J12" s="8">
        <f>SUMIF('Data Filter'!$B$2:$B$498, "x11", 'Data Filter'!D2:D498)</f>
        <v>0</v>
      </c>
      <c r="K12" s="8">
        <f>SUMIF('Data Filter'!$B$2:$B$498, "x11", 'Data Filter'!E2:E498)</f>
        <v>0</v>
      </c>
      <c r="L12" s="8">
        <f>SUMIF('Data Filter'!$B$2:$B$498, "x11", 'Data Filter'!F2:F498)</f>
        <v>0</v>
      </c>
      <c r="M12" s="8">
        <f>SUMIF('Data Filter'!$B$2:$B$498, "x11", 'Data Filter'!G2:G498)</f>
        <v>0</v>
      </c>
      <c r="N12" s="8">
        <f>SUMIF('Data Filter'!$B$2:$B$498, "x11", 'Data Filter'!H2:H498)</f>
        <v>0</v>
      </c>
      <c r="P12" s="10" t="s">
        <v>117</v>
      </c>
      <c r="Q12" s="10">
        <f>SUM(J12:J16)+SUM(J22:J28)+SUM(J34:J45)+SUM(J51:J59)+SUM(J65:J69)+SUM(J75:J83)+SUM(J89:J94)</f>
        <v>2720</v>
      </c>
    </row>
    <row r="13" spans="2:17" ht="18" customHeight="1" thickBot="1" x14ac:dyDescent="0.35">
      <c r="B13" s="2" t="s">
        <v>64</v>
      </c>
      <c r="C13" s="3" t="s">
        <v>123</v>
      </c>
      <c r="D13">
        <f t="shared" si="2"/>
        <v>0</v>
      </c>
      <c r="E13" s="18">
        <v>1400</v>
      </c>
      <c r="G13" s="9" t="s">
        <v>101</v>
      </c>
      <c r="H13" s="8">
        <f>SUMIF('Data Filter'!$B$2:$B$498, "x12", 'Data Filter'!$A$2:$A$498)</f>
        <v>0</v>
      </c>
      <c r="I13" s="8">
        <f>SUMIF('Data Filter'!$B$2:$B$498, "x12", 'Data Filter'!C2:C498)</f>
        <v>0</v>
      </c>
      <c r="J13" s="8">
        <f>SUMIF('Data Filter'!$B$2:$B$498, "x12", 'Data Filter'!D2:D498)</f>
        <v>0</v>
      </c>
      <c r="K13" s="8">
        <f>SUMIF('Data Filter'!$B$2:$B$498, "x12", 'Data Filter'!E2:E498)</f>
        <v>0</v>
      </c>
      <c r="L13" s="8">
        <f>SUMIF('Data Filter'!$B$2:$B$498, "x12", 'Data Filter'!F2:F498)</f>
        <v>0</v>
      </c>
      <c r="M13" s="8">
        <f>SUMIF('Data Filter'!$B$2:$B$498, "x12", 'Data Filter'!G2:G498)</f>
        <v>0</v>
      </c>
      <c r="N13" s="8">
        <f>SUMIF('Data Filter'!$B$2:$B$498, "x12", 'Data Filter'!H2:H498)</f>
        <v>0</v>
      </c>
      <c r="P13" s="10" t="s">
        <v>118</v>
      </c>
      <c r="Q13" s="10">
        <f>SUM(K12:K16)+SUM(K22:K28)+SUM(K34:K45)+SUM(K51:K59)+SUM(K65:K69)+SUM(K75:K83)+SUM(K89:K94)</f>
        <v>2550</v>
      </c>
    </row>
    <row r="14" spans="2:17" ht="18" customHeight="1" thickBot="1" x14ac:dyDescent="0.35">
      <c r="B14" s="2" t="s">
        <v>124</v>
      </c>
      <c r="C14" s="3" t="s">
        <v>125</v>
      </c>
      <c r="D14">
        <f>H34</f>
        <v>0</v>
      </c>
      <c r="E14" s="18">
        <v>300</v>
      </c>
      <c r="G14" s="9" t="s">
        <v>103</v>
      </c>
      <c r="H14" s="8">
        <f>SUMIF('Data Filter'!$B$2:$B$498, "x13", 'Data Filter'!$A$2:$A$498)</f>
        <v>0</v>
      </c>
      <c r="I14" s="8">
        <f>SUMIF('Data Filter'!$B$2:$B$498, "x13", 'Data Filter'!C2:C498)</f>
        <v>0</v>
      </c>
      <c r="J14" s="8">
        <f>SUMIF('Data Filter'!$B$2:$B$498, "x13", 'Data Filter'!D2:D498)</f>
        <v>0</v>
      </c>
      <c r="K14" s="8">
        <f>SUMIF('Data Filter'!$B$2:$B$498, "x13", 'Data Filter'!E2:E498)</f>
        <v>0</v>
      </c>
      <c r="L14" s="8">
        <f>SUMIF('Data Filter'!$B$2:$B$498, "x13", 'Data Filter'!F2:F498)</f>
        <v>0</v>
      </c>
      <c r="M14" s="8">
        <f>SUMIF('Data Filter'!$B$2:$B$498, "x13", 'Data Filter'!G2:G498)</f>
        <v>0</v>
      </c>
      <c r="N14" s="8">
        <f>SUMIF('Data Filter'!$B$2:$B$498, "x13", 'Data Filter'!H2:H498)</f>
        <v>0</v>
      </c>
      <c r="P14" s="10" t="s">
        <v>119</v>
      </c>
      <c r="Q14" s="10">
        <f>SUM(L12:L16)+SUM(L22:L28)+SUM(L34:L45)+SUM(L51:L59)+SUM(L65:L69)+SUM(L75:L83)+SUM(L89:L94)</f>
        <v>3210</v>
      </c>
    </row>
    <row r="15" spans="2:17" ht="18" customHeight="1" thickBot="1" x14ac:dyDescent="0.35">
      <c r="B15" s="2" t="s">
        <v>126</v>
      </c>
      <c r="C15" s="3" t="s">
        <v>127</v>
      </c>
      <c r="D15">
        <f t="shared" ref="D15:D25" si="3">H35</f>
        <v>0</v>
      </c>
      <c r="E15" s="18">
        <v>650</v>
      </c>
      <c r="G15" s="9" t="s">
        <v>128</v>
      </c>
      <c r="H15" s="8">
        <f>SUMIF('Data Filter'!$B$2:$B$498, "x14", 'Data Filter'!$A$2:$A$498)</f>
        <v>410</v>
      </c>
      <c r="I15" s="8">
        <f>SUMIF('Data Filter'!$B$2:$B$498, "x14", 'Data Filter'!C2:C498)</f>
        <v>100</v>
      </c>
      <c r="J15" s="8">
        <f>SUMIF('Data Filter'!$B$2:$B$498, "x14", 'Data Filter'!D2:D498)</f>
        <v>30</v>
      </c>
      <c r="K15" s="8">
        <f>SUMIF('Data Filter'!$B$2:$B$498, "x14", 'Data Filter'!E2:E498)</f>
        <v>40</v>
      </c>
      <c r="L15" s="8">
        <f>SUMIF('Data Filter'!$B$2:$B$498, "x14", 'Data Filter'!F2:F498)</f>
        <v>80</v>
      </c>
      <c r="M15" s="8">
        <f>SUMIF('Data Filter'!$B$2:$B$498, "x14", 'Data Filter'!G2:G498)</f>
        <v>60</v>
      </c>
      <c r="N15" s="8">
        <f>SUMIF('Data Filter'!$B$2:$B$498, "x14", 'Data Filter'!H2:H498)</f>
        <v>100</v>
      </c>
      <c r="P15" s="10" t="s">
        <v>120</v>
      </c>
      <c r="Q15" s="10">
        <f>SUM(M12:M16)+SUM(M22:M28)+SUM(M34:M45)+SUM(M51:M59)+SUM(M65:M69)+SUM(M75:M83)+SUM(M89:M94)</f>
        <v>2330</v>
      </c>
    </row>
    <row r="16" spans="2:17" ht="18" customHeight="1" thickBot="1" x14ac:dyDescent="0.35">
      <c r="B16" s="2" t="s">
        <v>129</v>
      </c>
      <c r="C16" s="3" t="s">
        <v>130</v>
      </c>
      <c r="D16">
        <f t="shared" si="3"/>
        <v>0</v>
      </c>
      <c r="E16" s="18">
        <v>500</v>
      </c>
      <c r="G16" s="9" t="s">
        <v>60</v>
      </c>
      <c r="H16" s="8">
        <f>SUMIF('Data Filter'!$B$2:$B$498, "x15", 'Data Filter'!$A$2:$A$498)</f>
        <v>680</v>
      </c>
      <c r="I16" s="8">
        <f>SUMIF('Data Filter'!$B$2:$B$498, "x15", 'Data Filter'!$C$2:C498)</f>
        <v>100</v>
      </c>
      <c r="J16" s="8">
        <f>SUMIF('Data Filter'!$B$2:$B$498, "x15", 'Data Filter'!$C$2:D498)</f>
        <v>100</v>
      </c>
      <c r="K16" s="8">
        <f>SUMIF('Data Filter'!$B$2:$B$498, "x15", 'Data Filter'!$C$2:E498)</f>
        <v>100</v>
      </c>
      <c r="L16" s="8">
        <f>SUMIF('Data Filter'!$B$2:$B$498, "x15", 'Data Filter'!$C$2:F498)</f>
        <v>100</v>
      </c>
      <c r="M16" s="8">
        <f>SUMIF('Data Filter'!$B$2:$B$498, "x15", 'Data Filter'!$C$2:G498)</f>
        <v>100</v>
      </c>
      <c r="N16" s="8">
        <f>SUMIF('Data Filter'!$B$2:$B$498, "x15", 'Data Filter'!$C$2:H498)</f>
        <v>100</v>
      </c>
      <c r="P16" s="10" t="s">
        <v>121</v>
      </c>
      <c r="Q16" s="10">
        <f>SUM(N12:N16)+SUM(N22:N28)+SUM(N34:N45)+SUM(N51:N59)+SUM(N65:N69)+SUM(N75:N83)+SUM(N89:N94)</f>
        <v>2820</v>
      </c>
    </row>
    <row r="17" spans="2:14" ht="18" customHeight="1" thickBot="1" x14ac:dyDescent="0.35">
      <c r="B17" s="2" t="s">
        <v>131</v>
      </c>
      <c r="C17" s="3" t="s">
        <v>132</v>
      </c>
      <c r="D17">
        <f t="shared" si="3"/>
        <v>0</v>
      </c>
      <c r="E17" s="18">
        <v>1850</v>
      </c>
    </row>
    <row r="18" spans="2:14" ht="18" customHeight="1" thickBot="1" x14ac:dyDescent="0.35">
      <c r="B18" s="2" t="s">
        <v>133</v>
      </c>
      <c r="C18" s="3" t="s">
        <v>134</v>
      </c>
      <c r="D18">
        <f t="shared" si="3"/>
        <v>0</v>
      </c>
      <c r="E18" s="18">
        <v>2700</v>
      </c>
    </row>
    <row r="19" spans="2:14" ht="18" customHeight="1" thickBot="1" x14ac:dyDescent="0.35">
      <c r="B19" s="2" t="s">
        <v>49</v>
      </c>
      <c r="C19" s="3" t="s">
        <v>135</v>
      </c>
      <c r="D19">
        <f t="shared" si="3"/>
        <v>970</v>
      </c>
      <c r="E19" s="18">
        <v>2150</v>
      </c>
    </row>
    <row r="20" spans="2:14" ht="18" customHeight="1" thickBot="1" x14ac:dyDescent="0.35">
      <c r="B20" s="2" t="s">
        <v>136</v>
      </c>
      <c r="C20" s="3" t="s">
        <v>137</v>
      </c>
      <c r="D20">
        <f t="shared" si="3"/>
        <v>0</v>
      </c>
      <c r="E20" s="18">
        <v>400</v>
      </c>
      <c r="G20" t="s">
        <v>64</v>
      </c>
    </row>
    <row r="21" spans="2:14" ht="18" customHeight="1" thickBot="1" x14ac:dyDescent="0.35">
      <c r="B21" s="2" t="s">
        <v>138</v>
      </c>
      <c r="C21" s="3" t="s">
        <v>139</v>
      </c>
      <c r="D21">
        <f t="shared" si="3"/>
        <v>0</v>
      </c>
      <c r="E21" s="18">
        <v>700</v>
      </c>
      <c r="G21" s="8" t="s">
        <v>4</v>
      </c>
      <c r="H21" s="8" t="s">
        <v>98</v>
      </c>
      <c r="I21" s="8" t="s">
        <v>116</v>
      </c>
      <c r="J21" s="8" t="s">
        <v>117</v>
      </c>
      <c r="K21" s="8" t="s">
        <v>118</v>
      </c>
      <c r="L21" s="8" t="s">
        <v>119</v>
      </c>
      <c r="M21" s="8" t="s">
        <v>120</v>
      </c>
      <c r="N21" s="8" t="s">
        <v>121</v>
      </c>
    </row>
    <row r="22" spans="2:14" ht="18" customHeight="1" thickBot="1" x14ac:dyDescent="0.35">
      <c r="B22" s="2" t="s">
        <v>140</v>
      </c>
      <c r="C22" s="3" t="s">
        <v>141</v>
      </c>
      <c r="D22">
        <f t="shared" si="3"/>
        <v>0</v>
      </c>
      <c r="E22" s="18">
        <v>2200</v>
      </c>
      <c r="G22" s="11" t="s">
        <v>107</v>
      </c>
      <c r="H22" s="10">
        <f>SUMIF('Data Filter'!$B$2:$B$498, "x21", 'Data Filter'!$A$2:$A$498)</f>
        <v>0</v>
      </c>
      <c r="I22" s="10">
        <f>SUMIF('Data Filter'!$B$2:$B$498, "x21", 'Data Filter'!C2:C498)</f>
        <v>0</v>
      </c>
      <c r="J22" s="10">
        <f>SUMIF('Data Filter'!$B$2:$B$498, "x21", 'Data Filter'!D2:D498)</f>
        <v>0</v>
      </c>
      <c r="K22" s="10">
        <f>SUMIF('Data Filter'!$B$2:$B$498, "x21", 'Data Filter'!E2:E498)</f>
        <v>0</v>
      </c>
      <c r="L22" s="10">
        <f>SUMIF('Data Filter'!$B$2:$B$498, "x21", 'Data Filter'!F2:F498)</f>
        <v>0</v>
      </c>
      <c r="M22" s="10">
        <f>SUMIF('Data Filter'!$B$2:$B$498, "x21", 'Data Filter'!G2:G498)</f>
        <v>0</v>
      </c>
      <c r="N22" s="10">
        <f>SUMIF('Data Filter'!$B$2:$B$498, "x21", 'Data Filter'!H2:H498)</f>
        <v>0</v>
      </c>
    </row>
    <row r="23" spans="2:14" ht="18" customHeight="1" thickBot="1" x14ac:dyDescent="0.35">
      <c r="B23" s="2" t="s">
        <v>142</v>
      </c>
      <c r="C23" s="3" t="s">
        <v>143</v>
      </c>
      <c r="D23">
        <f t="shared" si="3"/>
        <v>0</v>
      </c>
      <c r="E23" s="18">
        <v>650</v>
      </c>
      <c r="G23" s="11" t="s">
        <v>89</v>
      </c>
      <c r="H23" s="10">
        <f>SUMIF('Data Filter'!$B$2:$B$498, "x22", 'Data Filter'!$A$2:$A$498)</f>
        <v>610</v>
      </c>
      <c r="I23" s="10">
        <f>SUMIF('Data Filter'!$B$2:$B$498, "x22", 'Data Filter'!C2:C498)</f>
        <v>100</v>
      </c>
      <c r="J23" s="10">
        <f>SUMIF('Data Filter'!$B$2:$B$498, "x22", 'Data Filter'!D2:D498)</f>
        <v>200</v>
      </c>
      <c r="K23" s="10">
        <f>SUMIF('Data Filter'!$B$2:$B$498, "x22", 'Data Filter'!E2:E498)</f>
        <v>100</v>
      </c>
      <c r="L23" s="10">
        <f>SUMIF('Data Filter'!$B$2:$B$498, "x22", 'Data Filter'!F2:F498)</f>
        <v>50</v>
      </c>
      <c r="M23" s="10">
        <f>SUMIF('Data Filter'!$B$2:$B$498, "x22", 'Data Filter'!G2:G498)</f>
        <v>70</v>
      </c>
      <c r="N23" s="10">
        <f>SUMIF('Data Filter'!$B$2:$B$498, "x22", 'Data Filter'!H2:H498)</f>
        <v>90</v>
      </c>
    </row>
    <row r="24" spans="2:14" ht="18" customHeight="1" thickBot="1" x14ac:dyDescent="0.35">
      <c r="B24" s="2" t="s">
        <v>71</v>
      </c>
      <c r="C24" s="3" t="s">
        <v>144</v>
      </c>
      <c r="D24">
        <f t="shared" si="3"/>
        <v>490</v>
      </c>
      <c r="E24" s="18">
        <v>1500</v>
      </c>
      <c r="G24" s="11" t="s">
        <v>52</v>
      </c>
      <c r="H24" s="10">
        <f>SUMIF('Data Filter'!$B$2:$B$498, "x23", 'Data Filter'!$A$2:$A$498)</f>
        <v>1910</v>
      </c>
      <c r="I24" s="10">
        <f>SUMIF('Data Filter'!$B$2:$B$498, "x23", 'Data Filter'!C2:C498)</f>
        <v>300</v>
      </c>
      <c r="J24" s="10">
        <f>SUMIF('Data Filter'!$B$2:$B$498, "x23", 'Data Filter'!D2:D498)</f>
        <v>240</v>
      </c>
      <c r="K24" s="10">
        <f>SUMIF('Data Filter'!$B$2:$B$498, "x23", 'Data Filter'!E2:E498)</f>
        <v>350</v>
      </c>
      <c r="L24" s="10">
        <f>SUMIF('Data Filter'!$B$2:$B$498, "x23", 'Data Filter'!F2:F498)</f>
        <v>450</v>
      </c>
      <c r="M24" s="10">
        <f>SUMIF('Data Filter'!$B$2:$B$498, "x23", 'Data Filter'!G2:G498)</f>
        <v>340</v>
      </c>
      <c r="N24" s="10">
        <f>SUMIF('Data Filter'!$B$2:$B$498, "x23", 'Data Filter'!H2:H498)</f>
        <v>230</v>
      </c>
    </row>
    <row r="25" spans="2:14" ht="18" customHeight="1" thickBot="1" x14ac:dyDescent="0.35">
      <c r="B25" s="2" t="s">
        <v>19</v>
      </c>
      <c r="C25" s="3" t="s">
        <v>145</v>
      </c>
      <c r="D25">
        <f t="shared" si="3"/>
        <v>0</v>
      </c>
      <c r="E25" s="18">
        <v>600</v>
      </c>
      <c r="G25" s="11" t="s">
        <v>76</v>
      </c>
      <c r="H25" s="10">
        <f>SUMIF('Data Filter'!$B$2:$B$498, "x24", 'Data Filter'!$A$2:$A$498)</f>
        <v>480</v>
      </c>
      <c r="I25" s="10">
        <f>SUMIF('Data Filter'!$B$2:$B$498, "x24", 'Data Filter'!C2:C498)</f>
        <v>100</v>
      </c>
      <c r="J25" s="10">
        <f>SUMIF('Data Filter'!$B$2:$B$498, "x24", 'Data Filter'!D2:D498)</f>
        <v>70</v>
      </c>
      <c r="K25" s="10">
        <f>SUMIF('Data Filter'!$B$2:$B$498, "x24", 'Data Filter'!E2:E498)</f>
        <v>40</v>
      </c>
      <c r="L25" s="10">
        <f>SUMIF('Data Filter'!$B$2:$B$498, "x24", 'Data Filter'!F2:F498)</f>
        <v>50</v>
      </c>
      <c r="M25" s="10">
        <f>SUMIF('Data Filter'!$B$2:$B$498, "x24", 'Data Filter'!G2:G498)</f>
        <v>100</v>
      </c>
      <c r="N25" s="10">
        <f>SUMIF('Data Filter'!$B$2:$B$498, "x24", 'Data Filter'!H2:H498)</f>
        <v>120</v>
      </c>
    </row>
    <row r="26" spans="2:14" ht="18" customHeight="1" thickBot="1" x14ac:dyDescent="0.35">
      <c r="B26" s="2" t="s">
        <v>55</v>
      </c>
      <c r="C26" s="3" t="s">
        <v>146</v>
      </c>
      <c r="D26">
        <f>H51</f>
        <v>600</v>
      </c>
      <c r="E26" s="18">
        <v>650</v>
      </c>
      <c r="G26" s="11" t="s">
        <v>114</v>
      </c>
      <c r="H26" s="10">
        <f>SUMIF('Data Filter'!$B$2:$B$498, "x25", 'Data Filter'!$A$2:$A$498)</f>
        <v>0</v>
      </c>
      <c r="I26" s="10">
        <f>SUMIF('Data Filter'!$B$2:$B$498, "x25", 'Data Filter'!C2:C498)</f>
        <v>0</v>
      </c>
      <c r="J26" s="10">
        <f>SUMIF('Data Filter'!$B$2:$B$498, "x25", 'Data Filter'!D2:D498)</f>
        <v>0</v>
      </c>
      <c r="K26" s="10">
        <f>SUMIF('Data Filter'!$B$2:$B$498, "x25", 'Data Filter'!E2:E498)</f>
        <v>0</v>
      </c>
      <c r="L26" s="10">
        <f>SUMIF('Data Filter'!$B$2:$B$498, "x25", 'Data Filter'!F2:F498)</f>
        <v>0</v>
      </c>
      <c r="M26" s="10">
        <f>SUMIF('Data Filter'!$B$2:$B$498, "x25", 'Data Filter'!G2:G498)</f>
        <v>0</v>
      </c>
      <c r="N26" s="10">
        <f>SUMIF('Data Filter'!$B$2:$B$498, "x25", 'Data Filter'!H2:H498)</f>
        <v>0</v>
      </c>
    </row>
    <row r="27" spans="2:14" ht="18" customHeight="1" thickBot="1" x14ac:dyDescent="0.35">
      <c r="B27" s="2" t="s">
        <v>147</v>
      </c>
      <c r="C27" s="3" t="s">
        <v>148</v>
      </c>
      <c r="D27">
        <f t="shared" ref="D27:D34" si="4">H52</f>
        <v>0</v>
      </c>
      <c r="E27" s="18">
        <v>1900</v>
      </c>
      <c r="G27" s="11" t="s">
        <v>66</v>
      </c>
      <c r="H27" s="10">
        <f>SUMIF('Data Filter'!$B$2:$B$498, "x26", 'Data Filter'!$A$2:$A$498)</f>
        <v>410</v>
      </c>
      <c r="I27" s="10">
        <f>SUMIF('Data Filter'!$B$2:$B$498, "x26", 'Data Filter'!C2:C498)</f>
        <v>50</v>
      </c>
      <c r="J27" s="10">
        <f>SUMIF('Data Filter'!$B$2:$B$498, "x26", 'Data Filter'!D2:D498)</f>
        <v>90</v>
      </c>
      <c r="K27" s="10">
        <f>SUMIF('Data Filter'!$B$2:$B$498, "x26", 'Data Filter'!E2:E498)</f>
        <v>80</v>
      </c>
      <c r="L27" s="10">
        <f>SUMIF('Data Filter'!$B$2:$B$498, "x26", 'Data Filter'!F2:F498)</f>
        <v>60</v>
      </c>
      <c r="M27" s="10">
        <f>SUMIF('Data Filter'!$B$2:$B$498, "x26", 'Data Filter'!G2:G498)</f>
        <v>80</v>
      </c>
      <c r="N27" s="10">
        <f>SUMIF('Data Filter'!$B$2:$B$498, "x26", 'Data Filter'!H2:H498)</f>
        <v>50</v>
      </c>
    </row>
    <row r="28" spans="2:14" ht="18" customHeight="1" thickBot="1" x14ac:dyDescent="0.35">
      <c r="B28" s="2" t="s">
        <v>26</v>
      </c>
      <c r="C28" s="3" t="s">
        <v>149</v>
      </c>
      <c r="D28">
        <f t="shared" si="4"/>
        <v>460</v>
      </c>
      <c r="E28" s="18">
        <v>550</v>
      </c>
      <c r="G28" s="11" t="s">
        <v>64</v>
      </c>
      <c r="H28" s="10">
        <f>SUMIF('Data Filter'!$B$2:$B$498, "x27", 'Data Filter'!$A$2:$A$498)</f>
        <v>0</v>
      </c>
      <c r="I28" s="10">
        <f>SUMIF('Data Filter'!$B$2:$B$498, "x27", 'Data Filter'!C2:C498)</f>
        <v>0</v>
      </c>
      <c r="J28" s="10">
        <f>SUMIF('Data Filter'!$B$2:$B$498, "x27", 'Data Filter'!D2:D498)</f>
        <v>0</v>
      </c>
      <c r="K28" s="10">
        <f>SUMIF('Data Filter'!$B$2:$B$498, "x27", 'Data Filter'!E2:E498)</f>
        <v>0</v>
      </c>
      <c r="L28" s="10">
        <f>SUMIF('Data Filter'!$B$2:$B$498, "x27", 'Data Filter'!F2:F498)</f>
        <v>0</v>
      </c>
      <c r="M28" s="10">
        <f>SUMIF('Data Filter'!$B$2:$B$498, "x27", 'Data Filter'!G2:G498)</f>
        <v>0</v>
      </c>
      <c r="N28" s="10">
        <f>SUMIF('Data Filter'!$B$2:$B$498, "x27", 'Data Filter'!H2:H498)</f>
        <v>0</v>
      </c>
    </row>
    <row r="29" spans="2:14" ht="18" customHeight="1" thickBot="1" x14ac:dyDescent="0.35">
      <c r="B29" s="2" t="s">
        <v>30</v>
      </c>
      <c r="C29" s="3" t="s">
        <v>150</v>
      </c>
      <c r="D29">
        <f t="shared" si="4"/>
        <v>2750</v>
      </c>
      <c r="E29" s="18">
        <v>3950</v>
      </c>
    </row>
    <row r="30" spans="2:14" ht="18" customHeight="1" thickBot="1" x14ac:dyDescent="0.35">
      <c r="B30" s="2" t="s">
        <v>24</v>
      </c>
      <c r="C30" s="3" t="s">
        <v>151</v>
      </c>
      <c r="D30">
        <f t="shared" si="4"/>
        <v>0</v>
      </c>
      <c r="E30" s="18">
        <v>4700</v>
      </c>
    </row>
    <row r="31" spans="2:14" ht="18" customHeight="1" thickBot="1" x14ac:dyDescent="0.35">
      <c r="B31" s="2" t="s">
        <v>152</v>
      </c>
      <c r="C31" s="3" t="s">
        <v>153</v>
      </c>
      <c r="D31">
        <f t="shared" si="4"/>
        <v>0</v>
      </c>
      <c r="E31" s="18">
        <v>1150</v>
      </c>
    </row>
    <row r="32" spans="2:14" ht="18" customHeight="1" thickBot="1" x14ac:dyDescent="0.35">
      <c r="B32" s="2" t="s">
        <v>154</v>
      </c>
      <c r="C32" s="3" t="s">
        <v>155</v>
      </c>
      <c r="D32">
        <f t="shared" si="4"/>
        <v>0</v>
      </c>
      <c r="E32" s="18">
        <v>5200</v>
      </c>
      <c r="G32" t="s">
        <v>19</v>
      </c>
    </row>
    <row r="33" spans="2:14" ht="18" customHeight="1" thickBot="1" x14ac:dyDescent="0.35">
      <c r="B33" s="2" t="s">
        <v>58</v>
      </c>
      <c r="C33" s="3" t="s">
        <v>156</v>
      </c>
      <c r="D33">
        <f t="shared" si="4"/>
        <v>1800</v>
      </c>
      <c r="E33" s="18">
        <v>1950</v>
      </c>
      <c r="H33" s="8" t="s">
        <v>98</v>
      </c>
      <c r="I33" s="8" t="s">
        <v>116</v>
      </c>
      <c r="J33" s="8" t="s">
        <v>117</v>
      </c>
      <c r="K33" s="8" t="s">
        <v>118</v>
      </c>
      <c r="L33" s="8" t="s">
        <v>119</v>
      </c>
      <c r="M33" s="8" t="s">
        <v>120</v>
      </c>
      <c r="N33" s="8" t="s">
        <v>121</v>
      </c>
    </row>
    <row r="34" spans="2:14" ht="18" customHeight="1" thickBot="1" x14ac:dyDescent="0.35">
      <c r="B34" s="2" t="s">
        <v>157</v>
      </c>
      <c r="C34" s="3" t="s">
        <v>158</v>
      </c>
      <c r="D34">
        <f t="shared" si="4"/>
        <v>0</v>
      </c>
      <c r="E34" s="18">
        <v>2200</v>
      </c>
      <c r="G34" s="11" t="s">
        <v>124</v>
      </c>
      <c r="H34" s="10">
        <f>SUMIF('Data Filter'!$B$2:$B$498, "x31", 'Data Filter'!$A$2:$A$498)</f>
        <v>0</v>
      </c>
      <c r="I34" s="10">
        <f>SUMIF('Data Filter'!$B$2:$B$498, "x31", 'Data Filter'!C2:C498)</f>
        <v>0</v>
      </c>
      <c r="J34" s="10">
        <f>SUMIF('Data Filter'!$B$2:$B$498, "x31", 'Data Filter'!D2:D498)</f>
        <v>0</v>
      </c>
      <c r="K34" s="10">
        <f>SUMIF('Data Filter'!$B$2:$B$498, "x31", 'Data Filter'!E2:E498)</f>
        <v>0</v>
      </c>
      <c r="L34" s="10">
        <f>SUMIF('Data Filter'!$B$2:$B$498, "x31", 'Data Filter'!F2:F498)</f>
        <v>0</v>
      </c>
      <c r="M34" s="10">
        <f>SUMIF('Data Filter'!$B$2:$B$498, "x31", 'Data Filter'!G2:G498)</f>
        <v>0</v>
      </c>
      <c r="N34" s="10">
        <f>SUMIF('Data Filter'!$B$2:$B$498, "x31", 'Data Filter'!H2:H498)</f>
        <v>0</v>
      </c>
    </row>
    <row r="35" spans="2:14" ht="18" customHeight="1" thickBot="1" x14ac:dyDescent="0.35">
      <c r="B35" s="2" t="s">
        <v>31</v>
      </c>
      <c r="C35" s="3" t="s">
        <v>159</v>
      </c>
      <c r="D35">
        <f>H65</f>
        <v>710</v>
      </c>
      <c r="E35" s="18">
        <v>4800</v>
      </c>
      <c r="G35" s="11" t="s">
        <v>126</v>
      </c>
      <c r="H35" s="10">
        <f>SUMIF('Data Filter'!$B$2:$B$498, "x32", 'Data Filter'!$A$2:$A$498)</f>
        <v>0</v>
      </c>
      <c r="I35" s="10">
        <f>SUMIF('Data Filter'!$B$2:$B$498, "x32", 'Data Filter'!C2:C498)</f>
        <v>0</v>
      </c>
      <c r="J35" s="10">
        <f>SUMIF('Data Filter'!$B$2:$B$498, "x32", 'Data Filter'!D2:D498)</f>
        <v>0</v>
      </c>
      <c r="K35" s="10">
        <f>SUMIF('Data Filter'!$B$2:$B$498, "x32", 'Data Filter'!E2:E498)</f>
        <v>0</v>
      </c>
      <c r="L35" s="10">
        <f>SUMIF('Data Filter'!$B$2:$B$498, "x32", 'Data Filter'!F2:F498)</f>
        <v>0</v>
      </c>
      <c r="M35" s="10">
        <f>SUMIF('Data Filter'!$B$2:$B$498, "x32", 'Data Filter'!G2:G498)</f>
        <v>0</v>
      </c>
      <c r="N35" s="10">
        <f>SUMIF('Data Filter'!$B$2:$B$498, "x32", 'Data Filter'!H2:H498)</f>
        <v>0</v>
      </c>
    </row>
    <row r="36" spans="2:14" ht="18" customHeight="1" thickBot="1" x14ac:dyDescent="0.35">
      <c r="B36" s="2" t="s">
        <v>39</v>
      </c>
      <c r="C36" s="3" t="s">
        <v>160</v>
      </c>
      <c r="D36">
        <f t="shared" ref="D36:D39" si="5">H66</f>
        <v>450</v>
      </c>
      <c r="E36" s="18">
        <v>1500</v>
      </c>
      <c r="G36" s="11" t="s">
        <v>129</v>
      </c>
      <c r="H36" s="10">
        <f>SUMIF('Data Filter'!$B$2:$B$498, "x33", 'Data Filter'!$A$2:$A$498)</f>
        <v>0</v>
      </c>
      <c r="I36" s="10">
        <f>SUMIF('Data Filter'!$B$2:$B$498, "x33", 'Data Filter'!C2:C498)</f>
        <v>0</v>
      </c>
      <c r="J36" s="10">
        <f>SUMIF('Data Filter'!$B$2:$B$498, "x33", 'Data Filter'!D2:D498)</f>
        <v>0</v>
      </c>
      <c r="K36" s="10">
        <f>SUMIF('Data Filter'!$B$2:$B$498, "x33", 'Data Filter'!E2:E498)</f>
        <v>0</v>
      </c>
      <c r="L36" s="10">
        <f>SUMIF('Data Filter'!$B$2:$B$498, "x33", 'Data Filter'!F2:F498)</f>
        <v>0</v>
      </c>
      <c r="M36" s="10">
        <f>SUMIF('Data Filter'!$B$2:$B$498, "x33", 'Data Filter'!G2:G498)</f>
        <v>0</v>
      </c>
      <c r="N36" s="10">
        <f>SUMIF('Data Filter'!$B$2:$B$498, "x33", 'Data Filter'!H2:H498)</f>
        <v>0</v>
      </c>
    </row>
    <row r="37" spans="2:14" ht="18" customHeight="1" thickBot="1" x14ac:dyDescent="0.35">
      <c r="B37" s="2" t="s">
        <v>93</v>
      </c>
      <c r="C37" s="3" t="s">
        <v>162</v>
      </c>
      <c r="D37">
        <f t="shared" si="5"/>
        <v>480</v>
      </c>
      <c r="E37" s="18">
        <v>1800</v>
      </c>
      <c r="G37" s="11" t="s">
        <v>131</v>
      </c>
      <c r="H37" s="10">
        <f>SUMIF('Data Filter'!$B$2:$B$498, "x34", 'Data Filter'!$A$2:$A$498)</f>
        <v>0</v>
      </c>
      <c r="I37" s="10">
        <f>SUMIF('Data Filter'!$B$2:$B$498, "x34", 'Data Filter'!C2:C498)</f>
        <v>0</v>
      </c>
      <c r="J37" s="10">
        <f>SUMIF('Data Filter'!$B$2:$B$498, "x34", 'Data Filter'!D2:D498)</f>
        <v>0</v>
      </c>
      <c r="K37" s="10">
        <f>SUMIF('Data Filter'!$B$2:$B$498, "x34", 'Data Filter'!E2:E498)</f>
        <v>0</v>
      </c>
      <c r="L37" s="10">
        <f>SUMIF('Data Filter'!$B$2:$B$498, "x34", 'Data Filter'!F2:F498)</f>
        <v>0</v>
      </c>
      <c r="M37" s="10">
        <f>SUMIF('Data Filter'!$B$2:$B$498, "x34", 'Data Filter'!G2:G498)</f>
        <v>0</v>
      </c>
      <c r="N37" s="10">
        <f>SUMIF('Data Filter'!$B$2:$B$498, "x34", 'Data Filter'!H2:H498)</f>
        <v>0</v>
      </c>
    </row>
    <row r="38" spans="2:14" ht="18" customHeight="1" thickBot="1" x14ac:dyDescent="0.35">
      <c r="B38" s="2" t="s">
        <v>163</v>
      </c>
      <c r="C38" s="3" t="s">
        <v>164</v>
      </c>
      <c r="D38">
        <f t="shared" si="5"/>
        <v>0</v>
      </c>
      <c r="E38" s="18">
        <v>1850</v>
      </c>
      <c r="G38" s="11" t="s">
        <v>133</v>
      </c>
      <c r="H38" s="10">
        <f>SUMIF('Data Filter'!$B$2:$B$498, "x35", 'Data Filter'!$A$2:$A$498)</f>
        <v>0</v>
      </c>
      <c r="I38" s="10">
        <f>SUMIF('Data Filter'!$B$2:$B$498, "x35", 'Data Filter'!C2:C498)</f>
        <v>0</v>
      </c>
      <c r="J38" s="10">
        <f>SUMIF('Data Filter'!$B$2:$B$498, "x35", 'Data Filter'!D2:D498)</f>
        <v>0</v>
      </c>
      <c r="K38" s="10">
        <f>SUMIF('Data Filter'!$B$2:$B$498, "x35", 'Data Filter'!E2:E498)</f>
        <v>0</v>
      </c>
      <c r="L38" s="10">
        <f>SUMIF('Data Filter'!$B$2:$B$498, "x35", 'Data Filter'!F2:F498)</f>
        <v>0</v>
      </c>
      <c r="M38" s="10">
        <f>SUMIF('Data Filter'!$B$2:$B$498, "x35", 'Data Filter'!G2:G498)</f>
        <v>0</v>
      </c>
      <c r="N38" s="10">
        <f>SUMIF('Data Filter'!$B$2:$B$498, "x35", 'Data Filter'!H2:H498)</f>
        <v>0</v>
      </c>
    </row>
    <row r="39" spans="2:14" ht="18" customHeight="1" thickBot="1" x14ac:dyDescent="0.35">
      <c r="B39" s="2" t="s">
        <v>79</v>
      </c>
      <c r="C39" s="3" t="s">
        <v>165</v>
      </c>
      <c r="D39">
        <f t="shared" si="5"/>
        <v>440</v>
      </c>
      <c r="E39" s="18">
        <v>2150</v>
      </c>
      <c r="G39" s="11" t="s">
        <v>49</v>
      </c>
      <c r="H39" s="10">
        <f>SUMIF('Data Filter'!$B$2:$B$498, "x36", 'Data Filter'!$A$2:$A$498)</f>
        <v>970</v>
      </c>
      <c r="I39" s="10">
        <f>SUMIF('Data Filter'!$B$2:$B$498, "x36", 'Data Filter'!C2:C498)</f>
        <v>300</v>
      </c>
      <c r="J39" s="10">
        <f>SUMIF('Data Filter'!$B$2:$B$498, "x36", 'Data Filter'!D2:D498)</f>
        <v>300</v>
      </c>
      <c r="K39" s="10">
        <f>SUMIF('Data Filter'!$B$2:$B$498, "x36", 'Data Filter'!E2:E498)</f>
        <v>200</v>
      </c>
      <c r="L39" s="10">
        <f>SUMIF('Data Filter'!$B$2:$B$498, "x36", 'Data Filter'!F2:F498)</f>
        <v>100</v>
      </c>
      <c r="M39" s="10">
        <f>SUMIF('Data Filter'!$B$2:$B$498, "x36", 'Data Filter'!G2:G498)</f>
        <v>40</v>
      </c>
      <c r="N39" s="10">
        <f>SUMIF('Data Filter'!$B$2:$B$498, "x36", 'Data Filter'!H2:H498)</f>
        <v>30</v>
      </c>
    </row>
    <row r="40" spans="2:14" ht="18" customHeight="1" thickBot="1" x14ac:dyDescent="0.35">
      <c r="B40" s="2" t="s">
        <v>166</v>
      </c>
      <c r="C40" s="3" t="s">
        <v>167</v>
      </c>
      <c r="D40">
        <f>H75</f>
        <v>0</v>
      </c>
      <c r="E40" s="18">
        <v>1850</v>
      </c>
      <c r="G40" s="11" t="s">
        <v>136</v>
      </c>
      <c r="H40" s="10">
        <f>SUMIF('Data Filter'!$B$2:$B$498, "x37", 'Data Filter'!$A$2:$A$498)</f>
        <v>0</v>
      </c>
      <c r="I40" s="10">
        <f>SUMIF('Data Filter'!$B$2:$B$498, "x37", 'Data Filter'!C2:C498)</f>
        <v>0</v>
      </c>
      <c r="J40" s="10">
        <f>SUMIF('Data Filter'!$B$2:$B$498, "x37", 'Data Filter'!D2:D498)</f>
        <v>0</v>
      </c>
      <c r="K40" s="10">
        <f>SUMIF('Data Filter'!$B$2:$B$498, "x37", 'Data Filter'!E2:E498)</f>
        <v>0</v>
      </c>
      <c r="L40" s="10">
        <f>SUMIF('Data Filter'!$B$2:$B$498, "x37", 'Data Filter'!F2:F498)</f>
        <v>0</v>
      </c>
      <c r="M40" s="10">
        <f>SUMIF('Data Filter'!$B$2:$B$498, "x37", 'Data Filter'!G2:G498)</f>
        <v>0</v>
      </c>
      <c r="N40" s="10">
        <f>SUMIF('Data Filter'!$B$2:$B$498, "x37", 'Data Filter'!H2:H498)</f>
        <v>0</v>
      </c>
    </row>
    <row r="41" spans="2:14" ht="18" customHeight="1" thickBot="1" x14ac:dyDescent="0.35">
      <c r="B41" s="2" t="s">
        <v>85</v>
      </c>
      <c r="C41" s="3" t="s">
        <v>168</v>
      </c>
      <c r="D41">
        <f t="shared" ref="D41:D48" si="6">H76</f>
        <v>460</v>
      </c>
      <c r="E41" s="18">
        <v>1050</v>
      </c>
      <c r="G41" s="11" t="s">
        <v>138</v>
      </c>
      <c r="H41" s="10">
        <f>SUMIF('Data Filter'!$B$2:$B$498, "x38", 'Data Filter'!$A$2:$A$498)</f>
        <v>0</v>
      </c>
      <c r="I41" s="10">
        <f>SUMIF('Data Filter'!$B$2:$B$498, "x38", 'Data Filter'!C2:C498)</f>
        <v>0</v>
      </c>
      <c r="J41" s="10">
        <f>SUMIF('Data Filter'!$B$2:$B$498, "x38", 'Data Filter'!D2:D498)</f>
        <v>0</v>
      </c>
      <c r="K41" s="10">
        <f>SUMIF('Data Filter'!$B$2:$B$498, "x38", 'Data Filter'!E2:E498)</f>
        <v>0</v>
      </c>
      <c r="L41" s="10">
        <f>SUMIF('Data Filter'!$B$2:$B$498, "x38", 'Data Filter'!F2:F498)</f>
        <v>0</v>
      </c>
      <c r="M41" s="10">
        <f>SUMIF('Data Filter'!$B$2:$B$498, "x38", 'Data Filter'!G2:G498)</f>
        <v>0</v>
      </c>
      <c r="N41" s="10">
        <f>SUMIF('Data Filter'!$B$2:$B$498, "x38", 'Data Filter'!H2:H498)</f>
        <v>0</v>
      </c>
    </row>
    <row r="42" spans="2:14" ht="18" customHeight="1" thickBot="1" x14ac:dyDescent="0.35">
      <c r="B42" s="2" t="s">
        <v>169</v>
      </c>
      <c r="C42" s="3" t="s">
        <v>170</v>
      </c>
      <c r="D42">
        <f t="shared" si="6"/>
        <v>0</v>
      </c>
      <c r="E42" s="18">
        <v>400</v>
      </c>
      <c r="G42" s="11" t="s">
        <v>140</v>
      </c>
      <c r="H42" s="10">
        <f>SUMIF('Data Filter'!$B$2:$B$498, "x39", 'Data Filter'!$A$2:$A$498)</f>
        <v>0</v>
      </c>
      <c r="I42" s="10">
        <f>SUMIF('Data Filter'!$B$2:$B$498, "x39", 'Data Filter'!C2:C498)</f>
        <v>0</v>
      </c>
      <c r="J42" s="10">
        <f>SUMIF('Data Filter'!$B$2:$B$498, "x39", 'Data Filter'!D2:D498)</f>
        <v>0</v>
      </c>
      <c r="K42" s="10">
        <f>SUMIF('Data Filter'!$B$2:$B$498, "x39", 'Data Filter'!E2:E498)</f>
        <v>0</v>
      </c>
      <c r="L42" s="10">
        <f>SUMIF('Data Filter'!$B$2:$B$498, "x39", 'Data Filter'!F2:F498)</f>
        <v>0</v>
      </c>
      <c r="M42" s="10">
        <f>SUMIF('Data Filter'!$B$2:$B$498, "x39", 'Data Filter'!G2:G498)</f>
        <v>0</v>
      </c>
      <c r="N42" s="10">
        <f>SUMIF('Data Filter'!$B$2:$B$498, "x39", 'Data Filter'!H2:H498)</f>
        <v>0</v>
      </c>
    </row>
    <row r="43" spans="2:14" ht="18" customHeight="1" thickBot="1" x14ac:dyDescent="0.35">
      <c r="B43" s="2" t="s">
        <v>171</v>
      </c>
      <c r="C43" s="3" t="s">
        <v>172</v>
      </c>
      <c r="D43">
        <f t="shared" si="6"/>
        <v>0</v>
      </c>
      <c r="E43" s="18">
        <v>2500</v>
      </c>
      <c r="G43" s="11" t="s">
        <v>142</v>
      </c>
      <c r="H43" s="10">
        <f>SUMIF('Data Filter'!$B$2:$B$498, "x310", 'Data Filter'!$A$2:$A$498)</f>
        <v>0</v>
      </c>
      <c r="I43" s="10">
        <f>SUMIF('Data Filter'!$B$2:$B$498, "x310", 'Data Filter'!C2:C498)</f>
        <v>0</v>
      </c>
      <c r="J43" s="10">
        <f>SUMIF('Data Filter'!$B$2:$B$498, "x310", 'Data Filter'!D2:D498)</f>
        <v>0</v>
      </c>
      <c r="K43" s="10">
        <f>SUMIF('Data Filter'!$B$2:$B$498, "x310", 'Data Filter'!E2:E498)</f>
        <v>0</v>
      </c>
      <c r="L43" s="10">
        <f>SUMIF('Data Filter'!$B$2:$B$498, "x310", 'Data Filter'!F2:F498)</f>
        <v>0</v>
      </c>
      <c r="M43" s="10">
        <f>SUMIF('Data Filter'!$B$2:$B$498, "x310", 'Data Filter'!G2:G498)</f>
        <v>0</v>
      </c>
      <c r="N43" s="10">
        <f>SUMIF('Data Filter'!$B$2:$B$498, "x310", 'Data Filter'!H2:H498)</f>
        <v>0</v>
      </c>
    </row>
    <row r="44" spans="2:14" ht="18" customHeight="1" thickBot="1" x14ac:dyDescent="0.35">
      <c r="B44" s="2" t="s">
        <v>35</v>
      </c>
      <c r="C44" s="3" t="s">
        <v>173</v>
      </c>
      <c r="D44">
        <f t="shared" si="6"/>
        <v>450</v>
      </c>
      <c r="E44" s="18">
        <v>850</v>
      </c>
      <c r="G44" s="11" t="s">
        <v>71</v>
      </c>
      <c r="H44" s="10">
        <f>SUMIF('Data Filter'!$B$2:$B$498, "x311", 'Data Filter'!$A$2:$A$498)</f>
        <v>490</v>
      </c>
      <c r="I44" s="10">
        <f>SUMIF('Data Filter'!$B$2:$B$498, "x311", 'Data Filter'!C2:C498)</f>
        <v>50</v>
      </c>
      <c r="J44" s="10">
        <f>SUMIF('Data Filter'!$B$2:$B$498, "x311", 'Data Filter'!D2:D498)</f>
        <v>80</v>
      </c>
      <c r="K44" s="10">
        <f>SUMIF('Data Filter'!$B$2:$B$498, "x311", 'Data Filter'!E2:E498)</f>
        <v>100</v>
      </c>
      <c r="L44" s="10">
        <f>SUMIF('Data Filter'!$B$2:$B$498, "x311", 'Data Filter'!F2:F498)</f>
        <v>90</v>
      </c>
      <c r="M44" s="10">
        <f>SUMIF('Data Filter'!$B$2:$B$498, "x311", 'Data Filter'!G2:G498)</f>
        <v>100</v>
      </c>
      <c r="N44" s="10">
        <f>SUMIF('Data Filter'!$B$2:$B$498, "x311", 'Data Filter'!H2:H498)</f>
        <v>70</v>
      </c>
    </row>
    <row r="45" spans="2:14" ht="18" customHeight="1" thickBot="1" x14ac:dyDescent="0.35">
      <c r="B45" s="2" t="s">
        <v>174</v>
      </c>
      <c r="C45" s="3" t="s">
        <v>175</v>
      </c>
      <c r="D45">
        <f t="shared" si="6"/>
        <v>0</v>
      </c>
      <c r="E45" s="18">
        <v>450</v>
      </c>
      <c r="G45" s="11" t="s">
        <v>19</v>
      </c>
      <c r="H45" s="10">
        <f>SUMIF('Data Filter'!$B$2:$B$498, "x312", 'Data Filter'!$A$2:$A$498)</f>
        <v>0</v>
      </c>
      <c r="I45" s="10">
        <f>SUMIF('Data Filter'!$B$2:$B$498, "x312", 'Data Filter'!C2:C498)</f>
        <v>0</v>
      </c>
      <c r="J45" s="10">
        <f>SUMIF('Data Filter'!$B$2:$B$498, "x312", 'Data Filter'!D2:D498)</f>
        <v>0</v>
      </c>
      <c r="K45" s="10">
        <f>SUMIF('Data Filter'!$B$2:$B$498, "x312", 'Data Filter'!E2:E498)</f>
        <v>0</v>
      </c>
      <c r="L45" s="10">
        <f>SUMIF('Data Filter'!$B$2:$B$498, "x312", 'Data Filter'!F2:F498)</f>
        <v>0</v>
      </c>
      <c r="M45" s="10">
        <f>SUMIF('Data Filter'!$B$2:$B$498, "x312", 'Data Filter'!G2:G498)</f>
        <v>0</v>
      </c>
      <c r="N45" s="10">
        <f>SUMIF('Data Filter'!$B$2:$B$498, "x312", 'Data Filter'!H2:H498)</f>
        <v>0</v>
      </c>
    </row>
    <row r="46" spans="2:14" ht="18" customHeight="1" thickBot="1" x14ac:dyDescent="0.35">
      <c r="B46" s="2" t="s">
        <v>176</v>
      </c>
      <c r="C46" s="3" t="s">
        <v>177</v>
      </c>
      <c r="D46">
        <f t="shared" si="6"/>
        <v>0</v>
      </c>
      <c r="E46" s="18">
        <v>450</v>
      </c>
    </row>
    <row r="47" spans="2:14" ht="18" customHeight="1" thickBot="1" x14ac:dyDescent="0.35">
      <c r="B47" s="2" t="s">
        <v>178</v>
      </c>
      <c r="C47" s="3" t="s">
        <v>179</v>
      </c>
      <c r="D47">
        <f t="shared" si="6"/>
        <v>0</v>
      </c>
      <c r="E47" s="18">
        <v>650</v>
      </c>
    </row>
    <row r="48" spans="2:14" ht="18" customHeight="1" thickBot="1" x14ac:dyDescent="0.35">
      <c r="B48" s="2" t="s">
        <v>34</v>
      </c>
      <c r="C48" s="3" t="s">
        <v>180</v>
      </c>
      <c r="D48">
        <f t="shared" si="6"/>
        <v>1000</v>
      </c>
      <c r="E48" s="18">
        <v>2500</v>
      </c>
    </row>
    <row r="49" spans="2:14" ht="18" customHeight="1" thickBot="1" x14ac:dyDescent="0.35">
      <c r="B49" s="2" t="s">
        <v>181</v>
      </c>
      <c r="C49" s="3" t="s">
        <v>182</v>
      </c>
      <c r="D49">
        <f>H89</f>
        <v>0</v>
      </c>
      <c r="E49" s="18">
        <v>3400</v>
      </c>
      <c r="G49" t="s">
        <v>24</v>
      </c>
    </row>
    <row r="50" spans="2:14" ht="18" customHeight="1" thickBot="1" x14ac:dyDescent="0.35">
      <c r="B50" s="2" t="s">
        <v>183</v>
      </c>
      <c r="C50" s="3" t="s">
        <v>184</v>
      </c>
      <c r="D50">
        <f t="shared" ref="D50:D54" si="7">H90</f>
        <v>0</v>
      </c>
      <c r="E50" s="18">
        <v>900</v>
      </c>
      <c r="H50" s="12" t="s">
        <v>98</v>
      </c>
      <c r="I50" s="12" t="s">
        <v>116</v>
      </c>
      <c r="J50" s="12" t="s">
        <v>117</v>
      </c>
      <c r="K50" s="12" t="s">
        <v>118</v>
      </c>
      <c r="L50" s="12" t="s">
        <v>119</v>
      </c>
      <c r="M50" s="12" t="s">
        <v>120</v>
      </c>
      <c r="N50" s="12" t="s">
        <v>121</v>
      </c>
    </row>
    <row r="51" spans="2:14" ht="18" customHeight="1" thickBot="1" x14ac:dyDescent="0.35">
      <c r="B51" s="2" t="s">
        <v>166</v>
      </c>
      <c r="C51" s="3" t="s">
        <v>185</v>
      </c>
      <c r="D51">
        <f t="shared" si="7"/>
        <v>0</v>
      </c>
      <c r="E51" s="18">
        <v>1100</v>
      </c>
      <c r="G51" s="11" t="s">
        <v>55</v>
      </c>
      <c r="H51" s="10">
        <f>SUMIF('Data Filter'!$B$2:$B$498, "x41", 'Data Filter'!$A$2:$A$498)</f>
        <v>600</v>
      </c>
      <c r="I51" s="10">
        <f>SUMIF('Data Filter'!$B$2:$B$498, "x41", 'Data Filter'!C2:C498)</f>
        <v>100</v>
      </c>
      <c r="J51" s="10">
        <f>SUMIF('Data Filter'!$B$2:$B$498, "x41", 'Data Filter'!D2:D498)</f>
        <v>100</v>
      </c>
      <c r="K51" s="10">
        <f>SUMIF('Data Filter'!$B$2:$B$498, "x41", 'Data Filter'!E2:E498)</f>
        <v>100</v>
      </c>
      <c r="L51" s="10">
        <f>SUMIF('Data Filter'!$B$2:$B$498, "x41", 'Data Filter'!F2:F498)</f>
        <v>100</v>
      </c>
      <c r="M51" s="10">
        <f>SUMIF('Data Filter'!$B$2:$B$498, "x41", 'Data Filter'!G2:G498)</f>
        <v>100</v>
      </c>
      <c r="N51" s="10">
        <f>SUMIF('Data Filter'!$B$2:$B$498, "x41", 'Data Filter'!H2:H498)</f>
        <v>100</v>
      </c>
    </row>
    <row r="52" spans="2:14" ht="18" customHeight="1" thickBot="1" x14ac:dyDescent="0.35">
      <c r="B52" s="2" t="s">
        <v>16</v>
      </c>
      <c r="C52" s="3" t="s">
        <v>186</v>
      </c>
      <c r="D52">
        <f t="shared" si="7"/>
        <v>310</v>
      </c>
      <c r="E52" s="18">
        <v>950</v>
      </c>
      <c r="G52" s="11" t="s">
        <v>147</v>
      </c>
      <c r="H52" s="10">
        <f>SUMIF('Data Filter'!$B$2:$B$498, "x42", 'Data Filter'!$A$2:$A$498)</f>
        <v>0</v>
      </c>
      <c r="I52" s="10">
        <f>SUMIF('Data Filter'!$B$2:$B$498, "x42", 'Data Filter'!C2:C498)</f>
        <v>0</v>
      </c>
      <c r="J52" s="10">
        <f>SUMIF('Data Filter'!$B$2:$B$498, "x42", 'Data Filter'!D2:D498)</f>
        <v>0</v>
      </c>
      <c r="K52" s="10">
        <f>SUMIF('Data Filter'!$B$2:$B$498, "x42", 'Data Filter'!E2:E498)</f>
        <v>0</v>
      </c>
      <c r="L52" s="10">
        <f>SUMIF('Data Filter'!$B$2:$B$498, "x42", 'Data Filter'!F2:F498)</f>
        <v>0</v>
      </c>
      <c r="M52" s="10">
        <f>SUMIF('Data Filter'!$B$2:$B$498, "x42", 'Data Filter'!G2:G498)</f>
        <v>0</v>
      </c>
      <c r="N52" s="10">
        <f>SUMIF('Data Filter'!$B$2:$B$498, "x42", 'Data Filter'!H2:H498)</f>
        <v>0</v>
      </c>
    </row>
    <row r="53" spans="2:14" ht="18" customHeight="1" thickBot="1" x14ac:dyDescent="0.35">
      <c r="B53" s="2" t="s">
        <v>68</v>
      </c>
      <c r="C53" s="3" t="s">
        <v>187</v>
      </c>
      <c r="D53">
        <f t="shared" si="7"/>
        <v>360</v>
      </c>
      <c r="E53" s="18">
        <v>750</v>
      </c>
      <c r="G53" s="11" t="s">
        <v>26</v>
      </c>
      <c r="H53" s="10">
        <f>SUMIF('Data Filter'!$B$2:$B$498, "x43", 'Data Filter'!$A$2:$A$498)</f>
        <v>460</v>
      </c>
      <c r="I53" s="10">
        <f>SUMIF('Data Filter'!$B$2:$B$498, "x43", 'Data Filter'!C2:C498)</f>
        <v>30</v>
      </c>
      <c r="J53" s="10">
        <f>SUMIF('Data Filter'!$B$2:$B$498, "x43", 'Data Filter'!D2:D498)</f>
        <v>40</v>
      </c>
      <c r="K53" s="10">
        <f>SUMIF('Data Filter'!$B$2:$B$498, "x43", 'Data Filter'!E2:E498)</f>
        <v>70</v>
      </c>
      <c r="L53" s="10">
        <f>SUMIF('Data Filter'!$B$2:$B$498, "x43", 'Data Filter'!F2:F498)</f>
        <v>60</v>
      </c>
      <c r="M53" s="10">
        <f>SUMIF('Data Filter'!$B$2:$B$498, "x43", 'Data Filter'!G2:G498)</f>
        <v>90</v>
      </c>
      <c r="N53" s="10">
        <f>SUMIF('Data Filter'!$B$2:$B$498, "x43", 'Data Filter'!H2:H498)</f>
        <v>170</v>
      </c>
    </row>
    <row r="54" spans="2:14" ht="18" customHeight="1" thickBot="1" x14ac:dyDescent="0.35">
      <c r="B54" s="2" t="s">
        <v>188</v>
      </c>
      <c r="C54" s="5" t="s">
        <v>189</v>
      </c>
      <c r="D54">
        <f t="shared" si="7"/>
        <v>0</v>
      </c>
      <c r="E54" s="18">
        <v>2400</v>
      </c>
      <c r="G54" s="11" t="s">
        <v>30</v>
      </c>
      <c r="H54" s="10">
        <f>SUMIF('Data Filter'!$B$2:$B$498, "x44", 'Data Filter'!$A$2:$A$498)</f>
        <v>2750</v>
      </c>
      <c r="I54" s="10">
        <f>SUMIF('Data Filter'!$B$2:$B$498, "x44", 'Data Filter'!C2:C498)</f>
        <v>200</v>
      </c>
      <c r="J54" s="10">
        <f>SUMIF('Data Filter'!$B$2:$B$498, "x44", 'Data Filter'!D2:D498)</f>
        <v>450</v>
      </c>
      <c r="K54" s="10">
        <f>SUMIF('Data Filter'!$B$2:$B$498, "x44", 'Data Filter'!E2:E498)</f>
        <v>500</v>
      </c>
      <c r="L54" s="10">
        <f>SUMIF('Data Filter'!$B$2:$B$498, "x44", 'Data Filter'!F2:F498)</f>
        <v>450</v>
      </c>
      <c r="M54" s="10">
        <f>SUMIF('Data Filter'!$B$2:$B$498, "x44", 'Data Filter'!G2:G498)</f>
        <v>400</v>
      </c>
      <c r="N54" s="10">
        <f>SUMIF('Data Filter'!$B$2:$B$498, "x44", 'Data Filter'!H2:H498)</f>
        <v>750</v>
      </c>
    </row>
    <row r="55" spans="2:14" ht="18" customHeight="1" x14ac:dyDescent="0.3">
      <c r="B55" s="2"/>
      <c r="C55" s="6"/>
      <c r="G55" s="11" t="s">
        <v>24</v>
      </c>
      <c r="H55" s="10">
        <f>SUMIF('Data Filter'!$B$2:$B$498, "x45", 'Data Filter'!$A$2:$A$498)</f>
        <v>0</v>
      </c>
      <c r="I55" s="10">
        <f>SUMIF('Data Filter'!$B$2:$B$498, "x45", 'Data Filter'!C2:C498)</f>
        <v>0</v>
      </c>
      <c r="J55" s="10">
        <f>SUMIF('Data Filter'!$B$2:$B$498, "x45", 'Data Filter'!D2:D498)</f>
        <v>0</v>
      </c>
      <c r="K55" s="10">
        <f>SUMIF('Data Filter'!$B$2:$B$498, "x45", 'Data Filter'!E2:E498)</f>
        <v>0</v>
      </c>
      <c r="L55" s="10">
        <f>SUMIF('Data Filter'!$B$2:$B$498, "x45", 'Data Filter'!F2:F498)</f>
        <v>0</v>
      </c>
      <c r="M55" s="10">
        <f>SUMIF('Data Filter'!$B$2:$B$498, "x45", 'Data Filter'!G2:G498)</f>
        <v>0</v>
      </c>
      <c r="N55" s="10">
        <f>SUMIF('Data Filter'!$B$2:$B$498, "x45", 'Data Filter'!H2:H498)</f>
        <v>0</v>
      </c>
    </row>
    <row r="56" spans="2:14" ht="18" customHeight="1" x14ac:dyDescent="0.3">
      <c r="B56" s="2"/>
      <c r="C56" s="6"/>
      <c r="G56" s="11" t="s">
        <v>152</v>
      </c>
      <c r="H56" s="10">
        <f>SUMIF('Data Filter'!$B$2:$B$498, "x46", 'Data Filter'!$A$2:$A$498)</f>
        <v>0</v>
      </c>
      <c r="I56" s="10">
        <f>SUMIF('Data Filter'!$B$2:$B$498, "x46", 'Data Filter'!C2:C498)</f>
        <v>0</v>
      </c>
      <c r="J56" s="10">
        <f>SUMIF('Data Filter'!$B$2:$B$498, "x46", 'Data Filter'!D2:D498)</f>
        <v>0</v>
      </c>
      <c r="K56" s="10">
        <f>SUMIF('Data Filter'!$B$2:$B$498, "x46", 'Data Filter'!E2:E498)</f>
        <v>0</v>
      </c>
      <c r="L56" s="10">
        <f>SUMIF('Data Filter'!$B$2:$B$498, "x46", 'Data Filter'!F2:F498)</f>
        <v>0</v>
      </c>
      <c r="M56" s="10">
        <f>SUMIF('Data Filter'!$B$2:$B$498, "x46", 'Data Filter'!G2:G498)</f>
        <v>0</v>
      </c>
      <c r="N56" s="10">
        <f>SUMIF('Data Filter'!$B$2:$B$498, "x46", 'Data Filter'!H2:H498)</f>
        <v>0</v>
      </c>
    </row>
    <row r="57" spans="2:14" ht="18" customHeight="1" x14ac:dyDescent="0.3">
      <c r="B57" s="2"/>
      <c r="C57" s="6"/>
      <c r="G57" s="11" t="s">
        <v>154</v>
      </c>
      <c r="H57" s="10">
        <f>SUMIF('Data Filter'!$B$2:$B$498, "x47", 'Data Filter'!$A$2:$A$498)</f>
        <v>0</v>
      </c>
      <c r="I57" s="10">
        <f>SUMIF('Data Filter'!$B$2:$B$498, "x47", 'Data Filter'!C2:C498)</f>
        <v>0</v>
      </c>
      <c r="J57" s="10">
        <f>SUMIF('Data Filter'!$B$2:$B$498, "x47", 'Data Filter'!D2:D498)</f>
        <v>0</v>
      </c>
      <c r="K57" s="10">
        <f>SUMIF('Data Filter'!$B$2:$B$498, "x47", 'Data Filter'!E2:E498)</f>
        <v>0</v>
      </c>
      <c r="L57" s="10">
        <f>SUMIF('Data Filter'!$B$2:$B$498, "x47", 'Data Filter'!F2:F498)</f>
        <v>0</v>
      </c>
      <c r="M57" s="10">
        <f>SUMIF('Data Filter'!$B$2:$B$498, "x47", 'Data Filter'!G2:G498)</f>
        <v>0</v>
      </c>
      <c r="N57" s="10">
        <f>SUMIF('Data Filter'!$B$2:$B$498, "x47", 'Data Filter'!H2:H498)</f>
        <v>0</v>
      </c>
    </row>
    <row r="58" spans="2:14" ht="18" customHeight="1" x14ac:dyDescent="0.3">
      <c r="B58" s="2"/>
      <c r="C58" s="6"/>
      <c r="G58" s="11" t="s">
        <v>58</v>
      </c>
      <c r="H58" s="10">
        <f>SUMIF('Data Filter'!$B$2:$B$498, "x48", 'Data Filter'!$A$2:$A$498)</f>
        <v>1800</v>
      </c>
      <c r="I58" s="10">
        <f>SUMIF('Data Filter'!$B$2:$B$498, "x48", 'Data Filter'!C2:C498)</f>
        <v>200</v>
      </c>
      <c r="J58" s="10">
        <f>SUMIF('Data Filter'!$B$2:$B$498, "x48", 'Data Filter'!D2:D498)</f>
        <v>100</v>
      </c>
      <c r="K58" s="10">
        <f>SUMIF('Data Filter'!$B$2:$B$498, "x48", 'Data Filter'!E2:E498)</f>
        <v>200</v>
      </c>
      <c r="L58" s="10">
        <f>SUMIF('Data Filter'!$B$2:$B$498, "x48", 'Data Filter'!F2:F498)</f>
        <v>800</v>
      </c>
      <c r="M58" s="10">
        <f>SUMIF('Data Filter'!$B$2:$B$498, "x48", 'Data Filter'!G2:G498)</f>
        <v>200</v>
      </c>
      <c r="N58" s="10">
        <f>SUMIF('Data Filter'!$B$2:$B$498, "x48", 'Data Filter'!H2:H498)</f>
        <v>300</v>
      </c>
    </row>
    <row r="59" spans="2:14" ht="18" customHeight="1" x14ac:dyDescent="0.3">
      <c r="B59" s="2"/>
      <c r="C59" s="6"/>
      <c r="G59" s="11" t="s">
        <v>157</v>
      </c>
      <c r="H59" s="10">
        <f>SUMIF('Data Filter'!$B$2:$B$498, "x49", 'Data Filter'!$A$2:$A$498)</f>
        <v>0</v>
      </c>
      <c r="I59" s="10">
        <f>SUMIF('Data Filter'!$B$2:$B$498, "x49", 'Data Filter'!C2:C498)</f>
        <v>0</v>
      </c>
      <c r="J59" s="10">
        <f>SUMIF('Data Filter'!$B$2:$B$498, "x49", 'Data Filter'!D2:D498)</f>
        <v>0</v>
      </c>
      <c r="K59" s="10">
        <f>SUMIF('Data Filter'!$B$2:$B$498, "x49", 'Data Filter'!E2:E498)</f>
        <v>0</v>
      </c>
      <c r="L59" s="10">
        <f>SUMIF('Data Filter'!$B$2:$B$498, "x49", 'Data Filter'!F2:F498)</f>
        <v>0</v>
      </c>
      <c r="M59" s="10">
        <f>SUMIF('Data Filter'!$B$2:$B$498, "x49", 'Data Filter'!G2:G498)</f>
        <v>0</v>
      </c>
      <c r="N59" s="10">
        <f>SUMIF('Data Filter'!$B$2:$B$498, "x49", 'Data Filter'!H2:H498)</f>
        <v>0</v>
      </c>
    </row>
    <row r="60" spans="2:14" ht="18" customHeight="1" x14ac:dyDescent="0.3">
      <c r="B60" s="2"/>
      <c r="C60" s="6"/>
    </row>
    <row r="61" spans="2:14" ht="18" customHeight="1" x14ac:dyDescent="0.3">
      <c r="B61" s="2"/>
      <c r="C61" s="6"/>
    </row>
    <row r="62" spans="2:14" ht="18" customHeight="1" x14ac:dyDescent="0.3">
      <c r="B62" s="2"/>
      <c r="C62" s="6"/>
    </row>
    <row r="63" spans="2:14" ht="18" customHeight="1" x14ac:dyDescent="0.3">
      <c r="B63" s="2"/>
      <c r="C63" s="6"/>
      <c r="G63" t="s">
        <v>74</v>
      </c>
    </row>
    <row r="64" spans="2:14" ht="18" customHeight="1" x14ac:dyDescent="0.3">
      <c r="B64" s="2"/>
      <c r="C64" s="6"/>
      <c r="G64" s="10"/>
      <c r="H64" s="10" t="s">
        <v>98</v>
      </c>
      <c r="I64" s="10" t="s">
        <v>116</v>
      </c>
      <c r="J64" s="10" t="s">
        <v>117</v>
      </c>
      <c r="K64" s="10" t="s">
        <v>118</v>
      </c>
      <c r="L64" s="10" t="s">
        <v>119</v>
      </c>
      <c r="M64" s="10" t="s">
        <v>120</v>
      </c>
      <c r="N64" s="10" t="s">
        <v>121</v>
      </c>
    </row>
    <row r="65" spans="2:14" ht="18" customHeight="1" x14ac:dyDescent="0.3">
      <c r="B65" s="2"/>
      <c r="C65" s="6"/>
      <c r="G65" s="11" t="s">
        <v>31</v>
      </c>
      <c r="H65" s="10">
        <f>SUMIF('Data Filter'!$B$2:$B$498, "x51", 'Data Filter'!$A$2:$A$498)</f>
        <v>710</v>
      </c>
      <c r="I65" s="10">
        <f>SUMIF('Data Filter'!$B$2:$B$498, "x51", 'Data Filter'!C2:C498)</f>
        <v>200</v>
      </c>
      <c r="J65" s="10">
        <f>SUMIF('Data Filter'!$B$2:$B$498, "x51", 'Data Filter'!D2:D498)</f>
        <v>100</v>
      </c>
      <c r="K65" s="10">
        <f>SUMIF('Data Filter'!$B$2:$B$498, "x51", 'Data Filter'!E2:E498)</f>
        <v>120</v>
      </c>
      <c r="L65" s="10">
        <f>SUMIF('Data Filter'!$B$2:$B$498, "x51", 'Data Filter'!F2:F498)</f>
        <v>150</v>
      </c>
      <c r="M65" s="10">
        <f>SUMIF('Data Filter'!$B$2:$B$498, "x51", 'Data Filter'!G2:G498)</f>
        <v>100</v>
      </c>
      <c r="N65" s="10">
        <f>SUMIF('Data Filter'!$B$2:$B$498, "x51", 'Data Filter'!H2:H498)</f>
        <v>40</v>
      </c>
    </row>
    <row r="66" spans="2:14" ht="18" customHeight="1" x14ac:dyDescent="0.3">
      <c r="B66" s="2"/>
      <c r="C66" s="6"/>
      <c r="G66" s="11" t="s">
        <v>39</v>
      </c>
      <c r="H66" s="10">
        <f>SUMIF('Data Filter'!$B$2:$B$498, "x52", 'Data Filter'!$A$2:$A$498)</f>
        <v>450</v>
      </c>
      <c r="I66" s="10">
        <f>SUMIF('Data Filter'!$B$2:$B$498, "x52", 'Data Filter'!C2:C512)</f>
        <v>50</v>
      </c>
      <c r="J66" s="10">
        <f>SUMIF('Data Filter'!$B$2:$B$498, "x52", 'Data Filter'!D2:D512)</f>
        <v>60</v>
      </c>
      <c r="K66" s="10">
        <f>SUMIF('Data Filter'!$B$2:$B$498, "x52", 'Data Filter'!E2:E512)</f>
        <v>70</v>
      </c>
      <c r="L66" s="10">
        <f>SUMIF('Data Filter'!$B$2:$B$498, "x52", 'Data Filter'!F2:F512)</f>
        <v>80</v>
      </c>
      <c r="M66" s="10">
        <f>SUMIF('Data Filter'!$B$2:$B$498, "x52", 'Data Filter'!G2:G512)</f>
        <v>90</v>
      </c>
      <c r="N66" s="10">
        <f>SUMIF('Data Filter'!$B$2:$B$498, "x52", 'Data Filter'!H2:H512)</f>
        <v>100</v>
      </c>
    </row>
    <row r="67" spans="2:14" ht="18" customHeight="1" x14ac:dyDescent="0.3">
      <c r="B67" s="2"/>
      <c r="C67" s="6"/>
      <c r="G67" s="11" t="s">
        <v>161</v>
      </c>
      <c r="H67" s="10">
        <f>SUMIF('Data Filter'!$B$2:$B$498, "x53", 'Data Filter'!$A$2:$A$498)</f>
        <v>480</v>
      </c>
      <c r="I67" s="10">
        <f>SUMIF('Data Filter'!$B$2:$B$498, "x53", 'Data Filter'!C2:C498)</f>
        <v>100</v>
      </c>
      <c r="J67" s="10">
        <f>SUMIF('Data Filter'!$B$2:$B$498, "x53", 'Data Filter'!D2:D498)</f>
        <v>120</v>
      </c>
      <c r="K67" s="10">
        <f>SUMIF('Data Filter'!$B$2:$B$498, "x53", 'Data Filter'!E2:E498)</f>
        <v>40</v>
      </c>
      <c r="L67" s="10">
        <f>SUMIF('Data Filter'!$B$2:$B$498, "x53", 'Data Filter'!F2:F498)</f>
        <v>70</v>
      </c>
      <c r="M67" s="10">
        <f>SUMIF('Data Filter'!$B$2:$B$498, "x53", 'Data Filter'!G2:G498)</f>
        <v>50</v>
      </c>
      <c r="N67" s="10">
        <f>SUMIF('Data Filter'!$B$2:$B$498, "x53", 'Data Filter'!H2:H498)</f>
        <v>100</v>
      </c>
    </row>
    <row r="68" spans="2:14" ht="18" customHeight="1" x14ac:dyDescent="0.3">
      <c r="B68" s="2"/>
      <c r="C68" s="6"/>
      <c r="G68" s="11" t="s">
        <v>163</v>
      </c>
      <c r="H68" s="10">
        <f>SUMIF('Data Filter'!$B$2:$B$498, "x54", 'Data Filter'!$A$2:$A$498)</f>
        <v>0</v>
      </c>
      <c r="I68" s="10">
        <f>SUMIF('Data Filter'!$B$2:$B$498, "x54", 'Data Filter'!C2:C498)</f>
        <v>0</v>
      </c>
      <c r="J68" s="10">
        <f>SUMIF('Data Filter'!$B$2:$B$498, "x54", 'Data Filter'!D2:D498)</f>
        <v>0</v>
      </c>
      <c r="K68" s="10">
        <f>SUMIF('Data Filter'!$B$2:$B$498, "x54", 'Data Filter'!E2:E498)</f>
        <v>0</v>
      </c>
      <c r="L68" s="10">
        <f>SUMIF('Data Filter'!$B$2:$B$498, "x54", 'Data Filter'!F2:F498)</f>
        <v>0</v>
      </c>
      <c r="M68" s="10">
        <f>SUMIF('Data Filter'!$B$2:$B$498, "x54", 'Data Filter'!G2:G498)</f>
        <v>0</v>
      </c>
      <c r="N68" s="10">
        <f>SUMIF('Data Filter'!$B$2:$B$498, "x54", 'Data Filter'!H2:H498)</f>
        <v>0</v>
      </c>
    </row>
    <row r="69" spans="2:14" ht="18" customHeight="1" x14ac:dyDescent="0.3">
      <c r="B69" s="2"/>
      <c r="C69" s="6"/>
      <c r="G69" s="11" t="s">
        <v>79</v>
      </c>
      <c r="H69" s="10">
        <f>SUMIF('Data Filter'!$B$2:$B$498, "x55", 'Data Filter'!$A$2:$A$498)</f>
        <v>440</v>
      </c>
      <c r="I69" s="10">
        <f>SUMIF('Data Filter'!$B$2:$B$498, "x55", 'Data Filter'!C2:C498)</f>
        <v>100</v>
      </c>
      <c r="J69" s="10">
        <f>SUMIF('Data Filter'!$B$2:$B$498, "x55", 'Data Filter'!D2:D498)</f>
        <v>70</v>
      </c>
      <c r="K69" s="10">
        <f>SUMIF('Data Filter'!$B$2:$B$498, "x55", 'Data Filter'!E2:E498)</f>
        <v>60</v>
      </c>
      <c r="L69" s="10">
        <f>SUMIF('Data Filter'!$B$2:$B$498, "x55", 'Data Filter'!F2:F498)</f>
        <v>40</v>
      </c>
      <c r="M69" s="10">
        <f>SUMIF('Data Filter'!$B$2:$B$498, "x55", 'Data Filter'!G2:G498)</f>
        <v>80</v>
      </c>
      <c r="N69" s="10">
        <f>SUMIF('Data Filter'!$B$2:$B$498, "x55", 'Data Filter'!H2:H498)</f>
        <v>90</v>
      </c>
    </row>
    <row r="70" spans="2:14" ht="18" customHeight="1" x14ac:dyDescent="0.3">
      <c r="B70" s="2"/>
      <c r="C70" s="6"/>
    </row>
    <row r="71" spans="2:14" ht="18" customHeight="1" x14ac:dyDescent="0.3">
      <c r="B71" s="2"/>
      <c r="C71" s="6"/>
    </row>
    <row r="72" spans="2:14" ht="18" customHeight="1" x14ac:dyDescent="0.3">
      <c r="B72" s="2"/>
      <c r="C72" s="6"/>
    </row>
    <row r="73" spans="2:14" ht="18" customHeight="1" x14ac:dyDescent="0.3">
      <c r="B73" s="2"/>
      <c r="C73" s="6"/>
      <c r="G73" t="s">
        <v>34</v>
      </c>
    </row>
    <row r="74" spans="2:14" ht="18" customHeight="1" x14ac:dyDescent="0.3">
      <c r="B74" s="2"/>
      <c r="C74" s="6"/>
      <c r="H74" s="10" t="s">
        <v>98</v>
      </c>
      <c r="I74" s="10" t="s">
        <v>116</v>
      </c>
      <c r="J74" s="10" t="s">
        <v>117</v>
      </c>
      <c r="K74" s="10" t="s">
        <v>118</v>
      </c>
      <c r="L74" s="10" t="s">
        <v>119</v>
      </c>
      <c r="M74" s="10" t="s">
        <v>120</v>
      </c>
      <c r="N74" s="10" t="s">
        <v>121</v>
      </c>
    </row>
    <row r="75" spans="2:14" ht="18" customHeight="1" x14ac:dyDescent="0.3">
      <c r="B75" s="2"/>
      <c r="C75" s="6"/>
      <c r="G75" s="11" t="s">
        <v>166</v>
      </c>
      <c r="H75" s="10">
        <f>SUMIF('Data Filter'!$B$2:$B$498, "x61", 'Data Filter'!$A$2:$A$498)</f>
        <v>0</v>
      </c>
      <c r="I75" s="10">
        <f>SUMIF('Data Filter'!$B$2:$B$498, "x61", 'Data Filter'!C2:C498)</f>
        <v>0</v>
      </c>
      <c r="J75" s="10">
        <f>SUMIF('Data Filter'!$B$2:$B$498, "x61", 'Data Filter'!D2:D498)</f>
        <v>0</v>
      </c>
      <c r="K75" s="10">
        <f>SUMIF('Data Filter'!$B$2:$B$498, "x61", 'Data Filter'!E2:E498)</f>
        <v>0</v>
      </c>
      <c r="L75" s="10">
        <f>SUMIF('Data Filter'!$B$2:$B$498, "x61", 'Data Filter'!F2:F498)</f>
        <v>0</v>
      </c>
      <c r="M75" s="10">
        <f>SUMIF('Data Filter'!$B$2:$B$498, "x61", 'Data Filter'!G2:G498)</f>
        <v>0</v>
      </c>
      <c r="N75" s="10">
        <f>SUMIF('Data Filter'!$B$2:$B$498, "x61", 'Data Filter'!H2:H498)</f>
        <v>0</v>
      </c>
    </row>
    <row r="76" spans="2:14" ht="18" customHeight="1" x14ac:dyDescent="0.3">
      <c r="B76" s="2"/>
      <c r="C76" s="6"/>
      <c r="G76" s="11" t="s">
        <v>85</v>
      </c>
      <c r="H76" s="10">
        <f>SUMIF('Data Filter'!$B$2:$B$498, "x62", 'Data Filter'!$A$2:$A$498)</f>
        <v>460</v>
      </c>
      <c r="I76" s="10">
        <f>SUMIF('Data Filter'!$B$2:$B$498, "x62", 'Data Filter'!C2:C498)</f>
        <v>50</v>
      </c>
      <c r="J76" s="10">
        <f>SUMIF('Data Filter'!$B$2:$B$498, "x62", 'Data Filter'!D2:D498)</f>
        <v>100</v>
      </c>
      <c r="K76" s="10">
        <f>SUMIF('Data Filter'!$B$2:$B$498, "x62", 'Data Filter'!E2:E498)</f>
        <v>120</v>
      </c>
      <c r="L76" s="10">
        <f>SUMIF('Data Filter'!$B$2:$B$498, "x62", 'Data Filter'!F2:F498)</f>
        <v>80</v>
      </c>
      <c r="M76" s="10">
        <f>SUMIF('Data Filter'!$B$2:$B$498, "x62", 'Data Filter'!G2:G498)</f>
        <v>60</v>
      </c>
      <c r="N76" s="10">
        <f>SUMIF('Data Filter'!$B$2:$B$498, "x62", 'Data Filter'!H2:H498)</f>
        <v>50</v>
      </c>
    </row>
    <row r="77" spans="2:14" ht="18" customHeight="1" x14ac:dyDescent="0.3">
      <c r="B77" s="2"/>
      <c r="C77" s="6"/>
      <c r="G77" s="11" t="s">
        <v>169</v>
      </c>
      <c r="H77" s="10">
        <f>SUMIF('Data Filter'!$B$2:$B$498, "x63", 'Data Filter'!$A$2:$A$498)</f>
        <v>0</v>
      </c>
      <c r="I77" s="10">
        <f>SUMIF('Data Filter'!$B$2:$B$498, "x63", 'Data Filter'!C2:C498)</f>
        <v>0</v>
      </c>
      <c r="J77" s="10">
        <f>SUMIF('Data Filter'!$B$2:$B$498, "x63", 'Data Filter'!D2:D498)</f>
        <v>0</v>
      </c>
      <c r="K77" s="10">
        <f>SUMIF('Data Filter'!$B$2:$B$498, "x63", 'Data Filter'!E2:E498)</f>
        <v>0</v>
      </c>
      <c r="L77" s="10">
        <f>SUMIF('Data Filter'!$B$2:$B$498, "x63", 'Data Filter'!F2:F498)</f>
        <v>0</v>
      </c>
      <c r="M77" s="10">
        <f>SUMIF('Data Filter'!$B$2:$B$498, "x63", 'Data Filter'!G2:G498)</f>
        <v>0</v>
      </c>
      <c r="N77" s="10">
        <f>SUMIF('Data Filter'!$B$2:$B$498, "x63", 'Data Filter'!H2:H498)</f>
        <v>0</v>
      </c>
    </row>
    <row r="78" spans="2:14" ht="18" customHeight="1" x14ac:dyDescent="0.3">
      <c r="B78" s="2"/>
      <c r="C78" s="6"/>
      <c r="G78" s="11" t="s">
        <v>171</v>
      </c>
      <c r="H78" s="10">
        <f>SUMIF('Data Filter'!$B$2:$B$498, "x64", 'Data Filter'!$A$2:$A$498)</f>
        <v>0</v>
      </c>
      <c r="I78" s="10">
        <f>SUMIF('Data Filter'!$B$2:$B$498, "x64", 'Data Filter'!C2:C498)</f>
        <v>0</v>
      </c>
      <c r="J78" s="10">
        <f>SUMIF('Data Filter'!$B$2:$B$498, "x64", 'Data Filter'!D2:D498)</f>
        <v>0</v>
      </c>
      <c r="K78" s="10">
        <f>SUMIF('Data Filter'!$B$2:$B$498, "x64", 'Data Filter'!E2:E498)</f>
        <v>0</v>
      </c>
      <c r="L78" s="10">
        <f>SUMIF('Data Filter'!$B$2:$B$498, "x64", 'Data Filter'!F2:F498)</f>
        <v>0</v>
      </c>
      <c r="M78" s="10">
        <f>SUMIF('Data Filter'!$B$2:$B$498, "x64", 'Data Filter'!G2:G498)</f>
        <v>0</v>
      </c>
      <c r="N78" s="10">
        <f>SUMIF('Data Filter'!$B$2:$B$498, "x64", 'Data Filter'!H2:H498)</f>
        <v>0</v>
      </c>
    </row>
    <row r="79" spans="2:14" ht="18" customHeight="1" x14ac:dyDescent="0.3">
      <c r="B79" s="2"/>
      <c r="C79" s="6"/>
      <c r="G79" s="11" t="s">
        <v>35</v>
      </c>
      <c r="H79" s="10">
        <f>SUMIF('Data Filter'!$B$2:$B$498, "x65", 'Data Filter'!$A$2:$A$498)</f>
        <v>450</v>
      </c>
      <c r="I79" s="10">
        <f>SUMIF('Data Filter'!$B$2:$B$498, "x65", 'Data Filter'!C2:C498)</f>
        <v>50</v>
      </c>
      <c r="J79" s="10">
        <f>SUMIF('Data Filter'!$B$2:$B$498, "x65", 'Data Filter'!D2:D498)</f>
        <v>60</v>
      </c>
      <c r="K79" s="10">
        <f>SUMIF('Data Filter'!$B$2:$B$498, "x65", 'Data Filter'!E2:E498)</f>
        <v>70</v>
      </c>
      <c r="L79" s="10">
        <f>SUMIF('Data Filter'!$B$2:$B$498, "x65", 'Data Filter'!F2:F498)</f>
        <v>80</v>
      </c>
      <c r="M79" s="10">
        <f>SUMIF('Data Filter'!$B$2:$B$498, "x65", 'Data Filter'!G2:G498)</f>
        <v>90</v>
      </c>
      <c r="N79" s="10">
        <f>SUMIF('Data Filter'!$B$2:$B$498, "x65", 'Data Filter'!H2:H498)</f>
        <v>100</v>
      </c>
    </row>
    <row r="80" spans="2:14" ht="18" customHeight="1" x14ac:dyDescent="0.3">
      <c r="B80" s="2"/>
      <c r="C80" s="6"/>
      <c r="G80" s="11" t="s">
        <v>174</v>
      </c>
      <c r="H80" s="10">
        <f>SUMIF('Data Filter'!$B$2:$B$498, "x66", 'Data Filter'!$A$2:$A$498)</f>
        <v>0</v>
      </c>
      <c r="I80" s="10">
        <f>SUMIF('Data Filter'!$B$2:$B$498, "x66", 'Data Filter'!C2:C498)</f>
        <v>0</v>
      </c>
      <c r="J80" s="10">
        <f>SUMIF('Data Filter'!$B$2:$B$498, "x66", 'Data Filter'!D2:D498)</f>
        <v>0</v>
      </c>
      <c r="K80" s="10">
        <f>SUMIF('Data Filter'!$B$2:$B$498, "x66", 'Data Filter'!E2:E498)</f>
        <v>0</v>
      </c>
      <c r="L80" s="10">
        <f>SUMIF('Data Filter'!$B$2:$B$498, "x66", 'Data Filter'!F2:F498)</f>
        <v>0</v>
      </c>
      <c r="M80" s="10">
        <f>SUMIF('Data Filter'!$B$2:$B$498, "x66", 'Data Filter'!G2:G498)</f>
        <v>0</v>
      </c>
      <c r="N80" s="10">
        <f>SUMIF('Data Filter'!$B$2:$B$498, "x66", 'Data Filter'!H2:H498)</f>
        <v>0</v>
      </c>
    </row>
    <row r="81" spans="2:14" ht="18" customHeight="1" x14ac:dyDescent="0.3">
      <c r="B81" s="2"/>
      <c r="C81" s="6"/>
      <c r="G81" s="11" t="s">
        <v>176</v>
      </c>
      <c r="H81" s="10">
        <f>SUMIF('Data Filter'!$B$2:$B$498, "x67", 'Data Filter'!$A$2:$A$498)</f>
        <v>0</v>
      </c>
      <c r="I81" s="10">
        <f>SUMIF('Data Filter'!$B$2:$B$498, "x67", 'Data Filter'!C2:C498)</f>
        <v>0</v>
      </c>
      <c r="J81" s="10">
        <f>SUMIF('Data Filter'!$B$2:$B$498, "x67", 'Data Filter'!D2:D498)</f>
        <v>0</v>
      </c>
      <c r="K81" s="10">
        <f>SUMIF('Data Filter'!$B$2:$B$498, "x67", 'Data Filter'!E2:E498)</f>
        <v>0</v>
      </c>
      <c r="L81" s="10">
        <f>SUMIF('Data Filter'!$B$2:$B$498, "x67", 'Data Filter'!F2:F498)</f>
        <v>0</v>
      </c>
      <c r="M81" s="10">
        <f>SUMIF('Data Filter'!$B$2:$B$498, "x67", 'Data Filter'!G2:G498)</f>
        <v>0</v>
      </c>
      <c r="N81" s="10">
        <f>SUMIF('Data Filter'!$B$2:$B$498, "x67", 'Data Filter'!H2:H498)</f>
        <v>0</v>
      </c>
    </row>
    <row r="82" spans="2:14" ht="18" customHeight="1" x14ac:dyDescent="0.3">
      <c r="B82" s="2"/>
      <c r="C82" s="6"/>
      <c r="G82" s="11" t="s">
        <v>178</v>
      </c>
      <c r="H82" s="10">
        <f>SUMIF('Data Filter'!$B$2:$B$498, "x68", 'Data Filter'!$A$2:$A$498)</f>
        <v>0</v>
      </c>
      <c r="I82" s="10">
        <f>SUMIF('Data Filter'!$B$2:$B$498, "x68", 'Data Filter'!C2:C498)</f>
        <v>0</v>
      </c>
      <c r="J82" s="10">
        <f>SUMIF('Data Filter'!$B$2:$B$498, "x68", 'Data Filter'!D2:D498)</f>
        <v>0</v>
      </c>
      <c r="K82" s="10">
        <f>SUMIF('Data Filter'!$B$2:$B$498, "x68", 'Data Filter'!E2:E498)</f>
        <v>0</v>
      </c>
      <c r="L82" s="10">
        <f>SUMIF('Data Filter'!$B$2:$B$498, "x68", 'Data Filter'!F2:F498)</f>
        <v>0</v>
      </c>
      <c r="M82" s="10">
        <f>SUMIF('Data Filter'!$B$2:$B$498, "x68", 'Data Filter'!G2:G498)</f>
        <v>0</v>
      </c>
      <c r="N82" s="10">
        <f>SUMIF('Data Filter'!$B$2:$B$498, "x68", 'Data Filter'!H2:H498)</f>
        <v>0</v>
      </c>
    </row>
    <row r="83" spans="2:14" ht="18" customHeight="1" x14ac:dyDescent="0.3">
      <c r="B83" s="2"/>
      <c r="C83" s="6"/>
      <c r="G83" s="11" t="s">
        <v>34</v>
      </c>
      <c r="H83" s="10">
        <f>SUMIF('Data Filter'!$B$2:$B$498, "x69", 'Data Filter'!$A$2:$A$498)</f>
        <v>1000</v>
      </c>
      <c r="I83" s="10">
        <f>SUMIF('Data Filter'!$B$2:$B$498, "x69", 'Data Filter'!C2:C498)</f>
        <v>200</v>
      </c>
      <c r="J83" s="10">
        <f>SUMIF('Data Filter'!$B$2:$B$498, "x69", 'Data Filter'!D2:D498)</f>
        <v>300</v>
      </c>
      <c r="K83" s="10">
        <f>SUMIF('Data Filter'!$B$2:$B$498, "x69", 'Data Filter'!E2:E498)</f>
        <v>100</v>
      </c>
      <c r="L83" s="10">
        <f>SUMIF('Data Filter'!$B$2:$B$498, "x69", 'Data Filter'!F2:F498)</f>
        <v>200</v>
      </c>
      <c r="M83" s="10">
        <f>SUMIF('Data Filter'!$B$2:$B$498, "x69", 'Data Filter'!G2:G498)</f>
        <v>100</v>
      </c>
      <c r="N83" s="10">
        <f>SUMIF('Data Filter'!$B$2:$B$498, "x69", 'Data Filter'!H2:H498)</f>
        <v>100</v>
      </c>
    </row>
    <row r="84" spans="2:14" ht="18" customHeight="1" x14ac:dyDescent="0.3">
      <c r="B84" s="2"/>
      <c r="C84" s="6"/>
    </row>
    <row r="87" spans="2:14" x14ac:dyDescent="0.3">
      <c r="G87" t="s">
        <v>14</v>
      </c>
    </row>
    <row r="88" spans="2:14" x14ac:dyDescent="0.3">
      <c r="H88" s="10" t="s">
        <v>98</v>
      </c>
      <c r="I88" s="10" t="s">
        <v>116</v>
      </c>
      <c r="J88" s="10" t="s">
        <v>117</v>
      </c>
      <c r="K88" s="10" t="s">
        <v>118</v>
      </c>
      <c r="L88" s="10" t="s">
        <v>119</v>
      </c>
      <c r="M88" s="10" t="s">
        <v>120</v>
      </c>
      <c r="N88" s="10" t="s">
        <v>121</v>
      </c>
    </row>
    <row r="89" spans="2:14" ht="15.6" customHeight="1" x14ac:dyDescent="0.3">
      <c r="G89" s="11" t="s">
        <v>181</v>
      </c>
      <c r="H89" s="10">
        <f>SUMIF('Data Filter'!$B$2:$B$498, "x71", 'Data Filter'!$A$2:$A$498)</f>
        <v>0</v>
      </c>
      <c r="I89" s="10">
        <f>SUMIF('Data Filter'!$B$2:$B$498, "x71", 'Data Filter'!C2:C498)</f>
        <v>0</v>
      </c>
      <c r="J89" s="10">
        <f>SUMIF('Data Filter'!$B$2:$B$498, "x71", 'Data Filter'!D2:D498)</f>
        <v>0</v>
      </c>
      <c r="K89" s="10">
        <f>SUMIF('Data Filter'!$B$2:$B$498, "x71", 'Data Filter'!E2:E498)</f>
        <v>0</v>
      </c>
      <c r="L89" s="10">
        <f>SUMIF('Data Filter'!$B$2:$B$498, "x71", 'Data Filter'!F2:F498)</f>
        <v>0</v>
      </c>
      <c r="M89" s="10">
        <f>SUMIF('Data Filter'!$B$2:$B$498, "x71", 'Data Filter'!G2:G498)</f>
        <v>0</v>
      </c>
      <c r="N89" s="10">
        <f>SUMIF('Data Filter'!$B$2:$B$498, "x71", 'Data Filter'!H2:H498)</f>
        <v>0</v>
      </c>
    </row>
    <row r="90" spans="2:14" ht="15.6" customHeight="1" x14ac:dyDescent="0.3">
      <c r="G90" s="11" t="s">
        <v>183</v>
      </c>
      <c r="H90" s="10">
        <f>SUMIF('Data Filter'!$B$2:$B$498, "x72", 'Data Filter'!$A$2:$A$498)</f>
        <v>0</v>
      </c>
      <c r="I90" s="10">
        <f>SUMIF('Data Filter'!$B$2:$B$498, "x72", 'Data Filter'!C2:C498)</f>
        <v>0</v>
      </c>
      <c r="J90" s="10">
        <f>SUMIF('Data Filter'!$B$2:$B$498, "x72", 'Data Filter'!D2:D498)</f>
        <v>0</v>
      </c>
      <c r="K90" s="10">
        <f>SUMIF('Data Filter'!$B$2:$B$498, "x72", 'Data Filter'!E2:E498)</f>
        <v>0</v>
      </c>
      <c r="L90" s="10">
        <f>SUMIF('Data Filter'!$B$2:$B$498, "x72", 'Data Filter'!F2:F498)</f>
        <v>0</v>
      </c>
      <c r="M90" s="10">
        <f>SUMIF('Data Filter'!$B$2:$B$498, "x72", 'Data Filter'!G2:G498)</f>
        <v>0</v>
      </c>
      <c r="N90" s="10">
        <f>SUMIF('Data Filter'!$B$2:$B$498, "x72", 'Data Filter'!H2:H498)</f>
        <v>0</v>
      </c>
    </row>
    <row r="91" spans="2:14" ht="15.6" customHeight="1" x14ac:dyDescent="0.3">
      <c r="G91" s="11" t="s">
        <v>166</v>
      </c>
      <c r="H91" s="10">
        <f>SUMIF('Data Filter'!$B$2:$B$498, "x73", 'Data Filter'!$A$2:$A$498)</f>
        <v>0</v>
      </c>
      <c r="I91" s="10">
        <f>SUMIF('Data Filter'!$B$2:$B$498, "x73", 'Data Filter'!C2:C498)</f>
        <v>0</v>
      </c>
      <c r="J91" s="10">
        <f>SUMIF('Data Filter'!$B$2:$B$498, "x73", 'Data Filter'!D2:D498)</f>
        <v>0</v>
      </c>
      <c r="K91" s="10">
        <f>SUMIF('Data Filter'!$B$2:$B$498, "x73", 'Data Filter'!E2:E498)</f>
        <v>0</v>
      </c>
      <c r="L91" s="10">
        <f>SUMIF('Data Filter'!$B$2:$B$498, "x73", 'Data Filter'!F2:F498)</f>
        <v>0</v>
      </c>
      <c r="M91" s="10">
        <f>SUMIF('Data Filter'!$B$2:$B$498, "x73", 'Data Filter'!G2:G498)</f>
        <v>0</v>
      </c>
      <c r="N91" s="10">
        <f>SUMIF('Data Filter'!$B$2:$B$498, "x73", 'Data Filter'!H2:H498)</f>
        <v>0</v>
      </c>
    </row>
    <row r="92" spans="2:14" ht="15.6" customHeight="1" x14ac:dyDescent="0.3">
      <c r="G92" s="11" t="s">
        <v>16</v>
      </c>
      <c r="H92" s="10">
        <f>SUMIF('Data Filter'!$B$2:$B$498, "x74", 'Data Filter'!$A$2:$A$498)</f>
        <v>310</v>
      </c>
      <c r="I92" s="10">
        <f>SUMIF('Data Filter'!$B$2:$B$498, "x74", 'Data Filter'!C2:C498)</f>
        <v>40</v>
      </c>
      <c r="J92" s="10">
        <f>SUMIF('Data Filter'!$B$2:$B$498, "x74", 'Data Filter'!D2:D498)</f>
        <v>70</v>
      </c>
      <c r="K92" s="10">
        <f>SUMIF('Data Filter'!$B$2:$B$498, "x74", 'Data Filter'!E2:E498)</f>
        <v>30</v>
      </c>
      <c r="L92" s="10">
        <f>SUMIF('Data Filter'!$B$2:$B$498, "x74", 'Data Filter'!F2:F498)</f>
        <v>80</v>
      </c>
      <c r="M92" s="10">
        <f>SUMIF('Data Filter'!$B$2:$B$498, "x74", 'Data Filter'!G2:G498)</f>
        <v>60</v>
      </c>
      <c r="N92" s="10">
        <f>SUMIF('Data Filter'!$B$2:$B$498, "x74", 'Data Filter'!H2:H498)</f>
        <v>30</v>
      </c>
    </row>
    <row r="93" spans="2:14" ht="15.6" customHeight="1" x14ac:dyDescent="0.3">
      <c r="G93" s="11" t="s">
        <v>68</v>
      </c>
      <c r="H93" s="10">
        <f>SUMIF('Data Filter'!$B$2:$B$498, "x75", 'Data Filter'!$A$2:$A$498)</f>
        <v>360</v>
      </c>
      <c r="I93" s="10">
        <f>SUMIF('Data Filter'!$B$2:$B$498, "x75", 'Data Filter'!C2:C498)</f>
        <v>100</v>
      </c>
      <c r="J93" s="10">
        <f>SUMIF('Data Filter'!$B$2:$B$498, "x75", 'Data Filter'!D2:D498)</f>
        <v>40</v>
      </c>
      <c r="K93" s="10">
        <f>SUMIF('Data Filter'!$B$2:$B$498, "x75", 'Data Filter'!E2:E498)</f>
        <v>60</v>
      </c>
      <c r="L93" s="10">
        <f>SUMIF('Data Filter'!$B$2:$B$498, "x75", 'Data Filter'!F2:F498)</f>
        <v>40</v>
      </c>
      <c r="M93" s="10">
        <f>SUMIF('Data Filter'!$B$2:$B$498, "x75", 'Data Filter'!G2:G498)</f>
        <v>20</v>
      </c>
      <c r="N93" s="10">
        <f>SUMIF('Data Filter'!$B$2:$B$498, "x75", 'Data Filter'!H2:H498)</f>
        <v>100</v>
      </c>
    </row>
    <row r="94" spans="2:14" ht="15.6" customHeight="1" x14ac:dyDescent="0.3">
      <c r="G94" s="11" t="s">
        <v>188</v>
      </c>
      <c r="H94" s="10">
        <f>SUMIF('Data Filter'!$B$2:$B$498, "x76", 'Data Filter'!$A$2:$A$498)</f>
        <v>0</v>
      </c>
      <c r="I94" s="10">
        <f>SUMIF('Data Filter'!$B$2:$B$498, "x76", 'Data Filter'!C2:C498)</f>
        <v>0</v>
      </c>
      <c r="J94" s="10">
        <f>SUMIF('Data Filter'!$B$2:$B$498, "x76", 'Data Filter'!D2:D498)</f>
        <v>0</v>
      </c>
      <c r="K94" s="10">
        <f>SUMIF('Data Filter'!$B$2:$B$498, "x76", 'Data Filter'!E2:E498)</f>
        <v>0</v>
      </c>
      <c r="L94" s="10">
        <f>SUMIF('Data Filter'!$B$2:$B$498, "x76", 'Data Filter'!F2:F498)</f>
        <v>0</v>
      </c>
      <c r="M94" s="10">
        <f>SUMIF('Data Filter'!$B$2:$B$498, "x76", 'Data Filter'!G2:G498)</f>
        <v>0</v>
      </c>
      <c r="N94" s="10">
        <f>SUMIF('Data Filter'!$B$2:$B$498, "x76", 'Data Filter'!H2:H498)</f>
        <v>0</v>
      </c>
    </row>
  </sheetData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D3:AL18"/>
  <sheetViews>
    <sheetView showGridLines="0" zoomScale="32" zoomScaleNormal="40" workbookViewId="0">
      <selection activeCell="AP129" sqref="AP129"/>
    </sheetView>
  </sheetViews>
  <sheetFormatPr defaultRowHeight="14.4" x14ac:dyDescent="0.3"/>
  <cols>
    <col min="1" max="10" width="8.88671875" style="13" customWidth="1"/>
    <col min="11" max="16384" width="8.88671875" style="13"/>
  </cols>
  <sheetData>
    <row r="3" spans="4:38" x14ac:dyDescent="0.3">
      <c r="L3" s="22" t="s">
        <v>190</v>
      </c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</row>
    <row r="4" spans="4:38" x14ac:dyDescent="0.3"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</row>
    <row r="5" spans="4:38" x14ac:dyDescent="0.3"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</row>
    <row r="6" spans="4:38" x14ac:dyDescent="0.3"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</row>
    <row r="7" spans="4:38" x14ac:dyDescent="0.3"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</row>
    <row r="8" spans="4:38" ht="36" customHeight="1" x14ac:dyDescent="0.3"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</row>
    <row r="10" spans="4:38" ht="14.4" customHeight="1" x14ac:dyDescent="0.3">
      <c r="D10" s="21" t="s">
        <v>191</v>
      </c>
      <c r="E10" s="20"/>
      <c r="F10" s="20"/>
      <c r="G10" s="20"/>
      <c r="H10" s="20"/>
      <c r="I10" s="20"/>
      <c r="J10" s="20"/>
      <c r="K10" s="20"/>
      <c r="L10" s="20"/>
      <c r="M10" s="20"/>
      <c r="P10" s="21" t="s">
        <v>192</v>
      </c>
      <c r="Q10" s="20"/>
      <c r="R10" s="20"/>
      <c r="S10" s="20"/>
      <c r="T10" s="20"/>
      <c r="U10" s="20"/>
      <c r="V10" s="20"/>
      <c r="W10" s="20"/>
      <c r="X10" s="20"/>
      <c r="Y10" s="20"/>
      <c r="Z10" s="20"/>
      <c r="AC10" s="21" t="s">
        <v>193</v>
      </c>
      <c r="AD10" s="20"/>
      <c r="AE10" s="20"/>
      <c r="AF10" s="20"/>
      <c r="AG10" s="20"/>
      <c r="AH10" s="20"/>
      <c r="AI10" s="20"/>
      <c r="AJ10" s="20"/>
      <c r="AK10" s="20"/>
      <c r="AL10" s="20"/>
    </row>
    <row r="11" spans="4:38" x14ac:dyDescent="0.3">
      <c r="D11" s="20"/>
      <c r="E11" s="20"/>
      <c r="F11" s="20"/>
      <c r="G11" s="20"/>
      <c r="H11" s="20"/>
      <c r="I11" s="20"/>
      <c r="J11" s="20"/>
      <c r="K11" s="20"/>
      <c r="L11" s="20"/>
      <c r="M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</row>
    <row r="12" spans="4:38" x14ac:dyDescent="0.3">
      <c r="D12" s="20"/>
      <c r="E12" s="20"/>
      <c r="F12" s="20"/>
      <c r="G12" s="20"/>
      <c r="H12" s="20"/>
      <c r="I12" s="20"/>
      <c r="J12" s="20"/>
      <c r="K12" s="20"/>
      <c r="L12" s="20"/>
      <c r="M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</row>
    <row r="13" spans="4:38" ht="15" customHeight="1" x14ac:dyDescent="0.3"/>
    <row r="14" spans="4:38" ht="14.4" customHeight="1" x14ac:dyDescent="0.3">
      <c r="D14" s="23">
        <f>'Data Analysis '!J9</f>
        <v>16230</v>
      </c>
      <c r="E14" s="20"/>
      <c r="F14" s="20"/>
      <c r="G14" s="20"/>
      <c r="H14" s="20"/>
      <c r="I14" s="20"/>
      <c r="J14" s="20"/>
      <c r="K14" s="20"/>
      <c r="L14" s="20"/>
      <c r="M14" s="20"/>
      <c r="P14" s="24">
        <f>'Data Analysis '!$I$9</f>
        <v>1178347.2046699999</v>
      </c>
      <c r="Q14" s="20"/>
      <c r="R14" s="20"/>
      <c r="S14" s="20"/>
      <c r="T14" s="20"/>
      <c r="U14" s="20"/>
      <c r="V14" s="20"/>
      <c r="W14" s="20"/>
      <c r="X14" s="20"/>
      <c r="Y14" s="20"/>
      <c r="Z14" s="20"/>
      <c r="AC14" s="19">
        <f>'Data Analysis '!$K$9</f>
        <v>93.076355523497838</v>
      </c>
      <c r="AD14" s="20"/>
      <c r="AE14" s="20"/>
      <c r="AF14" s="20"/>
      <c r="AG14" s="20"/>
      <c r="AH14" s="20"/>
      <c r="AI14" s="20"/>
      <c r="AJ14" s="20"/>
      <c r="AK14" s="20"/>
      <c r="AL14" s="20"/>
    </row>
    <row r="15" spans="4:38" ht="14.4" customHeight="1" x14ac:dyDescent="0.3">
      <c r="D15" s="20"/>
      <c r="E15" s="20"/>
      <c r="F15" s="20"/>
      <c r="G15" s="20"/>
      <c r="H15" s="20"/>
      <c r="I15" s="20"/>
      <c r="J15" s="20"/>
      <c r="K15" s="20"/>
      <c r="L15" s="20"/>
      <c r="M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</row>
    <row r="16" spans="4:38" ht="14.4" customHeight="1" x14ac:dyDescent="0.3">
      <c r="D16" s="20"/>
      <c r="E16" s="20"/>
      <c r="F16" s="20"/>
      <c r="G16" s="20"/>
      <c r="H16" s="20"/>
      <c r="I16" s="20"/>
      <c r="J16" s="20"/>
      <c r="K16" s="20"/>
      <c r="L16" s="20"/>
      <c r="M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</row>
    <row r="17" spans="4:38" ht="14.4" customHeight="1" x14ac:dyDescent="0.3">
      <c r="D17" s="20"/>
      <c r="E17" s="20"/>
      <c r="F17" s="20"/>
      <c r="G17" s="20"/>
      <c r="H17" s="20"/>
      <c r="I17" s="20"/>
      <c r="J17" s="20"/>
      <c r="K17" s="20"/>
      <c r="L17" s="20"/>
      <c r="M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</row>
    <row r="18" spans="4:38" ht="15" customHeight="1" x14ac:dyDescent="0.3">
      <c r="D18" s="20"/>
      <c r="E18" s="20"/>
      <c r="F18" s="20"/>
      <c r="G18" s="20"/>
      <c r="H18" s="20"/>
      <c r="I18" s="20"/>
      <c r="J18" s="20"/>
      <c r="K18" s="20"/>
      <c r="L18" s="20"/>
      <c r="M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</row>
  </sheetData>
  <mergeCells count="7">
    <mergeCell ref="AC14:AL18"/>
    <mergeCell ref="AC10:AL12"/>
    <mergeCell ref="L3:AC7"/>
    <mergeCell ref="P10:Z12"/>
    <mergeCell ref="D14:M18"/>
    <mergeCell ref="P14:Z18"/>
    <mergeCell ref="D10:M12"/>
  </mergeCells>
  <conditionalFormatting sqref="P14:Z18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2:AD13"/>
  <sheetViews>
    <sheetView showGridLines="0" zoomScale="64" zoomScaleNormal="55" workbookViewId="0">
      <selection activeCell="O66" sqref="O66"/>
    </sheetView>
  </sheetViews>
  <sheetFormatPr defaultRowHeight="14.4" x14ac:dyDescent="0.3"/>
  <sheetData>
    <row r="2" spans="3:30" x14ac:dyDescent="0.3">
      <c r="I2" s="29" t="s">
        <v>194</v>
      </c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</row>
    <row r="3" spans="3:30" x14ac:dyDescent="0.3"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</row>
    <row r="4" spans="3:30" x14ac:dyDescent="0.3"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</row>
    <row r="5" spans="3:30" x14ac:dyDescent="0.3"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</row>
    <row r="8" spans="3:30" ht="14.4" customHeight="1" x14ac:dyDescent="0.3">
      <c r="C8" s="30" t="s">
        <v>195</v>
      </c>
      <c r="D8" s="26"/>
      <c r="E8" s="26"/>
      <c r="H8" s="30" t="s">
        <v>196</v>
      </c>
      <c r="I8" s="26"/>
      <c r="J8" s="26"/>
      <c r="M8" s="30" t="s">
        <v>197</v>
      </c>
      <c r="N8" s="26"/>
      <c r="O8" s="26"/>
      <c r="R8" s="30" t="s">
        <v>198</v>
      </c>
      <c r="S8" s="26"/>
      <c r="T8" s="26"/>
      <c r="W8" s="30" t="s">
        <v>199</v>
      </c>
      <c r="X8" s="26"/>
      <c r="Y8" s="26"/>
      <c r="AB8" s="30" t="s">
        <v>200</v>
      </c>
      <c r="AC8" s="26"/>
      <c r="AD8" s="26"/>
    </row>
    <row r="9" spans="3:30" x14ac:dyDescent="0.3">
      <c r="C9" s="26"/>
      <c r="D9" s="26"/>
      <c r="E9" s="26"/>
      <c r="H9" s="26"/>
      <c r="I9" s="26"/>
      <c r="J9" s="26"/>
      <c r="M9" s="26"/>
      <c r="N9" s="26"/>
      <c r="O9" s="26"/>
      <c r="R9" s="26"/>
      <c r="S9" s="26"/>
      <c r="T9" s="26"/>
      <c r="W9" s="26"/>
      <c r="X9" s="26"/>
      <c r="Y9" s="26"/>
      <c r="AB9" s="26"/>
      <c r="AC9" s="26"/>
      <c r="AD9" s="26"/>
    </row>
    <row r="11" spans="3:30" x14ac:dyDescent="0.3">
      <c r="C11" s="31">
        <f>'Data Analysis '!Q11</f>
        <v>2520</v>
      </c>
      <c r="D11" s="26"/>
      <c r="E11" s="26"/>
      <c r="H11" s="33">
        <f>'Data Analysis '!Q12</f>
        <v>2720</v>
      </c>
      <c r="I11" s="26"/>
      <c r="J11" s="26"/>
      <c r="M11" s="27">
        <f>'Data Analysis '!Q13</f>
        <v>2550</v>
      </c>
      <c r="N11" s="26"/>
      <c r="O11" s="26"/>
      <c r="R11" s="32">
        <f>'Data Analysis '!Q14</f>
        <v>3210</v>
      </c>
      <c r="S11" s="26"/>
      <c r="T11" s="26"/>
      <c r="W11" s="25">
        <f>'Data Analysis '!Q15</f>
        <v>2330</v>
      </c>
      <c r="X11" s="26"/>
      <c r="Y11" s="26"/>
      <c r="AB11" s="28">
        <f>'Data Analysis '!Q16</f>
        <v>2820</v>
      </c>
      <c r="AC11" s="26"/>
      <c r="AD11" s="26"/>
    </row>
    <row r="12" spans="3:30" x14ac:dyDescent="0.3">
      <c r="C12" s="26"/>
      <c r="D12" s="26"/>
      <c r="E12" s="26"/>
      <c r="H12" s="26"/>
      <c r="I12" s="26"/>
      <c r="J12" s="26"/>
      <c r="M12" s="26"/>
      <c r="N12" s="26"/>
      <c r="O12" s="26"/>
      <c r="R12" s="26"/>
      <c r="S12" s="26"/>
      <c r="T12" s="26"/>
      <c r="W12" s="26"/>
      <c r="X12" s="26"/>
      <c r="Y12" s="26"/>
      <c r="AB12" s="26"/>
      <c r="AC12" s="26"/>
      <c r="AD12" s="26"/>
    </row>
    <row r="13" spans="3:30" x14ac:dyDescent="0.3">
      <c r="C13" s="26"/>
      <c r="D13" s="26"/>
      <c r="E13" s="26"/>
      <c r="H13" s="26"/>
      <c r="I13" s="26"/>
      <c r="J13" s="26"/>
      <c r="M13" s="26"/>
      <c r="N13" s="26"/>
      <c r="O13" s="26"/>
      <c r="R13" s="26"/>
      <c r="S13" s="26"/>
      <c r="T13" s="26"/>
      <c r="W13" s="26"/>
      <c r="X13" s="26"/>
      <c r="Y13" s="26"/>
      <c r="AB13" s="26"/>
      <c r="AC13" s="26"/>
      <c r="AD13" s="26"/>
    </row>
  </sheetData>
  <mergeCells count="13">
    <mergeCell ref="C8:E9"/>
    <mergeCell ref="H8:J9"/>
    <mergeCell ref="M8:O9"/>
    <mergeCell ref="R8:T9"/>
    <mergeCell ref="C11:E13"/>
    <mergeCell ref="R11:T13"/>
    <mergeCell ref="H11:J13"/>
    <mergeCell ref="W11:Y13"/>
    <mergeCell ref="M11:O13"/>
    <mergeCell ref="AB11:AD13"/>
    <mergeCell ref="I2:W5"/>
    <mergeCell ref="AB8:AD9"/>
    <mergeCell ref="W8:Y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 Store</vt:lpstr>
      <vt:lpstr>Data Filter</vt:lpstr>
      <vt:lpstr>Data Analysis </vt:lpstr>
      <vt:lpstr>Dashboard 1</vt:lpstr>
      <vt:lpstr>Dashboard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Sehan Amendra</cp:lastModifiedBy>
  <dcterms:created xsi:type="dcterms:W3CDTF">2024-10-11T17:14:01Z</dcterms:created>
  <dcterms:modified xsi:type="dcterms:W3CDTF">2025-01-03T19:04:04Z</dcterms:modified>
</cp:coreProperties>
</file>