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\Desktop\"/>
    </mc:Choice>
  </mc:AlternateContent>
  <xr:revisionPtr revIDLastSave="0" documentId="13_ncr:1_{559C7DAF-66FE-4707-A4AC-7F791F60EC33}" xr6:coauthVersionLast="47" xr6:coauthVersionMax="47" xr10:uidLastSave="{00000000-0000-0000-0000-000000000000}"/>
  <bookViews>
    <workbookView xWindow="1905" yWindow="210" windowWidth="17700" windowHeight="10710" xr2:uid="{29CADBF1-19B0-40C5-AFF4-9200F0DA21B5}"/>
  </bookViews>
  <sheets>
    <sheet name="assumptions" sheetId="1" r:id="rId1"/>
    <sheet name="Converter" sheetId="16" r:id="rId2"/>
    <sheet name="Monthly revenue" sheetId="15" r:id="rId3"/>
    <sheet name="monthly pL" sheetId="14" r:id="rId4"/>
    <sheet name="capital structure" sheetId="13" r:id="rId5"/>
    <sheet name="fixed asset schedule" sheetId="12" r:id="rId6"/>
    <sheet name="working capital" sheetId="11" r:id="rId7"/>
    <sheet name="Annual pL" sheetId="10" r:id="rId8"/>
    <sheet name="balance sheet" sheetId="9" r:id="rId9"/>
    <sheet name="CashFlow statement" sheetId="8" r:id="rId10"/>
  </sheets>
  <externalReferences>
    <externalReference r:id="rId11"/>
  </externalReferences>
  <definedNames>
    <definedName name="den">Converter!$D$1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9" l="1"/>
  <c r="G30" i="9"/>
  <c r="A33" i="9"/>
  <c r="E30" i="9"/>
  <c r="A30" i="9"/>
  <c r="A31" i="9"/>
  <c r="A32" i="9"/>
  <c r="A29" i="9"/>
  <c r="A26" i="9"/>
  <c r="A25" i="9"/>
  <c r="A24" i="9"/>
  <c r="A23" i="9"/>
  <c r="G12" i="9"/>
  <c r="F12" i="9"/>
  <c r="E12" i="9"/>
  <c r="A12" i="9"/>
  <c r="A13" i="9"/>
  <c r="A14" i="9"/>
  <c r="A15" i="9"/>
  <c r="A11" i="9"/>
  <c r="G19" i="8"/>
  <c r="F19" i="8"/>
  <c r="F15" i="8"/>
  <c r="G15" i="8"/>
  <c r="G2" i="8"/>
  <c r="G2" i="9"/>
  <c r="E30" i="10"/>
  <c r="F30" i="10"/>
  <c r="G30" i="10"/>
  <c r="E10" i="10"/>
  <c r="F10" i="10"/>
  <c r="G10" i="10"/>
  <c r="E11" i="10"/>
  <c r="F11" i="10"/>
  <c r="G11" i="10"/>
  <c r="E17" i="10"/>
  <c r="F17" i="10"/>
  <c r="G17" i="10"/>
  <c r="E18" i="10"/>
  <c r="F18" i="10"/>
  <c r="G18" i="10"/>
  <c r="D3" i="10"/>
  <c r="F3" i="14"/>
  <c r="A26" i="14"/>
  <c r="A28" i="10"/>
  <c r="A27" i="10"/>
  <c r="A26" i="10"/>
  <c r="A25" i="10"/>
  <c r="A24" i="10"/>
  <c r="A23" i="10"/>
  <c r="A22" i="10"/>
  <c r="A21" i="10"/>
  <c r="A20" i="10"/>
  <c r="A14" i="10"/>
  <c r="A13" i="10"/>
  <c r="A12" i="10"/>
  <c r="A9" i="10"/>
  <c r="A8" i="10"/>
  <c r="A7" i="10"/>
  <c r="A6" i="10"/>
  <c r="G2" i="10"/>
  <c r="A7" i="11"/>
  <c r="A8" i="11"/>
  <c r="A6" i="11"/>
  <c r="G2" i="11"/>
  <c r="A31" i="12"/>
  <c r="A21" i="12"/>
  <c r="A13" i="12"/>
  <c r="A4" i="12"/>
  <c r="G2" i="12"/>
  <c r="B18" i="13"/>
  <c r="B17" i="13"/>
  <c r="A7" i="13"/>
  <c r="A8" i="13"/>
  <c r="A9" i="13"/>
  <c r="A6" i="13"/>
  <c r="E26" i="14"/>
  <c r="E25" i="14"/>
  <c r="E24" i="14"/>
  <c r="E23" i="14"/>
  <c r="E22" i="14"/>
  <c r="E21" i="14"/>
  <c r="E19" i="14"/>
  <c r="A28" i="14"/>
  <c r="A21" i="14"/>
  <c r="A22" i="14"/>
  <c r="A23" i="14"/>
  <c r="A24" i="14"/>
  <c r="A25" i="14"/>
  <c r="A27" i="14"/>
  <c r="A20" i="14"/>
  <c r="E15" i="14"/>
  <c r="A13" i="14"/>
  <c r="A14" i="14"/>
  <c r="A12" i="14"/>
  <c r="E9" i="14"/>
  <c r="E27" i="14" s="1"/>
  <c r="A7" i="14"/>
  <c r="A8" i="14"/>
  <c r="A9" i="14"/>
  <c r="A6" i="14"/>
  <c r="E76" i="15"/>
  <c r="A35" i="15"/>
  <c r="A34" i="15"/>
  <c r="A36" i="15"/>
  <c r="H41" i="15"/>
  <c r="I41" i="15" s="1"/>
  <c r="J41" i="15" s="1"/>
  <c r="K41" i="15" s="1"/>
  <c r="L41" i="15" s="1"/>
  <c r="M41" i="15" s="1"/>
  <c r="N41" i="15" s="1"/>
  <c r="O41" i="15" s="1"/>
  <c r="P41" i="15" s="1"/>
  <c r="Q41" i="15" s="1"/>
  <c r="R41" i="15" s="1"/>
  <c r="S41" i="15" s="1"/>
  <c r="T41" i="15" s="1"/>
  <c r="U41" i="15" s="1"/>
  <c r="V41" i="15" s="1"/>
  <c r="W41" i="15" s="1"/>
  <c r="X41" i="15" s="1"/>
  <c r="Y41" i="15" s="1"/>
  <c r="Z41" i="15" s="1"/>
  <c r="AA41" i="15" s="1"/>
  <c r="AB41" i="15" s="1"/>
  <c r="AC41" i="15" s="1"/>
  <c r="AD41" i="15" s="1"/>
  <c r="AE41" i="15" s="1"/>
  <c r="AF41" i="15" s="1"/>
  <c r="AG41" i="15" s="1"/>
  <c r="AH41" i="15" s="1"/>
  <c r="AI41" i="15" s="1"/>
  <c r="AJ41" i="15" s="1"/>
  <c r="AK41" i="15" s="1"/>
  <c r="AL41" i="15" s="1"/>
  <c r="AM41" i="15" s="1"/>
  <c r="AN41" i="15" s="1"/>
  <c r="H42" i="15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X42" i="15" s="1"/>
  <c r="Y42" i="15" s="1"/>
  <c r="Z42" i="15" s="1"/>
  <c r="AA42" i="15" s="1"/>
  <c r="AB42" i="15" s="1"/>
  <c r="AC42" i="15" s="1"/>
  <c r="AD42" i="15" s="1"/>
  <c r="AE42" i="15" s="1"/>
  <c r="AF42" i="15" s="1"/>
  <c r="AG42" i="15" s="1"/>
  <c r="AH42" i="15" s="1"/>
  <c r="AI42" i="15" s="1"/>
  <c r="AJ42" i="15" s="1"/>
  <c r="AK42" i="15" s="1"/>
  <c r="AL42" i="15" s="1"/>
  <c r="AM42" i="15" s="1"/>
  <c r="AN42" i="15" s="1"/>
  <c r="H40" i="15"/>
  <c r="I40" i="15" s="1"/>
  <c r="J40" i="15" s="1"/>
  <c r="K40" i="15" s="1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AB40" i="15" s="1"/>
  <c r="AC40" i="15" s="1"/>
  <c r="AD40" i="15" s="1"/>
  <c r="AE40" i="15" s="1"/>
  <c r="AF40" i="15" s="1"/>
  <c r="AG40" i="15" s="1"/>
  <c r="AH40" i="15" s="1"/>
  <c r="AI40" i="15" s="1"/>
  <c r="AJ40" i="15" s="1"/>
  <c r="AK40" i="15" s="1"/>
  <c r="AL40" i="15" s="1"/>
  <c r="AM40" i="15" s="1"/>
  <c r="AN40" i="15" s="1"/>
  <c r="H35" i="15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H36" i="15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AE36" i="15" s="1"/>
  <c r="H34" i="15"/>
  <c r="I34" i="15" s="1"/>
  <c r="H27" i="15"/>
  <c r="I27" i="15"/>
  <c r="J27" i="15"/>
  <c r="E26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H22" i="15"/>
  <c r="S27" i="15"/>
  <c r="R27" i="15"/>
  <c r="Q27" i="15"/>
  <c r="P27" i="15"/>
  <c r="O27" i="15"/>
  <c r="N27" i="15"/>
  <c r="M27" i="15"/>
  <c r="L27" i="15"/>
  <c r="K27" i="15"/>
  <c r="Q23" i="15"/>
  <c r="R23" i="15"/>
  <c r="S23" i="15"/>
  <c r="AD29" i="15" s="1"/>
  <c r="M23" i="15"/>
  <c r="N23" i="15"/>
  <c r="O23" i="15"/>
  <c r="P23" i="15"/>
  <c r="I23" i="15"/>
  <c r="J23" i="15"/>
  <c r="K23" i="15"/>
  <c r="L23" i="15"/>
  <c r="L22" i="15"/>
  <c r="M22" i="15"/>
  <c r="N22" i="15"/>
  <c r="O22" i="15"/>
  <c r="P22" i="15"/>
  <c r="Q22" i="15"/>
  <c r="R22" i="15"/>
  <c r="S22" i="15"/>
  <c r="AE28" i="15" s="1"/>
  <c r="I22" i="15"/>
  <c r="J22" i="15"/>
  <c r="K22" i="15"/>
  <c r="K21" i="15"/>
  <c r="L21" i="15"/>
  <c r="M21" i="15"/>
  <c r="N21" i="15"/>
  <c r="O21" i="15"/>
  <c r="P21" i="15"/>
  <c r="Q21" i="15"/>
  <c r="Q24" i="15" s="1"/>
  <c r="R21" i="15"/>
  <c r="R24" i="15" s="1"/>
  <c r="S21" i="15"/>
  <c r="AC27" i="15" s="1"/>
  <c r="I21" i="15"/>
  <c r="I24" i="15" s="1"/>
  <c r="J21" i="15"/>
  <c r="J24" i="15" s="1"/>
  <c r="H23" i="15"/>
  <c r="H21" i="15"/>
  <c r="A41" i="15"/>
  <c r="A49" i="15" s="1"/>
  <c r="A42" i="15"/>
  <c r="A50" i="15" s="1"/>
  <c r="A40" i="15"/>
  <c r="A48" i="15" s="1"/>
  <c r="A21" i="15"/>
  <c r="A28" i="15"/>
  <c r="A29" i="15"/>
  <c r="A27" i="15"/>
  <c r="A22" i="15"/>
  <c r="A23" i="15"/>
  <c r="F3" i="10"/>
  <c r="G3" i="10" s="1"/>
  <c r="F3" i="12"/>
  <c r="G3" i="12" s="1"/>
  <c r="E3" i="11"/>
  <c r="F3" i="11" s="1"/>
  <c r="G3" i="11" s="1"/>
  <c r="E3" i="10"/>
  <c r="E3" i="9"/>
  <c r="F3" i="9" s="1"/>
  <c r="G3" i="9" s="1"/>
  <c r="E3" i="8"/>
  <c r="F3" i="8" s="1"/>
  <c r="G3" i="8" s="1"/>
  <c r="E3" i="12"/>
  <c r="B1" i="11"/>
  <c r="B1" i="10"/>
  <c r="B1" i="9"/>
  <c r="B1" i="8"/>
  <c r="B1" i="12"/>
  <c r="C4" i="13"/>
  <c r="B1" i="13"/>
  <c r="E4" i="14"/>
  <c r="F4" i="14" s="1"/>
  <c r="G4" i="14" s="1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N26" i="15" s="1"/>
  <c r="E4" i="15"/>
  <c r="E5" i="15" s="1"/>
  <c r="B1" i="14"/>
  <c r="C1" i="15"/>
  <c r="D1" i="16"/>
  <c r="C11" i="13" s="1"/>
  <c r="E14" i="8" s="1"/>
  <c r="G101" i="1"/>
  <c r="G87" i="1"/>
  <c r="G67" i="1"/>
  <c r="J66" i="1" s="1"/>
  <c r="G50" i="1"/>
  <c r="G40" i="1"/>
  <c r="G10" i="1"/>
  <c r="F10" i="1"/>
  <c r="C10" i="1"/>
  <c r="B10" i="1"/>
  <c r="G5" i="1"/>
  <c r="E28" i="9" l="1"/>
  <c r="F28" i="9" s="1"/>
  <c r="G28" i="9" s="1"/>
  <c r="E28" i="14"/>
  <c r="E20" i="14"/>
  <c r="F25" i="14"/>
  <c r="F26" i="14"/>
  <c r="F23" i="14"/>
  <c r="F22" i="14"/>
  <c r="F24" i="14"/>
  <c r="F19" i="14"/>
  <c r="G3" i="14"/>
  <c r="H4" i="14"/>
  <c r="F15" i="14"/>
  <c r="C7" i="13"/>
  <c r="E15" i="12" s="1"/>
  <c r="E17" i="12" s="1"/>
  <c r="C8" i="13"/>
  <c r="E23" i="12" s="1"/>
  <c r="E25" i="12" s="1"/>
  <c r="C9" i="13"/>
  <c r="E33" i="12" s="1"/>
  <c r="E35" i="12" s="1"/>
  <c r="C12" i="13"/>
  <c r="C6" i="13"/>
  <c r="D6" i="13" s="1"/>
  <c r="E6" i="12" s="1"/>
  <c r="E8" i="12" s="1"/>
  <c r="E29" i="14"/>
  <c r="N24" i="15"/>
  <c r="M30" i="15"/>
  <c r="Q30" i="15"/>
  <c r="I30" i="15"/>
  <c r="H24" i="15"/>
  <c r="O24" i="15"/>
  <c r="K24" i="15"/>
  <c r="L30" i="15"/>
  <c r="P30" i="15"/>
  <c r="N26" i="15"/>
  <c r="AN43" i="15"/>
  <c r="J34" i="15"/>
  <c r="I37" i="15"/>
  <c r="H37" i="15"/>
  <c r="I43" i="15"/>
  <c r="AK43" i="15"/>
  <c r="AG43" i="15"/>
  <c r="AC43" i="15"/>
  <c r="Y43" i="15"/>
  <c r="U43" i="15"/>
  <c r="Q43" i="15"/>
  <c r="M43" i="15"/>
  <c r="P24" i="15"/>
  <c r="K30" i="15"/>
  <c r="O30" i="15"/>
  <c r="S30" i="15"/>
  <c r="J30" i="15"/>
  <c r="H43" i="15"/>
  <c r="AJ43" i="15"/>
  <c r="AF43" i="15"/>
  <c r="AB43" i="15"/>
  <c r="X43" i="15"/>
  <c r="T43" i="15"/>
  <c r="P43" i="15"/>
  <c r="L43" i="15"/>
  <c r="K43" i="15"/>
  <c r="AM43" i="15"/>
  <c r="AI43" i="15"/>
  <c r="AE43" i="15"/>
  <c r="AA43" i="15"/>
  <c r="W43" i="15"/>
  <c r="S43" i="15"/>
  <c r="O43" i="15"/>
  <c r="N30" i="15"/>
  <c r="R30" i="15"/>
  <c r="V26" i="15"/>
  <c r="H30" i="15"/>
  <c r="J43" i="15"/>
  <c r="AL43" i="15"/>
  <c r="AH43" i="15"/>
  <c r="AD43" i="15"/>
  <c r="Z43" i="15"/>
  <c r="V43" i="15"/>
  <c r="R43" i="15"/>
  <c r="N43" i="15"/>
  <c r="M24" i="15"/>
  <c r="AL26" i="15"/>
  <c r="L24" i="15"/>
  <c r="AD26" i="15"/>
  <c r="V35" i="15"/>
  <c r="Z35" i="15"/>
  <c r="AE21" i="15"/>
  <c r="V22" i="15"/>
  <c r="AA23" i="15"/>
  <c r="V23" i="15"/>
  <c r="AD27" i="15"/>
  <c r="X28" i="15"/>
  <c r="AD21" i="15"/>
  <c r="X21" i="15"/>
  <c r="U22" i="15"/>
  <c r="AD22" i="15"/>
  <c r="AE23" i="15"/>
  <c r="AF29" i="15" s="1"/>
  <c r="Z23" i="15"/>
  <c r="T27" i="15"/>
  <c r="Z27" i="15"/>
  <c r="AE27" i="15"/>
  <c r="T28" i="15"/>
  <c r="Y28" i="15"/>
  <c r="AD28" i="15"/>
  <c r="T29" i="15"/>
  <c r="Y29" i="15"/>
  <c r="AE29" i="15"/>
  <c r="H26" i="15"/>
  <c r="AI26" i="15"/>
  <c r="AA26" i="15"/>
  <c r="S26" i="15"/>
  <c r="K26" i="15"/>
  <c r="U21" i="15"/>
  <c r="Z21" i="15"/>
  <c r="AE22" i="15"/>
  <c r="T23" i="15"/>
  <c r="X27" i="15"/>
  <c r="AC28" i="15"/>
  <c r="X29" i="15"/>
  <c r="AC29" i="15"/>
  <c r="T21" i="15"/>
  <c r="AB21" i="15"/>
  <c r="W21" i="15"/>
  <c r="Z22" i="15"/>
  <c r="AB22" i="15"/>
  <c r="AD23" i="15"/>
  <c r="X23" i="15"/>
  <c r="V27" i="15"/>
  <c r="AA27" i="15"/>
  <c r="U28" i="15"/>
  <c r="Z28" i="15"/>
  <c r="U29" i="15"/>
  <c r="AA29" i="15"/>
  <c r="G26" i="15"/>
  <c r="AH26" i="15"/>
  <c r="Z26" i="15"/>
  <c r="R26" i="15"/>
  <c r="J26" i="15"/>
  <c r="S24" i="15"/>
  <c r="AA21" i="15"/>
  <c r="T22" i="15"/>
  <c r="X22" i="15"/>
  <c r="AA22" i="15"/>
  <c r="AB23" i="15"/>
  <c r="W23" i="15"/>
  <c r="W27" i="15"/>
  <c r="AB27" i="15"/>
  <c r="V28" i="15"/>
  <c r="AB28" i="15"/>
  <c r="W29" i="15"/>
  <c r="AB29" i="15"/>
  <c r="AM26" i="15"/>
  <c r="AE26" i="15"/>
  <c r="W26" i="15"/>
  <c r="O26" i="15"/>
  <c r="X36" i="15"/>
  <c r="AB36" i="15"/>
  <c r="T36" i="15"/>
  <c r="U36" i="15"/>
  <c r="Y36" i="15"/>
  <c r="AC36" i="15"/>
  <c r="V36" i="15"/>
  <c r="Z36" i="15"/>
  <c r="AD36" i="15"/>
  <c r="AA36" i="15"/>
  <c r="W36" i="15"/>
  <c r="AG36" i="15"/>
  <c r="AK36" i="15"/>
  <c r="AF36" i="15"/>
  <c r="AH36" i="15"/>
  <c r="AL36" i="15"/>
  <c r="AI36" i="15"/>
  <c r="AM36" i="15"/>
  <c r="AJ36" i="15"/>
  <c r="W35" i="15"/>
  <c r="AA35" i="15"/>
  <c r="AE35" i="15"/>
  <c r="X35" i="15"/>
  <c r="AB35" i="15"/>
  <c r="T35" i="15"/>
  <c r="U35" i="15"/>
  <c r="Y35" i="15"/>
  <c r="AC35" i="15"/>
  <c r="AD35" i="15"/>
  <c r="AN36" i="15"/>
  <c r="F26" i="15"/>
  <c r="AK26" i="15"/>
  <c r="AG26" i="15"/>
  <c r="AC26" i="15"/>
  <c r="Y26" i="15"/>
  <c r="U26" i="15"/>
  <c r="Q26" i="15"/>
  <c r="M26" i="15"/>
  <c r="V21" i="15"/>
  <c r="AC21" i="15"/>
  <c r="Y21" i="15"/>
  <c r="W22" i="15"/>
  <c r="Y22" i="15"/>
  <c r="AC22" i="15"/>
  <c r="AC23" i="15"/>
  <c r="Y23" i="15"/>
  <c r="U23" i="15"/>
  <c r="U27" i="15"/>
  <c r="Y27" i="15"/>
  <c r="W28" i="15"/>
  <c r="AA28" i="15"/>
  <c r="V29" i="15"/>
  <c r="Z29" i="15"/>
  <c r="I26" i="15"/>
  <c r="AJ26" i="15"/>
  <c r="AF26" i="15"/>
  <c r="AB26" i="15"/>
  <c r="X26" i="15"/>
  <c r="T26" i="15"/>
  <c r="P26" i="15"/>
  <c r="L26" i="15"/>
  <c r="E6" i="15"/>
  <c r="E54" i="15" s="1"/>
  <c r="F4" i="15"/>
  <c r="E36" i="12" l="1"/>
  <c r="E9" i="12"/>
  <c r="E32" i="10"/>
  <c r="E6" i="8" s="1"/>
  <c r="E18" i="12"/>
  <c r="E26" i="12"/>
  <c r="I4" i="14"/>
  <c r="G26" i="14"/>
  <c r="G24" i="14"/>
  <c r="G25" i="14"/>
  <c r="G23" i="14"/>
  <c r="G19" i="14"/>
  <c r="G15" i="14"/>
  <c r="H3" i="14"/>
  <c r="G22" i="14"/>
  <c r="C10" i="13"/>
  <c r="AJ29" i="15"/>
  <c r="AN23" i="15"/>
  <c r="E56" i="15"/>
  <c r="Y30" i="15"/>
  <c r="AJ23" i="15"/>
  <c r="AH23" i="15"/>
  <c r="AF22" i="15"/>
  <c r="T30" i="15"/>
  <c r="AF27" i="15"/>
  <c r="AN29" i="15"/>
  <c r="AM23" i="15"/>
  <c r="U30" i="15"/>
  <c r="AG29" i="15"/>
  <c r="E11" i="15"/>
  <c r="E55" i="15"/>
  <c r="E57" i="15" s="1"/>
  <c r="AC30" i="15"/>
  <c r="AD30" i="15"/>
  <c r="AJ21" i="15"/>
  <c r="K34" i="15"/>
  <c r="J37" i="15"/>
  <c r="AB30" i="15"/>
  <c r="AM27" i="15"/>
  <c r="AN27" i="15"/>
  <c r="AK22" i="15"/>
  <c r="AI27" i="15"/>
  <c r="W30" i="15"/>
  <c r="V24" i="15"/>
  <c r="AJ27" i="15"/>
  <c r="AF21" i="15"/>
  <c r="AA30" i="15"/>
  <c r="X30" i="15"/>
  <c r="AE30" i="15"/>
  <c r="AH29" i="15"/>
  <c r="AL23" i="15"/>
  <c r="AK21" i="15"/>
  <c r="AK29" i="15"/>
  <c r="AI23" i="15"/>
  <c r="AA24" i="15"/>
  <c r="V30" i="15"/>
  <c r="Z30" i="15"/>
  <c r="W24" i="15"/>
  <c r="AM28" i="15"/>
  <c r="AJ28" i="15"/>
  <c r="AM22" i="15"/>
  <c r="AF28" i="15"/>
  <c r="AI22" i="15"/>
  <c r="AN28" i="15"/>
  <c r="AG27" i="15"/>
  <c r="AJ22" i="15"/>
  <c r="AH21" i="15"/>
  <c r="Y24" i="15"/>
  <c r="AH22" i="15"/>
  <c r="AL28" i="15"/>
  <c r="AG22" i="15"/>
  <c r="AL22" i="15"/>
  <c r="AB24" i="15"/>
  <c r="Z24" i="15"/>
  <c r="X24" i="15"/>
  <c r="AK27" i="15"/>
  <c r="AL27" i="15"/>
  <c r="AH27" i="15"/>
  <c r="AE24" i="15"/>
  <c r="AI21" i="15"/>
  <c r="AG21" i="15"/>
  <c r="AI28" i="15"/>
  <c r="AN22" i="15"/>
  <c r="AC24" i="15"/>
  <c r="AG28" i="15"/>
  <c r="AL21" i="15"/>
  <c r="AH28" i="15"/>
  <c r="AM21" i="15"/>
  <c r="AK28" i="15"/>
  <c r="AN21" i="15"/>
  <c r="T24" i="15"/>
  <c r="U24" i="15"/>
  <c r="AL29" i="15"/>
  <c r="AM29" i="15"/>
  <c r="AG23" i="15"/>
  <c r="AI29" i="15"/>
  <c r="AK23" i="15"/>
  <c r="AF23" i="15"/>
  <c r="AD24" i="15"/>
  <c r="AI35" i="15"/>
  <c r="AM35" i="15"/>
  <c r="AN35" i="15"/>
  <c r="AJ35" i="15"/>
  <c r="AF35" i="15"/>
  <c r="AG35" i="15"/>
  <c r="AK35" i="15"/>
  <c r="AH35" i="15"/>
  <c r="AL35" i="15"/>
  <c r="F5" i="15"/>
  <c r="G4" i="15"/>
  <c r="E7" i="15"/>
  <c r="F5" i="12" l="1"/>
  <c r="F8" i="12" s="1"/>
  <c r="E23" i="9"/>
  <c r="C14" i="13"/>
  <c r="E13" i="8"/>
  <c r="E15" i="8" s="1"/>
  <c r="F22" i="12"/>
  <c r="E25" i="9"/>
  <c r="F14" i="12"/>
  <c r="F17" i="12" s="1"/>
  <c r="E24" i="9"/>
  <c r="F32" i="12"/>
  <c r="E26" i="9"/>
  <c r="F18" i="12"/>
  <c r="H23" i="14"/>
  <c r="H24" i="14"/>
  <c r="H25" i="14"/>
  <c r="H15" i="14"/>
  <c r="H22" i="14"/>
  <c r="H26" i="14"/>
  <c r="H19" i="14"/>
  <c r="I3" i="14"/>
  <c r="J4" i="14"/>
  <c r="C17" i="13"/>
  <c r="C18" i="13"/>
  <c r="AF24" i="15"/>
  <c r="AN24" i="15"/>
  <c r="AL24" i="15"/>
  <c r="AH30" i="15"/>
  <c r="AJ24" i="15"/>
  <c r="AF30" i="15"/>
  <c r="E48" i="15"/>
  <c r="E50" i="15"/>
  <c r="E49" i="15"/>
  <c r="AG24" i="15"/>
  <c r="AK24" i="15"/>
  <c r="AJ30" i="15"/>
  <c r="L34" i="15"/>
  <c r="K37" i="15"/>
  <c r="AI30" i="15"/>
  <c r="AL30" i="15"/>
  <c r="AG30" i="15"/>
  <c r="AM24" i="15"/>
  <c r="AI24" i="15"/>
  <c r="AK30" i="15"/>
  <c r="AN30" i="15"/>
  <c r="AM30" i="15"/>
  <c r="AH24" i="15"/>
  <c r="H4" i="15"/>
  <c r="G5" i="15"/>
  <c r="E16" i="15"/>
  <c r="E15" i="15"/>
  <c r="F6" i="15"/>
  <c r="E18" i="8" l="1"/>
  <c r="E19" i="8" s="1"/>
  <c r="E5" i="9"/>
  <c r="G14" i="12"/>
  <c r="F24" i="9"/>
  <c r="F35" i="12"/>
  <c r="F36" i="12" s="1"/>
  <c r="F25" i="12"/>
  <c r="F32" i="10" s="1"/>
  <c r="F6" i="8" s="1"/>
  <c r="F9" i="12"/>
  <c r="K4" i="14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I24" i="14"/>
  <c r="I25" i="14"/>
  <c r="I26" i="14"/>
  <c r="I15" i="14"/>
  <c r="I22" i="14"/>
  <c r="I19" i="14"/>
  <c r="I23" i="14"/>
  <c r="J3" i="14"/>
  <c r="C20" i="13"/>
  <c r="E51" i="15"/>
  <c r="E63" i="15"/>
  <c r="E61" i="15"/>
  <c r="E62" i="15"/>
  <c r="E69" i="15"/>
  <c r="E68" i="15"/>
  <c r="E67" i="15"/>
  <c r="M34" i="15"/>
  <c r="L37" i="15"/>
  <c r="G6" i="15"/>
  <c r="F12" i="15"/>
  <c r="F11" i="15"/>
  <c r="F7" i="15"/>
  <c r="I4" i="15"/>
  <c r="H5" i="15"/>
  <c r="G32" i="12" l="1"/>
  <c r="F26" i="9"/>
  <c r="G17" i="12"/>
  <c r="G18" i="12" s="1"/>
  <c r="G24" i="9" s="1"/>
  <c r="G5" i="12"/>
  <c r="G8" i="12" s="1"/>
  <c r="F23" i="9"/>
  <c r="F5" i="9"/>
  <c r="F26" i="12"/>
  <c r="J25" i="14"/>
  <c r="J26" i="14"/>
  <c r="J23" i="14"/>
  <c r="J24" i="14"/>
  <c r="J22" i="14"/>
  <c r="J19" i="14"/>
  <c r="J15" i="14"/>
  <c r="K3" i="14"/>
  <c r="E75" i="15"/>
  <c r="E8" i="14" s="1"/>
  <c r="E70" i="15"/>
  <c r="E64" i="15"/>
  <c r="E74" i="15"/>
  <c r="E7" i="14" s="1"/>
  <c r="E73" i="15"/>
  <c r="E6" i="14" s="1"/>
  <c r="F49" i="15"/>
  <c r="F50" i="15"/>
  <c r="F48" i="15"/>
  <c r="F55" i="15"/>
  <c r="F56" i="15"/>
  <c r="F54" i="15"/>
  <c r="N34" i="15"/>
  <c r="M37" i="15"/>
  <c r="H6" i="15"/>
  <c r="G12" i="15"/>
  <c r="G11" i="15"/>
  <c r="J4" i="15"/>
  <c r="I5" i="15"/>
  <c r="F16" i="15"/>
  <c r="F15" i="15"/>
  <c r="G7" i="15"/>
  <c r="G22" i="12" l="1"/>
  <c r="F25" i="9"/>
  <c r="G5" i="9"/>
  <c r="G9" i="12"/>
  <c r="G23" i="9" s="1"/>
  <c r="G35" i="12"/>
  <c r="G36" i="12"/>
  <c r="G26" i="9" s="1"/>
  <c r="E14" i="14"/>
  <c r="E12" i="14"/>
  <c r="E13" i="14"/>
  <c r="K26" i="14"/>
  <c r="K24" i="14"/>
  <c r="K19" i="14"/>
  <c r="K23" i="14"/>
  <c r="K15" i="14"/>
  <c r="K22" i="14"/>
  <c r="L3" i="14"/>
  <c r="K25" i="14"/>
  <c r="F51" i="15"/>
  <c r="F57" i="15"/>
  <c r="F63" i="15"/>
  <c r="F61" i="15"/>
  <c r="F62" i="15"/>
  <c r="G49" i="15"/>
  <c r="G48" i="15"/>
  <c r="G50" i="15"/>
  <c r="F67" i="15"/>
  <c r="F69" i="15"/>
  <c r="F68" i="15"/>
  <c r="G54" i="15"/>
  <c r="G56" i="15"/>
  <c r="G55" i="15"/>
  <c r="O34" i="15"/>
  <c r="N37" i="15"/>
  <c r="H12" i="15"/>
  <c r="H11" i="15"/>
  <c r="I6" i="15"/>
  <c r="G15" i="15"/>
  <c r="G16" i="15"/>
  <c r="K4" i="15"/>
  <c r="J5" i="15"/>
  <c r="H7" i="15"/>
  <c r="H15" i="15" s="1"/>
  <c r="E16" i="14" l="1"/>
  <c r="E31" i="14" s="1"/>
  <c r="G25" i="12"/>
  <c r="G32" i="10" s="1"/>
  <c r="G6" i="8" s="1"/>
  <c r="L23" i="14"/>
  <c r="L24" i="14"/>
  <c r="L25" i="14"/>
  <c r="L15" i="14"/>
  <c r="L26" i="14"/>
  <c r="L22" i="14"/>
  <c r="M3" i="14"/>
  <c r="L19" i="14"/>
  <c r="F75" i="15"/>
  <c r="F8" i="14" s="1"/>
  <c r="F64" i="15"/>
  <c r="F74" i="15"/>
  <c r="F7" i="14" s="1"/>
  <c r="F70" i="15"/>
  <c r="F73" i="15"/>
  <c r="F6" i="14" s="1"/>
  <c r="G57" i="15"/>
  <c r="G51" i="15"/>
  <c r="H54" i="15"/>
  <c r="H56" i="15"/>
  <c r="H55" i="15"/>
  <c r="G68" i="15"/>
  <c r="G69" i="15"/>
  <c r="G67" i="15"/>
  <c r="H63" i="15"/>
  <c r="H61" i="15"/>
  <c r="H62" i="15"/>
  <c r="G62" i="15"/>
  <c r="G63" i="15"/>
  <c r="G61" i="15"/>
  <c r="H50" i="15"/>
  <c r="H48" i="15"/>
  <c r="H49" i="15"/>
  <c r="P34" i="15"/>
  <c r="O37" i="15"/>
  <c r="I11" i="15"/>
  <c r="I7" i="15"/>
  <c r="I15" i="15" s="1"/>
  <c r="J6" i="15"/>
  <c r="J7" i="15" s="1"/>
  <c r="L4" i="15"/>
  <c r="K5" i="15"/>
  <c r="H16" i="15"/>
  <c r="I12" i="15"/>
  <c r="G26" i="12" l="1"/>
  <c r="G25" i="9" s="1"/>
  <c r="F12" i="14"/>
  <c r="F14" i="14"/>
  <c r="F13" i="14"/>
  <c r="E33" i="14"/>
  <c r="M24" i="14"/>
  <c r="M25" i="14"/>
  <c r="M26" i="14"/>
  <c r="M15" i="14"/>
  <c r="M23" i="14"/>
  <c r="M22" i="14"/>
  <c r="M19" i="14"/>
  <c r="N3" i="14"/>
  <c r="H64" i="15"/>
  <c r="G75" i="15"/>
  <c r="G8" i="14" s="1"/>
  <c r="G14" i="14" s="1"/>
  <c r="G74" i="15"/>
  <c r="G7" i="14" s="1"/>
  <c r="G13" i="14" s="1"/>
  <c r="G70" i="15"/>
  <c r="F76" i="15"/>
  <c r="F9" i="14" s="1"/>
  <c r="G64" i="15"/>
  <c r="G73" i="15"/>
  <c r="G6" i="14" s="1"/>
  <c r="G12" i="14" s="1"/>
  <c r="H57" i="15"/>
  <c r="H51" i="15"/>
  <c r="I62" i="15"/>
  <c r="I63" i="15"/>
  <c r="I61" i="15"/>
  <c r="H69" i="15"/>
  <c r="H75" i="15" s="1"/>
  <c r="H8" i="14" s="1"/>
  <c r="H14" i="14" s="1"/>
  <c r="H67" i="15"/>
  <c r="H68" i="15"/>
  <c r="H74" i="15" s="1"/>
  <c r="H7" i="14" s="1"/>
  <c r="H13" i="14" s="1"/>
  <c r="I48" i="15"/>
  <c r="I49" i="15"/>
  <c r="I50" i="15"/>
  <c r="J12" i="15"/>
  <c r="I56" i="15"/>
  <c r="I54" i="15"/>
  <c r="I55" i="15"/>
  <c r="Q34" i="15"/>
  <c r="P37" i="15"/>
  <c r="I16" i="15"/>
  <c r="J15" i="15"/>
  <c r="J11" i="15"/>
  <c r="K6" i="15"/>
  <c r="M4" i="15"/>
  <c r="L5" i="15"/>
  <c r="F21" i="14" l="1"/>
  <c r="F27" i="14"/>
  <c r="F20" i="14"/>
  <c r="F28" i="14"/>
  <c r="G16" i="14"/>
  <c r="F16" i="14"/>
  <c r="N25" i="14"/>
  <c r="N26" i="14"/>
  <c r="N23" i="14"/>
  <c r="N22" i="14"/>
  <c r="N19" i="14"/>
  <c r="N24" i="14"/>
  <c r="N15" i="14"/>
  <c r="O3" i="14"/>
  <c r="G76" i="15"/>
  <c r="G9" i="14" s="1"/>
  <c r="H70" i="15"/>
  <c r="H73" i="15"/>
  <c r="H6" i="14" s="1"/>
  <c r="H12" i="14" s="1"/>
  <c r="H16" i="14" s="1"/>
  <c r="I64" i="15"/>
  <c r="I57" i="15"/>
  <c r="K12" i="15"/>
  <c r="K54" i="15" s="1"/>
  <c r="I51" i="15"/>
  <c r="K55" i="15"/>
  <c r="K56" i="15"/>
  <c r="J49" i="15"/>
  <c r="J48" i="15"/>
  <c r="J50" i="15"/>
  <c r="J63" i="15"/>
  <c r="J62" i="15"/>
  <c r="J61" i="15"/>
  <c r="J54" i="15"/>
  <c r="J56" i="15"/>
  <c r="J55" i="15"/>
  <c r="J16" i="15"/>
  <c r="I68" i="15"/>
  <c r="I74" i="15" s="1"/>
  <c r="I7" i="14" s="1"/>
  <c r="I13" i="14" s="1"/>
  <c r="I69" i="15"/>
  <c r="I75" i="15" s="1"/>
  <c r="I8" i="14" s="1"/>
  <c r="I14" i="14" s="1"/>
  <c r="I67" i="15"/>
  <c r="R34" i="15"/>
  <c r="Q37" i="15"/>
  <c r="K7" i="15"/>
  <c r="K11" i="15"/>
  <c r="N4" i="15"/>
  <c r="M5" i="15"/>
  <c r="L6" i="15"/>
  <c r="G27" i="14" l="1"/>
  <c r="G28" i="14"/>
  <c r="G20" i="14"/>
  <c r="G29" i="14" s="1"/>
  <c r="G31" i="14" s="1"/>
  <c r="G33" i="14" s="1"/>
  <c r="G21" i="14"/>
  <c r="F29" i="14"/>
  <c r="O26" i="14"/>
  <c r="O24" i="14"/>
  <c r="O23" i="14"/>
  <c r="O19" i="14"/>
  <c r="O25" i="14"/>
  <c r="O15" i="14"/>
  <c r="O22" i="14"/>
  <c r="P3" i="14"/>
  <c r="H76" i="15"/>
  <c r="H9" i="14" s="1"/>
  <c r="I70" i="15"/>
  <c r="J64" i="15"/>
  <c r="K57" i="15"/>
  <c r="I73" i="15"/>
  <c r="I6" i="14" s="1"/>
  <c r="K16" i="15"/>
  <c r="J57" i="15"/>
  <c r="J51" i="15"/>
  <c r="K69" i="15"/>
  <c r="K67" i="15"/>
  <c r="K68" i="15"/>
  <c r="J69" i="15"/>
  <c r="J75" i="15" s="1"/>
  <c r="J8" i="14" s="1"/>
  <c r="J14" i="14" s="1"/>
  <c r="J67" i="15"/>
  <c r="J68" i="15"/>
  <c r="J74" i="15" s="1"/>
  <c r="J7" i="14" s="1"/>
  <c r="J13" i="14" s="1"/>
  <c r="K50" i="15"/>
  <c r="K49" i="15"/>
  <c r="K48" i="15"/>
  <c r="S34" i="15"/>
  <c r="R37" i="15"/>
  <c r="K15" i="15"/>
  <c r="L11" i="15"/>
  <c r="L7" i="15"/>
  <c r="L16" i="15"/>
  <c r="M6" i="15"/>
  <c r="M7" i="15" s="1"/>
  <c r="O4" i="15"/>
  <c r="N5" i="15"/>
  <c r="L12" i="15"/>
  <c r="F31" i="14" l="1"/>
  <c r="I12" i="14"/>
  <c r="H28" i="14"/>
  <c r="H20" i="14"/>
  <c r="H21" i="14"/>
  <c r="H27" i="14"/>
  <c r="P23" i="14"/>
  <c r="P24" i="14"/>
  <c r="P25" i="14"/>
  <c r="P26" i="14"/>
  <c r="P15" i="14"/>
  <c r="P22" i="14"/>
  <c r="Q3" i="14"/>
  <c r="P19" i="14"/>
  <c r="J70" i="15"/>
  <c r="I76" i="15"/>
  <c r="I9" i="14" s="1"/>
  <c r="J73" i="15"/>
  <c r="J6" i="14" s="1"/>
  <c r="J12" i="14" s="1"/>
  <c r="J16" i="14" s="1"/>
  <c r="K70" i="15"/>
  <c r="K51" i="15"/>
  <c r="L48" i="15"/>
  <c r="L50" i="15"/>
  <c r="L49" i="15"/>
  <c r="L56" i="15"/>
  <c r="L54" i="15"/>
  <c r="L55" i="15"/>
  <c r="L68" i="15"/>
  <c r="L67" i="15"/>
  <c r="L69" i="15"/>
  <c r="K63" i="15"/>
  <c r="K75" i="15" s="1"/>
  <c r="K8" i="14" s="1"/>
  <c r="K14" i="14" s="1"/>
  <c r="K62" i="15"/>
  <c r="K74" i="15" s="1"/>
  <c r="K7" i="14" s="1"/>
  <c r="K13" i="14" s="1"/>
  <c r="K61" i="15"/>
  <c r="K73" i="15" s="1"/>
  <c r="K6" i="14" s="1"/>
  <c r="K12" i="14" s="1"/>
  <c r="U34" i="15"/>
  <c r="S37" i="15"/>
  <c r="AB34" i="15"/>
  <c r="W34" i="15"/>
  <c r="AE34" i="15"/>
  <c r="V34" i="15"/>
  <c r="Z34" i="15"/>
  <c r="Y34" i="15"/>
  <c r="AD34" i="15"/>
  <c r="AA34" i="15"/>
  <c r="AC34" i="15"/>
  <c r="T34" i="15"/>
  <c r="X34" i="15"/>
  <c r="L15" i="15"/>
  <c r="M12" i="15"/>
  <c r="P4" i="15"/>
  <c r="O5" i="15"/>
  <c r="M11" i="15"/>
  <c r="M16" i="15"/>
  <c r="N6" i="15"/>
  <c r="N7" i="15" s="1"/>
  <c r="H29" i="14" l="1"/>
  <c r="H31" i="14" s="1"/>
  <c r="H33" i="14" s="1"/>
  <c r="I20" i="14"/>
  <c r="I28" i="14"/>
  <c r="I21" i="14"/>
  <c r="I27" i="14"/>
  <c r="K16" i="14"/>
  <c r="F33" i="14"/>
  <c r="I16" i="14"/>
  <c r="Q24" i="14"/>
  <c r="Q25" i="14"/>
  <c r="Q26" i="14"/>
  <c r="Q22" i="14"/>
  <c r="Q15" i="14"/>
  <c r="Q19" i="14"/>
  <c r="R3" i="14"/>
  <c r="Q23" i="14"/>
  <c r="J76" i="15"/>
  <c r="J9" i="14" s="1"/>
  <c r="K64" i="15"/>
  <c r="L70" i="15"/>
  <c r="K76" i="15"/>
  <c r="K9" i="14" s="1"/>
  <c r="L57" i="15"/>
  <c r="L51" i="15"/>
  <c r="M67" i="15"/>
  <c r="M69" i="15"/>
  <c r="M68" i="15"/>
  <c r="AC37" i="15"/>
  <c r="Z37" i="15"/>
  <c r="AB37" i="15"/>
  <c r="M15" i="15"/>
  <c r="N15" i="15" s="1"/>
  <c r="L63" i="15"/>
  <c r="L75" i="15" s="1"/>
  <c r="L8" i="14" s="1"/>
  <c r="L14" i="14" s="1"/>
  <c r="L62" i="15"/>
  <c r="L74" i="15" s="1"/>
  <c r="L7" i="14" s="1"/>
  <c r="L13" i="14" s="1"/>
  <c r="L61" i="15"/>
  <c r="L73" i="15" s="1"/>
  <c r="L6" i="14" s="1"/>
  <c r="L12" i="14" s="1"/>
  <c r="X37" i="15"/>
  <c r="AD37" i="15"/>
  <c r="U37" i="15"/>
  <c r="M55" i="15"/>
  <c r="M54" i="15"/>
  <c r="M56" i="15"/>
  <c r="M50" i="15"/>
  <c r="M49" i="15"/>
  <c r="M48" i="15"/>
  <c r="AA37" i="15"/>
  <c r="V37" i="15"/>
  <c r="T37" i="15"/>
  <c r="Y37" i="15"/>
  <c r="W37" i="15"/>
  <c r="AE37" i="15"/>
  <c r="AJ34" i="15"/>
  <c r="AF34" i="15"/>
  <c r="AN34" i="15"/>
  <c r="AM34" i="15"/>
  <c r="AH34" i="15"/>
  <c r="AI34" i="15"/>
  <c r="AG34" i="15"/>
  <c r="AL34" i="15"/>
  <c r="AK34" i="15"/>
  <c r="N11" i="15"/>
  <c r="N12" i="15"/>
  <c r="O6" i="15"/>
  <c r="N16" i="15"/>
  <c r="Q4" i="15"/>
  <c r="P5" i="15"/>
  <c r="L16" i="14" l="1"/>
  <c r="I29" i="14"/>
  <c r="J21" i="14"/>
  <c r="J27" i="14"/>
  <c r="J28" i="14"/>
  <c r="J20" i="14"/>
  <c r="K21" i="14"/>
  <c r="K27" i="14"/>
  <c r="K28" i="14"/>
  <c r="K20" i="14"/>
  <c r="I31" i="14"/>
  <c r="R25" i="14"/>
  <c r="R26" i="14"/>
  <c r="R23" i="14"/>
  <c r="R22" i="14"/>
  <c r="R19" i="14"/>
  <c r="R24" i="14"/>
  <c r="R15" i="14"/>
  <c r="S3" i="14"/>
  <c r="M70" i="15"/>
  <c r="L76" i="15"/>
  <c r="L9" i="14" s="1"/>
  <c r="L64" i="15"/>
  <c r="M51" i="15"/>
  <c r="M57" i="15"/>
  <c r="AG37" i="15"/>
  <c r="N68" i="15"/>
  <c r="N67" i="15"/>
  <c r="N69" i="15"/>
  <c r="AF37" i="15"/>
  <c r="N63" i="15"/>
  <c r="N62" i="15"/>
  <c r="N61" i="15"/>
  <c r="AK37" i="15"/>
  <c r="AH37" i="15"/>
  <c r="AJ37" i="15"/>
  <c r="M62" i="15"/>
  <c r="M74" i="15" s="1"/>
  <c r="M7" i="14" s="1"/>
  <c r="M13" i="14" s="1"/>
  <c r="M63" i="15"/>
  <c r="M75" i="15" s="1"/>
  <c r="M8" i="14" s="1"/>
  <c r="M14" i="14" s="1"/>
  <c r="M61" i="15"/>
  <c r="N56" i="15"/>
  <c r="N55" i="15"/>
  <c r="N54" i="15"/>
  <c r="AN37" i="15"/>
  <c r="N49" i="15"/>
  <c r="N50" i="15"/>
  <c r="N48" i="15"/>
  <c r="AI37" i="15"/>
  <c r="AL37" i="15"/>
  <c r="AM37" i="15"/>
  <c r="O11" i="15"/>
  <c r="P6" i="15"/>
  <c r="P11" i="15" s="1"/>
  <c r="R4" i="15"/>
  <c r="Q5" i="15"/>
  <c r="O7" i="15"/>
  <c r="O15" i="15" s="1"/>
  <c r="O12" i="15"/>
  <c r="K29" i="14" l="1"/>
  <c r="K31" i="14" s="1"/>
  <c r="K33" i="14" s="1"/>
  <c r="L28" i="14"/>
  <c r="L20" i="14"/>
  <c r="L21" i="14"/>
  <c r="L27" i="14"/>
  <c r="J29" i="14"/>
  <c r="I33" i="14"/>
  <c r="S26" i="14"/>
  <c r="S23" i="14"/>
  <c r="S24" i="14"/>
  <c r="S22" i="14"/>
  <c r="S19" i="14"/>
  <c r="S25" i="14"/>
  <c r="S15" i="14"/>
  <c r="T3" i="14"/>
  <c r="M64" i="15"/>
  <c r="N75" i="15"/>
  <c r="N8" i="14" s="1"/>
  <c r="N14" i="14" s="1"/>
  <c r="N73" i="15"/>
  <c r="N6" i="14" s="1"/>
  <c r="N12" i="14" s="1"/>
  <c r="N57" i="15"/>
  <c r="N64" i="15"/>
  <c r="M73" i="15"/>
  <c r="M6" i="14" s="1"/>
  <c r="M12" i="14" s="1"/>
  <c r="M16" i="14" s="1"/>
  <c r="N74" i="15"/>
  <c r="N7" i="14" s="1"/>
  <c r="N13" i="14" s="1"/>
  <c r="N70" i="15"/>
  <c r="N51" i="15"/>
  <c r="P12" i="15"/>
  <c r="O55" i="15"/>
  <c r="O54" i="15"/>
  <c r="O56" i="15"/>
  <c r="O48" i="15"/>
  <c r="O50" i="15"/>
  <c r="O49" i="15"/>
  <c r="P49" i="15"/>
  <c r="P50" i="15"/>
  <c r="P48" i="15"/>
  <c r="O62" i="15"/>
  <c r="O63" i="15"/>
  <c r="O61" i="15"/>
  <c r="O16" i="15"/>
  <c r="P7" i="15"/>
  <c r="P15" i="15" s="1"/>
  <c r="S4" i="15"/>
  <c r="R5" i="15"/>
  <c r="Q6" i="15"/>
  <c r="Q11" i="15" s="1"/>
  <c r="N16" i="14" l="1"/>
  <c r="J31" i="14"/>
  <c r="L29" i="14"/>
  <c r="L31" i="14" s="1"/>
  <c r="L33" i="14" s="1"/>
  <c r="T23" i="14"/>
  <c r="T24" i="14"/>
  <c r="T25" i="14"/>
  <c r="T26" i="14"/>
  <c r="T15" i="14"/>
  <c r="U3" i="14"/>
  <c r="T19" i="14"/>
  <c r="T22" i="14"/>
  <c r="M76" i="15"/>
  <c r="M9" i="14" s="1"/>
  <c r="N76" i="15"/>
  <c r="N9" i="14" s="1"/>
  <c r="O64" i="15"/>
  <c r="P51" i="15"/>
  <c r="O57" i="15"/>
  <c r="O51" i="15"/>
  <c r="P62" i="15"/>
  <c r="P63" i="15"/>
  <c r="P61" i="15"/>
  <c r="O69" i="15"/>
  <c r="O75" i="15" s="1"/>
  <c r="O8" i="14" s="1"/>
  <c r="O14" i="14" s="1"/>
  <c r="O67" i="15"/>
  <c r="O68" i="15"/>
  <c r="O74" i="15" s="1"/>
  <c r="O7" i="14" s="1"/>
  <c r="O13" i="14" s="1"/>
  <c r="Q50" i="15"/>
  <c r="Q49" i="15"/>
  <c r="Q48" i="15"/>
  <c r="P56" i="15"/>
  <c r="P55" i="15"/>
  <c r="P54" i="15"/>
  <c r="P16" i="15"/>
  <c r="T4" i="15"/>
  <c r="S5" i="15"/>
  <c r="Q7" i="15"/>
  <c r="Q15" i="15" s="1"/>
  <c r="Q12" i="15"/>
  <c r="R6" i="15"/>
  <c r="R11" i="15" s="1"/>
  <c r="J33" i="14" l="1"/>
  <c r="M20" i="14"/>
  <c r="M21" i="14"/>
  <c r="M27" i="14"/>
  <c r="M28" i="14"/>
  <c r="N21" i="14"/>
  <c r="N28" i="14"/>
  <c r="N20" i="14"/>
  <c r="N27" i="14"/>
  <c r="U24" i="14"/>
  <c r="U25" i="14"/>
  <c r="U26" i="14"/>
  <c r="U22" i="14"/>
  <c r="U15" i="14"/>
  <c r="U23" i="14"/>
  <c r="U19" i="14"/>
  <c r="V3" i="14"/>
  <c r="O70" i="15"/>
  <c r="P64" i="15"/>
  <c r="O73" i="15"/>
  <c r="O6" i="14" s="1"/>
  <c r="O12" i="14" s="1"/>
  <c r="O16" i="14" s="1"/>
  <c r="P57" i="15"/>
  <c r="Q51" i="15"/>
  <c r="Q62" i="15"/>
  <c r="Q63" i="15"/>
  <c r="Q61" i="15"/>
  <c r="R48" i="15"/>
  <c r="R50" i="15"/>
  <c r="R49" i="15"/>
  <c r="Q54" i="15"/>
  <c r="Q55" i="15"/>
  <c r="Q56" i="15"/>
  <c r="P67" i="15"/>
  <c r="P73" i="15" s="1"/>
  <c r="P6" i="14" s="1"/>
  <c r="P12" i="14" s="1"/>
  <c r="P69" i="15"/>
  <c r="P75" i="15" s="1"/>
  <c r="P8" i="14" s="1"/>
  <c r="P14" i="14" s="1"/>
  <c r="P68" i="15"/>
  <c r="P74" i="15" s="1"/>
  <c r="P7" i="14" s="1"/>
  <c r="P13" i="14" s="1"/>
  <c r="R12" i="15"/>
  <c r="R7" i="15"/>
  <c r="R15" i="15" s="1"/>
  <c r="S6" i="15"/>
  <c r="S11" i="15" s="1"/>
  <c r="Q16" i="15"/>
  <c r="U4" i="15"/>
  <c r="T5" i="15"/>
  <c r="E6" i="11" l="1"/>
  <c r="E31" i="9" s="1"/>
  <c r="E14" i="11"/>
  <c r="E13" i="9" s="1"/>
  <c r="P16" i="14"/>
  <c r="E7" i="11"/>
  <c r="E32" i="9" s="1"/>
  <c r="E15" i="11"/>
  <c r="E14" i="9" s="1"/>
  <c r="N29" i="14"/>
  <c r="N31" i="14" s="1"/>
  <c r="N33" i="14" s="1"/>
  <c r="E8" i="11"/>
  <c r="E33" i="9" s="1"/>
  <c r="E16" i="11"/>
  <c r="E15" i="9" s="1"/>
  <c r="M29" i="14"/>
  <c r="M31" i="14" s="1"/>
  <c r="V25" i="14"/>
  <c r="V26" i="14"/>
  <c r="V23" i="14"/>
  <c r="V24" i="14"/>
  <c r="V19" i="14"/>
  <c r="V22" i="14"/>
  <c r="V15" i="14"/>
  <c r="W3" i="14"/>
  <c r="O76" i="15"/>
  <c r="O9" i="14" s="1"/>
  <c r="Q64" i="15"/>
  <c r="P76" i="15"/>
  <c r="P9" i="14" s="1"/>
  <c r="P70" i="15"/>
  <c r="Q57" i="15"/>
  <c r="R51" i="15"/>
  <c r="Q69" i="15"/>
  <c r="Q75" i="15" s="1"/>
  <c r="Q8" i="14" s="1"/>
  <c r="Q68" i="15"/>
  <c r="Q74" i="15" s="1"/>
  <c r="Q7" i="14" s="1"/>
  <c r="Q67" i="15"/>
  <c r="R62" i="15"/>
  <c r="R63" i="15"/>
  <c r="R61" i="15"/>
  <c r="S49" i="15"/>
  <c r="S48" i="15"/>
  <c r="S50" i="15"/>
  <c r="R55" i="15"/>
  <c r="R56" i="15"/>
  <c r="R54" i="15"/>
  <c r="R16" i="15"/>
  <c r="T6" i="15"/>
  <c r="T11" i="15" s="1"/>
  <c r="S7" i="15"/>
  <c r="S15" i="15" s="1"/>
  <c r="V4" i="15"/>
  <c r="U5" i="15"/>
  <c r="S12" i="15"/>
  <c r="Q13" i="14" l="1"/>
  <c r="P28" i="14"/>
  <c r="P20" i="14"/>
  <c r="P21" i="14"/>
  <c r="P27" i="14"/>
  <c r="M33" i="14"/>
  <c r="O27" i="14"/>
  <c r="O28" i="14"/>
  <c r="O20" i="14"/>
  <c r="O21" i="14"/>
  <c r="Q14" i="14"/>
  <c r="E9" i="11"/>
  <c r="W26" i="14"/>
  <c r="W23" i="14"/>
  <c r="W24" i="14"/>
  <c r="W25" i="14"/>
  <c r="W19" i="14"/>
  <c r="W22" i="14"/>
  <c r="W15" i="14"/>
  <c r="X3" i="14"/>
  <c r="Q70" i="15"/>
  <c r="R64" i="15"/>
  <c r="Q73" i="15"/>
  <c r="Q6" i="14" s="1"/>
  <c r="R57" i="15"/>
  <c r="S51" i="15"/>
  <c r="T48" i="15"/>
  <c r="T50" i="15"/>
  <c r="T49" i="15"/>
  <c r="S62" i="15"/>
  <c r="S63" i="15"/>
  <c r="S61" i="15"/>
  <c r="T12" i="15"/>
  <c r="S55" i="15"/>
  <c r="S54" i="15"/>
  <c r="S56" i="15"/>
  <c r="R67" i="15"/>
  <c r="R69" i="15"/>
  <c r="R75" i="15" s="1"/>
  <c r="R8" i="14" s="1"/>
  <c r="R14" i="14" s="1"/>
  <c r="R68" i="15"/>
  <c r="R74" i="15" s="1"/>
  <c r="R7" i="14" s="1"/>
  <c r="R13" i="14" s="1"/>
  <c r="S16" i="15"/>
  <c r="U6" i="15"/>
  <c r="U11" i="15" s="1"/>
  <c r="T7" i="15"/>
  <c r="W4" i="15"/>
  <c r="V5" i="15"/>
  <c r="P29" i="14" l="1"/>
  <c r="Q12" i="14"/>
  <c r="O29" i="14"/>
  <c r="O31" i="14" s="1"/>
  <c r="O33" i="14" s="1"/>
  <c r="X23" i="14"/>
  <c r="X24" i="14"/>
  <c r="X25" i="14"/>
  <c r="X22" i="14"/>
  <c r="X15" i="14"/>
  <c r="X19" i="14"/>
  <c r="Y3" i="14"/>
  <c r="X26" i="14"/>
  <c r="Q76" i="15"/>
  <c r="Q9" i="14" s="1"/>
  <c r="R70" i="15"/>
  <c r="S64" i="15"/>
  <c r="R73" i="15"/>
  <c r="R6" i="14" s="1"/>
  <c r="R12" i="14" s="1"/>
  <c r="R16" i="14" s="1"/>
  <c r="S57" i="15"/>
  <c r="T51" i="15"/>
  <c r="U50" i="15"/>
  <c r="U49" i="15"/>
  <c r="U48" i="15"/>
  <c r="S69" i="15"/>
  <c r="S75" i="15" s="1"/>
  <c r="S8" i="14" s="1"/>
  <c r="S14" i="14" s="1"/>
  <c r="S67" i="15"/>
  <c r="S68" i="15"/>
  <c r="S74" i="15" s="1"/>
  <c r="S7" i="14" s="1"/>
  <c r="S13" i="14" s="1"/>
  <c r="T55" i="15"/>
  <c r="T54" i="15"/>
  <c r="T56" i="15"/>
  <c r="T16" i="15"/>
  <c r="U7" i="15"/>
  <c r="U12" i="15"/>
  <c r="T15" i="15"/>
  <c r="X4" i="15"/>
  <c r="W5" i="15"/>
  <c r="V6" i="15"/>
  <c r="E12" i="11" l="1"/>
  <c r="P31" i="14"/>
  <c r="P33" i="14" s="1"/>
  <c r="Q27" i="14"/>
  <c r="Q21" i="14"/>
  <c r="Q28" i="14"/>
  <c r="Q20" i="14"/>
  <c r="Q16" i="14"/>
  <c r="Y24" i="14"/>
  <c r="Y25" i="14"/>
  <c r="Y26" i="14"/>
  <c r="Y22" i="14"/>
  <c r="Y15" i="14"/>
  <c r="Y23" i="14"/>
  <c r="Y19" i="14"/>
  <c r="Z3" i="14"/>
  <c r="R76" i="15"/>
  <c r="R9" i="14" s="1"/>
  <c r="S70" i="15"/>
  <c r="S73" i="15"/>
  <c r="S6" i="14" s="1"/>
  <c r="S12" i="14" s="1"/>
  <c r="S16" i="14" s="1"/>
  <c r="T57" i="15"/>
  <c r="U51" i="15"/>
  <c r="U54" i="15"/>
  <c r="U56" i="15"/>
  <c r="U55" i="15"/>
  <c r="T69" i="15"/>
  <c r="T68" i="15"/>
  <c r="T67" i="15"/>
  <c r="U15" i="15"/>
  <c r="T63" i="15"/>
  <c r="T75" i="15" s="1"/>
  <c r="T8" i="14" s="1"/>
  <c r="T14" i="14" s="1"/>
  <c r="T62" i="15"/>
  <c r="T74" i="15" s="1"/>
  <c r="T7" i="14" s="1"/>
  <c r="T13" i="14" s="1"/>
  <c r="T61" i="15"/>
  <c r="U16" i="15"/>
  <c r="V12" i="15"/>
  <c r="Y4" i="15"/>
  <c r="X5" i="15"/>
  <c r="W6" i="15"/>
  <c r="V7" i="15"/>
  <c r="V11" i="15"/>
  <c r="E17" i="11" l="1"/>
  <c r="E20" i="11" s="1"/>
  <c r="E21" i="11" s="1"/>
  <c r="E8" i="8" s="1"/>
  <c r="E11" i="9"/>
  <c r="E17" i="9" s="1"/>
  <c r="Q29" i="14"/>
  <c r="R28" i="14"/>
  <c r="R20" i="14"/>
  <c r="R29" i="14" s="1"/>
  <c r="R31" i="14" s="1"/>
  <c r="R33" i="14" s="1"/>
  <c r="R21" i="14"/>
  <c r="R27" i="14"/>
  <c r="Z25" i="14"/>
  <c r="Z26" i="14"/>
  <c r="Z23" i="14"/>
  <c r="Z24" i="14"/>
  <c r="Z19" i="14"/>
  <c r="Z15" i="14"/>
  <c r="Z22" i="14"/>
  <c r="AA3" i="14"/>
  <c r="S76" i="15"/>
  <c r="S9" i="14" s="1"/>
  <c r="T64" i="15"/>
  <c r="T70" i="15"/>
  <c r="T73" i="15"/>
  <c r="T6" i="14" s="1"/>
  <c r="T12" i="14" s="1"/>
  <c r="U57" i="15"/>
  <c r="V55" i="15"/>
  <c r="V56" i="15"/>
  <c r="V54" i="15"/>
  <c r="U69" i="15"/>
  <c r="U68" i="15"/>
  <c r="U67" i="15"/>
  <c r="U63" i="15"/>
  <c r="U62" i="15"/>
  <c r="U61" i="15"/>
  <c r="V49" i="15"/>
  <c r="V50" i="15"/>
  <c r="V48" i="15"/>
  <c r="V16" i="15"/>
  <c r="W11" i="15"/>
  <c r="V15" i="15"/>
  <c r="W7" i="15"/>
  <c r="X6" i="15"/>
  <c r="X7" i="15" s="1"/>
  <c r="Z4" i="15"/>
  <c r="Y5" i="15"/>
  <c r="W12" i="15"/>
  <c r="S20" i="14" l="1"/>
  <c r="S21" i="14"/>
  <c r="S27" i="14"/>
  <c r="S28" i="14"/>
  <c r="T16" i="14"/>
  <c r="Q31" i="14"/>
  <c r="AA26" i="14"/>
  <c r="AA23" i="14"/>
  <c r="AA24" i="14"/>
  <c r="AA19" i="14"/>
  <c r="AA22" i="14"/>
  <c r="AA15" i="14"/>
  <c r="AA25" i="14"/>
  <c r="AB3" i="14"/>
  <c r="U73" i="15"/>
  <c r="U6" i="14" s="1"/>
  <c r="T76" i="15"/>
  <c r="T9" i="14" s="1"/>
  <c r="U74" i="15"/>
  <c r="U7" i="14" s="1"/>
  <c r="U75" i="15"/>
  <c r="U8" i="14" s="1"/>
  <c r="U70" i="15"/>
  <c r="U64" i="15"/>
  <c r="V57" i="15"/>
  <c r="V51" i="15"/>
  <c r="W48" i="15"/>
  <c r="W50" i="15"/>
  <c r="W49" i="15"/>
  <c r="W55" i="15"/>
  <c r="W54" i="15"/>
  <c r="W56" i="15"/>
  <c r="V63" i="15"/>
  <c r="V62" i="15"/>
  <c r="V61" i="15"/>
  <c r="V69" i="15"/>
  <c r="V68" i="15"/>
  <c r="V67" i="15"/>
  <c r="W15" i="15"/>
  <c r="X12" i="15"/>
  <c r="W16" i="15"/>
  <c r="X11" i="15"/>
  <c r="Y6" i="15"/>
  <c r="AA4" i="15"/>
  <c r="Z5" i="15"/>
  <c r="T28" i="14" l="1"/>
  <c r="T20" i="14"/>
  <c r="T21" i="14"/>
  <c r="T27" i="14"/>
  <c r="U13" i="14"/>
  <c r="U12" i="14"/>
  <c r="U14" i="14"/>
  <c r="Q33" i="14"/>
  <c r="S29" i="14"/>
  <c r="AB23" i="14"/>
  <c r="AB24" i="14"/>
  <c r="AB25" i="14"/>
  <c r="AB22" i="14"/>
  <c r="AB15" i="14"/>
  <c r="AB26" i="14"/>
  <c r="AC3" i="14"/>
  <c r="AB19" i="14"/>
  <c r="V74" i="15"/>
  <c r="V7" i="14" s="1"/>
  <c r="V13" i="14" s="1"/>
  <c r="V75" i="15"/>
  <c r="V8" i="14" s="1"/>
  <c r="V14" i="14" s="1"/>
  <c r="U76" i="15"/>
  <c r="U9" i="14" s="1"/>
  <c r="V64" i="15"/>
  <c r="V70" i="15"/>
  <c r="V73" i="15"/>
  <c r="V6" i="14" s="1"/>
  <c r="V12" i="14" s="1"/>
  <c r="W57" i="15"/>
  <c r="W51" i="15"/>
  <c r="X48" i="15"/>
  <c r="X49" i="15"/>
  <c r="X50" i="15"/>
  <c r="X16" i="15"/>
  <c r="W68" i="15"/>
  <c r="W69" i="15"/>
  <c r="W67" i="15"/>
  <c r="X54" i="15"/>
  <c r="X55" i="15"/>
  <c r="X56" i="15"/>
  <c r="X15" i="15"/>
  <c r="W63" i="15"/>
  <c r="W62" i="15"/>
  <c r="W74" i="15" s="1"/>
  <c r="W7" i="14" s="1"/>
  <c r="W13" i="14" s="1"/>
  <c r="W61" i="15"/>
  <c r="Y11" i="15"/>
  <c r="Y12" i="15"/>
  <c r="Y7" i="15"/>
  <c r="Z6" i="15"/>
  <c r="AB4" i="15"/>
  <c r="AA5" i="15"/>
  <c r="U16" i="14" l="1"/>
  <c r="T29" i="14"/>
  <c r="T31" i="14" s="1"/>
  <c r="T33" i="14" s="1"/>
  <c r="U27" i="14"/>
  <c r="U28" i="14"/>
  <c r="U21" i="14"/>
  <c r="U20" i="14"/>
  <c r="V16" i="14"/>
  <c r="S31" i="14"/>
  <c r="AC24" i="14"/>
  <c r="AC25" i="14"/>
  <c r="AC26" i="14"/>
  <c r="AC22" i="14"/>
  <c r="AC23" i="14"/>
  <c r="AC15" i="14"/>
  <c r="AC19" i="14"/>
  <c r="AD3" i="14"/>
  <c r="V76" i="15"/>
  <c r="V9" i="14" s="1"/>
  <c r="W70" i="15"/>
  <c r="W75" i="15"/>
  <c r="W8" i="14" s="1"/>
  <c r="W14" i="14" s="1"/>
  <c r="W64" i="15"/>
  <c r="W73" i="15"/>
  <c r="W6" i="14" s="1"/>
  <c r="W12" i="14" s="1"/>
  <c r="X57" i="15"/>
  <c r="X51" i="15"/>
  <c r="Y54" i="15"/>
  <c r="Y55" i="15"/>
  <c r="Y56" i="15"/>
  <c r="X69" i="15"/>
  <c r="X67" i="15"/>
  <c r="X68" i="15"/>
  <c r="Y50" i="15"/>
  <c r="Y48" i="15"/>
  <c r="Y49" i="15"/>
  <c r="X63" i="15"/>
  <c r="X62" i="15"/>
  <c r="X61" i="15"/>
  <c r="Y15" i="15"/>
  <c r="Y16" i="15"/>
  <c r="Z11" i="15"/>
  <c r="Z7" i="15"/>
  <c r="Z12" i="15"/>
  <c r="AA6" i="15"/>
  <c r="AC4" i="15"/>
  <c r="AB5" i="15"/>
  <c r="U29" i="14" l="1"/>
  <c r="U31" i="14" s="1"/>
  <c r="U33" i="14" s="1"/>
  <c r="S33" i="14"/>
  <c r="W16" i="14"/>
  <c r="V21" i="14"/>
  <c r="V27" i="14"/>
  <c r="V28" i="14"/>
  <c r="V20" i="14"/>
  <c r="AD25" i="14"/>
  <c r="AD26" i="14"/>
  <c r="AD23" i="14"/>
  <c r="AD22" i="14"/>
  <c r="AD19" i="14"/>
  <c r="AD15" i="14"/>
  <c r="AE3" i="14"/>
  <c r="AD24" i="14"/>
  <c r="X74" i="15"/>
  <c r="X7" i="14" s="1"/>
  <c r="X13" i="14" s="1"/>
  <c r="X75" i="15"/>
  <c r="X8" i="14" s="1"/>
  <c r="X14" i="14" s="1"/>
  <c r="W76" i="15"/>
  <c r="W9" i="14" s="1"/>
  <c r="X70" i="15"/>
  <c r="X64" i="15"/>
  <c r="X73" i="15"/>
  <c r="X6" i="14" s="1"/>
  <c r="X12" i="14" s="1"/>
  <c r="X16" i="14" s="1"/>
  <c r="Y57" i="15"/>
  <c r="Z16" i="15"/>
  <c r="Z69" i="15" s="1"/>
  <c r="Y51" i="15"/>
  <c r="Y68" i="15"/>
  <c r="Y67" i="15"/>
  <c r="Y69" i="15"/>
  <c r="Z68" i="15"/>
  <c r="Z67" i="15"/>
  <c r="Z49" i="15"/>
  <c r="Z48" i="15"/>
  <c r="Z50" i="15"/>
  <c r="Z55" i="15"/>
  <c r="Z56" i="15"/>
  <c r="Z54" i="15"/>
  <c r="Y63" i="15"/>
  <c r="Y62" i="15"/>
  <c r="Y74" i="15" s="1"/>
  <c r="Y7" i="14" s="1"/>
  <c r="Y13" i="14" s="1"/>
  <c r="Y61" i="15"/>
  <c r="AA11" i="15"/>
  <c r="AA12" i="15"/>
  <c r="AA7" i="15"/>
  <c r="AA16" i="15" s="1"/>
  <c r="AB6" i="15"/>
  <c r="AB7" i="15" s="1"/>
  <c r="AD4" i="15"/>
  <c r="AC5" i="15"/>
  <c r="Z15" i="15"/>
  <c r="V29" i="14" l="1"/>
  <c r="W21" i="14"/>
  <c r="W27" i="14"/>
  <c r="W28" i="14"/>
  <c r="W20" i="14"/>
  <c r="AE26" i="14"/>
  <c r="AE23" i="14"/>
  <c r="AE24" i="14"/>
  <c r="AE19" i="14"/>
  <c r="AE25" i="14"/>
  <c r="AE15" i="14"/>
  <c r="AE22" i="14"/>
  <c r="AF3" i="14"/>
  <c r="Y70" i="15"/>
  <c r="Y75" i="15"/>
  <c r="Y8" i="14" s="1"/>
  <c r="Y14" i="14" s="1"/>
  <c r="X76" i="15"/>
  <c r="X9" i="14" s="1"/>
  <c r="Z57" i="15"/>
  <c r="Y64" i="15"/>
  <c r="Y73" i="15"/>
  <c r="Y6" i="14" s="1"/>
  <c r="Y12" i="14" s="1"/>
  <c r="Z70" i="15"/>
  <c r="Z51" i="15"/>
  <c r="AA48" i="15"/>
  <c r="AA50" i="15"/>
  <c r="AA49" i="15"/>
  <c r="AA69" i="15"/>
  <c r="AA68" i="15"/>
  <c r="AA67" i="15"/>
  <c r="AA15" i="15"/>
  <c r="Z63" i="15"/>
  <c r="Z75" i="15" s="1"/>
  <c r="Z8" i="14" s="1"/>
  <c r="Z14" i="14" s="1"/>
  <c r="Z62" i="15"/>
  <c r="Z74" i="15" s="1"/>
  <c r="Z7" i="14" s="1"/>
  <c r="Z13" i="14" s="1"/>
  <c r="Z61" i="15"/>
  <c r="Z73" i="15" s="1"/>
  <c r="Z6" i="14" s="1"/>
  <c r="Z12" i="14" s="1"/>
  <c r="Z16" i="14" s="1"/>
  <c r="AA54" i="15"/>
  <c r="AA55" i="15"/>
  <c r="AA56" i="15"/>
  <c r="AB16" i="15"/>
  <c r="AB11" i="15"/>
  <c r="AB12" i="15"/>
  <c r="AC6" i="15"/>
  <c r="AC7" i="15" s="1"/>
  <c r="AE4" i="15"/>
  <c r="AD5" i="15"/>
  <c r="Y16" i="14" l="1"/>
  <c r="W29" i="14"/>
  <c r="W31" i="14" s="1"/>
  <c r="W33" i="14" s="1"/>
  <c r="V31" i="14"/>
  <c r="X28" i="14"/>
  <c r="X20" i="14"/>
  <c r="X21" i="14"/>
  <c r="X27" i="14"/>
  <c r="AF23" i="14"/>
  <c r="AF24" i="14"/>
  <c r="AF25" i="14"/>
  <c r="AF26" i="14"/>
  <c r="AF15" i="14"/>
  <c r="AF22" i="14"/>
  <c r="AG3" i="14"/>
  <c r="AF19" i="14"/>
  <c r="Z76" i="15"/>
  <c r="Z9" i="14" s="1"/>
  <c r="Y76" i="15"/>
  <c r="Y9" i="14" s="1"/>
  <c r="AA57" i="15"/>
  <c r="Z64" i="15"/>
  <c r="AA70" i="15"/>
  <c r="AA51" i="15"/>
  <c r="AB54" i="15"/>
  <c r="AB55" i="15"/>
  <c r="AB56" i="15"/>
  <c r="AA62" i="15"/>
  <c r="AA74" i="15" s="1"/>
  <c r="AA7" i="14" s="1"/>
  <c r="AA13" i="14" s="1"/>
  <c r="AA63" i="15"/>
  <c r="AA75" i="15" s="1"/>
  <c r="AA8" i="14" s="1"/>
  <c r="AA14" i="14" s="1"/>
  <c r="AA61" i="15"/>
  <c r="AA73" i="15" s="1"/>
  <c r="AA6" i="14" s="1"/>
  <c r="AA12" i="14" s="1"/>
  <c r="AB50" i="15"/>
  <c r="AB49" i="15"/>
  <c r="AB48" i="15"/>
  <c r="AB68" i="15"/>
  <c r="AB67" i="15"/>
  <c r="AB69" i="15"/>
  <c r="AB15" i="15"/>
  <c r="AC15" i="15" s="1"/>
  <c r="AD6" i="15"/>
  <c r="AD7" i="15" s="1"/>
  <c r="AC12" i="15"/>
  <c r="AC11" i="15"/>
  <c r="AF4" i="15"/>
  <c r="AE5" i="15"/>
  <c r="AC16" i="15"/>
  <c r="AA16" i="14" l="1"/>
  <c r="Z21" i="14"/>
  <c r="Z27" i="14"/>
  <c r="Z28" i="14"/>
  <c r="Z20" i="14"/>
  <c r="Y20" i="14"/>
  <c r="Y28" i="14"/>
  <c r="Y21" i="14"/>
  <c r="Y27" i="14"/>
  <c r="V33" i="14"/>
  <c r="X29" i="14"/>
  <c r="AG24" i="14"/>
  <c r="AG25" i="14"/>
  <c r="AG26" i="14"/>
  <c r="AG22" i="14"/>
  <c r="AG15" i="14"/>
  <c r="AG19" i="14"/>
  <c r="AG23" i="14"/>
  <c r="AH3" i="14"/>
  <c r="AB70" i="15"/>
  <c r="AA76" i="15"/>
  <c r="AA9" i="14" s="1"/>
  <c r="AA64" i="15"/>
  <c r="AB57" i="15"/>
  <c r="AB51" i="15"/>
  <c r="AC67" i="15"/>
  <c r="AC69" i="15"/>
  <c r="AC68" i="15"/>
  <c r="AC62" i="15"/>
  <c r="AC63" i="15"/>
  <c r="AC61" i="15"/>
  <c r="AC54" i="15"/>
  <c r="AC56" i="15"/>
  <c r="AC55" i="15"/>
  <c r="AC49" i="15"/>
  <c r="AC50" i="15"/>
  <c r="AC48" i="15"/>
  <c r="AB63" i="15"/>
  <c r="AB75" i="15" s="1"/>
  <c r="AB8" i="14" s="1"/>
  <c r="AB14" i="14" s="1"/>
  <c r="AB62" i="15"/>
  <c r="AB74" i="15" s="1"/>
  <c r="AB7" i="14" s="1"/>
  <c r="AB13" i="14" s="1"/>
  <c r="AB61" i="15"/>
  <c r="AB73" i="15" s="1"/>
  <c r="AB6" i="14" s="1"/>
  <c r="AB12" i="14" s="1"/>
  <c r="AD16" i="15"/>
  <c r="AE6" i="15"/>
  <c r="AE7" i="15" s="1"/>
  <c r="AD12" i="15"/>
  <c r="AD15" i="15"/>
  <c r="AG4" i="15"/>
  <c r="AF5" i="15"/>
  <c r="AD11" i="15"/>
  <c r="Y29" i="14" l="1"/>
  <c r="Y31" i="14" s="1"/>
  <c r="Y33" i="14" s="1"/>
  <c r="F7" i="11"/>
  <c r="F32" i="9" s="1"/>
  <c r="F15" i="11"/>
  <c r="F14" i="9" s="1"/>
  <c r="F8" i="11"/>
  <c r="F33" i="9" s="1"/>
  <c r="F16" i="11"/>
  <c r="F15" i="9" s="1"/>
  <c r="AA27" i="14"/>
  <c r="AA28" i="14"/>
  <c r="AA20" i="14"/>
  <c r="AA21" i="14"/>
  <c r="F6" i="11"/>
  <c r="F14" i="11"/>
  <c r="F13" i="9" s="1"/>
  <c r="AB16" i="14"/>
  <c r="Z29" i="14"/>
  <c r="Z31" i="14" s="1"/>
  <c r="Z33" i="14" s="1"/>
  <c r="X31" i="14"/>
  <c r="AH25" i="14"/>
  <c r="AH26" i="14"/>
  <c r="AH23" i="14"/>
  <c r="AH22" i="14"/>
  <c r="AH19" i="14"/>
  <c r="AH24" i="14"/>
  <c r="AI3" i="14"/>
  <c r="AH15" i="14"/>
  <c r="AC64" i="15"/>
  <c r="AC74" i="15"/>
  <c r="AC7" i="14" s="1"/>
  <c r="AC70" i="15"/>
  <c r="AB76" i="15"/>
  <c r="AB9" i="14" s="1"/>
  <c r="AC73" i="15"/>
  <c r="AC6" i="14" s="1"/>
  <c r="AB64" i="15"/>
  <c r="AC75" i="15"/>
  <c r="AC8" i="14" s="1"/>
  <c r="AC57" i="15"/>
  <c r="AC51" i="15"/>
  <c r="AD68" i="15"/>
  <c r="AD67" i="15"/>
  <c r="AD69" i="15"/>
  <c r="AD49" i="15"/>
  <c r="AD48" i="15"/>
  <c r="AD50" i="15"/>
  <c r="AD56" i="15"/>
  <c r="AD55" i="15"/>
  <c r="AD54" i="15"/>
  <c r="AD62" i="15"/>
  <c r="AD63" i="15"/>
  <c r="AD61" i="15"/>
  <c r="AE12" i="15"/>
  <c r="AF6" i="15"/>
  <c r="AF7" i="15" s="1"/>
  <c r="AH4" i="15"/>
  <c r="AG5" i="15"/>
  <c r="AE11" i="15"/>
  <c r="AE15" i="15"/>
  <c r="AE16" i="15"/>
  <c r="F9" i="11" l="1"/>
  <c r="F31" i="9"/>
  <c r="AA29" i="14"/>
  <c r="AA31" i="14" s="1"/>
  <c r="AA33" i="14" s="1"/>
  <c r="AC13" i="14"/>
  <c r="AC12" i="14"/>
  <c r="AB28" i="14"/>
  <c r="AB20" i="14"/>
  <c r="AB29" i="14" s="1"/>
  <c r="F12" i="11" s="1"/>
  <c r="AB21" i="14"/>
  <c r="AB27" i="14"/>
  <c r="X33" i="14"/>
  <c r="AC14" i="14"/>
  <c r="AI26" i="14"/>
  <c r="AI23" i="14"/>
  <c r="AI24" i="14"/>
  <c r="AI22" i="14"/>
  <c r="AI19" i="14"/>
  <c r="AI25" i="14"/>
  <c r="AI15" i="14"/>
  <c r="AJ3" i="14"/>
  <c r="AD75" i="15"/>
  <c r="AD8" i="14" s="1"/>
  <c r="AD14" i="14" s="1"/>
  <c r="AD70" i="15"/>
  <c r="AD57" i="15"/>
  <c r="AC76" i="15"/>
  <c r="AC9" i="14" s="1"/>
  <c r="AD73" i="15"/>
  <c r="AD6" i="14" s="1"/>
  <c r="AD12" i="14" s="1"/>
  <c r="AD74" i="15"/>
  <c r="AD7" i="14" s="1"/>
  <c r="AD13" i="14" s="1"/>
  <c r="AD64" i="15"/>
  <c r="AD51" i="15"/>
  <c r="AE68" i="15"/>
  <c r="AE69" i="15"/>
  <c r="AE67" i="15"/>
  <c r="AE63" i="15"/>
  <c r="AE62" i="15"/>
  <c r="AE61" i="15"/>
  <c r="AE50" i="15"/>
  <c r="AE49" i="15"/>
  <c r="AE48" i="15"/>
  <c r="AE55" i="15"/>
  <c r="AE56" i="15"/>
  <c r="AE54" i="15"/>
  <c r="AF11" i="15"/>
  <c r="AF15" i="15"/>
  <c r="AF12" i="15"/>
  <c r="AF16" i="15"/>
  <c r="AG6" i="15"/>
  <c r="AG7" i="15" s="1"/>
  <c r="AI4" i="15"/>
  <c r="AH5" i="15"/>
  <c r="F17" i="11" l="1"/>
  <c r="F20" i="11" s="1"/>
  <c r="F21" i="11" s="1"/>
  <c r="F8" i="8" s="1"/>
  <c r="F11" i="9"/>
  <c r="F17" i="9" s="1"/>
  <c r="AC20" i="14"/>
  <c r="AC21" i="14"/>
  <c r="AC27" i="14"/>
  <c r="AC28" i="14"/>
  <c r="AC16" i="14"/>
  <c r="AB31" i="14"/>
  <c r="AD16" i="14"/>
  <c r="AJ23" i="14"/>
  <c r="AJ24" i="14"/>
  <c r="AJ25" i="14"/>
  <c r="AJ26" i="14"/>
  <c r="AJ15" i="14"/>
  <c r="AJ22" i="14"/>
  <c r="AK3" i="14"/>
  <c r="AJ19" i="14"/>
  <c r="AE73" i="15"/>
  <c r="AE6" i="14" s="1"/>
  <c r="AE12" i="14" s="1"/>
  <c r="AD76" i="15"/>
  <c r="AD9" i="14" s="1"/>
  <c r="AE70" i="15"/>
  <c r="AE74" i="15"/>
  <c r="AE7" i="14" s="1"/>
  <c r="AE13" i="14" s="1"/>
  <c r="AE75" i="15"/>
  <c r="AE8" i="14" s="1"/>
  <c r="AE64" i="15"/>
  <c r="AE57" i="15"/>
  <c r="AE51" i="15"/>
  <c r="AF67" i="15"/>
  <c r="AF68" i="15"/>
  <c r="AF69" i="15"/>
  <c r="AF56" i="15"/>
  <c r="AF55" i="15"/>
  <c r="AF54" i="15"/>
  <c r="AF63" i="15"/>
  <c r="AF62" i="15"/>
  <c r="AF61" i="15"/>
  <c r="AF49" i="15"/>
  <c r="AF50" i="15"/>
  <c r="AF48" i="15"/>
  <c r="AG15" i="15"/>
  <c r="AG12" i="15"/>
  <c r="AG11" i="15"/>
  <c r="AJ4" i="15"/>
  <c r="AI5" i="15"/>
  <c r="AH6" i="15"/>
  <c r="AH7" i="15" s="1"/>
  <c r="AH15" i="15" s="1"/>
  <c r="AG16" i="15"/>
  <c r="AE14" i="14" l="1"/>
  <c r="AE16" i="14"/>
  <c r="AB33" i="14"/>
  <c r="F31" i="10"/>
  <c r="F34" i="10" s="1"/>
  <c r="F37" i="10" s="1"/>
  <c r="AD21" i="14"/>
  <c r="AD20" i="14"/>
  <c r="AD27" i="14"/>
  <c r="AD28" i="14"/>
  <c r="AC29" i="14"/>
  <c r="AK24" i="14"/>
  <c r="AK25" i="14"/>
  <c r="AK26" i="14"/>
  <c r="AK22" i="14"/>
  <c r="AK15" i="14"/>
  <c r="AK23" i="14"/>
  <c r="AK19" i="14"/>
  <c r="AL3" i="14"/>
  <c r="AE76" i="15"/>
  <c r="AE9" i="14" s="1"/>
  <c r="AF70" i="15"/>
  <c r="AF75" i="15"/>
  <c r="AF8" i="14" s="1"/>
  <c r="AF14" i="14" s="1"/>
  <c r="AF74" i="15"/>
  <c r="AF7" i="14" s="1"/>
  <c r="AF13" i="14" s="1"/>
  <c r="AF57" i="15"/>
  <c r="AF64" i="15"/>
  <c r="AF73" i="15"/>
  <c r="AF6" i="14" s="1"/>
  <c r="AF51" i="15"/>
  <c r="AG68" i="15"/>
  <c r="AG67" i="15"/>
  <c r="AG69" i="15"/>
  <c r="AG49" i="15"/>
  <c r="AG48" i="15"/>
  <c r="AG50" i="15"/>
  <c r="AH63" i="15"/>
  <c r="AH62" i="15"/>
  <c r="AH61" i="15"/>
  <c r="AG56" i="15"/>
  <c r="AG54" i="15"/>
  <c r="AG55" i="15"/>
  <c r="AG63" i="15"/>
  <c r="AG62" i="15"/>
  <c r="AG61" i="15"/>
  <c r="AH11" i="15"/>
  <c r="AH16" i="15"/>
  <c r="AH12" i="15"/>
  <c r="AI6" i="15"/>
  <c r="AK4" i="15"/>
  <c r="AJ5" i="15"/>
  <c r="AF12" i="14" l="1"/>
  <c r="AC31" i="14"/>
  <c r="AE21" i="14"/>
  <c r="AE27" i="14"/>
  <c r="AE28" i="14"/>
  <c r="AE20" i="14"/>
  <c r="AD29" i="14"/>
  <c r="AD31" i="14" s="1"/>
  <c r="AD33" i="14" s="1"/>
  <c r="F38" i="10"/>
  <c r="F39" i="10" s="1"/>
  <c r="AL25" i="14"/>
  <c r="AL26" i="14"/>
  <c r="AL23" i="14"/>
  <c r="AL24" i="14"/>
  <c r="AL19" i="14"/>
  <c r="AL22" i="14"/>
  <c r="AL15" i="14"/>
  <c r="AM3" i="14"/>
  <c r="AG57" i="15"/>
  <c r="AG64" i="15"/>
  <c r="AF76" i="15"/>
  <c r="AF9" i="14" s="1"/>
  <c r="AG75" i="15"/>
  <c r="AG8" i="14" s="1"/>
  <c r="AG14" i="14" s="1"/>
  <c r="AG70" i="15"/>
  <c r="AG73" i="15"/>
  <c r="AG6" i="14" s="1"/>
  <c r="AG12" i="14" s="1"/>
  <c r="AH64" i="15"/>
  <c r="AG74" i="15"/>
  <c r="AG7" i="14" s="1"/>
  <c r="AG51" i="15"/>
  <c r="AH50" i="15"/>
  <c r="AH49" i="15"/>
  <c r="AH48" i="15"/>
  <c r="AH54" i="15"/>
  <c r="AH55" i="15"/>
  <c r="AH56" i="15"/>
  <c r="AH67" i="15"/>
  <c r="AH68" i="15"/>
  <c r="AH69" i="15"/>
  <c r="AI11" i="15"/>
  <c r="AI7" i="15"/>
  <c r="AI15" i="15" s="1"/>
  <c r="AI12" i="15"/>
  <c r="AJ6" i="15"/>
  <c r="AJ7" i="15" s="1"/>
  <c r="AL4" i="15"/>
  <c r="AK5" i="15"/>
  <c r="F5" i="8" l="1"/>
  <c r="F7" i="8" s="1"/>
  <c r="F10" i="8" s="1"/>
  <c r="F21" i="8" s="1"/>
  <c r="AE29" i="14"/>
  <c r="AE31" i="14" s="1"/>
  <c r="AE33" i="14" s="1"/>
  <c r="AF16" i="14"/>
  <c r="AG13" i="14"/>
  <c r="AG16" i="14" s="1"/>
  <c r="AF28" i="14"/>
  <c r="AF20" i="14"/>
  <c r="AF21" i="14"/>
  <c r="AF27" i="14"/>
  <c r="AC33" i="14"/>
  <c r="AM26" i="14"/>
  <c r="AM22" i="14"/>
  <c r="AM23" i="14"/>
  <c r="AM24" i="14"/>
  <c r="AM25" i="14"/>
  <c r="AM19" i="14"/>
  <c r="AM15" i="14"/>
  <c r="AN3" i="14"/>
  <c r="AH74" i="15"/>
  <c r="AH7" i="14" s="1"/>
  <c r="AH13" i="14" s="1"/>
  <c r="AG76" i="15"/>
  <c r="AG9" i="14" s="1"/>
  <c r="AH75" i="15"/>
  <c r="AH8" i="14" s="1"/>
  <c r="AH14" i="14" s="1"/>
  <c r="AH70" i="15"/>
  <c r="AH51" i="15"/>
  <c r="AH73" i="15"/>
  <c r="AH6" i="14" s="1"/>
  <c r="AH12" i="14" s="1"/>
  <c r="AH57" i="15"/>
  <c r="AI54" i="15"/>
  <c r="AI56" i="15"/>
  <c r="AI55" i="15"/>
  <c r="AI63" i="15"/>
  <c r="AI62" i="15"/>
  <c r="AI61" i="15"/>
  <c r="AI48" i="15"/>
  <c r="AI50" i="15"/>
  <c r="AI49" i="15"/>
  <c r="AJ15" i="15"/>
  <c r="AI16" i="15"/>
  <c r="AJ11" i="15"/>
  <c r="AJ12" i="15"/>
  <c r="AM4" i="15"/>
  <c r="AL5" i="15"/>
  <c r="AK6" i="15"/>
  <c r="AF29" i="14" l="1"/>
  <c r="AF31" i="14" s="1"/>
  <c r="AF33" i="14" s="1"/>
  <c r="AH16" i="14"/>
  <c r="AG21" i="14"/>
  <c r="AG20" i="14"/>
  <c r="AG28" i="14"/>
  <c r="AG27" i="14"/>
  <c r="AN23" i="14"/>
  <c r="AN24" i="14"/>
  <c r="AN25" i="14"/>
  <c r="AN22" i="14"/>
  <c r="AN15" i="14"/>
  <c r="AN19" i="14"/>
  <c r="AN26" i="14"/>
  <c r="AH76" i="15"/>
  <c r="AH9" i="14" s="1"/>
  <c r="AI64" i="15"/>
  <c r="AI57" i="15"/>
  <c r="AI51" i="15"/>
  <c r="AJ50" i="15"/>
  <c r="AJ48" i="15"/>
  <c r="AJ49" i="15"/>
  <c r="AJ16" i="15"/>
  <c r="AI69" i="15"/>
  <c r="AI75" i="15" s="1"/>
  <c r="AI8" i="14" s="1"/>
  <c r="AI14" i="14" s="1"/>
  <c r="AI67" i="15"/>
  <c r="AI68" i="15"/>
  <c r="AI74" i="15" s="1"/>
  <c r="AI7" i="14" s="1"/>
  <c r="AI13" i="14" s="1"/>
  <c r="AJ63" i="15"/>
  <c r="AJ62" i="15"/>
  <c r="AJ61" i="15"/>
  <c r="AJ56" i="15"/>
  <c r="AJ55" i="15"/>
  <c r="AJ54" i="15"/>
  <c r="AK11" i="15"/>
  <c r="AK7" i="15"/>
  <c r="AK15" i="15" s="1"/>
  <c r="AN4" i="15"/>
  <c r="AN5" i="15" s="1"/>
  <c r="AM5" i="15"/>
  <c r="AL6" i="15"/>
  <c r="AL7" i="15" s="1"/>
  <c r="AK12" i="15"/>
  <c r="E22" i="10" l="1"/>
  <c r="F22" i="10"/>
  <c r="G22" i="10"/>
  <c r="AG29" i="14"/>
  <c r="E15" i="10"/>
  <c r="F15" i="10"/>
  <c r="G15" i="10"/>
  <c r="E26" i="10"/>
  <c r="F26" i="10"/>
  <c r="G26" i="10"/>
  <c r="AH28" i="14"/>
  <c r="AH27" i="14"/>
  <c r="AH21" i="14"/>
  <c r="AH20" i="14"/>
  <c r="E23" i="10"/>
  <c r="F23" i="10"/>
  <c r="G23" i="10"/>
  <c r="E25" i="10"/>
  <c r="F25" i="10"/>
  <c r="G25" i="10"/>
  <c r="E19" i="10"/>
  <c r="F19" i="10"/>
  <c r="G19" i="10"/>
  <c r="E24" i="10"/>
  <c r="F24" i="10"/>
  <c r="G24" i="10"/>
  <c r="AJ64" i="15"/>
  <c r="AI70" i="15"/>
  <c r="AI73" i="15"/>
  <c r="AI6" i="14" s="1"/>
  <c r="AI12" i="14" s="1"/>
  <c r="AJ57" i="15"/>
  <c r="AJ51" i="15"/>
  <c r="AK63" i="15"/>
  <c r="AK62" i="15"/>
  <c r="AK61" i="15"/>
  <c r="AK50" i="15"/>
  <c r="AK48" i="15"/>
  <c r="AK49" i="15"/>
  <c r="AJ69" i="15"/>
  <c r="AJ75" i="15" s="1"/>
  <c r="AJ8" i="14" s="1"/>
  <c r="AJ14" i="14" s="1"/>
  <c r="AJ67" i="15"/>
  <c r="AJ73" i="15" s="1"/>
  <c r="AJ6" i="14" s="1"/>
  <c r="AJ12" i="14" s="1"/>
  <c r="AJ68" i="15"/>
  <c r="AJ74" i="15" s="1"/>
  <c r="AJ7" i="14" s="1"/>
  <c r="AJ13" i="14" s="1"/>
  <c r="AK54" i="15"/>
  <c r="AK56" i="15"/>
  <c r="AK55" i="15"/>
  <c r="AL15" i="15"/>
  <c r="AL12" i="15"/>
  <c r="AL11" i="15"/>
  <c r="AK16" i="15"/>
  <c r="AM6" i="15"/>
  <c r="AN6" i="15"/>
  <c r="AN7" i="15" s="1"/>
  <c r="AJ16" i="14" l="1"/>
  <c r="AI16" i="14"/>
  <c r="AG31" i="14"/>
  <c r="AH29" i="14"/>
  <c r="AH31" i="14" s="1"/>
  <c r="AH33" i="14" s="1"/>
  <c r="AK64" i="15"/>
  <c r="AI76" i="15"/>
  <c r="AI9" i="14" s="1"/>
  <c r="AJ76" i="15"/>
  <c r="AJ9" i="14" s="1"/>
  <c r="AJ70" i="15"/>
  <c r="AK57" i="15"/>
  <c r="AK51" i="15"/>
  <c r="AL16" i="15"/>
  <c r="AK69" i="15"/>
  <c r="AK75" i="15" s="1"/>
  <c r="AK8" i="14" s="1"/>
  <c r="AK14" i="14" s="1"/>
  <c r="AK68" i="15"/>
  <c r="AK74" i="15" s="1"/>
  <c r="AK7" i="14" s="1"/>
  <c r="AK13" i="14" s="1"/>
  <c r="AK67" i="15"/>
  <c r="AL55" i="15"/>
  <c r="AL54" i="15"/>
  <c r="AL56" i="15"/>
  <c r="AL48" i="15"/>
  <c r="AL49" i="15"/>
  <c r="AL50" i="15"/>
  <c r="AL63" i="15"/>
  <c r="AL62" i="15"/>
  <c r="AL61" i="15"/>
  <c r="AM12" i="15"/>
  <c r="AM11" i="15"/>
  <c r="AM7" i="15"/>
  <c r="AM15" i="15" s="1"/>
  <c r="AJ28" i="14" l="1"/>
  <c r="AJ20" i="14"/>
  <c r="AJ21" i="14"/>
  <c r="AJ27" i="14"/>
  <c r="AI20" i="14"/>
  <c r="AI21" i="14"/>
  <c r="AI27" i="14"/>
  <c r="AI28" i="14"/>
  <c r="AG33" i="14"/>
  <c r="AL57" i="15"/>
  <c r="AL64" i="15"/>
  <c r="AK70" i="15"/>
  <c r="AK73" i="15"/>
  <c r="AK6" i="14" s="1"/>
  <c r="AK12" i="14" s="1"/>
  <c r="AK16" i="14" s="1"/>
  <c r="AL51" i="15"/>
  <c r="AN15" i="15"/>
  <c r="AM63" i="15"/>
  <c r="AM62" i="15"/>
  <c r="AM61" i="15"/>
  <c r="AN11" i="15"/>
  <c r="AM50" i="15"/>
  <c r="AM49" i="15"/>
  <c r="AM48" i="15"/>
  <c r="AN12" i="15"/>
  <c r="AM55" i="15"/>
  <c r="AM56" i="15"/>
  <c r="AM54" i="15"/>
  <c r="AL67" i="15"/>
  <c r="AL68" i="15"/>
  <c r="AL74" i="15" s="1"/>
  <c r="AL7" i="14" s="1"/>
  <c r="AL13" i="14" s="1"/>
  <c r="AL69" i="15"/>
  <c r="AL75" i="15" s="1"/>
  <c r="AL8" i="14" s="1"/>
  <c r="AL14" i="14" s="1"/>
  <c r="AM16" i="15"/>
  <c r="AJ29" i="14" l="1"/>
  <c r="AJ31" i="14" s="1"/>
  <c r="AJ33" i="14" s="1"/>
  <c r="AM64" i="15"/>
  <c r="AI29" i="14"/>
  <c r="AI31" i="14" s="1"/>
  <c r="AK76" i="15"/>
  <c r="AK9" i="14" s="1"/>
  <c r="AL70" i="15"/>
  <c r="AL73" i="15"/>
  <c r="AL6" i="14" s="1"/>
  <c r="AL12" i="14" s="1"/>
  <c r="AL16" i="14" s="1"/>
  <c r="AM57" i="15"/>
  <c r="AM51" i="15"/>
  <c r="AN16" i="15"/>
  <c r="AM68" i="15"/>
  <c r="AM74" i="15" s="1"/>
  <c r="AM7" i="14" s="1"/>
  <c r="AM13" i="14" s="1"/>
  <c r="AM69" i="15"/>
  <c r="AM75" i="15" s="1"/>
  <c r="AM8" i="14" s="1"/>
  <c r="AM14" i="14" s="1"/>
  <c r="AM67" i="15"/>
  <c r="AM73" i="15" s="1"/>
  <c r="AM6" i="14" s="1"/>
  <c r="AM12" i="14" s="1"/>
  <c r="AN56" i="15"/>
  <c r="AN54" i="15"/>
  <c r="AN55" i="15"/>
  <c r="AN50" i="15"/>
  <c r="AN49" i="15"/>
  <c r="AN48" i="15"/>
  <c r="AN63" i="15"/>
  <c r="AN62" i="15"/>
  <c r="AN61" i="15"/>
  <c r="AM16" i="14" l="1"/>
  <c r="AI33" i="14"/>
  <c r="AK28" i="14"/>
  <c r="AK21" i="14"/>
  <c r="AK20" i="14"/>
  <c r="AK27" i="14"/>
  <c r="AN57" i="15"/>
  <c r="AL76" i="15"/>
  <c r="AL9" i="14" s="1"/>
  <c r="AM76" i="15"/>
  <c r="AM9" i="14" s="1"/>
  <c r="AN64" i="15"/>
  <c r="AN51" i="15"/>
  <c r="AM70" i="15"/>
  <c r="AN69" i="15"/>
  <c r="AN75" i="15" s="1"/>
  <c r="AN8" i="14" s="1"/>
  <c r="AN67" i="15"/>
  <c r="AN68" i="15"/>
  <c r="AN74" i="15" s="1"/>
  <c r="AN7" i="14" s="1"/>
  <c r="AN14" i="14" l="1"/>
  <c r="E8" i="10"/>
  <c r="F8" i="10"/>
  <c r="G8" i="10"/>
  <c r="AM27" i="14"/>
  <c r="AM28" i="14"/>
  <c r="AM20" i="14"/>
  <c r="AM29" i="14" s="1"/>
  <c r="AM31" i="14" s="1"/>
  <c r="AM33" i="14" s="1"/>
  <c r="AM21" i="14"/>
  <c r="AK29" i="14"/>
  <c r="AK31" i="14" s="1"/>
  <c r="AL21" i="14"/>
  <c r="AL27" i="14"/>
  <c r="AL28" i="14"/>
  <c r="AL20" i="14"/>
  <c r="AN13" i="14"/>
  <c r="E7" i="10"/>
  <c r="F7" i="10"/>
  <c r="G7" i="10"/>
  <c r="AN70" i="15"/>
  <c r="AN73" i="15"/>
  <c r="AN6" i="14" s="1"/>
  <c r="AN12" i="14" l="1"/>
  <c r="E6" i="10"/>
  <c r="F6" i="10"/>
  <c r="G6" i="10"/>
  <c r="G7" i="11"/>
  <c r="G32" i="9" s="1"/>
  <c r="G15" i="11"/>
  <c r="G14" i="9" s="1"/>
  <c r="E13" i="10"/>
  <c r="F13" i="10"/>
  <c r="G13" i="10"/>
  <c r="AL29" i="14"/>
  <c r="AL31" i="14" s="1"/>
  <c r="AL33" i="14" s="1"/>
  <c r="AK33" i="14"/>
  <c r="G8" i="11"/>
  <c r="G33" i="9" s="1"/>
  <c r="G16" i="11"/>
  <c r="G15" i="9" s="1"/>
  <c r="E14" i="10"/>
  <c r="F14" i="10"/>
  <c r="G14" i="10"/>
  <c r="AN76" i="15"/>
  <c r="AN9" i="14" s="1"/>
  <c r="AN28" i="14" l="1"/>
  <c r="AN20" i="14"/>
  <c r="AN21" i="14"/>
  <c r="AN27" i="14"/>
  <c r="E9" i="10"/>
  <c r="F9" i="10"/>
  <c r="F41" i="10" s="1"/>
  <c r="G9" i="10"/>
  <c r="G6" i="11"/>
  <c r="G14" i="11"/>
  <c r="G13" i="9" s="1"/>
  <c r="E12" i="10"/>
  <c r="F12" i="10"/>
  <c r="AN16" i="14"/>
  <c r="G12" i="10"/>
  <c r="G9" i="11" l="1"/>
  <c r="G31" i="9"/>
  <c r="E16" i="10"/>
  <c r="F16" i="10"/>
  <c r="G16" i="10"/>
  <c r="E27" i="10"/>
  <c r="F27" i="10"/>
  <c r="G27" i="10"/>
  <c r="E21" i="10"/>
  <c r="F21" i="10"/>
  <c r="G21" i="10"/>
  <c r="E20" i="10"/>
  <c r="F20" i="10"/>
  <c r="AN29" i="14"/>
  <c r="AN31" i="14" s="1"/>
  <c r="G20" i="10"/>
  <c r="E28" i="10"/>
  <c r="F28" i="10"/>
  <c r="G28" i="10"/>
  <c r="AN33" i="14" l="1"/>
  <c r="E31" i="10"/>
  <c r="E34" i="10" s="1"/>
  <c r="E37" i="10" s="1"/>
  <c r="G31" i="10"/>
  <c r="G34" i="10" s="1"/>
  <c r="G37" i="10" s="1"/>
  <c r="G12" i="11"/>
  <c r="E29" i="10"/>
  <c r="F29" i="10"/>
  <c r="G29" i="10"/>
  <c r="G17" i="11" l="1"/>
  <c r="G20" i="11" s="1"/>
  <c r="G21" i="11" s="1"/>
  <c r="G8" i="8" s="1"/>
  <c r="G11" i="9"/>
  <c r="G17" i="9" s="1"/>
  <c r="G38" i="10"/>
  <c r="G39" i="10" s="1"/>
  <c r="E38" i="10"/>
  <c r="E39" i="10" s="1"/>
  <c r="E6" i="9" l="1"/>
  <c r="E5" i="8"/>
  <c r="E7" i="8" s="1"/>
  <c r="E10" i="8" s="1"/>
  <c r="E21" i="8" s="1"/>
  <c r="E23" i="8" s="1"/>
  <c r="E41" i="10"/>
  <c r="G5" i="8"/>
  <c r="G7" i="8" s="1"/>
  <c r="G10" i="8" s="1"/>
  <c r="G21" i="8" s="1"/>
  <c r="G41" i="10"/>
  <c r="F6" i="9" l="1"/>
  <c r="E8" i="9"/>
  <c r="E19" i="9" s="1"/>
  <c r="E34" i="9"/>
  <c r="E36" i="9" s="1"/>
  <c r="F22" i="8"/>
  <c r="F23" i="8" s="1"/>
  <c r="F34" i="9" l="1"/>
  <c r="F36" i="9" s="1"/>
  <c r="G22" i="8"/>
  <c r="G23" i="8" s="1"/>
  <c r="G34" i="9" s="1"/>
  <c r="G36" i="9" s="1"/>
  <c r="G6" i="9"/>
  <c r="G8" i="9" s="1"/>
  <c r="G19" i="9" s="1"/>
  <c r="F8" i="9"/>
  <c r="F19" i="9" s="1"/>
</calcChain>
</file>

<file path=xl/sharedStrings.xml><?xml version="1.0" encoding="utf-8"?>
<sst xmlns="http://schemas.openxmlformats.org/spreadsheetml/2006/main" count="283" uniqueCount="173">
  <si>
    <t>Period of Construction of restaurant – 3 Months.</t>
  </si>
  <si>
    <t>Start of  Construction</t>
  </si>
  <si>
    <t>Construction period</t>
  </si>
  <si>
    <t>3 Months</t>
  </si>
  <si>
    <t>Date of Operations</t>
  </si>
  <si>
    <t>Revenue</t>
  </si>
  <si>
    <t>Particulars</t>
  </si>
  <si>
    <t>Weekdays</t>
  </si>
  <si>
    <t>Weekend</t>
  </si>
  <si>
    <t>Lunch</t>
  </si>
  <si>
    <t>Dinner</t>
  </si>
  <si>
    <t>APC</t>
  </si>
  <si>
    <t>Alcoholic Beverages</t>
  </si>
  <si>
    <t>Non Alcoholic Beverages</t>
  </si>
  <si>
    <t>Food</t>
  </si>
  <si>
    <t>Y-O-Y Growth price rate</t>
  </si>
  <si>
    <t>Y-O-Y Price Growth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</si>
  <si>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</si>
  <si>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</si>
  <si>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</si>
  <si>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</si>
  <si>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</si>
  <si>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</si>
  <si>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 xml:space="preserve">Direct Expenses </t>
  </si>
  <si>
    <t>Alcoholic Beverage cost (% of revenue)</t>
  </si>
  <si>
    <t>Non Alcoholic Beverages (% of revenue)</t>
  </si>
  <si>
    <t>Food (% of revenue)</t>
  </si>
  <si>
    <t>Salary</t>
  </si>
  <si>
    <t>Members of Team</t>
  </si>
  <si>
    <t>Number of Employees</t>
  </si>
  <si>
    <t>Salary / M</t>
  </si>
  <si>
    <t>Receptionist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</si>
  <si>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</si>
  <si>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</si>
  <si>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</si>
  <si>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</si>
  <si>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</si>
  <si>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</si>
  <si>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</si>
  <si>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</t>
  </si>
  <si>
    <t>Total</t>
  </si>
  <si>
    <t xml:space="preserve"> Staff salary will increase Y-o-Y basis </t>
  </si>
  <si>
    <t>Indirect Expenses</t>
  </si>
  <si>
    <t>HR Manager</t>
  </si>
  <si>
    <t>Assistant Manager</t>
  </si>
  <si>
    <t>Security</t>
  </si>
  <si>
    <t>Purchase Manager</t>
  </si>
  <si>
    <t>Accountant</t>
  </si>
  <si>
    <t xml:space="preserve"> Others </t>
  </si>
  <si>
    <t>Rotalty to brand (% Of Revenue)</t>
  </si>
  <si>
    <t>Rent (as per contract) (% of revenue)</t>
  </si>
  <si>
    <t>Water Cost (per month)</t>
  </si>
  <si>
    <t>Maintenance (per month)</t>
  </si>
  <si>
    <t>Marketing cost (per month)</t>
  </si>
  <si>
    <t>Electricity (Based on area Rs./sq. Ft.)</t>
  </si>
  <si>
    <t>Phone and internet (per month)</t>
  </si>
  <si>
    <t>Housekeeping  &amp; Consumables (% of revenue)</t>
  </si>
  <si>
    <t>Payment Settlement Charges (% or revenue)</t>
  </si>
  <si>
    <t>Numbers of Tables  occupied opting for card payment</t>
  </si>
  <si>
    <t xml:space="preserve"> Indirect expenses will increase Y-o-Y basis </t>
  </si>
  <si>
    <t>Area specifications</t>
  </si>
  <si>
    <t>Carpet Area required (Sq. ft.)</t>
  </si>
  <si>
    <t>Conversion Rate</t>
  </si>
  <si>
    <t>Super Built up area to be rented (Sq. ft.)</t>
  </si>
  <si>
    <t>Serving Area (% of carpet area)</t>
  </si>
  <si>
    <t>Serving Area</t>
  </si>
  <si>
    <t>Kitchen Area</t>
  </si>
  <si>
    <t>Area per cover (Sq.Ft.)</t>
  </si>
  <si>
    <t>Covers</t>
  </si>
  <si>
    <t>Sitting per table</t>
  </si>
  <si>
    <t>Number of Tables</t>
  </si>
  <si>
    <t>Capital Expenditure</t>
  </si>
  <si>
    <t>Equipments</t>
  </si>
  <si>
    <t>Rate per Sq Ft</t>
  </si>
  <si>
    <t>Kitchen Equipments and cutlery</t>
  </si>
  <si>
    <t>Refrigeration Equipments</t>
  </si>
  <si>
    <t>Furniture &amp; Fixtures</t>
  </si>
  <si>
    <t>Restaurants Décor</t>
  </si>
  <si>
    <t xml:space="preserve">Rent Deposits </t>
  </si>
  <si>
    <t>Working capital</t>
  </si>
  <si>
    <t>Days</t>
  </si>
  <si>
    <t>Initial working capital introduced</t>
  </si>
  <si>
    <t>Inventory</t>
  </si>
  <si>
    <t>Non-Alcoholic Beverages</t>
  </si>
  <si>
    <t>Creditor For Raw material</t>
  </si>
  <si>
    <t>Creditor For Expenses</t>
  </si>
  <si>
    <t xml:space="preserve">Depreciation </t>
  </si>
  <si>
    <t xml:space="preserve"> Equipments </t>
  </si>
  <si>
    <t xml:space="preserve"> Furniture &amp; Fixtures and Restaurant  décor </t>
  </si>
  <si>
    <t>Capital Structure</t>
  </si>
  <si>
    <t>Equity</t>
  </si>
  <si>
    <t>Debt</t>
  </si>
  <si>
    <t>Cash credit limit will be availed if required</t>
  </si>
  <si>
    <t>Rate of Interest on CC Limit</t>
  </si>
  <si>
    <t>Tax Rate</t>
  </si>
  <si>
    <t>End of sheet</t>
  </si>
  <si>
    <t>Currency in INR</t>
  </si>
  <si>
    <t xml:space="preserve">Model in </t>
  </si>
  <si>
    <t>ones</t>
  </si>
  <si>
    <t>tens</t>
  </si>
  <si>
    <t>hundreds</t>
  </si>
  <si>
    <t>thousands</t>
  </si>
  <si>
    <t>lakhs</t>
  </si>
  <si>
    <t>millions</t>
  </si>
  <si>
    <t>crores</t>
  </si>
  <si>
    <t xml:space="preserve">All final values in </t>
  </si>
  <si>
    <t>Operating days</t>
  </si>
  <si>
    <t>No. of Weekdays in a month</t>
  </si>
  <si>
    <t>No. of Weekends in a month</t>
  </si>
  <si>
    <t>Weekends</t>
  </si>
  <si>
    <t>No. of guests per day</t>
  </si>
  <si>
    <t>Revenue per month</t>
  </si>
  <si>
    <t>Total revenue for month</t>
  </si>
  <si>
    <t xml:space="preserve">Total </t>
  </si>
  <si>
    <t>Less : Direct Expenses</t>
  </si>
  <si>
    <t>Staff salary</t>
  </si>
  <si>
    <t>Total direct expenses</t>
  </si>
  <si>
    <t>Less : Indirect expenses</t>
  </si>
  <si>
    <t>Other staff salary</t>
  </si>
  <si>
    <t>Total indirect expenses</t>
  </si>
  <si>
    <t>EBITDA</t>
  </si>
  <si>
    <t>EBITDA Margin</t>
  </si>
  <si>
    <t>Fixed assets</t>
  </si>
  <si>
    <t>Add : Rent deposits</t>
  </si>
  <si>
    <t>Add : Working capital</t>
  </si>
  <si>
    <t>Total funds required</t>
  </si>
  <si>
    <t>Sources of funds</t>
  </si>
  <si>
    <t>Equity capital</t>
  </si>
  <si>
    <t>Total funds contributed</t>
  </si>
  <si>
    <t>Opening balance</t>
  </si>
  <si>
    <t>Add : Purchases</t>
  </si>
  <si>
    <t>Less : Depreciation</t>
  </si>
  <si>
    <t>Less : Sales</t>
  </si>
  <si>
    <t>Closing balance</t>
  </si>
  <si>
    <t>End of Sheet</t>
  </si>
  <si>
    <t>Current assets</t>
  </si>
  <si>
    <t>Current liabilities</t>
  </si>
  <si>
    <t>Creditor for expenses</t>
  </si>
  <si>
    <t>Creditor for raw material</t>
  </si>
  <si>
    <t>Changes in working capital</t>
  </si>
  <si>
    <t>EBIT</t>
  </si>
  <si>
    <t>Less : Interest</t>
  </si>
  <si>
    <t>EBT</t>
  </si>
  <si>
    <t>Less : Taxes</t>
  </si>
  <si>
    <t>EAT</t>
  </si>
  <si>
    <t>(Transferred to reserve )</t>
  </si>
  <si>
    <t>NP Margin %</t>
  </si>
  <si>
    <t>Operating activities</t>
  </si>
  <si>
    <t>Investing activities</t>
  </si>
  <si>
    <t>Financing activities</t>
  </si>
  <si>
    <t>Add : Non cash expenses</t>
  </si>
  <si>
    <t>Cash from operations</t>
  </si>
  <si>
    <t>Cash from operations before
Working Capital changes</t>
  </si>
  <si>
    <t>Add/Less : Changes in Working Capital</t>
  </si>
  <si>
    <t>Purchases of fixed assets</t>
  </si>
  <si>
    <t>Rent deposit</t>
  </si>
  <si>
    <t>Cash from investing activities</t>
  </si>
  <si>
    <t>Equity share capital</t>
  </si>
  <si>
    <t>Cash from financing activities</t>
  </si>
  <si>
    <t>Cash generated during the year</t>
  </si>
  <si>
    <t>Add : Opening balance</t>
  </si>
  <si>
    <t>Equity and liabilities</t>
  </si>
  <si>
    <t>Assets</t>
  </si>
  <si>
    <t>Share capital</t>
  </si>
  <si>
    <t>Reserves and Surplus</t>
  </si>
  <si>
    <t>Total shareholders fund</t>
  </si>
  <si>
    <t>Current Liabilities</t>
  </si>
  <si>
    <t>Total current liabilities</t>
  </si>
  <si>
    <t>Total liabilities</t>
  </si>
  <si>
    <t>Fixed Assets</t>
  </si>
  <si>
    <t>Rent deposits</t>
  </si>
  <si>
    <t xml:space="preserve">Cash &amp; Cash equivalents 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</si>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</sst>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[$-F800]dddd\,\ mmmm\ dd\,\ yyyy"/>
    <numFmt numFmtId="166" formatCode="&quot;Month&quot;\ 0"/>
    <numFmt numFmtId="167" formatCode="&quot;Year&quot;\ 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vertical="center"/>
    </xf>
    <xf numFmtId="15" fontId="8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5" fontId="8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5" xfId="0" applyBorder="1"/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5" fontId="8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9" fontId="0" fillId="0" borderId="12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14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0" fillId="0" borderId="13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3" fontId="0" fillId="5" borderId="14" xfId="0" applyNumberForma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3" fontId="0" fillId="5" borderId="12" xfId="0" applyNumberForma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5" borderId="13" xfId="0" applyNumberForma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9" fontId="3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3" fontId="0" fillId="0" borderId="14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10" fillId="0" borderId="0" xfId="0" applyFont="1" applyAlignment="1">
      <alignment vertical="center"/>
    </xf>
    <xf numFmtId="4" fontId="11" fillId="0" borderId="0" xfId="0" applyNumberFormat="1" applyFont="1" applyAlignment="1">
      <alignment horizontal="right" vertical="center"/>
    </xf>
    <xf numFmtId="0" fontId="11" fillId="0" borderId="0" xfId="0" applyFont="1"/>
    <xf numFmtId="9" fontId="1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9" fontId="0" fillId="0" borderId="14" xfId="0" applyNumberFormat="1" applyBorder="1" applyAlignment="1">
      <alignment horizontal="right" vertical="center"/>
    </xf>
    <xf numFmtId="9" fontId="0" fillId="0" borderId="13" xfId="0" applyNumberFormat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0" fillId="0" borderId="10" xfId="0" applyNumberFormat="1" applyBorder="1" applyAlignment="1">
      <alignment horizontal="right" vertical="center"/>
    </xf>
    <xf numFmtId="0" fontId="4" fillId="0" borderId="0" xfId="0" applyFont="1"/>
    <xf numFmtId="10" fontId="0" fillId="0" borderId="10" xfId="0" applyNumberFormat="1" applyBorder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165" fontId="2" fillId="10" borderId="0" xfId="0" applyNumberFormat="1" applyFont="1" applyFill="1"/>
    <xf numFmtId="166" fontId="2" fillId="10" borderId="0" xfId="0" applyNumberFormat="1" applyFont="1" applyFill="1"/>
    <xf numFmtId="43" fontId="0" fillId="0" borderId="0" xfId="1" applyFont="1"/>
    <xf numFmtId="0" fontId="12" fillId="0" borderId="0" xfId="0" applyFont="1"/>
    <xf numFmtId="43" fontId="5" fillId="11" borderId="0" xfId="1" applyFont="1" applyFill="1"/>
    <xf numFmtId="0" fontId="6" fillId="0" borderId="0" xfId="0" applyFont="1"/>
    <xf numFmtId="0" fontId="4" fillId="9" borderId="0" xfId="0" applyFont="1" applyFill="1"/>
    <xf numFmtId="0" fontId="3" fillId="12" borderId="12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 indent="1"/>
    </xf>
    <xf numFmtId="43" fontId="0" fillId="7" borderId="0" xfId="1" applyFont="1" applyFill="1"/>
    <xf numFmtId="0" fontId="0" fillId="0" borderId="0" xfId="0" applyAlignment="1">
      <alignment horizontal="left" indent="1"/>
    </xf>
    <xf numFmtId="0" fontId="4" fillId="0" borderId="16" xfId="0" applyFont="1" applyBorder="1" applyAlignment="1">
      <alignment horizontal="left" indent="1"/>
    </xf>
    <xf numFmtId="0" fontId="0" fillId="0" borderId="16" xfId="0" applyBorder="1"/>
    <xf numFmtId="43" fontId="0" fillId="0" borderId="16" xfId="1" applyFont="1" applyBorder="1"/>
    <xf numFmtId="0" fontId="4" fillId="0" borderId="0" xfId="0" applyFont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6" xfId="0" applyFont="1" applyBorder="1"/>
    <xf numFmtId="43" fontId="4" fillId="0" borderId="0" xfId="1" applyFont="1"/>
    <xf numFmtId="43" fontId="1" fillId="0" borderId="0" xfId="1" applyFont="1"/>
    <xf numFmtId="43" fontId="4" fillId="0" borderId="16" xfId="1" applyFont="1" applyBorder="1"/>
    <xf numFmtId="0" fontId="4" fillId="13" borderId="0" xfId="0" applyFont="1" applyFill="1"/>
    <xf numFmtId="0" fontId="4" fillId="7" borderId="0" xfId="0" applyFont="1" applyFill="1"/>
    <xf numFmtId="43" fontId="4" fillId="7" borderId="0" xfId="1" applyFont="1" applyFill="1"/>
    <xf numFmtId="0" fontId="4" fillId="7" borderId="0" xfId="0" applyFont="1" applyFill="1" applyAlignment="1">
      <alignment horizontal="left"/>
    </xf>
    <xf numFmtId="43" fontId="0" fillId="0" borderId="0" xfId="0" applyNumberFormat="1"/>
    <xf numFmtId="0" fontId="4" fillId="0" borderId="17" xfId="0" applyFont="1" applyBorder="1"/>
    <xf numFmtId="0" fontId="0" fillId="0" borderId="17" xfId="0" applyBorder="1"/>
    <xf numFmtId="43" fontId="0" fillId="0" borderId="17" xfId="1" applyFont="1" applyBorder="1"/>
    <xf numFmtId="10" fontId="0" fillId="0" borderId="0" xfId="2" applyNumberFormat="1" applyFont="1"/>
    <xf numFmtId="43" fontId="4" fillId="0" borderId="17" xfId="1" applyFont="1" applyBorder="1"/>
    <xf numFmtId="43" fontId="4" fillId="0" borderId="0" xfId="1" applyFont="1" applyBorder="1"/>
    <xf numFmtId="9" fontId="0" fillId="0" borderId="0" xfId="0" applyNumberFormat="1"/>
    <xf numFmtId="0" fontId="4" fillId="0" borderId="18" xfId="0" applyFont="1" applyBorder="1"/>
    <xf numFmtId="0" fontId="0" fillId="0" borderId="18" xfId="0" applyBorder="1"/>
    <xf numFmtId="43" fontId="4" fillId="0" borderId="18" xfId="1" applyFont="1" applyBorder="1"/>
    <xf numFmtId="166" fontId="5" fillId="10" borderId="0" xfId="0" applyNumberFormat="1" applyFont="1" applyFill="1"/>
    <xf numFmtId="15" fontId="5" fillId="10" borderId="0" xfId="0" applyNumberFormat="1" applyFont="1" applyFill="1"/>
    <xf numFmtId="167" fontId="5" fillId="10" borderId="0" xfId="0" applyNumberFormat="1" applyFont="1" applyFill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4" fillId="0" borderId="0" xfId="0" applyNumberFormat="1" applyFont="1"/>
    <xf numFmtId="43" fontId="4" fillId="0" borderId="18" xfId="0" applyNumberFormat="1" applyFont="1" applyBorder="1"/>
    <xf numFmtId="0" fontId="4" fillId="0" borderId="18" xfId="0" applyFont="1" applyBorder="1" applyAlignment="1">
      <alignment horizontal="left"/>
    </xf>
    <xf numFmtId="15" fontId="0" fillId="0" borderId="0" xfId="0" applyNumberFormat="1"/>
    <xf numFmtId="0" fontId="4" fillId="0" borderId="0" xfId="0" applyFont="1" applyAlignment="1">
      <alignment wrapText="1"/>
    </xf>
    <xf numFmtId="43" fontId="4" fillId="0" borderId="17" xfId="0" applyNumberFormat="1" applyFont="1" applyBorder="1"/>
    <xf numFmtId="43" fontId="0" fillId="0" borderId="0" xfId="1" applyFont="1" applyAlignment="1">
      <alignment horizontal="left" indent="1"/>
    </xf>
    <xf numFmtId="43" fontId="4" fillId="0" borderId="16" xfId="1" applyFont="1" applyBorder="1" applyAlignment="1">
      <alignment horizontal="left" indent="1"/>
    </xf>
    <xf numFmtId="43" fontId="4" fillId="0" borderId="0" xfId="1" applyFont="1" applyBorder="1" applyAlignment="1">
      <alignment horizontal="left" indent="1"/>
    </xf>
    <xf numFmtId="43" fontId="4" fillId="0" borderId="18" xfId="1" applyFont="1" applyBorder="1" applyAlignment="1">
      <alignment horizontal="left" inden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4" xfId="0" applyBorder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0" fillId="0" borderId="5" xfId="0" applyBorder="1" applyAlignment="1">
      <alignment horizontal="left" vertical="center" wrapText="1" indent="2"/>
    </xf>
    <xf numFmtId="0" fontId="0" fillId="0" borderId="4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36assumptio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6assump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EC4F-2E07-46AF-8189-9D50B0A94CD9}">
  <dimension ref="A1:J107"/>
  <sheetViews>
    <sheetView showGridLines="0" tabSelected="1" topLeftCell="A87" workbookViewId="0">
      <selection activeCell="A83" sqref="A83:F83"/>
    </sheetView>
  </sheetViews>
  <sheetFormatPr defaultColWidth="8.85546875" defaultRowHeight="15" x14ac:dyDescent="0.25"/>
  <cols>
    <col min="1" max="1" width="32" style="86" bestFit="1" customWidth="1"/>
    <col min="2" max="2" width="9.140625" customWidth="1"/>
    <col min="3" max="3" width="9" bestFit="1" customWidth="1"/>
    <col min="4" max="4" width="10.85546875" bestFit="1" customWidth="1"/>
    <col min="5" max="5" width="30.85546875" bestFit="1" customWidth="1"/>
    <col min="6" max="6" width="11.5703125" customWidth="1"/>
    <col min="7" max="7" width="13.85546875" style="2" bestFit="1" customWidth="1"/>
  </cols>
  <sheetData>
    <row r="1" spans="1:7" x14ac:dyDescent="0.25">
      <c r="A1" s="158" t="s">
        <v>0</v>
      </c>
      <c r="B1" s="158"/>
      <c r="C1" s="158"/>
      <c r="D1" s="158"/>
      <c r="E1" s="158"/>
      <c r="F1" s="158"/>
      <c r="G1" s="158"/>
    </row>
    <row r="2" spans="1:7" ht="15.75" thickBot="1" x14ac:dyDescent="0.3">
      <c r="A2" s="1"/>
    </row>
    <row r="3" spans="1:7" x14ac:dyDescent="0.25">
      <c r="A3" s="3" t="s">
        <v>1</v>
      </c>
      <c r="B3" s="4"/>
      <c r="C3" s="5"/>
      <c r="D3" s="5"/>
      <c r="E3" s="5"/>
      <c r="F3" s="6"/>
      <c r="G3" s="7">
        <v>43922</v>
      </c>
    </row>
    <row r="4" spans="1:7" x14ac:dyDescent="0.25">
      <c r="A4" s="8" t="s">
        <v>2</v>
      </c>
      <c r="B4" s="9"/>
      <c r="F4" s="10"/>
      <c r="G4" s="11" t="s">
        <v>3</v>
      </c>
    </row>
    <row r="5" spans="1:7" ht="15.75" thickBot="1" x14ac:dyDescent="0.3">
      <c r="A5" s="12" t="s">
        <v>4</v>
      </c>
      <c r="B5" s="13"/>
      <c r="C5" s="14"/>
      <c r="D5" s="14"/>
      <c r="E5" s="14"/>
      <c r="F5" s="15"/>
      <c r="G5" s="16">
        <f>EOMONTH(G3,2)+1</f>
        <v>44013</v>
      </c>
    </row>
    <row r="6" spans="1:7" x14ac:dyDescent="0.25">
      <c r="A6" s="158" t="s">
        <v>5</v>
      </c>
      <c r="B6" s="158"/>
      <c r="C6" s="158"/>
      <c r="D6" s="158"/>
      <c r="E6" s="158"/>
      <c r="F6" s="158"/>
      <c r="G6" s="158"/>
    </row>
    <row r="7" spans="1:7" ht="15.75" thickBot="1" x14ac:dyDescent="0.3">
      <c r="A7" s="17"/>
      <c r="B7" s="17"/>
      <c r="C7" s="17"/>
      <c r="D7" s="17"/>
      <c r="E7" s="17"/>
      <c r="F7" s="17"/>
      <c r="G7" s="17"/>
    </row>
    <row r="8" spans="1:7" ht="15.75" thickBot="1" x14ac:dyDescent="0.3">
      <c r="A8" s="18" t="s">
        <v>6</v>
      </c>
      <c r="B8" s="19" t="s">
        <v>7</v>
      </c>
      <c r="C8" s="20" t="s">
        <v>8</v>
      </c>
      <c r="E8" s="18" t="s">
        <v>6</v>
      </c>
      <c r="F8" s="19" t="s">
        <v>7</v>
      </c>
      <c r="G8" s="21" t="s">
        <v>8</v>
      </c>
    </row>
    <row r="9" spans="1:7" x14ac:dyDescent="0.25">
      <c r="A9" s="22" t="s">
        <v>9</v>
      </c>
      <c r="B9" s="23"/>
      <c r="C9" s="24"/>
      <c r="E9" s="25" t="s">
        <v>10</v>
      </c>
      <c r="F9" s="23"/>
      <c r="G9" s="24"/>
    </row>
    <row r="10" spans="1:7" x14ac:dyDescent="0.25">
      <c r="A10" s="26" t="s">
        <v>11</v>
      </c>
      <c r="B10" s="27">
        <f>SUBTOTAL(9,B11:B13)</f>
        <v>2100</v>
      </c>
      <c r="C10" s="27">
        <f>SUBTOTAL(9,C11:C13)</f>
        <v>2400</v>
      </c>
      <c r="E10" s="26" t="s">
        <v>11</v>
      </c>
      <c r="F10" s="27">
        <f>SUBTOTAL(9,F11:F13)</f>
        <v>2100</v>
      </c>
      <c r="G10" s="27">
        <f>SUBTOTAL(9,G11:G13)</f>
        <v>2400</v>
      </c>
    </row>
    <row r="11" spans="1:7" x14ac:dyDescent="0.25">
      <c r="A11" s="28" t="s">
        <v>12</v>
      </c>
      <c r="B11" s="98">
        <v>700</v>
      </c>
      <c r="C11" s="99">
        <v>1000</v>
      </c>
      <c r="E11" s="30" t="s">
        <v>12</v>
      </c>
      <c r="F11" s="98">
        <v>700</v>
      </c>
      <c r="G11" s="99">
        <v>1000</v>
      </c>
    </row>
    <row r="12" spans="1:7" x14ac:dyDescent="0.25">
      <c r="A12" s="28" t="s">
        <v>13</v>
      </c>
      <c r="B12" s="98">
        <v>300</v>
      </c>
      <c r="C12" s="99">
        <v>300</v>
      </c>
      <c r="E12" s="30" t="s">
        <v>13</v>
      </c>
      <c r="F12" s="98">
        <v>300</v>
      </c>
      <c r="G12" s="99">
        <v>300</v>
      </c>
    </row>
    <row r="13" spans="1:7" x14ac:dyDescent="0.25">
      <c r="A13" s="28" t="s">
        <v>14</v>
      </c>
      <c r="B13" s="98">
        <v>1100</v>
      </c>
      <c r="C13" s="99">
        <v>1100</v>
      </c>
      <c r="E13" s="30" t="s">
        <v>14</v>
      </c>
      <c r="F13" s="98">
        <v>1100</v>
      </c>
      <c r="G13" s="99">
        <v>1100</v>
      </c>
    </row>
    <row r="14" spans="1:7" x14ac:dyDescent="0.25">
      <c r="A14" s="28" t="s">
        <v>15</v>
      </c>
      <c r="B14" s="31">
        <v>0.05</v>
      </c>
      <c r="C14" s="32">
        <v>0.05</v>
      </c>
      <c r="E14" s="30" t="s">
        <v>16</v>
      </c>
      <c r="F14" s="31">
        <v>0.05</v>
      </c>
      <c r="G14" s="32">
        <v>0.05</v>
      </c>
    </row>
    <row r="15" spans="1:7" x14ac:dyDescent="0.25">
      <c r="A15" s="28"/>
      <c r="B15" s="23"/>
      <c r="C15" s="24"/>
      <c r="E15" s="30"/>
      <c r="F15" s="23"/>
      <c r="G15" s="24"/>
    </row>
    <row r="16" spans="1:7" x14ac:dyDescent="0.25">
      <c r="A16" s="28" t="s">
        <v>17</v>
      </c>
      <c r="B16" s="23"/>
      <c r="C16" s="24"/>
      <c r="E16" s="28" t="s">
        <v>17</v>
      </c>
      <c r="F16" s="23"/>
      <c r="G16" s="24"/>
    </row>
    <row r="17" spans="1:7" x14ac:dyDescent="0.25">
      <c r="A17" s="28" t="s">
        <v>18</v>
      </c>
      <c r="B17" s="23">
        <v>100</v>
      </c>
      <c r="C17" s="24">
        <v>100</v>
      </c>
      <c r="E17" s="30" t="s">
        <v>18</v>
      </c>
      <c r="F17" s="23">
        <v>100</v>
      </c>
      <c r="G17" s="24">
        <v>100</v>
      </c>
    </row>
    <row r="18" spans="1:7" x14ac:dyDescent="0.25">
      <c r="A18" s="28" t="s">
        <v>19</v>
      </c>
      <c r="B18" s="23">
        <v>2</v>
      </c>
      <c r="C18" s="24">
        <v>2</v>
      </c>
      <c r="E18" s="30" t="s">
        <v>19</v>
      </c>
      <c r="F18" s="23">
        <v>2</v>
      </c>
      <c r="G18" s="24">
        <v>2</v>
      </c>
    </row>
    <row r="19" spans="1:7" x14ac:dyDescent="0.25">
      <c r="A19" s="28" t="s">
        <v>20</v>
      </c>
      <c r="B19" s="33">
        <v>10</v>
      </c>
      <c r="C19" s="34">
        <v>13</v>
      </c>
      <c r="E19" s="30" t="s">
        <v>20</v>
      </c>
      <c r="F19" s="33">
        <v>13</v>
      </c>
      <c r="G19" s="34">
        <v>15</v>
      </c>
    </row>
    <row r="20" spans="1:7" x14ac:dyDescent="0.25">
      <c r="A20" s="28" t="s">
        <v>21</v>
      </c>
      <c r="B20" s="31">
        <v>0.02</v>
      </c>
      <c r="C20" s="32">
        <v>0.04</v>
      </c>
      <c r="E20" s="30" t="s">
        <v>21</v>
      </c>
      <c r="F20" s="31">
        <v>0.02</v>
      </c>
      <c r="G20" s="32">
        <v>0.04</v>
      </c>
    </row>
    <row r="21" spans="1:7" ht="15.75" thickBot="1" x14ac:dyDescent="0.3">
      <c r="A21" s="35" t="s">
        <v>22</v>
      </c>
      <c r="B21" s="36">
        <v>60</v>
      </c>
      <c r="C21" s="37">
        <v>80</v>
      </c>
      <c r="E21" s="38" t="s">
        <v>22</v>
      </c>
      <c r="F21" s="36">
        <v>70</v>
      </c>
      <c r="G21" s="37">
        <v>90</v>
      </c>
    </row>
    <row r="24" spans="1:7" ht="15.75" thickBot="1" x14ac:dyDescent="0.3">
      <c r="A24" s="167" t="s">
        <v>23</v>
      </c>
      <c r="B24" s="158"/>
      <c r="C24" s="158"/>
      <c r="D24" s="158"/>
      <c r="E24" s="158"/>
      <c r="F24" s="158"/>
      <c r="G24" s="158"/>
    </row>
    <row r="25" spans="1:7" x14ac:dyDescent="0.25">
      <c r="A25" s="159" t="s">
        <v>24</v>
      </c>
      <c r="B25" s="160"/>
      <c r="C25" s="160"/>
      <c r="D25" s="160"/>
      <c r="E25" s="160"/>
      <c r="F25" s="160"/>
      <c r="G25" s="39">
        <v>0.35</v>
      </c>
    </row>
    <row r="26" spans="1:7" x14ac:dyDescent="0.25">
      <c r="A26" s="165" t="s">
        <v>25</v>
      </c>
      <c r="B26" s="166"/>
      <c r="C26" s="166"/>
      <c r="D26" s="166"/>
      <c r="E26" s="166"/>
      <c r="F26" s="166"/>
      <c r="G26" s="31">
        <v>0.4</v>
      </c>
    </row>
    <row r="27" spans="1:7" ht="15.75" thickBot="1" x14ac:dyDescent="0.3">
      <c r="A27" s="161" t="s">
        <v>26</v>
      </c>
      <c r="B27" s="162"/>
      <c r="C27" s="162"/>
      <c r="D27" s="162"/>
      <c r="E27" s="162"/>
      <c r="F27" s="162"/>
      <c r="G27" s="41">
        <v>0.3</v>
      </c>
    </row>
    <row r="28" spans="1:7" x14ac:dyDescent="0.25">
      <c r="A28"/>
      <c r="G28"/>
    </row>
    <row r="29" spans="1:7" ht="15.75" thickBot="1" x14ac:dyDescent="0.3">
      <c r="A29" s="161" t="s">
        <v>27</v>
      </c>
      <c r="B29" s="162"/>
      <c r="C29" s="162"/>
      <c r="D29" s="162"/>
      <c r="E29" s="162"/>
      <c r="F29" s="162"/>
      <c r="G29" s="162"/>
    </row>
    <row r="30" spans="1:7" ht="15.75" thickBot="1" x14ac:dyDescent="0.3">
      <c r="A30" s="159" t="s">
        <v>28</v>
      </c>
      <c r="B30" s="160"/>
      <c r="C30" s="160"/>
      <c r="D30" s="189"/>
      <c r="E30" s="42" t="s">
        <v>29</v>
      </c>
      <c r="F30" s="43" t="s">
        <v>30</v>
      </c>
      <c r="G30" s="44" t="s">
        <v>30</v>
      </c>
    </row>
    <row r="31" spans="1:7" x14ac:dyDescent="0.25">
      <c r="A31" s="180" t="s">
        <v>31</v>
      </c>
      <c r="B31" s="181"/>
      <c r="C31" s="181"/>
      <c r="D31" s="182"/>
      <c r="E31" s="45">
        <v>2</v>
      </c>
      <c r="F31" s="46">
        <v>20000</v>
      </c>
      <c r="G31" s="47">
        <v>40000</v>
      </c>
    </row>
    <row r="32" spans="1:7" x14ac:dyDescent="0.25">
      <c r="A32" s="169" t="s">
        <v>32</v>
      </c>
      <c r="B32" s="170"/>
      <c r="C32" s="170"/>
      <c r="D32" s="171"/>
      <c r="E32" s="48">
        <v>2</v>
      </c>
      <c r="F32" s="23">
        <v>50000</v>
      </c>
      <c r="G32" s="49">
        <v>100000</v>
      </c>
    </row>
    <row r="33" spans="1:7" x14ac:dyDescent="0.25">
      <c r="A33" s="169" t="s">
        <v>33</v>
      </c>
      <c r="B33" s="170"/>
      <c r="C33" s="170"/>
      <c r="D33" s="171"/>
      <c r="E33" s="48">
        <v>10</v>
      </c>
      <c r="F33" s="23">
        <v>20000</v>
      </c>
      <c r="G33" s="49">
        <v>200000</v>
      </c>
    </row>
    <row r="34" spans="1:7" x14ac:dyDescent="0.25">
      <c r="A34" s="169" t="s">
        <v>34</v>
      </c>
      <c r="B34" s="170"/>
      <c r="C34" s="170"/>
      <c r="D34" s="171"/>
      <c r="E34" s="48">
        <v>1</v>
      </c>
      <c r="F34" s="23">
        <v>100000</v>
      </c>
      <c r="G34" s="49">
        <v>100000</v>
      </c>
    </row>
    <row r="35" spans="1:7" x14ac:dyDescent="0.25">
      <c r="A35" s="169" t="s">
        <v>35</v>
      </c>
      <c r="B35" s="170"/>
      <c r="C35" s="170"/>
      <c r="D35" s="171"/>
      <c r="E35" s="48">
        <v>2</v>
      </c>
      <c r="F35" s="23">
        <v>75000</v>
      </c>
      <c r="G35" s="49">
        <v>150000</v>
      </c>
    </row>
    <row r="36" spans="1:7" x14ac:dyDescent="0.25">
      <c r="A36" s="169" t="s">
        <v>36</v>
      </c>
      <c r="B36" s="170"/>
      <c r="C36" s="170"/>
      <c r="D36" s="171"/>
      <c r="E36" s="48">
        <v>6</v>
      </c>
      <c r="F36" s="23">
        <v>30000</v>
      </c>
      <c r="G36" s="49">
        <v>180000</v>
      </c>
    </row>
    <row r="37" spans="1:7" x14ac:dyDescent="0.25">
      <c r="A37" s="169" t="s">
        <v>37</v>
      </c>
      <c r="B37" s="170"/>
      <c r="C37" s="170"/>
      <c r="D37" s="171"/>
      <c r="E37" s="48">
        <v>3</v>
      </c>
      <c r="F37" s="23">
        <v>17000</v>
      </c>
      <c r="G37" s="49">
        <v>51000</v>
      </c>
    </row>
    <row r="38" spans="1:7" x14ac:dyDescent="0.25">
      <c r="A38" s="169" t="s">
        <v>38</v>
      </c>
      <c r="B38" s="170"/>
      <c r="C38" s="170"/>
      <c r="D38" s="171"/>
      <c r="E38" s="48">
        <v>5</v>
      </c>
      <c r="F38" s="23">
        <v>17000</v>
      </c>
      <c r="G38" s="49">
        <v>85000</v>
      </c>
    </row>
    <row r="39" spans="1:7" ht="15.75" thickBot="1" x14ac:dyDescent="0.3">
      <c r="A39" s="172" t="s">
        <v>39</v>
      </c>
      <c r="B39" s="173"/>
      <c r="C39" s="173"/>
      <c r="D39" s="174"/>
      <c r="E39" s="50">
        <v>4</v>
      </c>
      <c r="F39" s="36">
        <v>20000</v>
      </c>
      <c r="G39" s="51">
        <v>80000</v>
      </c>
    </row>
    <row r="40" spans="1:7" ht="15.75" thickBot="1" x14ac:dyDescent="0.3">
      <c r="A40" s="186" t="s">
        <v>40</v>
      </c>
      <c r="B40" s="187"/>
      <c r="C40" s="187"/>
      <c r="D40" s="187"/>
      <c r="E40" s="188"/>
      <c r="F40" s="36"/>
      <c r="G40" s="51">
        <f>SUM(G31:G39)</f>
        <v>986000</v>
      </c>
    </row>
    <row r="41" spans="1:7" x14ac:dyDescent="0.25">
      <c r="A41" s="52" t="s">
        <v>41</v>
      </c>
      <c r="G41" s="53">
        <v>0.08</v>
      </c>
    </row>
    <row r="42" spans="1:7" ht="15.75" thickBot="1" x14ac:dyDescent="0.3">
      <c r="A42" s="158" t="s">
        <v>42</v>
      </c>
      <c r="B42" s="158"/>
      <c r="C42" s="158"/>
      <c r="D42" s="158"/>
      <c r="E42" s="158"/>
      <c r="F42" s="158"/>
      <c r="G42" s="158"/>
    </row>
    <row r="43" spans="1:7" ht="15.75" thickBot="1" x14ac:dyDescent="0.3">
      <c r="A43" s="159" t="s">
        <v>28</v>
      </c>
      <c r="B43" s="160"/>
      <c r="C43" s="160"/>
      <c r="D43" s="189"/>
      <c r="E43" s="42" t="s">
        <v>29</v>
      </c>
      <c r="F43" s="43" t="s">
        <v>30</v>
      </c>
      <c r="G43" s="54" t="s">
        <v>30</v>
      </c>
    </row>
    <row r="44" spans="1:7" x14ac:dyDescent="0.25">
      <c r="A44" s="180" t="s">
        <v>43</v>
      </c>
      <c r="B44" s="181"/>
      <c r="C44" s="181"/>
      <c r="D44" s="181"/>
      <c r="E44" s="55">
        <v>1</v>
      </c>
      <c r="F44" s="46">
        <v>50000</v>
      </c>
      <c r="G44" s="56">
        <v>50000</v>
      </c>
    </row>
    <row r="45" spans="1:7" x14ac:dyDescent="0.25">
      <c r="A45" s="169" t="s">
        <v>44</v>
      </c>
      <c r="B45" s="170"/>
      <c r="C45" s="170"/>
      <c r="D45" s="170"/>
      <c r="E45" s="48">
        <v>2</v>
      </c>
      <c r="F45" s="23">
        <v>35000</v>
      </c>
      <c r="G45" s="57">
        <v>70000</v>
      </c>
    </row>
    <row r="46" spans="1:7" x14ac:dyDescent="0.25">
      <c r="A46" s="169" t="s">
        <v>45</v>
      </c>
      <c r="B46" s="170"/>
      <c r="C46" s="170"/>
      <c r="D46" s="170"/>
      <c r="E46" s="48">
        <v>2</v>
      </c>
      <c r="F46" s="23">
        <v>20000</v>
      </c>
      <c r="G46" s="57">
        <v>40000</v>
      </c>
    </row>
    <row r="47" spans="1:7" x14ac:dyDescent="0.25">
      <c r="A47" s="169" t="s">
        <v>46</v>
      </c>
      <c r="B47" s="170"/>
      <c r="C47" s="170"/>
      <c r="D47" s="170"/>
      <c r="E47" s="48">
        <v>2</v>
      </c>
      <c r="F47" s="23">
        <v>40000</v>
      </c>
      <c r="G47" s="57">
        <v>80000</v>
      </c>
    </row>
    <row r="48" spans="1:7" x14ac:dyDescent="0.25">
      <c r="A48" s="169" t="s">
        <v>47</v>
      </c>
      <c r="B48" s="170"/>
      <c r="C48" s="170"/>
      <c r="D48" s="170"/>
      <c r="E48" s="48">
        <v>2</v>
      </c>
      <c r="F48" s="23">
        <v>40000</v>
      </c>
      <c r="G48" s="57">
        <v>80000</v>
      </c>
    </row>
    <row r="49" spans="1:7" ht="15.75" thickBot="1" x14ac:dyDescent="0.3">
      <c r="A49" s="169" t="s">
        <v>48</v>
      </c>
      <c r="B49" s="170"/>
      <c r="C49" s="170"/>
      <c r="D49" s="170"/>
      <c r="E49" s="48">
        <v>2</v>
      </c>
      <c r="F49" s="23">
        <v>30000</v>
      </c>
      <c r="G49" s="57">
        <v>60000</v>
      </c>
    </row>
    <row r="50" spans="1:7" ht="15.75" thickBot="1" x14ac:dyDescent="0.3">
      <c r="A50" s="183" t="s">
        <v>40</v>
      </c>
      <c r="B50" s="184"/>
      <c r="C50" s="184"/>
      <c r="D50" s="184"/>
      <c r="E50" s="185"/>
      <c r="F50" s="58"/>
      <c r="G50" s="59">
        <f>SUM(G44:G49)</f>
        <v>380000</v>
      </c>
    </row>
    <row r="51" spans="1:7" ht="15.75" thickBot="1" x14ac:dyDescent="0.3">
      <c r="A51" s="60"/>
      <c r="B51" s="61"/>
      <c r="C51" s="60"/>
      <c r="D51" s="60"/>
      <c r="E51" s="60"/>
      <c r="F51" s="61"/>
      <c r="G51" s="62"/>
    </row>
    <row r="52" spans="1:7" x14ac:dyDescent="0.25">
      <c r="A52" s="180" t="s">
        <v>49</v>
      </c>
      <c r="B52" s="181"/>
      <c r="C52" s="181"/>
      <c r="D52" s="181"/>
      <c r="E52" s="181"/>
      <c r="F52" s="182"/>
      <c r="G52" s="39">
        <v>0.05</v>
      </c>
    </row>
    <row r="53" spans="1:7" x14ac:dyDescent="0.25">
      <c r="A53" s="169" t="s">
        <v>50</v>
      </c>
      <c r="B53" s="170"/>
      <c r="C53" s="170"/>
      <c r="D53" s="170"/>
      <c r="E53" s="170"/>
      <c r="F53" s="171"/>
      <c r="G53" s="31">
        <v>0.1</v>
      </c>
    </row>
    <row r="54" spans="1:7" x14ac:dyDescent="0.25">
      <c r="A54" s="169" t="s">
        <v>51</v>
      </c>
      <c r="B54" s="170"/>
      <c r="C54" s="170"/>
      <c r="D54" s="170"/>
      <c r="E54" s="170"/>
      <c r="F54" s="171"/>
      <c r="G54" s="63">
        <v>10000</v>
      </c>
    </row>
    <row r="55" spans="1:7" x14ac:dyDescent="0.25">
      <c r="A55" s="169" t="s">
        <v>52</v>
      </c>
      <c r="B55" s="170"/>
      <c r="C55" s="170"/>
      <c r="D55" s="170"/>
      <c r="E55" s="170"/>
      <c r="F55" s="171"/>
      <c r="G55" s="63">
        <v>50000</v>
      </c>
    </row>
    <row r="56" spans="1:7" x14ac:dyDescent="0.25">
      <c r="A56" s="169" t="s">
        <v>53</v>
      </c>
      <c r="B56" s="170"/>
      <c r="C56" s="170"/>
      <c r="D56" s="170"/>
      <c r="E56" s="170"/>
      <c r="F56" s="171"/>
      <c r="G56" s="29">
        <v>50000</v>
      </c>
    </row>
    <row r="57" spans="1:7" x14ac:dyDescent="0.25">
      <c r="A57" s="169" t="s">
        <v>54</v>
      </c>
      <c r="B57" s="170"/>
      <c r="C57" s="170"/>
      <c r="D57" s="170"/>
      <c r="E57" s="170"/>
      <c r="F57" s="171"/>
      <c r="G57" s="23">
        <v>5</v>
      </c>
    </row>
    <row r="58" spans="1:7" x14ac:dyDescent="0.25">
      <c r="A58" s="169" t="s">
        <v>55</v>
      </c>
      <c r="B58" s="170"/>
      <c r="C58" s="170"/>
      <c r="D58" s="170"/>
      <c r="E58" s="170"/>
      <c r="F58" s="171"/>
      <c r="G58" s="64">
        <v>15000</v>
      </c>
    </row>
    <row r="59" spans="1:7" x14ac:dyDescent="0.25">
      <c r="A59" s="169" t="s">
        <v>56</v>
      </c>
      <c r="B59" s="170"/>
      <c r="C59" s="170"/>
      <c r="D59" s="170"/>
      <c r="E59" s="170"/>
      <c r="F59" s="171"/>
      <c r="G59" s="31">
        <v>0.02</v>
      </c>
    </row>
    <row r="60" spans="1:7" x14ac:dyDescent="0.25">
      <c r="A60" s="169" t="s">
        <v>57</v>
      </c>
      <c r="B60" s="170"/>
      <c r="C60" s="170"/>
      <c r="D60" s="170"/>
      <c r="E60" s="170"/>
      <c r="F60" s="171"/>
      <c r="G60" s="65">
        <v>1.4999999999999999E-2</v>
      </c>
    </row>
    <row r="61" spans="1:7" ht="15.75" thickBot="1" x14ac:dyDescent="0.3">
      <c r="A61" s="172" t="s">
        <v>58</v>
      </c>
      <c r="B61" s="173"/>
      <c r="C61" s="173"/>
      <c r="D61" s="173"/>
      <c r="E61" s="173"/>
      <c r="F61" s="174"/>
      <c r="G61" s="41">
        <v>0.5</v>
      </c>
    </row>
    <row r="62" spans="1:7" x14ac:dyDescent="0.25">
      <c r="A62" s="66" t="s">
        <v>59</v>
      </c>
      <c r="B62" s="67"/>
      <c r="C62" s="68"/>
      <c r="D62" s="68"/>
      <c r="E62" s="68"/>
      <c r="F62" s="68"/>
      <c r="G62" s="69">
        <v>0.08</v>
      </c>
    </row>
    <row r="63" spans="1:7" x14ac:dyDescent="0.25">
      <c r="A63" s="70"/>
      <c r="B63" s="71"/>
    </row>
    <row r="64" spans="1:7" ht="15.75" thickBot="1" x14ac:dyDescent="0.3">
      <c r="A64" s="175" t="s">
        <v>60</v>
      </c>
      <c r="B64" s="175"/>
      <c r="C64" s="175"/>
      <c r="D64" s="175"/>
      <c r="E64" s="175"/>
      <c r="F64" s="175"/>
      <c r="G64" s="175"/>
    </row>
    <row r="65" spans="1:10" x14ac:dyDescent="0.25">
      <c r="A65" s="180" t="s">
        <v>61</v>
      </c>
      <c r="B65" s="181"/>
      <c r="C65" s="181"/>
      <c r="D65" s="181"/>
      <c r="E65" s="181"/>
      <c r="F65" s="182"/>
      <c r="G65" s="46">
        <v>4000</v>
      </c>
    </row>
    <row r="66" spans="1:10" x14ac:dyDescent="0.25">
      <c r="A66" s="169" t="s">
        <v>62</v>
      </c>
      <c r="B66" s="170"/>
      <c r="C66" s="170"/>
      <c r="D66" s="170"/>
      <c r="E66" s="170"/>
      <c r="F66" s="171"/>
      <c r="G66" s="23">
        <v>1.33</v>
      </c>
      <c r="J66">
        <f>G67*G57</f>
        <v>26600</v>
      </c>
    </row>
    <row r="67" spans="1:10" x14ac:dyDescent="0.25">
      <c r="A67" s="169" t="s">
        <v>63</v>
      </c>
      <c r="B67" s="170"/>
      <c r="C67" s="170"/>
      <c r="D67" s="170"/>
      <c r="E67" s="170"/>
      <c r="F67" s="171"/>
      <c r="G67" s="23">
        <f>G65*G66</f>
        <v>5320</v>
      </c>
    </row>
    <row r="68" spans="1:10" x14ac:dyDescent="0.25">
      <c r="A68" s="169" t="s">
        <v>64</v>
      </c>
      <c r="B68" s="170"/>
      <c r="C68" s="170"/>
      <c r="D68" s="170"/>
      <c r="E68" s="170"/>
      <c r="F68" s="171"/>
      <c r="G68" s="31">
        <v>0.75</v>
      </c>
    </row>
    <row r="69" spans="1:10" x14ac:dyDescent="0.25">
      <c r="A69" s="169" t="s">
        <v>65</v>
      </c>
      <c r="B69" s="170"/>
      <c r="C69" s="170"/>
      <c r="D69" s="170"/>
      <c r="E69" s="170"/>
      <c r="F69" s="171"/>
      <c r="G69" s="23">
        <v>3000</v>
      </c>
    </row>
    <row r="70" spans="1:10" x14ac:dyDescent="0.25">
      <c r="A70" s="169" t="s">
        <v>66</v>
      </c>
      <c r="B70" s="170"/>
      <c r="C70" s="170"/>
      <c r="D70" s="170"/>
      <c r="E70" s="170"/>
      <c r="F70" s="171"/>
      <c r="G70" s="23">
        <v>1000</v>
      </c>
    </row>
    <row r="71" spans="1:10" x14ac:dyDescent="0.25">
      <c r="A71" s="169" t="s">
        <v>67</v>
      </c>
      <c r="B71" s="170"/>
      <c r="C71" s="170"/>
      <c r="D71" s="170"/>
      <c r="E71" s="170"/>
      <c r="F71" s="171"/>
      <c r="G71" s="23">
        <v>25</v>
      </c>
    </row>
    <row r="72" spans="1:10" x14ac:dyDescent="0.25">
      <c r="A72" s="169" t="s">
        <v>68</v>
      </c>
      <c r="B72" s="170"/>
      <c r="C72" s="170"/>
      <c r="D72" s="170"/>
      <c r="E72" s="170"/>
      <c r="F72" s="171"/>
      <c r="G72" s="23">
        <v>100</v>
      </c>
    </row>
    <row r="73" spans="1:10" x14ac:dyDescent="0.25">
      <c r="A73" s="169" t="s">
        <v>69</v>
      </c>
      <c r="B73" s="170"/>
      <c r="C73" s="170"/>
      <c r="D73" s="170"/>
      <c r="E73" s="170"/>
      <c r="F73" s="171"/>
      <c r="G73" s="23">
        <v>4</v>
      </c>
    </row>
    <row r="74" spans="1:10" ht="15.75" thickBot="1" x14ac:dyDescent="0.3">
      <c r="A74" s="172" t="s">
        <v>70</v>
      </c>
      <c r="B74" s="173"/>
      <c r="C74" s="173"/>
      <c r="D74" s="173"/>
      <c r="E74" s="173"/>
      <c r="F74" s="174"/>
      <c r="G74" s="36">
        <v>30</v>
      </c>
    </row>
    <row r="75" spans="1:10" x14ac:dyDescent="0.25">
      <c r="A75" s="165"/>
      <c r="B75" s="166"/>
      <c r="C75" s="166"/>
      <c r="D75" s="166"/>
      <c r="E75" s="166"/>
      <c r="F75" s="166"/>
      <c r="G75" s="72"/>
    </row>
    <row r="77" spans="1:10" ht="15.75" thickBot="1" x14ac:dyDescent="0.3">
      <c r="A77" s="167" t="s">
        <v>71</v>
      </c>
      <c r="B77" s="158"/>
      <c r="C77" s="158"/>
      <c r="D77" s="158"/>
      <c r="E77" s="158"/>
      <c r="F77" s="158"/>
      <c r="G77" s="158"/>
    </row>
    <row r="78" spans="1:10" ht="15.75" thickBot="1" x14ac:dyDescent="0.3">
      <c r="A78" s="163" t="s">
        <v>72</v>
      </c>
      <c r="B78" s="164"/>
      <c r="C78" s="164"/>
      <c r="D78" s="164"/>
      <c r="E78" s="164"/>
      <c r="F78" s="168"/>
      <c r="G78" s="73" t="s">
        <v>73</v>
      </c>
    </row>
    <row r="79" spans="1:10" x14ac:dyDescent="0.25">
      <c r="A79" s="169" t="s">
        <v>74</v>
      </c>
      <c r="B79" s="170"/>
      <c r="C79" s="170"/>
      <c r="D79" s="170"/>
      <c r="E79" s="170"/>
      <c r="F79" s="171"/>
      <c r="G79" s="63">
        <v>3000</v>
      </c>
    </row>
    <row r="80" spans="1:10" x14ac:dyDescent="0.25">
      <c r="A80" s="169" t="s">
        <v>75</v>
      </c>
      <c r="B80" s="170"/>
      <c r="C80" s="170"/>
      <c r="D80" s="170"/>
      <c r="E80" s="170"/>
      <c r="F80" s="171"/>
      <c r="G80" s="63">
        <v>5000</v>
      </c>
    </row>
    <row r="81" spans="1:7" x14ac:dyDescent="0.25">
      <c r="A81" s="169" t="s">
        <v>76</v>
      </c>
      <c r="B81" s="170"/>
      <c r="C81" s="170"/>
      <c r="D81" s="170"/>
      <c r="E81" s="170"/>
      <c r="F81" s="171"/>
      <c r="G81" s="63">
        <v>1700</v>
      </c>
    </row>
    <row r="82" spans="1:7" x14ac:dyDescent="0.25">
      <c r="A82" s="169" t="s">
        <v>77</v>
      </c>
      <c r="B82" s="170"/>
      <c r="C82" s="170"/>
      <c r="D82" s="170"/>
      <c r="E82" s="170"/>
      <c r="F82" s="171"/>
      <c r="G82" s="63">
        <v>2000</v>
      </c>
    </row>
    <row r="83" spans="1:7" ht="15.75" thickBot="1" x14ac:dyDescent="0.3">
      <c r="A83" s="172" t="s">
        <v>78</v>
      </c>
      <c r="B83" s="173"/>
      <c r="C83" s="173"/>
      <c r="D83" s="173"/>
      <c r="E83" s="173"/>
      <c r="F83" s="174"/>
      <c r="G83" s="74">
        <v>1000000</v>
      </c>
    </row>
    <row r="85" spans="1:7" ht="15.75" thickBot="1" x14ac:dyDescent="0.3">
      <c r="A85" s="175" t="s">
        <v>79</v>
      </c>
      <c r="B85" s="175"/>
      <c r="C85" s="175"/>
      <c r="D85" s="175"/>
      <c r="E85" s="175"/>
      <c r="F85" s="175"/>
      <c r="G85" s="175"/>
    </row>
    <row r="86" spans="1:7" ht="15.75" thickBot="1" x14ac:dyDescent="0.3">
      <c r="A86" s="176"/>
      <c r="B86" s="177"/>
      <c r="C86" s="177"/>
      <c r="D86" s="177"/>
      <c r="E86" s="177"/>
      <c r="F86" s="178"/>
      <c r="G86" s="75" t="s">
        <v>80</v>
      </c>
    </row>
    <row r="87" spans="1:7" ht="15.75" thickBot="1" x14ac:dyDescent="0.3">
      <c r="A87" s="76" t="s">
        <v>81</v>
      </c>
      <c r="B87" s="17"/>
      <c r="C87" s="17"/>
      <c r="D87" s="17"/>
      <c r="E87" s="17"/>
      <c r="F87" s="77"/>
      <c r="G87" s="78">
        <f>2400000</f>
        <v>2400000</v>
      </c>
    </row>
    <row r="88" spans="1:7" x14ac:dyDescent="0.25">
      <c r="A88" s="165" t="s">
        <v>82</v>
      </c>
      <c r="B88" s="166"/>
      <c r="C88" s="166"/>
      <c r="D88" s="166"/>
      <c r="E88" s="166"/>
      <c r="F88" s="179"/>
      <c r="G88" s="79"/>
    </row>
    <row r="89" spans="1:7" x14ac:dyDescent="0.25">
      <c r="A89" s="146" t="s">
        <v>12</v>
      </c>
      <c r="B89" s="147"/>
      <c r="C89" s="147"/>
      <c r="D89" s="147"/>
      <c r="E89" s="147"/>
      <c r="F89" s="148"/>
      <c r="G89" s="23">
        <v>30</v>
      </c>
    </row>
    <row r="90" spans="1:7" x14ac:dyDescent="0.25">
      <c r="A90" s="146" t="s">
        <v>83</v>
      </c>
      <c r="B90" s="147"/>
      <c r="C90" s="147"/>
      <c r="D90" s="147"/>
      <c r="E90" s="147"/>
      <c r="F90" s="148"/>
      <c r="G90" s="23">
        <v>15</v>
      </c>
    </row>
    <row r="91" spans="1:7" x14ac:dyDescent="0.25">
      <c r="A91" s="149" t="s">
        <v>14</v>
      </c>
      <c r="B91" s="150"/>
      <c r="C91" s="150"/>
      <c r="D91" s="150"/>
      <c r="E91" s="150"/>
      <c r="F91" s="151"/>
      <c r="G91" s="23">
        <v>5</v>
      </c>
    </row>
    <row r="92" spans="1:7" x14ac:dyDescent="0.25">
      <c r="A92" s="152" t="s">
        <v>84</v>
      </c>
      <c r="B92" s="153"/>
      <c r="C92" s="153"/>
      <c r="D92" s="153"/>
      <c r="E92" s="153"/>
      <c r="F92" s="154"/>
      <c r="G92" s="23">
        <v>30</v>
      </c>
    </row>
    <row r="93" spans="1:7" ht="15.75" thickBot="1" x14ac:dyDescent="0.3">
      <c r="A93" s="155" t="s">
        <v>85</v>
      </c>
      <c r="B93" s="156"/>
      <c r="C93" s="156"/>
      <c r="D93" s="156"/>
      <c r="E93" s="156"/>
      <c r="F93" s="157"/>
      <c r="G93" s="36">
        <v>30</v>
      </c>
    </row>
    <row r="94" spans="1:7" x14ac:dyDescent="0.25">
      <c r="A94" s="81"/>
      <c r="B94" s="80"/>
      <c r="C94" s="80"/>
      <c r="D94" s="80"/>
      <c r="E94" s="80"/>
      <c r="F94" s="80"/>
      <c r="G94" s="61"/>
    </row>
    <row r="95" spans="1:7" ht="15.75" thickBot="1" x14ac:dyDescent="0.3">
      <c r="A95" s="158" t="s">
        <v>86</v>
      </c>
      <c r="B95" s="158"/>
      <c r="C95" s="158"/>
      <c r="D95" s="158"/>
      <c r="E95" s="158"/>
      <c r="F95" s="158"/>
      <c r="G95" s="158"/>
    </row>
    <row r="96" spans="1:7" x14ac:dyDescent="0.25">
      <c r="A96" s="159" t="s">
        <v>87</v>
      </c>
      <c r="B96" s="160"/>
      <c r="C96" s="160"/>
      <c r="D96" s="160"/>
      <c r="E96" s="160"/>
      <c r="F96" s="160"/>
      <c r="G96" s="82">
        <v>0.15</v>
      </c>
    </row>
    <row r="97" spans="1:7" ht="15.75" thickBot="1" x14ac:dyDescent="0.3">
      <c r="A97" s="161" t="s">
        <v>88</v>
      </c>
      <c r="B97" s="162"/>
      <c r="C97" s="162"/>
      <c r="D97" s="162"/>
      <c r="E97" s="162"/>
      <c r="F97" s="162"/>
      <c r="G97" s="83">
        <v>0.1</v>
      </c>
    </row>
    <row r="98" spans="1:7" x14ac:dyDescent="0.25">
      <c r="A98" s="81"/>
      <c r="B98" s="61"/>
      <c r="C98" s="80"/>
      <c r="D98" s="80"/>
      <c r="E98" s="80"/>
      <c r="F98" s="80"/>
      <c r="G98"/>
    </row>
    <row r="99" spans="1:7" ht="15.75" thickBot="1" x14ac:dyDescent="0.3">
      <c r="A99" s="158" t="s">
        <v>89</v>
      </c>
      <c r="B99" s="158"/>
      <c r="C99" s="158"/>
      <c r="D99" s="158"/>
      <c r="E99" s="158"/>
      <c r="F99" s="158"/>
      <c r="G99" s="158"/>
    </row>
    <row r="100" spans="1:7" x14ac:dyDescent="0.25">
      <c r="A100" s="159" t="s">
        <v>90</v>
      </c>
      <c r="B100" s="160"/>
      <c r="C100" s="160"/>
      <c r="D100" s="160"/>
      <c r="E100" s="160"/>
      <c r="F100" s="160"/>
      <c r="G100" s="82">
        <v>1</v>
      </c>
    </row>
    <row r="101" spans="1:7" ht="15.75" thickBot="1" x14ac:dyDescent="0.3">
      <c r="A101" s="161" t="s">
        <v>91</v>
      </c>
      <c r="B101" s="162"/>
      <c r="C101" s="162"/>
      <c r="D101" s="162"/>
      <c r="E101" s="162"/>
      <c r="F101" s="162"/>
      <c r="G101" s="83">
        <f>G100-1</f>
        <v>0</v>
      </c>
    </row>
    <row r="102" spans="1:7" ht="15.75" thickBot="1" x14ac:dyDescent="0.3">
      <c r="A102" s="40" t="s">
        <v>92</v>
      </c>
      <c r="B102" s="40"/>
      <c r="C102" s="40"/>
      <c r="D102" s="40"/>
      <c r="E102" s="40"/>
      <c r="F102" s="40"/>
      <c r="G102" s="84"/>
    </row>
    <row r="103" spans="1:7" ht="15.75" thickBot="1" x14ac:dyDescent="0.3">
      <c r="A103" s="163" t="s">
        <v>93</v>
      </c>
      <c r="B103" s="164"/>
      <c r="C103" s="164"/>
      <c r="D103" s="164"/>
      <c r="E103" s="164"/>
      <c r="F103" s="164"/>
      <c r="G103" s="85">
        <v>0.12</v>
      </c>
    </row>
    <row r="104" spans="1:7" ht="15.75" thickBot="1" x14ac:dyDescent="0.3">
      <c r="B104" s="86"/>
      <c r="C104" s="86"/>
      <c r="D104" s="86"/>
      <c r="E104" s="86"/>
      <c r="F104" s="86"/>
    </row>
    <row r="105" spans="1:7" ht="15.75" thickBot="1" x14ac:dyDescent="0.3">
      <c r="A105" s="144" t="s">
        <v>94</v>
      </c>
      <c r="B105" s="145"/>
      <c r="C105" s="145"/>
      <c r="D105" s="145"/>
      <c r="E105" s="145"/>
      <c r="F105" s="145"/>
      <c r="G105" s="87">
        <v>0.25169999999999998</v>
      </c>
    </row>
    <row r="107" spans="1:7" s="88" customFormat="1" x14ac:dyDescent="0.25">
      <c r="A107" s="88" t="s">
        <v>95</v>
      </c>
    </row>
  </sheetData>
  <mergeCells count="72">
    <mergeCell ref="A34:D34"/>
    <mergeCell ref="A1:G1"/>
    <mergeCell ref="A6:G6"/>
    <mergeCell ref="A24:G24"/>
    <mergeCell ref="A25:F25"/>
    <mergeCell ref="A26:F26"/>
    <mergeCell ref="A27:F27"/>
    <mergeCell ref="A29:G29"/>
    <mergeCell ref="A30:D30"/>
    <mergeCell ref="A31:D31"/>
    <mergeCell ref="A32:D32"/>
    <mergeCell ref="A33:D33"/>
    <mergeCell ref="A47:D47"/>
    <mergeCell ref="A35:D35"/>
    <mergeCell ref="A36:D36"/>
    <mergeCell ref="A37:D37"/>
    <mergeCell ref="A38:D38"/>
    <mergeCell ref="A39:D39"/>
    <mergeCell ref="A40:E40"/>
    <mergeCell ref="A42:G42"/>
    <mergeCell ref="A43:D43"/>
    <mergeCell ref="A44:D44"/>
    <mergeCell ref="A45:D45"/>
    <mergeCell ref="A46:D46"/>
    <mergeCell ref="A60:F60"/>
    <mergeCell ref="A48:D48"/>
    <mergeCell ref="A49:D49"/>
    <mergeCell ref="A50:E50"/>
    <mergeCell ref="A52:F52"/>
    <mergeCell ref="A53:F53"/>
    <mergeCell ref="A54:F54"/>
    <mergeCell ref="A55:F55"/>
    <mergeCell ref="A56:F56"/>
    <mergeCell ref="A57:F57"/>
    <mergeCell ref="A58:F58"/>
    <mergeCell ref="A59:F59"/>
    <mergeCell ref="A74:F74"/>
    <mergeCell ref="A61:F61"/>
    <mergeCell ref="A64:G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89:F89"/>
    <mergeCell ref="A75:F75"/>
    <mergeCell ref="A77:G77"/>
    <mergeCell ref="A78:F78"/>
    <mergeCell ref="A79:F79"/>
    <mergeCell ref="A80:F80"/>
    <mergeCell ref="A81:F81"/>
    <mergeCell ref="A82:F82"/>
    <mergeCell ref="A83:F83"/>
    <mergeCell ref="A85:G85"/>
    <mergeCell ref="A86:F86"/>
    <mergeCell ref="A88:F88"/>
    <mergeCell ref="A105:F105"/>
    <mergeCell ref="A90:F90"/>
    <mergeCell ref="A91:F91"/>
    <mergeCell ref="A92:F92"/>
    <mergeCell ref="A93:F93"/>
    <mergeCell ref="A95:G95"/>
    <mergeCell ref="A96:F96"/>
    <mergeCell ref="A97:F97"/>
    <mergeCell ref="A99:G99"/>
    <mergeCell ref="A100:F100"/>
    <mergeCell ref="A101:F101"/>
    <mergeCell ref="A103:F10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977B-CF34-499C-B8C0-CC251F097EB7}">
  <dimension ref="A1:G25"/>
  <sheetViews>
    <sheetView workbookViewId="0">
      <selection activeCell="C7" sqref="C7"/>
    </sheetView>
  </sheetViews>
  <sheetFormatPr defaultRowHeight="15" x14ac:dyDescent="0.25"/>
  <cols>
    <col min="1" max="1" width="35.42578125" bestFit="1" customWidth="1"/>
    <col min="5" max="7" width="13.42578125" bestFit="1" customWidth="1"/>
  </cols>
  <sheetData>
    <row r="1" spans="1:7" x14ac:dyDescent="0.25">
      <c r="A1" s="94" t="s">
        <v>105</v>
      </c>
      <c r="B1" s="90" t="str">
        <f>Converter!C1</f>
        <v>lakhs</v>
      </c>
    </row>
    <row r="2" spans="1:7" x14ac:dyDescent="0.25">
      <c r="E2" s="130">
        <v>1</v>
      </c>
      <c r="F2" s="130">
        <v>2</v>
      </c>
      <c r="G2" s="130">
        <f>F2+1</f>
        <v>3</v>
      </c>
    </row>
    <row r="3" spans="1:7" x14ac:dyDescent="0.25">
      <c r="E3" s="129">
        <f>EOMONTH(assumptions!G3,11)</f>
        <v>44286</v>
      </c>
      <c r="F3" s="129">
        <f>EOMONTH(E3,12)</f>
        <v>44651</v>
      </c>
      <c r="G3" s="129">
        <f>EOMONTH(F3,12)</f>
        <v>45016</v>
      </c>
    </row>
    <row r="4" spans="1:7" x14ac:dyDescent="0.25">
      <c r="A4" s="96" t="s">
        <v>147</v>
      </c>
    </row>
    <row r="5" spans="1:7" x14ac:dyDescent="0.25">
      <c r="A5" t="s">
        <v>144</v>
      </c>
      <c r="E5" s="117">
        <f>'Annual pL'!E39</f>
        <v>3.5239179287454099</v>
      </c>
      <c r="F5" s="117">
        <f>'Annual pL'!F39</f>
        <v>59.733919994693508</v>
      </c>
      <c r="G5" s="117">
        <f>'Annual pL'!G39</f>
        <v>150.61622554958134</v>
      </c>
    </row>
    <row r="6" spans="1:7" x14ac:dyDescent="0.25">
      <c r="A6" t="s">
        <v>150</v>
      </c>
      <c r="E6" s="117">
        <f>'Annual pL'!E32</f>
        <v>17.277534246575343</v>
      </c>
      <c r="F6" s="117">
        <f>'Annual pL'!F32</f>
        <v>20.923479452054796</v>
      </c>
      <c r="G6" s="117">
        <f>'Annual pL'!G32</f>
        <v>18.298446575342464</v>
      </c>
    </row>
    <row r="7" spans="1:7" ht="29.25" customHeight="1" x14ac:dyDescent="0.25">
      <c r="A7" s="138" t="s">
        <v>152</v>
      </c>
      <c r="B7" s="86"/>
      <c r="C7" s="86"/>
      <c r="D7" s="86"/>
      <c r="E7" s="134">
        <f>SUM(E5:E6)</f>
        <v>20.801452175320751</v>
      </c>
      <c r="F7" s="134">
        <f t="shared" ref="F7:G7" si="0">SUM(F5:F6)</f>
        <v>80.6573994467483</v>
      </c>
      <c r="G7" s="134">
        <f t="shared" si="0"/>
        <v>168.91467212492381</v>
      </c>
    </row>
    <row r="8" spans="1:7" x14ac:dyDescent="0.25">
      <c r="A8" t="s">
        <v>153</v>
      </c>
      <c r="E8" s="117">
        <f>'working capital'!E21</f>
        <v>12.854154773057179</v>
      </c>
      <c r="F8" s="117">
        <f>'working capital'!F21</f>
        <v>3.8765733046442961</v>
      </c>
      <c r="G8" s="117">
        <f>'working capital'!G21</f>
        <v>4.6672476367524958</v>
      </c>
    </row>
    <row r="10" spans="1:7" x14ac:dyDescent="0.25">
      <c r="A10" s="125" t="s">
        <v>151</v>
      </c>
      <c r="B10" s="125"/>
      <c r="C10" s="125"/>
      <c r="D10" s="125"/>
      <c r="E10" s="135">
        <f>SUM(E7:E8)</f>
        <v>33.65560694837793</v>
      </c>
      <c r="F10" s="135">
        <f t="shared" ref="F10:G10" si="1">SUM(F7:F8)</f>
        <v>84.533972751392596</v>
      </c>
      <c r="G10" s="135">
        <f t="shared" si="1"/>
        <v>173.58191976167632</v>
      </c>
    </row>
    <row r="12" spans="1:7" x14ac:dyDescent="0.25">
      <c r="A12" s="96" t="s">
        <v>148</v>
      </c>
    </row>
    <row r="13" spans="1:7" x14ac:dyDescent="0.25">
      <c r="A13" t="s">
        <v>154</v>
      </c>
      <c r="E13" s="117">
        <f>-'capital structure'!C10</f>
        <v>-191</v>
      </c>
      <c r="F13">
        <v>0</v>
      </c>
      <c r="G13">
        <v>0</v>
      </c>
    </row>
    <row r="14" spans="1:7" x14ac:dyDescent="0.25">
      <c r="A14" t="s">
        <v>155</v>
      </c>
      <c r="E14" s="117">
        <f>-'capital structure'!C11</f>
        <v>-10</v>
      </c>
      <c r="F14">
        <v>0</v>
      </c>
      <c r="G14">
        <v>0</v>
      </c>
    </row>
    <row r="15" spans="1:7" x14ac:dyDescent="0.25">
      <c r="A15" s="125" t="s">
        <v>156</v>
      </c>
      <c r="B15" s="125"/>
      <c r="C15" s="125"/>
      <c r="D15" s="125"/>
      <c r="E15" s="135">
        <f>SUM(E13:E14)</f>
        <v>-201</v>
      </c>
      <c r="F15" s="135">
        <f t="shared" ref="F15:G15" si="2">SUM(F13:F14)</f>
        <v>0</v>
      </c>
      <c r="G15" s="135">
        <f t="shared" si="2"/>
        <v>0</v>
      </c>
    </row>
    <row r="17" spans="1:7" x14ac:dyDescent="0.25">
      <c r="A17" s="96" t="s">
        <v>149</v>
      </c>
    </row>
    <row r="18" spans="1:7" x14ac:dyDescent="0.25">
      <c r="A18" t="s">
        <v>157</v>
      </c>
      <c r="E18" s="117">
        <f>+'capital structure'!C17</f>
        <v>225</v>
      </c>
      <c r="F18">
        <v>0</v>
      </c>
      <c r="G18">
        <v>0</v>
      </c>
    </row>
    <row r="19" spans="1:7" x14ac:dyDescent="0.25">
      <c r="A19" s="125" t="s">
        <v>158</v>
      </c>
      <c r="B19" s="125"/>
      <c r="C19" s="125"/>
      <c r="D19" s="125"/>
      <c r="E19" s="135">
        <f>SUM(E17:E18)</f>
        <v>225</v>
      </c>
      <c r="F19" s="135">
        <f t="shared" ref="F19" si="3">SUM(F17:F18)</f>
        <v>0</v>
      </c>
      <c r="G19" s="135">
        <f t="shared" ref="G19" si="4">SUM(G17:G18)</f>
        <v>0</v>
      </c>
    </row>
    <row r="21" spans="1:7" x14ac:dyDescent="0.25">
      <c r="A21" s="125" t="s">
        <v>159</v>
      </c>
      <c r="B21" s="125"/>
      <c r="C21" s="125"/>
      <c r="D21" s="125"/>
      <c r="E21" s="135">
        <f>E10+E15+E19</f>
        <v>57.655606948377937</v>
      </c>
      <c r="F21" s="135">
        <f t="shared" ref="F21:G21" si="5">F10+F15+F19</f>
        <v>84.533972751392596</v>
      </c>
      <c r="G21" s="135">
        <f t="shared" si="5"/>
        <v>173.58191976167632</v>
      </c>
    </row>
    <row r="22" spans="1:7" x14ac:dyDescent="0.25">
      <c r="A22" t="s">
        <v>160</v>
      </c>
      <c r="E22">
        <v>0</v>
      </c>
      <c r="F22" s="117">
        <f>E23</f>
        <v>57.655606948377937</v>
      </c>
      <c r="G22" s="117">
        <f>F23</f>
        <v>142.18957969977055</v>
      </c>
    </row>
    <row r="23" spans="1:7" ht="15.75" thickBot="1" x14ac:dyDescent="0.3">
      <c r="A23" s="118" t="s">
        <v>133</v>
      </c>
      <c r="B23" s="118"/>
      <c r="C23" s="118"/>
      <c r="D23" s="118"/>
      <c r="E23" s="139">
        <f>E21+E22</f>
        <v>57.655606948377937</v>
      </c>
      <c r="F23" s="139">
        <f t="shared" ref="F23:G23" si="6">F21+F22</f>
        <v>142.18957969977055</v>
      </c>
      <c r="G23" s="139">
        <f t="shared" si="6"/>
        <v>315.77149946144687</v>
      </c>
    </row>
    <row r="24" spans="1:7" ht="15.75" thickTop="1" x14ac:dyDescent="0.25"/>
    <row r="25" spans="1:7" s="114" customFormat="1" x14ac:dyDescent="0.25">
      <c r="A25" s="114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68E5-B0DE-4B1C-890D-BC34CA238087}">
  <dimension ref="A1:D9"/>
  <sheetViews>
    <sheetView workbookViewId="0">
      <selection activeCell="C1" sqref="C1"/>
    </sheetView>
  </sheetViews>
  <sheetFormatPr defaultRowHeight="15" x14ac:dyDescent="0.25"/>
  <cols>
    <col min="1" max="1" width="14.7109375" bestFit="1" customWidth="1"/>
    <col min="4" max="4" width="14.140625" customWidth="1"/>
    <col min="5" max="5" width="11.28515625" customWidth="1"/>
    <col min="7" max="7" width="10" bestFit="1" customWidth="1"/>
  </cols>
  <sheetData>
    <row r="1" spans="1:4" x14ac:dyDescent="0.25">
      <c r="A1" s="89" t="s">
        <v>96</v>
      </c>
      <c r="B1" t="s">
        <v>97</v>
      </c>
      <c r="C1" s="90" t="s">
        <v>102</v>
      </c>
      <c r="D1">
        <f>VLOOKUP(C1,A3:B9,2,FALSE)</f>
        <v>100000</v>
      </c>
    </row>
    <row r="3" spans="1:4" x14ac:dyDescent="0.25">
      <c r="A3" t="s">
        <v>98</v>
      </c>
      <c r="B3">
        <v>1</v>
      </c>
    </row>
    <row r="4" spans="1:4" x14ac:dyDescent="0.25">
      <c r="A4" t="s">
        <v>99</v>
      </c>
      <c r="B4">
        <v>10</v>
      </c>
    </row>
    <row r="5" spans="1:4" x14ac:dyDescent="0.25">
      <c r="A5" t="s">
        <v>100</v>
      </c>
      <c r="B5">
        <v>100</v>
      </c>
    </row>
    <row r="6" spans="1:4" x14ac:dyDescent="0.25">
      <c r="A6" t="s">
        <v>101</v>
      </c>
      <c r="B6">
        <v>1000</v>
      </c>
    </row>
    <row r="7" spans="1:4" x14ac:dyDescent="0.25">
      <c r="A7" t="s">
        <v>102</v>
      </c>
      <c r="B7">
        <v>100000</v>
      </c>
    </row>
    <row r="8" spans="1:4" x14ac:dyDescent="0.25">
      <c r="A8" t="s">
        <v>103</v>
      </c>
      <c r="B8">
        <v>1000000</v>
      </c>
    </row>
    <row r="9" spans="1:4" x14ac:dyDescent="0.25">
      <c r="A9" t="s">
        <v>104</v>
      </c>
      <c r="B9">
        <v>100000000</v>
      </c>
    </row>
  </sheetData>
  <dataValidations count="1">
    <dataValidation type="list" allowBlank="1" showInputMessage="1" showErrorMessage="1" sqref="C1" xr:uid="{6079EE7B-2B7B-4DFF-BE0F-F1AF03DDF44A}">
      <formula1>$A$3:$A$9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0B79-A4D2-40F5-9423-16598F3431C2}">
  <dimension ref="A1:AN78"/>
  <sheetViews>
    <sheetView workbookViewId="0">
      <pane xSplit="4" ySplit="7" topLeftCell="E68" activePane="bottomRight" state="frozen"/>
      <selection pane="topRight" activeCell="E1" sqref="E1"/>
      <selection pane="bottomLeft" activeCell="A8" sqref="A8"/>
      <selection pane="bottomRight" activeCell="A80" sqref="A80"/>
    </sheetView>
  </sheetViews>
  <sheetFormatPr defaultColWidth="9.28515625" defaultRowHeight="15" x14ac:dyDescent="0.25"/>
  <cols>
    <col min="1" max="1" width="26.7109375" bestFit="1" customWidth="1"/>
    <col min="3" max="3" width="8.140625" bestFit="1" customWidth="1"/>
    <col min="5" max="5" width="12.140625" style="93" bestFit="1" customWidth="1"/>
    <col min="6" max="6" width="11.7109375" style="93" bestFit="1" customWidth="1"/>
    <col min="7" max="7" width="12" style="93" bestFit="1" customWidth="1"/>
    <col min="8" max="8" width="11.28515625" style="93" bestFit="1" customWidth="1"/>
    <col min="9" max="9" width="14.140625" style="93" bestFit="1" customWidth="1"/>
    <col min="10" max="10" width="18" style="93" bestFit="1" customWidth="1"/>
    <col min="11" max="11" width="15.140625" style="93" bestFit="1" customWidth="1"/>
    <col min="12" max="12" width="17.5703125" style="93" bestFit="1" customWidth="1"/>
    <col min="13" max="13" width="17.28515625" style="93" bestFit="1" customWidth="1"/>
    <col min="14" max="14" width="14.7109375" style="93" bestFit="1" customWidth="1"/>
    <col min="15" max="15" width="15.85546875" style="93" bestFit="1" customWidth="1"/>
    <col min="16" max="16" width="13.5703125" style="93" bestFit="1" customWidth="1"/>
    <col min="17" max="17" width="12.140625" style="93" bestFit="1" customWidth="1"/>
    <col min="18" max="18" width="11.7109375" style="93" bestFit="1" customWidth="1"/>
    <col min="19" max="19" width="12" style="93" bestFit="1" customWidth="1"/>
    <col min="20" max="20" width="11.28515625" style="93" bestFit="1" customWidth="1"/>
    <col min="21" max="21" width="14.140625" style="93" bestFit="1" customWidth="1"/>
    <col min="22" max="22" width="18" style="93" bestFit="1" customWidth="1"/>
    <col min="23" max="23" width="15.140625" style="93" bestFit="1" customWidth="1"/>
    <col min="24" max="24" width="17.5703125" style="93" bestFit="1" customWidth="1"/>
    <col min="25" max="25" width="17.28515625" style="93" bestFit="1" customWidth="1"/>
    <col min="26" max="26" width="14.7109375" style="93" bestFit="1" customWidth="1"/>
    <col min="27" max="27" width="15.85546875" style="93" bestFit="1" customWidth="1"/>
    <col min="28" max="28" width="13.5703125" style="93" bestFit="1" customWidth="1"/>
    <col min="29" max="29" width="12.140625" style="93" bestFit="1" customWidth="1"/>
    <col min="30" max="30" width="11.7109375" style="93" bestFit="1" customWidth="1"/>
    <col min="31" max="31" width="12" style="93" bestFit="1" customWidth="1"/>
    <col min="32" max="32" width="11.28515625" style="93" bestFit="1" customWidth="1"/>
    <col min="33" max="33" width="14.140625" style="93" bestFit="1" customWidth="1"/>
    <col min="34" max="34" width="18" style="93" bestFit="1" customWidth="1"/>
    <col min="35" max="35" width="15.140625" style="93" bestFit="1" customWidth="1"/>
    <col min="36" max="36" width="17.5703125" style="93" bestFit="1" customWidth="1"/>
    <col min="37" max="37" width="17.28515625" style="93" bestFit="1" customWidth="1"/>
    <col min="38" max="38" width="14.7109375" style="93" bestFit="1" customWidth="1"/>
    <col min="39" max="39" width="15.85546875" style="93" bestFit="1" customWidth="1"/>
    <col min="40" max="40" width="13.5703125" style="93" bestFit="1" customWidth="1"/>
    <col min="41" max="16384" width="9.28515625" style="93"/>
  </cols>
  <sheetData>
    <row r="1" spans="1:40" customFormat="1" x14ac:dyDescent="0.25">
      <c r="A1" s="86" t="s">
        <v>105</v>
      </c>
      <c r="C1" s="97" t="str">
        <f>Converter!C1</f>
        <v>lakhs</v>
      </c>
    </row>
    <row r="2" spans="1:40" customFormat="1" x14ac:dyDescent="0.25"/>
    <row r="3" spans="1:40" customFormat="1" x14ac:dyDescent="0.25">
      <c r="E3" s="92">
        <v>1</v>
      </c>
      <c r="F3" s="92">
        <f>1+E3</f>
        <v>2</v>
      </c>
      <c r="G3" s="92">
        <f t="shared" ref="G3:AN3" si="0">1+F3</f>
        <v>3</v>
      </c>
      <c r="H3" s="92">
        <f t="shared" si="0"/>
        <v>4</v>
      </c>
      <c r="I3" s="92">
        <f t="shared" si="0"/>
        <v>5</v>
      </c>
      <c r="J3" s="92">
        <f t="shared" si="0"/>
        <v>6</v>
      </c>
      <c r="K3" s="92">
        <f t="shared" si="0"/>
        <v>7</v>
      </c>
      <c r="L3" s="92">
        <f t="shared" si="0"/>
        <v>8</v>
      </c>
      <c r="M3" s="92">
        <f t="shared" si="0"/>
        <v>9</v>
      </c>
      <c r="N3" s="92">
        <f t="shared" si="0"/>
        <v>10</v>
      </c>
      <c r="O3" s="92">
        <f t="shared" si="0"/>
        <v>11</v>
      </c>
      <c r="P3" s="92">
        <f t="shared" si="0"/>
        <v>12</v>
      </c>
      <c r="Q3" s="92">
        <f t="shared" si="0"/>
        <v>13</v>
      </c>
      <c r="R3" s="92">
        <f t="shared" si="0"/>
        <v>14</v>
      </c>
      <c r="S3" s="92">
        <f t="shared" si="0"/>
        <v>15</v>
      </c>
      <c r="T3" s="92">
        <f t="shared" si="0"/>
        <v>16</v>
      </c>
      <c r="U3" s="92">
        <f t="shared" si="0"/>
        <v>17</v>
      </c>
      <c r="V3" s="92">
        <f t="shared" si="0"/>
        <v>18</v>
      </c>
      <c r="W3" s="92">
        <f t="shared" si="0"/>
        <v>19</v>
      </c>
      <c r="X3" s="92">
        <f t="shared" si="0"/>
        <v>20</v>
      </c>
      <c r="Y3" s="92">
        <f t="shared" si="0"/>
        <v>21</v>
      </c>
      <c r="Z3" s="92">
        <f t="shared" si="0"/>
        <v>22</v>
      </c>
      <c r="AA3" s="92">
        <f t="shared" si="0"/>
        <v>23</v>
      </c>
      <c r="AB3" s="92">
        <f t="shared" si="0"/>
        <v>24</v>
      </c>
      <c r="AC3" s="92">
        <f t="shared" si="0"/>
        <v>25</v>
      </c>
      <c r="AD3" s="92">
        <f t="shared" si="0"/>
        <v>26</v>
      </c>
      <c r="AE3" s="92">
        <f t="shared" si="0"/>
        <v>27</v>
      </c>
      <c r="AF3" s="92">
        <f t="shared" si="0"/>
        <v>28</v>
      </c>
      <c r="AG3" s="92">
        <f t="shared" si="0"/>
        <v>29</v>
      </c>
      <c r="AH3" s="92">
        <f t="shared" si="0"/>
        <v>30</v>
      </c>
      <c r="AI3" s="92">
        <f t="shared" si="0"/>
        <v>31</v>
      </c>
      <c r="AJ3" s="92">
        <f t="shared" si="0"/>
        <v>32</v>
      </c>
      <c r="AK3" s="92">
        <f t="shared" si="0"/>
        <v>33</v>
      </c>
      <c r="AL3" s="92">
        <f t="shared" si="0"/>
        <v>34</v>
      </c>
      <c r="AM3" s="92">
        <f t="shared" si="0"/>
        <v>35</v>
      </c>
      <c r="AN3" s="92">
        <f t="shared" si="0"/>
        <v>36</v>
      </c>
    </row>
    <row r="4" spans="1:40" customFormat="1" x14ac:dyDescent="0.25">
      <c r="E4" s="91">
        <f>EOMONTH(assumptions!G3,0)</f>
        <v>43951</v>
      </c>
      <c r="F4" s="91">
        <f>EOMONTH(E4,1)</f>
        <v>43982</v>
      </c>
      <c r="G4" s="91">
        <f t="shared" ref="G4:AN4" si="1">EOMONTH(F4,1)</f>
        <v>44012</v>
      </c>
      <c r="H4" s="91">
        <f t="shared" si="1"/>
        <v>44043</v>
      </c>
      <c r="I4" s="91">
        <f t="shared" si="1"/>
        <v>44074</v>
      </c>
      <c r="J4" s="91">
        <f t="shared" si="1"/>
        <v>44104</v>
      </c>
      <c r="K4" s="91">
        <f t="shared" si="1"/>
        <v>44135</v>
      </c>
      <c r="L4" s="91">
        <f t="shared" si="1"/>
        <v>44165</v>
      </c>
      <c r="M4" s="91">
        <f t="shared" si="1"/>
        <v>44196</v>
      </c>
      <c r="N4" s="91">
        <f t="shared" si="1"/>
        <v>44227</v>
      </c>
      <c r="O4" s="91">
        <f t="shared" si="1"/>
        <v>44255</v>
      </c>
      <c r="P4" s="91">
        <f t="shared" si="1"/>
        <v>44286</v>
      </c>
      <c r="Q4" s="91">
        <f t="shared" si="1"/>
        <v>44316</v>
      </c>
      <c r="R4" s="91">
        <f t="shared" si="1"/>
        <v>44347</v>
      </c>
      <c r="S4" s="91">
        <f t="shared" si="1"/>
        <v>44377</v>
      </c>
      <c r="T4" s="91">
        <f t="shared" si="1"/>
        <v>44408</v>
      </c>
      <c r="U4" s="91">
        <f t="shared" si="1"/>
        <v>44439</v>
      </c>
      <c r="V4" s="91">
        <f t="shared" si="1"/>
        <v>44469</v>
      </c>
      <c r="W4" s="91">
        <f t="shared" si="1"/>
        <v>44500</v>
      </c>
      <c r="X4" s="91">
        <f t="shared" si="1"/>
        <v>44530</v>
      </c>
      <c r="Y4" s="91">
        <f t="shared" si="1"/>
        <v>44561</v>
      </c>
      <c r="Z4" s="91">
        <f t="shared" si="1"/>
        <v>44592</v>
      </c>
      <c r="AA4" s="91">
        <f t="shared" si="1"/>
        <v>44620</v>
      </c>
      <c r="AB4" s="91">
        <f t="shared" si="1"/>
        <v>44651</v>
      </c>
      <c r="AC4" s="91">
        <f t="shared" si="1"/>
        <v>44681</v>
      </c>
      <c r="AD4" s="91">
        <f t="shared" si="1"/>
        <v>44712</v>
      </c>
      <c r="AE4" s="91">
        <f t="shared" si="1"/>
        <v>44742</v>
      </c>
      <c r="AF4" s="91">
        <f t="shared" si="1"/>
        <v>44773</v>
      </c>
      <c r="AG4" s="91">
        <f t="shared" si="1"/>
        <v>44804</v>
      </c>
      <c r="AH4" s="91">
        <f t="shared" si="1"/>
        <v>44834</v>
      </c>
      <c r="AI4" s="91">
        <f t="shared" si="1"/>
        <v>44865</v>
      </c>
      <c r="AJ4" s="91">
        <f t="shared" si="1"/>
        <v>44895</v>
      </c>
      <c r="AK4" s="91">
        <f t="shared" si="1"/>
        <v>44926</v>
      </c>
      <c r="AL4" s="91">
        <f t="shared" si="1"/>
        <v>44957</v>
      </c>
      <c r="AM4" s="91">
        <f t="shared" si="1"/>
        <v>44985</v>
      </c>
      <c r="AN4" s="91">
        <f t="shared" si="1"/>
        <v>45016</v>
      </c>
    </row>
    <row r="5" spans="1:40" x14ac:dyDescent="0.25">
      <c r="A5" t="s">
        <v>106</v>
      </c>
      <c r="E5" s="95">
        <f>IF(E4&gt;assumptions!$G$5,DAY('Monthly revenue'!E4),0)</f>
        <v>0</v>
      </c>
      <c r="F5" s="95">
        <f>IF(F4&gt;assumptions!$G$5,DAY('Monthly revenue'!F4),0)</f>
        <v>0</v>
      </c>
      <c r="G5" s="95">
        <f>IF(G4&gt;assumptions!$G$5,DAY('Monthly revenue'!G4),0)</f>
        <v>0</v>
      </c>
      <c r="H5" s="95">
        <f>IF(H4&gt;assumptions!$G$5,DAY('Monthly revenue'!H4),0)</f>
        <v>31</v>
      </c>
      <c r="I5" s="95">
        <f>IF(I4&gt;assumptions!$G$5,DAY('Monthly revenue'!I4),0)</f>
        <v>31</v>
      </c>
      <c r="J5" s="95">
        <f>IF(J4&gt;assumptions!$G$5,DAY('Monthly revenue'!J4),0)</f>
        <v>30</v>
      </c>
      <c r="K5" s="95">
        <f>IF(K4&gt;assumptions!$G$5,DAY('Monthly revenue'!K4),0)</f>
        <v>31</v>
      </c>
      <c r="L5" s="95">
        <f>IF(L4&gt;assumptions!$G$5,DAY('Monthly revenue'!L4),0)</f>
        <v>30</v>
      </c>
      <c r="M5" s="95">
        <f>IF(M4&gt;assumptions!$G$5,DAY('Monthly revenue'!M4),0)</f>
        <v>31</v>
      </c>
      <c r="N5" s="95">
        <f>IF(N4&gt;assumptions!$G$5,DAY('Monthly revenue'!N4),0)</f>
        <v>31</v>
      </c>
      <c r="O5" s="95">
        <f>IF(O4&gt;assumptions!$G$5,DAY('Monthly revenue'!O4),0)</f>
        <v>28</v>
      </c>
      <c r="P5" s="95">
        <f>IF(P4&gt;assumptions!$G$5,DAY('Monthly revenue'!P4),0)</f>
        <v>31</v>
      </c>
      <c r="Q5" s="95">
        <f>IF(Q4&gt;assumptions!$G$5,DAY('Monthly revenue'!Q4),0)</f>
        <v>30</v>
      </c>
      <c r="R5" s="95">
        <f>IF(R4&gt;assumptions!$G$5,DAY('Monthly revenue'!R4),0)</f>
        <v>31</v>
      </c>
      <c r="S5" s="95">
        <f>IF(S4&gt;assumptions!$G$5,DAY('Monthly revenue'!S4),0)</f>
        <v>30</v>
      </c>
      <c r="T5" s="95">
        <f>IF(T4&gt;assumptions!$G$5,DAY('Monthly revenue'!T4),0)</f>
        <v>31</v>
      </c>
      <c r="U5" s="95">
        <f>IF(U4&gt;assumptions!$G$5,DAY('Monthly revenue'!U4),0)</f>
        <v>31</v>
      </c>
      <c r="V5" s="95">
        <f>IF(V4&gt;assumptions!$G$5,DAY('Monthly revenue'!V4),0)</f>
        <v>30</v>
      </c>
      <c r="W5" s="95">
        <f>IF(W4&gt;assumptions!$G$5,DAY('Monthly revenue'!W4),0)</f>
        <v>31</v>
      </c>
      <c r="X5" s="95">
        <f>IF(X4&gt;assumptions!$G$5,DAY('Monthly revenue'!X4),0)</f>
        <v>30</v>
      </c>
      <c r="Y5" s="95">
        <f>IF(Y4&gt;assumptions!$G$5,DAY('Monthly revenue'!Y4),0)</f>
        <v>31</v>
      </c>
      <c r="Z5" s="95">
        <f>IF(Z4&gt;assumptions!$G$5,DAY('Monthly revenue'!Z4),0)</f>
        <v>31</v>
      </c>
      <c r="AA5" s="95">
        <f>IF(AA4&gt;assumptions!$G$5,DAY('Monthly revenue'!AA4),0)</f>
        <v>28</v>
      </c>
      <c r="AB5" s="95">
        <f>IF(AB4&gt;assumptions!$G$5,DAY('Monthly revenue'!AB4),0)</f>
        <v>31</v>
      </c>
      <c r="AC5" s="95">
        <f>IF(AC4&gt;assumptions!$G$5,DAY('Monthly revenue'!AC4),0)</f>
        <v>30</v>
      </c>
      <c r="AD5" s="95">
        <f>IF(AD4&gt;assumptions!$G$5,DAY('Monthly revenue'!AD4),0)</f>
        <v>31</v>
      </c>
      <c r="AE5" s="95">
        <f>IF(AE4&gt;assumptions!$G$5,DAY('Monthly revenue'!AE4),0)</f>
        <v>30</v>
      </c>
      <c r="AF5" s="95">
        <f>IF(AF4&gt;assumptions!$G$5,DAY('Monthly revenue'!AF4),0)</f>
        <v>31</v>
      </c>
      <c r="AG5" s="95">
        <f>IF(AG4&gt;assumptions!$G$5,DAY('Monthly revenue'!AG4),0)</f>
        <v>31</v>
      </c>
      <c r="AH5" s="95">
        <f>IF(AH4&gt;assumptions!$G$5,DAY('Monthly revenue'!AH4),0)</f>
        <v>30</v>
      </c>
      <c r="AI5" s="95">
        <f>IF(AI4&gt;assumptions!$G$5,DAY('Monthly revenue'!AI4),0)</f>
        <v>31</v>
      </c>
      <c r="AJ5" s="95">
        <f>IF(AJ4&gt;assumptions!$G$5,DAY('Monthly revenue'!AJ4),0)</f>
        <v>30</v>
      </c>
      <c r="AK5" s="95">
        <f>IF(AK4&gt;assumptions!$G$5,DAY('Monthly revenue'!AK4),0)</f>
        <v>31</v>
      </c>
      <c r="AL5" s="95">
        <f>IF(AL4&gt;assumptions!$G$5,DAY('Monthly revenue'!AL4),0)</f>
        <v>31</v>
      </c>
      <c r="AM5" s="95">
        <f>IF(AM4&gt;assumptions!$G$5,DAY('Monthly revenue'!AM4),0)</f>
        <v>28</v>
      </c>
      <c r="AN5" s="95">
        <f>IF(AN4&gt;assumptions!$G$5,DAY('Monthly revenue'!AN4),0)</f>
        <v>31</v>
      </c>
    </row>
    <row r="6" spans="1:40" x14ac:dyDescent="0.25">
      <c r="A6" t="s">
        <v>107</v>
      </c>
      <c r="E6" s="93">
        <f>IF(E5&gt;0,NETWORKDAYS(D4+1,E4),0)</f>
        <v>0</v>
      </c>
      <c r="F6" s="93">
        <f t="shared" ref="F6:H6" si="2">IF(F5&gt;0,NETWORKDAYS(E4+1,F4),0)</f>
        <v>0</v>
      </c>
      <c r="G6" s="93">
        <f t="shared" si="2"/>
        <v>0</v>
      </c>
      <c r="H6" s="93">
        <f t="shared" si="2"/>
        <v>23</v>
      </c>
      <c r="I6" s="93">
        <f>IF(I5&gt;0,NETWORKDAYS(H4+1,I4),0)</f>
        <v>21</v>
      </c>
      <c r="J6" s="93">
        <f t="shared" ref="J6:K6" si="3">IF(J5&gt;0,NETWORKDAYS(I4+1,J4),0)</f>
        <v>22</v>
      </c>
      <c r="K6" s="93">
        <f t="shared" si="3"/>
        <v>22</v>
      </c>
      <c r="L6" s="93">
        <f t="shared" ref="L6" si="4">IF(L5&gt;0,NETWORKDAYS(K4+1,L4),0)</f>
        <v>21</v>
      </c>
      <c r="M6" s="93">
        <f t="shared" ref="M6" si="5">IF(M5&gt;0,NETWORKDAYS(L4+1,M4),0)</f>
        <v>23</v>
      </c>
      <c r="N6" s="93">
        <f t="shared" ref="N6:O6" si="6">IF(N5&gt;0,NETWORKDAYS(M4+1,N4),0)</f>
        <v>21</v>
      </c>
      <c r="O6" s="93">
        <f t="shared" si="6"/>
        <v>20</v>
      </c>
      <c r="P6" s="93">
        <f t="shared" ref="P6:Q6" si="7">IF(P5&gt;0,NETWORKDAYS(O4+1,P4),0)</f>
        <v>23</v>
      </c>
      <c r="Q6" s="93">
        <f t="shared" si="7"/>
        <v>22</v>
      </c>
      <c r="R6" s="93">
        <f t="shared" ref="R6" si="8">IF(R5&gt;0,NETWORKDAYS(Q4+1,R4),0)</f>
        <v>21</v>
      </c>
      <c r="S6" s="93">
        <f t="shared" ref="S6" si="9">IF(S5&gt;0,NETWORKDAYS(R4+1,S4),0)</f>
        <v>22</v>
      </c>
      <c r="T6" s="93">
        <f t="shared" ref="T6:U6" si="10">IF(T5&gt;0,NETWORKDAYS(S4+1,T4),0)</f>
        <v>22</v>
      </c>
      <c r="U6" s="93">
        <f t="shared" si="10"/>
        <v>22</v>
      </c>
      <c r="V6" s="93">
        <f t="shared" ref="V6:W6" si="11">IF(V5&gt;0,NETWORKDAYS(U4+1,V4),0)</f>
        <v>22</v>
      </c>
      <c r="W6" s="93">
        <f t="shared" si="11"/>
        <v>21</v>
      </c>
      <c r="X6" s="93">
        <f t="shared" ref="X6" si="12">IF(X5&gt;0,NETWORKDAYS(W4+1,X4),0)</f>
        <v>22</v>
      </c>
      <c r="Y6" s="93">
        <f t="shared" ref="Y6" si="13">IF(Y5&gt;0,NETWORKDAYS(X4+1,Y4),0)</f>
        <v>23</v>
      </c>
      <c r="Z6" s="93">
        <f t="shared" ref="Z6:AA6" si="14">IF(Z5&gt;0,NETWORKDAYS(Y4+1,Z4),0)</f>
        <v>21</v>
      </c>
      <c r="AA6" s="93">
        <f t="shared" si="14"/>
        <v>20</v>
      </c>
      <c r="AB6" s="93">
        <f t="shared" ref="AB6:AC6" si="15">IF(AB5&gt;0,NETWORKDAYS(AA4+1,AB4),0)</f>
        <v>23</v>
      </c>
      <c r="AC6" s="93">
        <f t="shared" si="15"/>
        <v>21</v>
      </c>
      <c r="AD6" s="93">
        <f t="shared" ref="AD6" si="16">IF(AD5&gt;0,NETWORKDAYS(AC4+1,AD4),0)</f>
        <v>22</v>
      </c>
      <c r="AE6" s="93">
        <f t="shared" ref="AE6" si="17">IF(AE5&gt;0,NETWORKDAYS(AD4+1,AE4),0)</f>
        <v>22</v>
      </c>
      <c r="AF6" s="93">
        <f t="shared" ref="AF6:AG6" si="18">IF(AF5&gt;0,NETWORKDAYS(AE4+1,AF4),0)</f>
        <v>21</v>
      </c>
      <c r="AG6" s="93">
        <f t="shared" si="18"/>
        <v>23</v>
      </c>
      <c r="AH6" s="93">
        <f t="shared" ref="AH6:AI6" si="19">IF(AH5&gt;0,NETWORKDAYS(AG4+1,AH4),0)</f>
        <v>22</v>
      </c>
      <c r="AI6" s="93">
        <f t="shared" si="19"/>
        <v>21</v>
      </c>
      <c r="AJ6" s="93">
        <f t="shared" ref="AJ6" si="20">IF(AJ5&gt;0,NETWORKDAYS(AI4+1,AJ4),0)</f>
        <v>22</v>
      </c>
      <c r="AK6" s="93">
        <f t="shared" ref="AK6" si="21">IF(AK5&gt;0,NETWORKDAYS(AJ4+1,AK4),0)</f>
        <v>22</v>
      </c>
      <c r="AL6" s="93">
        <f t="shared" ref="AL6:AM6" si="22">IF(AL5&gt;0,NETWORKDAYS(AK4+1,AL4),0)</f>
        <v>22</v>
      </c>
      <c r="AM6" s="93">
        <f t="shared" si="22"/>
        <v>20</v>
      </c>
      <c r="AN6" s="93">
        <f t="shared" ref="AN6" si="23">IF(AN5&gt;0,NETWORKDAYS(AM4+1,AN4),0)</f>
        <v>23</v>
      </c>
    </row>
    <row r="7" spans="1:40" x14ac:dyDescent="0.25">
      <c r="A7" t="s">
        <v>108</v>
      </c>
      <c r="E7" s="93">
        <f>E5-E6</f>
        <v>0</v>
      </c>
      <c r="F7" s="93">
        <f t="shared" ref="F7:H7" si="24">F5-F6</f>
        <v>0</v>
      </c>
      <c r="G7" s="93">
        <f t="shared" si="24"/>
        <v>0</v>
      </c>
      <c r="H7" s="93">
        <f t="shared" si="24"/>
        <v>8</v>
      </c>
      <c r="I7" s="93">
        <f>I5-I6</f>
        <v>10</v>
      </c>
      <c r="J7" s="93">
        <f t="shared" ref="J7:K7" si="25">J5-J6</f>
        <v>8</v>
      </c>
      <c r="K7" s="93">
        <f t="shared" si="25"/>
        <v>9</v>
      </c>
      <c r="L7" s="93">
        <f t="shared" ref="L7" si="26">L5-L6</f>
        <v>9</v>
      </c>
      <c r="M7" s="93">
        <f t="shared" ref="M7" si="27">M5-M6</f>
        <v>8</v>
      </c>
      <c r="N7" s="93">
        <f t="shared" ref="N7:O7" si="28">N5-N6</f>
        <v>10</v>
      </c>
      <c r="O7" s="93">
        <f t="shared" si="28"/>
        <v>8</v>
      </c>
      <c r="P7" s="93">
        <f t="shared" ref="P7:Q7" si="29">P5-P6</f>
        <v>8</v>
      </c>
      <c r="Q7" s="93">
        <f t="shared" si="29"/>
        <v>8</v>
      </c>
      <c r="R7" s="93">
        <f t="shared" ref="R7" si="30">R5-R6</f>
        <v>10</v>
      </c>
      <c r="S7" s="93">
        <f t="shared" ref="S7" si="31">S5-S6</f>
        <v>8</v>
      </c>
      <c r="T7" s="93">
        <f t="shared" ref="T7:U7" si="32">T5-T6</f>
        <v>9</v>
      </c>
      <c r="U7" s="93">
        <f t="shared" si="32"/>
        <v>9</v>
      </c>
      <c r="V7" s="93">
        <f t="shared" ref="V7:W7" si="33">V5-V6</f>
        <v>8</v>
      </c>
      <c r="W7" s="93">
        <f t="shared" si="33"/>
        <v>10</v>
      </c>
      <c r="X7" s="93">
        <f t="shared" ref="X7" si="34">X5-X6</f>
        <v>8</v>
      </c>
      <c r="Y7" s="93">
        <f t="shared" ref="Y7" si="35">Y5-Y6</f>
        <v>8</v>
      </c>
      <c r="Z7" s="93">
        <f t="shared" ref="Z7:AA7" si="36">Z5-Z6</f>
        <v>10</v>
      </c>
      <c r="AA7" s="93">
        <f t="shared" si="36"/>
        <v>8</v>
      </c>
      <c r="AB7" s="93">
        <f t="shared" ref="AB7:AC7" si="37">AB5-AB6</f>
        <v>8</v>
      </c>
      <c r="AC7" s="93">
        <f t="shared" si="37"/>
        <v>9</v>
      </c>
      <c r="AD7" s="93">
        <f t="shared" ref="AD7" si="38">AD5-AD6</f>
        <v>9</v>
      </c>
      <c r="AE7" s="93">
        <f t="shared" ref="AE7" si="39">AE5-AE6</f>
        <v>8</v>
      </c>
      <c r="AF7" s="93">
        <f t="shared" ref="AF7:AG7" si="40">AF5-AF6</f>
        <v>10</v>
      </c>
      <c r="AG7" s="93">
        <f t="shared" si="40"/>
        <v>8</v>
      </c>
      <c r="AH7" s="93">
        <f t="shared" ref="AH7:AI7" si="41">AH5-AH6</f>
        <v>8</v>
      </c>
      <c r="AI7" s="93">
        <f t="shared" si="41"/>
        <v>10</v>
      </c>
      <c r="AJ7" s="93">
        <f t="shared" ref="AJ7" si="42">AJ5-AJ6</f>
        <v>8</v>
      </c>
      <c r="AK7" s="93">
        <f t="shared" ref="AK7" si="43">AK5-AK6</f>
        <v>9</v>
      </c>
      <c r="AL7" s="93">
        <f t="shared" ref="AL7:AM7" si="44">AL5-AL6</f>
        <v>9</v>
      </c>
      <c r="AM7" s="93">
        <f t="shared" si="44"/>
        <v>8</v>
      </c>
      <c r="AN7" s="93">
        <f t="shared" ref="AN7" si="45">AN5-AN6</f>
        <v>8</v>
      </c>
    </row>
    <row r="9" spans="1:40" x14ac:dyDescent="0.25">
      <c r="A9" s="96" t="s">
        <v>110</v>
      </c>
    </row>
    <row r="10" spans="1:40" x14ac:dyDescent="0.25">
      <c r="A10" s="86" t="s">
        <v>7</v>
      </c>
    </row>
    <row r="11" spans="1:40" x14ac:dyDescent="0.25">
      <c r="A11" t="s">
        <v>9</v>
      </c>
      <c r="E11" s="93">
        <f>IF(E6&gt;0,MIN(MAX(assumptions!$B$19*assumptions!$B$18,'Monthly revenue'!D11*(1+assumptions!$B$20)),assumptions!$B$21),0)</f>
        <v>0</v>
      </c>
      <c r="F11" s="93">
        <f>IF(F6&gt;0,MIN(MAX(assumptions!$B$19*assumptions!$B$18,'Monthly revenue'!E11*(1+assumptions!$B$20)),assumptions!$B$21),0)</f>
        <v>0</v>
      </c>
      <c r="G11" s="93">
        <f>IF(G6&gt;0,MIN(MAX(assumptions!$B$19*assumptions!$B$18,'Monthly revenue'!F11*(1+assumptions!$B$20)),assumptions!$B$21),0)</f>
        <v>0</v>
      </c>
      <c r="H11" s="93">
        <f>IF(H6&gt;0,MIN(MAX(assumptions!$B$19*assumptions!$B$18,'Monthly revenue'!G11*(1+assumptions!$B$20)),assumptions!$B$21),0)</f>
        <v>20</v>
      </c>
      <c r="I11" s="93">
        <f>IF(I6&gt;0,MIN(MAX(assumptions!$B$19*assumptions!$B$18,'Monthly revenue'!H11*(1+assumptions!$B$20)),assumptions!$B$21),0)</f>
        <v>20.399999999999999</v>
      </c>
      <c r="J11" s="93">
        <f>IF(J6&gt;0,MIN(MAX(assumptions!$B$19*assumptions!$B$18,'Monthly revenue'!I11*(1+assumptions!$B$20)),assumptions!$B$21),0)</f>
        <v>20.808</v>
      </c>
      <c r="K11" s="93">
        <f>IF(K6&gt;0,MIN(MAX(assumptions!$B$19*assumptions!$B$18,'Monthly revenue'!J11*(1+assumptions!$B$20)),assumptions!$B$21),0)</f>
        <v>21.224160000000001</v>
      </c>
      <c r="L11" s="93">
        <f>IF(L6&gt;0,MIN(MAX(assumptions!$B$19*assumptions!$B$18,'Monthly revenue'!K11*(1+assumptions!$B$20)),assumptions!$B$21),0)</f>
        <v>21.648643200000002</v>
      </c>
      <c r="M11" s="93">
        <f>IF(M6&gt;0,MIN(MAX(assumptions!$B$19*assumptions!$B$18,'Monthly revenue'!L11*(1+assumptions!$B$20)),assumptions!$B$21),0)</f>
        <v>22.081616064000002</v>
      </c>
      <c r="N11" s="93">
        <f>IF(N6&gt;0,MIN(MAX(assumptions!$B$19*assumptions!$B$18,'Monthly revenue'!M11*(1+assumptions!$B$20)),assumptions!$B$21),0)</f>
        <v>22.523248385280002</v>
      </c>
      <c r="O11" s="93">
        <f>IF(O6&gt;0,MIN(MAX(assumptions!$B$19*assumptions!$B$18,'Monthly revenue'!N11*(1+assumptions!$B$20)),assumptions!$B$21),0)</f>
        <v>22.973713352985602</v>
      </c>
      <c r="P11" s="93">
        <f>IF(P6&gt;0,MIN(MAX(assumptions!$B$19*assumptions!$B$18,'Monthly revenue'!O11*(1+assumptions!$B$20)),assumptions!$B$21),0)</f>
        <v>23.433187620045313</v>
      </c>
      <c r="Q11" s="93">
        <f>IF(Q6&gt;0,MIN(MAX(assumptions!$B$19*assumptions!$B$18,'Monthly revenue'!P11*(1+assumptions!$B$20)),assumptions!$B$21),0)</f>
        <v>23.90185137244622</v>
      </c>
      <c r="R11" s="93">
        <f>IF(R6&gt;0,MIN(MAX(assumptions!$B$19*assumptions!$B$18,'Monthly revenue'!Q11*(1+assumptions!$B$20)),assumptions!$B$21),0)</f>
        <v>24.379888399895144</v>
      </c>
      <c r="S11" s="93">
        <f>IF(S6&gt;0,MIN(MAX(assumptions!$B$19*assumptions!$B$18,'Monthly revenue'!R11*(1+assumptions!$B$20)),assumptions!$B$21),0)</f>
        <v>24.867486167893048</v>
      </c>
      <c r="T11" s="93">
        <f>IF(T6&gt;0,MIN(MAX(assumptions!$B$19*assumptions!$B$18,'Monthly revenue'!S11*(1+assumptions!$B$20)),assumptions!$B$21),0)</f>
        <v>25.364835891250909</v>
      </c>
      <c r="U11" s="93">
        <f>IF(U6&gt;0,MIN(MAX(assumptions!$B$19*assumptions!$B$18,'Monthly revenue'!T11*(1+assumptions!$B$20)),assumptions!$B$21),0)</f>
        <v>25.872132609075926</v>
      </c>
      <c r="V11" s="93">
        <f>IF(V6&gt;0,MIN(MAX(assumptions!$B$19*assumptions!$B$18,'Monthly revenue'!U11*(1+assumptions!$B$20)),assumptions!$B$21),0)</f>
        <v>26.389575261257445</v>
      </c>
      <c r="W11" s="93">
        <f>IF(W6&gt;0,MIN(MAX(assumptions!$B$19*assumptions!$B$18,'Monthly revenue'!V11*(1+assumptions!$B$20)),assumptions!$B$21),0)</f>
        <v>26.917366766482594</v>
      </c>
      <c r="X11" s="93">
        <f>IF(X6&gt;0,MIN(MAX(assumptions!$B$19*assumptions!$B$18,'Monthly revenue'!W11*(1+assumptions!$B$20)),assumptions!$B$21),0)</f>
        <v>27.455714101812248</v>
      </c>
      <c r="Y11" s="93">
        <f>IF(Y6&gt;0,MIN(MAX(assumptions!$B$19*assumptions!$B$18,'Monthly revenue'!X11*(1+assumptions!$B$20)),assumptions!$B$21),0)</f>
        <v>28.004828383848494</v>
      </c>
      <c r="Z11" s="93">
        <f>IF(Z6&gt;0,MIN(MAX(assumptions!$B$19*assumptions!$B$18,'Monthly revenue'!Y11*(1+assumptions!$B$20)),assumptions!$B$21),0)</f>
        <v>28.564924951525466</v>
      </c>
      <c r="AA11" s="93">
        <f>IF(AA6&gt;0,MIN(MAX(assumptions!$B$19*assumptions!$B$18,'Monthly revenue'!Z11*(1+assumptions!$B$20)),assumptions!$B$21),0)</f>
        <v>29.136223450555974</v>
      </c>
      <c r="AB11" s="93">
        <f>IF(AB6&gt;0,MIN(MAX(assumptions!$B$19*assumptions!$B$18,'Monthly revenue'!AA11*(1+assumptions!$B$20)),assumptions!$B$21),0)</f>
        <v>29.718947919567093</v>
      </c>
      <c r="AC11" s="93">
        <f>IF(AC6&gt;0,MIN(MAX(assumptions!$B$19*assumptions!$B$18,'Monthly revenue'!AB11*(1+assumptions!$B$20)),assumptions!$B$21),0)</f>
        <v>30.313326877958435</v>
      </c>
      <c r="AD11" s="93">
        <f>IF(AD6&gt;0,MIN(MAX(assumptions!$B$19*assumptions!$B$18,'Monthly revenue'!AC11*(1+assumptions!$B$20)),assumptions!$B$21),0)</f>
        <v>30.919593415517603</v>
      </c>
      <c r="AE11" s="93">
        <f>IF(AE6&gt;0,MIN(MAX(assumptions!$B$19*assumptions!$B$18,'Monthly revenue'!AD11*(1+assumptions!$B$20)),assumptions!$B$21),0)</f>
        <v>31.537985283827958</v>
      </c>
      <c r="AF11" s="93">
        <f>IF(AF6&gt;0,MIN(MAX(assumptions!$B$19*assumptions!$B$18,'Monthly revenue'!AE11*(1+assumptions!$B$20)),assumptions!$B$21),0)</f>
        <v>32.168744989504518</v>
      </c>
      <c r="AG11" s="93">
        <f>IF(AG6&gt;0,MIN(MAX(assumptions!$B$19*assumptions!$B$18,'Monthly revenue'!AF11*(1+assumptions!$B$20)),assumptions!$B$21),0)</f>
        <v>32.812119889294607</v>
      </c>
      <c r="AH11" s="93">
        <f>IF(AH6&gt;0,MIN(MAX(assumptions!$B$19*assumptions!$B$18,'Monthly revenue'!AG11*(1+assumptions!$B$20)),assumptions!$B$21),0)</f>
        <v>33.468362287080502</v>
      </c>
      <c r="AI11" s="93">
        <f>IF(AI6&gt;0,MIN(MAX(assumptions!$B$19*assumptions!$B$18,'Monthly revenue'!AH11*(1+assumptions!$B$20)),assumptions!$B$21),0)</f>
        <v>34.137729532822114</v>
      </c>
      <c r="AJ11" s="93">
        <f>IF(AJ6&gt;0,MIN(MAX(assumptions!$B$19*assumptions!$B$18,'Monthly revenue'!AI11*(1+assumptions!$B$20)),assumptions!$B$21),0)</f>
        <v>34.820484123478558</v>
      </c>
      <c r="AK11" s="93">
        <f>IF(AK6&gt;0,MIN(MAX(assumptions!$B$19*assumptions!$B$18,'Monthly revenue'!AJ11*(1+assumptions!$B$20)),assumptions!$B$21),0)</f>
        <v>35.516893805948129</v>
      </c>
      <c r="AL11" s="93">
        <f>IF(AL6&gt;0,MIN(MAX(assumptions!$B$19*assumptions!$B$18,'Monthly revenue'!AK11*(1+assumptions!$B$20)),assumptions!$B$21),0)</f>
        <v>36.227231682067092</v>
      </c>
      <c r="AM11" s="93">
        <f>IF(AM6&gt;0,MIN(MAX(assumptions!$B$19*assumptions!$B$18,'Monthly revenue'!AL11*(1+assumptions!$B$20)),assumptions!$B$21),0)</f>
        <v>36.951776315708436</v>
      </c>
      <c r="AN11" s="93">
        <f>IF(AN6&gt;0,MIN(MAX(assumptions!$B$19*assumptions!$B$18,'Monthly revenue'!AM11*(1+assumptions!$B$20)),assumptions!$B$21),0)</f>
        <v>37.690811842022605</v>
      </c>
    </row>
    <row r="12" spans="1:40" x14ac:dyDescent="0.25">
      <c r="A12" t="s">
        <v>10</v>
      </c>
      <c r="F12" s="93">
        <f>IF(F6&gt;0,MIN(MAX(assumptions!$F$19*assumptions!$F$18,'Monthly revenue'!E16*(1+assumptions!$F$20)),assumptions!$F$21),0)</f>
        <v>0</v>
      </c>
      <c r="G12" s="93">
        <f>IF(G6&gt;0,MIN(MAX(assumptions!$F$19*assumptions!$F$18,'Monthly revenue'!F12*(1+assumptions!$F$20)),assumptions!$F$21),0)</f>
        <v>0</v>
      </c>
      <c r="H12" s="93">
        <f>IF(H6&gt;0,MIN(MAX(assumptions!$F$19*assumptions!$F$18,'Monthly revenue'!G12*(1+assumptions!$F$20)),assumptions!$F$21),0)</f>
        <v>26</v>
      </c>
      <c r="I12" s="93">
        <f>IF(I6&gt;0,MIN(MAX(assumptions!$F$19*assumptions!$F$18,'Monthly revenue'!H12*(1+assumptions!$F$20)),assumptions!$F$21),0)</f>
        <v>26.52</v>
      </c>
      <c r="J12" s="93">
        <f>IF(J6&gt;0,MIN(MAX(assumptions!$F$19*assumptions!$F$18,'Monthly revenue'!I12*(1+assumptions!$F$20)),assumptions!$F$21),0)</f>
        <v>27.0504</v>
      </c>
      <c r="K12" s="93">
        <f>IF(K6&gt;0,MIN(MAX(assumptions!$F$19*assumptions!$F$18,'Monthly revenue'!J12*(1+assumptions!$F$20)),assumptions!$F$21),0)</f>
        <v>27.591408000000001</v>
      </c>
      <c r="L12" s="93">
        <f>IF(L6&gt;0,MIN(MAX(assumptions!$F$19*assumptions!$F$18,'Monthly revenue'!K12*(1+assumptions!$F$20)),assumptions!$F$21),0)</f>
        <v>28.143236160000001</v>
      </c>
      <c r="M12" s="93">
        <f>IF(M6&gt;0,MIN(MAX(assumptions!$F$19*assumptions!$F$18,'Monthly revenue'!L12*(1+assumptions!$F$20)),assumptions!$F$21),0)</f>
        <v>28.706100883200001</v>
      </c>
      <c r="N12" s="93">
        <f>IF(N6&gt;0,MIN(MAX(assumptions!$F$19*assumptions!$F$18,'Monthly revenue'!M12*(1+assumptions!$F$20)),assumptions!$F$21),0)</f>
        <v>29.280222900864</v>
      </c>
      <c r="O12" s="93">
        <f>IF(O6&gt;0,MIN(MAX(assumptions!$F$19*assumptions!$F$18,'Monthly revenue'!N12*(1+assumptions!$F$20)),assumptions!$F$21),0)</f>
        <v>29.86582735888128</v>
      </c>
      <c r="P12" s="93">
        <f>IF(P6&gt;0,MIN(MAX(assumptions!$F$19*assumptions!$F$18,'Monthly revenue'!O12*(1+assumptions!$F$20)),assumptions!$F$21),0)</f>
        <v>30.463143906058907</v>
      </c>
      <c r="Q12" s="93">
        <f>IF(Q6&gt;0,MIN(MAX(assumptions!$F$19*assumptions!$F$18,'Monthly revenue'!P12*(1+assumptions!$F$20)),assumptions!$F$21),0)</f>
        <v>31.072406784180085</v>
      </c>
      <c r="R12" s="93">
        <f>IF(R6&gt;0,MIN(MAX(assumptions!$F$19*assumptions!$F$18,'Monthly revenue'!Q12*(1+assumptions!$F$20)),assumptions!$F$21),0)</f>
        <v>31.693854919863689</v>
      </c>
      <c r="S12" s="93">
        <f>IF(S6&gt;0,MIN(MAX(assumptions!$F$19*assumptions!$F$18,'Monthly revenue'!R12*(1+assumptions!$F$20)),assumptions!$F$21),0)</f>
        <v>32.32773201826096</v>
      </c>
      <c r="T12" s="93">
        <f>IF(T6&gt;0,MIN(MAX(assumptions!$F$19*assumptions!$F$18,'Monthly revenue'!S12*(1+assumptions!$F$20)),assumptions!$F$21),0)</f>
        <v>32.974286658626177</v>
      </c>
      <c r="U12" s="93">
        <f>IF(U6&gt;0,MIN(MAX(assumptions!$F$19*assumptions!$F$18,'Monthly revenue'!T12*(1+assumptions!$F$20)),assumptions!$F$21),0)</f>
        <v>33.633772391798701</v>
      </c>
      <c r="V12" s="93">
        <f>IF(V6&gt;0,MIN(MAX(assumptions!$F$19*assumptions!$F$18,'Monthly revenue'!U12*(1+assumptions!$F$20)),assumptions!$F$21),0)</f>
        <v>34.306447839634679</v>
      </c>
      <c r="W12" s="93">
        <f>IF(W6&gt;0,MIN(MAX(assumptions!$F$19*assumptions!$F$18,'Monthly revenue'!V12*(1+assumptions!$F$20)),assumptions!$F$21),0)</f>
        <v>34.992576796427372</v>
      </c>
      <c r="X12" s="93">
        <f>IF(X6&gt;0,MIN(MAX(assumptions!$F$19*assumptions!$F$18,'Monthly revenue'!W12*(1+assumptions!$F$20)),assumptions!$F$21),0)</f>
        <v>35.692428332355917</v>
      </c>
      <c r="Y12" s="93">
        <f>IF(Y6&gt;0,MIN(MAX(assumptions!$F$19*assumptions!$F$18,'Monthly revenue'!X12*(1+assumptions!$F$20)),assumptions!$F$21),0)</f>
        <v>36.406276899003032</v>
      </c>
      <c r="Z12" s="93">
        <f>IF(Z6&gt;0,MIN(MAX(assumptions!$F$19*assumptions!$F$18,'Monthly revenue'!Y12*(1+assumptions!$F$20)),assumptions!$F$21),0)</f>
        <v>37.134402436983095</v>
      </c>
      <c r="AA12" s="93">
        <f>IF(AA6&gt;0,MIN(MAX(assumptions!$F$19*assumptions!$F$18,'Monthly revenue'!Z12*(1+assumptions!$F$20)),assumptions!$F$21),0)</f>
        <v>37.877090485722761</v>
      </c>
      <c r="AB12" s="93">
        <f>IF(AB6&gt;0,MIN(MAX(assumptions!$F$19*assumptions!$F$18,'Monthly revenue'!AA12*(1+assumptions!$F$20)),assumptions!$F$21),0)</f>
        <v>38.634632295437214</v>
      </c>
      <c r="AC12" s="93">
        <f>IF(AC6&gt;0,MIN(MAX(assumptions!$F$19*assumptions!$F$18,'Monthly revenue'!AB12*(1+assumptions!$F$20)),assumptions!$F$21),0)</f>
        <v>39.407324941345962</v>
      </c>
      <c r="AD12" s="93">
        <f>IF(AD6&gt;0,MIN(MAX(assumptions!$F$19*assumptions!$F$18,'Monthly revenue'!AC12*(1+assumptions!$F$20)),assumptions!$F$21),0)</f>
        <v>40.195471440172881</v>
      </c>
      <c r="AE12" s="93">
        <f>IF(AE6&gt;0,MIN(MAX(assumptions!$F$19*assumptions!$F$18,'Monthly revenue'!AD12*(1+assumptions!$F$20)),assumptions!$F$21),0)</f>
        <v>40.999380868976338</v>
      </c>
      <c r="AF12" s="93">
        <f>IF(AF6&gt;0,MIN(MAX(assumptions!$F$19*assumptions!$F$18,'Monthly revenue'!AE12*(1+assumptions!$F$20)),assumptions!$F$21),0)</f>
        <v>41.819368486355863</v>
      </c>
      <c r="AG12" s="93">
        <f>IF(AG6&gt;0,MIN(MAX(assumptions!$F$19*assumptions!$F$18,'Monthly revenue'!AF12*(1+assumptions!$F$20)),assumptions!$F$21),0)</f>
        <v>42.655755856082983</v>
      </c>
      <c r="AH12" s="93">
        <f>IF(AH6&gt;0,MIN(MAX(assumptions!$F$19*assumptions!$F$18,'Monthly revenue'!AG12*(1+assumptions!$F$20)),assumptions!$F$21),0)</f>
        <v>43.508870973204644</v>
      </c>
      <c r="AI12" s="93">
        <f>IF(AI6&gt;0,MIN(MAX(assumptions!$F$19*assumptions!$F$18,'Monthly revenue'!AH12*(1+assumptions!$F$20)),assumptions!$F$21),0)</f>
        <v>44.379048392668736</v>
      </c>
      <c r="AJ12" s="93">
        <f>IF(AJ6&gt;0,MIN(MAX(assumptions!$F$19*assumptions!$F$18,'Monthly revenue'!AI12*(1+assumptions!$F$20)),assumptions!$F$21),0)</f>
        <v>45.26662936052211</v>
      </c>
      <c r="AK12" s="93">
        <f>IF(AK6&gt;0,MIN(MAX(assumptions!$F$19*assumptions!$F$18,'Monthly revenue'!AJ12*(1+assumptions!$F$20)),assumptions!$F$21),0)</f>
        <v>46.171961947732555</v>
      </c>
      <c r="AL12" s="93">
        <f>IF(AL6&gt;0,MIN(MAX(assumptions!$F$19*assumptions!$F$18,'Monthly revenue'!AK12*(1+assumptions!$F$20)),assumptions!$F$21),0)</f>
        <v>47.095401186687205</v>
      </c>
      <c r="AM12" s="93">
        <f>IF(AM6&gt;0,MIN(MAX(assumptions!$F$19*assumptions!$F$18,'Monthly revenue'!AL12*(1+assumptions!$F$20)),assumptions!$F$21),0)</f>
        <v>48.03730921042095</v>
      </c>
      <c r="AN12" s="93">
        <f>IF(AN6&gt;0,MIN(MAX(assumptions!$F$19*assumptions!$F$18,'Monthly revenue'!AM12*(1+assumptions!$F$20)),assumptions!$F$21),0)</f>
        <v>48.998055394629368</v>
      </c>
    </row>
    <row r="14" spans="1:40" x14ac:dyDescent="0.25">
      <c r="A14" s="86" t="s">
        <v>109</v>
      </c>
    </row>
    <row r="15" spans="1:40" x14ac:dyDescent="0.25">
      <c r="A15" t="s">
        <v>9</v>
      </c>
      <c r="E15" s="93">
        <f>IF(E7&gt;0,MIN(MAX(assumptions!$C$19*assumptions!$C$18,'Monthly revenue'!D15*(1+assumptions!$C$20)),assumptions!$C$21),0)</f>
        <v>0</v>
      </c>
      <c r="F15" s="93">
        <f>IF(F7&gt;0,MIN(MAX(assumptions!$C$19*assumptions!$C$18,'Monthly revenue'!E15*(1+assumptions!$C$20)),assumptions!$C$21),0)</f>
        <v>0</v>
      </c>
      <c r="G15" s="93">
        <f>IF(G7&gt;0,MIN(MAX(assumptions!$C$19*assumptions!$C$18,'Monthly revenue'!F15*(1+assumptions!$C$20)),assumptions!$C$21),0)</f>
        <v>0</v>
      </c>
      <c r="H15" s="93">
        <f>IF(H7&gt;0,MIN(MAX(assumptions!$C$19*assumptions!$C$18,'Monthly revenue'!G15*(1+assumptions!$C$20)),assumptions!$C$21),0)</f>
        <v>26</v>
      </c>
      <c r="I15" s="93">
        <f>IF(I7&gt;0,MIN(MAX(assumptions!$C$19*assumptions!$C$18,'Monthly revenue'!H15*(1+assumptions!$C$20)),assumptions!$C$21),0)</f>
        <v>27.04</v>
      </c>
      <c r="J15" s="93">
        <f>IF(J7&gt;0,MIN(MAX(assumptions!$C$19*assumptions!$C$18,'Monthly revenue'!I15*(1+assumptions!$C$20)),assumptions!$C$21),0)</f>
        <v>28.121600000000001</v>
      </c>
      <c r="K15" s="93">
        <f>IF(K7&gt;0,MIN(MAX(assumptions!$C$19*assumptions!$C$18,'Monthly revenue'!J15*(1+assumptions!$C$20)),assumptions!$C$21),0)</f>
        <v>29.246464000000003</v>
      </c>
      <c r="L15" s="93">
        <f>IF(L7&gt;0,MIN(MAX(assumptions!$C$19*assumptions!$C$18,'Monthly revenue'!K15*(1+assumptions!$C$20)),assumptions!$C$21),0)</f>
        <v>30.416322560000005</v>
      </c>
      <c r="M15" s="93">
        <f>IF(M7&gt;0,MIN(MAX(assumptions!$C$19*assumptions!$C$18,'Monthly revenue'!L15*(1+assumptions!$C$20)),assumptions!$C$21),0)</f>
        <v>31.632975462400005</v>
      </c>
      <c r="N15" s="93">
        <f>IF(N7&gt;0,MIN(MAX(assumptions!$C$19*assumptions!$C$18,'Monthly revenue'!M15*(1+assumptions!$C$20)),assumptions!$C$21),0)</f>
        <v>32.898294480896006</v>
      </c>
      <c r="O15" s="93">
        <f>IF(O7&gt;0,MIN(MAX(assumptions!$C$19*assumptions!$C$18,'Monthly revenue'!N15*(1+assumptions!$C$20)),assumptions!$C$21),0)</f>
        <v>34.214226260131845</v>
      </c>
      <c r="P15" s="93">
        <f>IF(P7&gt;0,MIN(MAX(assumptions!$C$19*assumptions!$C$18,'Monthly revenue'!O15*(1+assumptions!$C$20)),assumptions!$C$21),0)</f>
        <v>35.582795310537122</v>
      </c>
      <c r="Q15" s="93">
        <f>IF(Q7&gt;0,MIN(MAX(assumptions!$C$19*assumptions!$C$18,'Monthly revenue'!P15*(1+assumptions!$C$20)),assumptions!$C$21),0)</f>
        <v>37.00610712295861</v>
      </c>
      <c r="R15" s="93">
        <f>IF(R7&gt;0,MIN(MAX(assumptions!$C$19*assumptions!$C$18,'Monthly revenue'!Q15*(1+assumptions!$C$20)),assumptions!$C$21),0)</f>
        <v>38.48635140787696</v>
      </c>
      <c r="S15" s="93">
        <f>IF(S7&gt;0,MIN(MAX(assumptions!$C$19*assumptions!$C$18,'Monthly revenue'!R15*(1+assumptions!$C$20)),assumptions!$C$21),0)</f>
        <v>40.02580546419204</v>
      </c>
      <c r="T15" s="93">
        <f>IF(T7&gt;0,MIN(MAX(assumptions!$C$19*assumptions!$C$18,'Monthly revenue'!S15*(1+assumptions!$C$20)),assumptions!$C$21),0)</f>
        <v>41.626837682759721</v>
      </c>
      <c r="U15" s="93">
        <f>IF(U7&gt;0,MIN(MAX(assumptions!$C$19*assumptions!$C$18,'Monthly revenue'!T15*(1+assumptions!$C$20)),assumptions!$C$21),0)</f>
        <v>43.29191119007011</v>
      </c>
      <c r="V15" s="93">
        <f>IF(V7&gt;0,MIN(MAX(assumptions!$C$19*assumptions!$C$18,'Monthly revenue'!U15*(1+assumptions!$C$20)),assumptions!$C$21),0)</f>
        <v>45.023587637672918</v>
      </c>
      <c r="W15" s="93">
        <f>IF(W7&gt;0,MIN(MAX(assumptions!$C$19*assumptions!$C$18,'Monthly revenue'!V15*(1+assumptions!$C$20)),assumptions!$C$21),0)</f>
        <v>46.82453114317984</v>
      </c>
      <c r="X15" s="93">
        <f>IF(X7&gt;0,MIN(MAX(assumptions!$C$19*assumptions!$C$18,'Monthly revenue'!W15*(1+assumptions!$C$20)),assumptions!$C$21),0)</f>
        <v>48.697512388907036</v>
      </c>
      <c r="Y15" s="93">
        <f>IF(Y7&gt;0,MIN(MAX(assumptions!$C$19*assumptions!$C$18,'Monthly revenue'!X15*(1+assumptions!$C$20)),assumptions!$C$21),0)</f>
        <v>50.645412884463319</v>
      </c>
      <c r="Z15" s="93">
        <f>IF(Z7&gt;0,MIN(MAX(assumptions!$C$19*assumptions!$C$18,'Monthly revenue'!Y15*(1+assumptions!$C$20)),assumptions!$C$21),0)</f>
        <v>52.671229399841856</v>
      </c>
      <c r="AA15" s="93">
        <f>IF(AA7&gt;0,MIN(MAX(assumptions!$C$19*assumptions!$C$18,'Monthly revenue'!Z15*(1+assumptions!$C$20)),assumptions!$C$21),0)</f>
        <v>54.778078575835529</v>
      </c>
      <c r="AB15" s="93">
        <f>IF(AB7&gt;0,MIN(MAX(assumptions!$C$19*assumptions!$C$18,'Monthly revenue'!AA15*(1+assumptions!$C$20)),assumptions!$C$21),0)</f>
        <v>56.969201718868952</v>
      </c>
      <c r="AC15" s="93">
        <f>IF(AC7&gt;0,MIN(MAX(assumptions!$C$19*assumptions!$C$18,'Monthly revenue'!AB15*(1+assumptions!$C$20)),assumptions!$C$21),0)</f>
        <v>59.24796978762371</v>
      </c>
      <c r="AD15" s="93">
        <f>IF(AD7&gt;0,MIN(MAX(assumptions!$C$19*assumptions!$C$18,'Monthly revenue'!AC15*(1+assumptions!$C$20)),assumptions!$C$21),0)</f>
        <v>61.61788857912866</v>
      </c>
      <c r="AE15" s="93">
        <f>IF(AE7&gt;0,MIN(MAX(assumptions!$C$19*assumptions!$C$18,'Monthly revenue'!AD15*(1+assumptions!$C$20)),assumptions!$C$21),0)</f>
        <v>64.082604122293816</v>
      </c>
      <c r="AF15" s="93">
        <f>IF(AF7&gt;0,MIN(MAX(assumptions!$C$19*assumptions!$C$18,'Monthly revenue'!AE15*(1+assumptions!$C$20)),assumptions!$C$21),0)</f>
        <v>66.645908287185577</v>
      </c>
      <c r="AG15" s="93">
        <f>IF(AG7&gt;0,MIN(MAX(assumptions!$C$19*assumptions!$C$18,'Monthly revenue'!AF15*(1+assumptions!$C$20)),assumptions!$C$21),0)</f>
        <v>69.311744618673004</v>
      </c>
      <c r="AH15" s="93">
        <f>IF(AH7&gt;0,MIN(MAX(assumptions!$C$19*assumptions!$C$18,'Monthly revenue'!AG15*(1+assumptions!$C$20)),assumptions!$C$21),0)</f>
        <v>72.084214403419921</v>
      </c>
      <c r="AI15" s="93">
        <f>IF(AI7&gt;0,MIN(MAX(assumptions!$C$19*assumptions!$C$18,'Monthly revenue'!AH15*(1+assumptions!$C$20)),assumptions!$C$21),0)</f>
        <v>74.967582979556724</v>
      </c>
      <c r="AJ15" s="93">
        <f>IF(AJ7&gt;0,MIN(MAX(assumptions!$C$19*assumptions!$C$18,'Monthly revenue'!AI15*(1+assumptions!$C$20)),assumptions!$C$21),0)</f>
        <v>77.966286298738993</v>
      </c>
      <c r="AK15" s="93">
        <f>IF(AK7&gt;0,MIN(MAX(assumptions!$C$19*assumptions!$C$18,'Monthly revenue'!AJ15*(1+assumptions!$C$20)),assumptions!$C$21),0)</f>
        <v>80</v>
      </c>
      <c r="AL15" s="93">
        <f>IF(AL7&gt;0,MIN(MAX(assumptions!$C$19*assumptions!$C$18,'Monthly revenue'!AK15*(1+assumptions!$C$20)),assumptions!$C$21),0)</f>
        <v>80</v>
      </c>
      <c r="AM15" s="93">
        <f>IF(AM7&gt;0,MIN(MAX(assumptions!$C$19*assumptions!$C$18,'Monthly revenue'!AL15*(1+assumptions!$C$20)),assumptions!$C$21),0)</f>
        <v>80</v>
      </c>
      <c r="AN15" s="93">
        <f>IF(AN7&gt;0,MIN(MAX(assumptions!$C$19*assumptions!$C$18,'Monthly revenue'!AM15*(1+assumptions!$C$20)),assumptions!$C$21),0)</f>
        <v>80</v>
      </c>
    </row>
    <row r="16" spans="1:40" x14ac:dyDescent="0.25">
      <c r="A16" t="s">
        <v>10</v>
      </c>
      <c r="E16" s="93">
        <f>IF(E7&gt;0,MIN(MAX(assumptions!$G$19*assumptions!$G$18,'Monthly revenue'!D16*(1+assumptions!$G$20)),assumptions!$G$21),0)</f>
        <v>0</v>
      </c>
      <c r="F16" s="93">
        <f>IF(F7&gt;0,MIN(MAX(assumptions!$G$19*assumptions!$G$18,'Monthly revenue'!E16*(1+assumptions!$G$20)),assumptions!$G$21),0)</f>
        <v>0</v>
      </c>
      <c r="G16" s="93">
        <f>IF(G7&gt;0,MIN(MAX(assumptions!$G$19*assumptions!$G$18,'Monthly revenue'!F16*(1+assumptions!$G$20)),assumptions!$G$21),0)</f>
        <v>0</v>
      </c>
      <c r="H16" s="93">
        <f>IF(H7&gt;0,MIN(MAX(assumptions!$G$19*assumptions!$G$18,'Monthly revenue'!G16*(1+assumptions!$G$20)),assumptions!$G$21),0)</f>
        <v>30</v>
      </c>
      <c r="I16" s="93">
        <f>IF(I7&gt;0,MIN(MAX(assumptions!$G$19*assumptions!$G$18,'Monthly revenue'!H16*(1+assumptions!$G$20)),assumptions!$G$21),0)</f>
        <v>31.200000000000003</v>
      </c>
      <c r="J16" s="93">
        <f>IF(J7&gt;0,MIN(MAX(assumptions!$G$19*assumptions!$G$18,'Monthly revenue'!I16*(1+assumptions!$G$20)),assumptions!$G$21),0)</f>
        <v>32.448000000000008</v>
      </c>
      <c r="K16" s="93">
        <f>IF(K7&gt;0,MIN(MAX(assumptions!$G$19*assumptions!$G$18,'Monthly revenue'!J16*(1+assumptions!$G$20)),assumptions!$G$21),0)</f>
        <v>33.745920000000012</v>
      </c>
      <c r="L16" s="93">
        <f>IF(L7&gt;0,MIN(MAX(assumptions!$G$19*assumptions!$G$18,'Monthly revenue'!K16*(1+assumptions!$G$20)),assumptions!$G$21),0)</f>
        <v>35.095756800000011</v>
      </c>
      <c r="M16" s="93">
        <f>IF(M7&gt;0,MIN(MAX(assumptions!$G$19*assumptions!$G$18,'Monthly revenue'!L16*(1+assumptions!$G$20)),assumptions!$G$21),0)</f>
        <v>36.499587072000011</v>
      </c>
      <c r="N16" s="93">
        <f>IF(N7&gt;0,MIN(MAX(assumptions!$G$19*assumptions!$G$18,'Monthly revenue'!M16*(1+assumptions!$G$20)),assumptions!$G$21),0)</f>
        <v>37.95957055488001</v>
      </c>
      <c r="O16" s="93">
        <f>IF(O7&gt;0,MIN(MAX(assumptions!$G$19*assumptions!$G$18,'Monthly revenue'!N16*(1+assumptions!$G$20)),assumptions!$G$21),0)</f>
        <v>39.47795337707521</v>
      </c>
      <c r="P16" s="93">
        <f>IF(P7&gt;0,MIN(MAX(assumptions!$G$19*assumptions!$G$18,'Monthly revenue'!O16*(1+assumptions!$G$20)),assumptions!$G$21),0)</f>
        <v>41.057071512158217</v>
      </c>
      <c r="Q16" s="93">
        <f>IF(Q7&gt;0,MIN(MAX(assumptions!$G$19*assumptions!$G$18,'Monthly revenue'!P16*(1+assumptions!$G$20)),assumptions!$G$21),0)</f>
        <v>42.699354372644549</v>
      </c>
      <c r="R16" s="93">
        <f>IF(R7&gt;0,MIN(MAX(assumptions!$G$19*assumptions!$G$18,'Monthly revenue'!Q16*(1+assumptions!$G$20)),assumptions!$G$21),0)</f>
        <v>44.407328547550335</v>
      </c>
      <c r="S16" s="93">
        <f>IF(S7&gt;0,MIN(MAX(assumptions!$G$19*assumptions!$G$18,'Monthly revenue'!R16*(1+assumptions!$G$20)),assumptions!$G$21),0)</f>
        <v>46.183621689452352</v>
      </c>
      <c r="T16" s="93">
        <f>IF(T7&gt;0,MIN(MAX(assumptions!$G$19*assumptions!$G$18,'Monthly revenue'!S16*(1+assumptions!$G$20)),assumptions!$G$21),0)</f>
        <v>48.030966557030446</v>
      </c>
      <c r="U16" s="93">
        <f>IF(U7&gt;0,MIN(MAX(assumptions!$G$19*assumptions!$G$18,'Monthly revenue'!T16*(1+assumptions!$G$20)),assumptions!$G$21),0)</f>
        <v>49.952205219311665</v>
      </c>
      <c r="V16" s="93">
        <f>IF(V7&gt;0,MIN(MAX(assumptions!$G$19*assumptions!$G$18,'Monthly revenue'!U16*(1+assumptions!$G$20)),assumptions!$G$21),0)</f>
        <v>51.95029342808413</v>
      </c>
      <c r="W16" s="93">
        <f>IF(W7&gt;0,MIN(MAX(assumptions!$G$19*assumptions!$G$18,'Monthly revenue'!V16*(1+assumptions!$G$20)),assumptions!$G$21),0)</f>
        <v>54.028305165207499</v>
      </c>
      <c r="X16" s="93">
        <f>IF(X7&gt;0,MIN(MAX(assumptions!$G$19*assumptions!$G$18,'Monthly revenue'!W16*(1+assumptions!$G$20)),assumptions!$G$21),0)</f>
        <v>56.189437371815799</v>
      </c>
      <c r="Y16" s="93">
        <f>IF(Y7&gt;0,MIN(MAX(assumptions!$G$19*assumptions!$G$18,'Monthly revenue'!X16*(1+assumptions!$G$20)),assumptions!$G$21),0)</f>
        <v>58.437014866688436</v>
      </c>
      <c r="Z16" s="93">
        <f>IF(Z7&gt;0,MIN(MAX(assumptions!$G$19*assumptions!$G$18,'Monthly revenue'!Y16*(1+assumptions!$G$20)),assumptions!$G$21),0)</f>
        <v>60.774495461355976</v>
      </c>
      <c r="AA16" s="93">
        <f>IF(AA7&gt;0,MIN(MAX(assumptions!$G$19*assumptions!$G$18,'Monthly revenue'!Z16*(1+assumptions!$G$20)),assumptions!$G$21),0)</f>
        <v>63.205475279810216</v>
      </c>
      <c r="AB16" s="93">
        <f>IF(AB7&gt;0,MIN(MAX(assumptions!$G$19*assumptions!$G$18,'Monthly revenue'!AA16*(1+assumptions!$G$20)),assumptions!$G$21),0)</f>
        <v>65.733694291002621</v>
      </c>
      <c r="AC16" s="93">
        <f>IF(AC7&gt;0,MIN(MAX(assumptions!$G$19*assumptions!$G$18,'Monthly revenue'!AB16*(1+assumptions!$G$20)),assumptions!$G$21),0)</f>
        <v>68.363042062642734</v>
      </c>
      <c r="AD16" s="93">
        <f>IF(AD7&gt;0,MIN(MAX(assumptions!$G$19*assumptions!$G$18,'Monthly revenue'!AC16*(1+assumptions!$G$20)),assumptions!$G$21),0)</f>
        <v>71.097563745148449</v>
      </c>
      <c r="AE16" s="93">
        <f>IF(AE7&gt;0,MIN(MAX(assumptions!$G$19*assumptions!$G$18,'Monthly revenue'!AD16*(1+assumptions!$G$20)),assumptions!$G$21),0)</f>
        <v>73.941466294954395</v>
      </c>
      <c r="AF16" s="93">
        <f>IF(AF7&gt;0,MIN(MAX(assumptions!$G$19*assumptions!$G$18,'Monthly revenue'!AE16*(1+assumptions!$G$20)),assumptions!$G$21),0)</f>
        <v>76.899124946752579</v>
      </c>
      <c r="AG16" s="93">
        <f>IF(AG7&gt;0,MIN(MAX(assumptions!$G$19*assumptions!$G$18,'Monthly revenue'!AF16*(1+assumptions!$G$20)),assumptions!$G$21),0)</f>
        <v>79.975089944622681</v>
      </c>
      <c r="AH16" s="93">
        <f>IF(AH7&gt;0,MIN(MAX(assumptions!$G$19*assumptions!$G$18,'Monthly revenue'!AG16*(1+assumptions!$G$20)),assumptions!$G$21),0)</f>
        <v>83.17409354240759</v>
      </c>
      <c r="AI16" s="93">
        <f>IF(AI7&gt;0,MIN(MAX(assumptions!$G$19*assumptions!$G$18,'Monthly revenue'!AH16*(1+assumptions!$G$20)),assumptions!$G$21),0)</f>
        <v>86.501057284103894</v>
      </c>
      <c r="AJ16" s="93">
        <f>IF(AJ7&gt;0,MIN(MAX(assumptions!$G$19*assumptions!$G$18,'Monthly revenue'!AI16*(1+assumptions!$G$20)),assumptions!$G$21),0)</f>
        <v>89.961099575468054</v>
      </c>
      <c r="AK16" s="93">
        <f>IF(AK7&gt;0,MIN(MAX(assumptions!$G$19*assumptions!$G$18,'Monthly revenue'!AJ16*(1+assumptions!$G$20)),assumptions!$G$21),0)</f>
        <v>90</v>
      </c>
      <c r="AL16" s="93">
        <f>IF(AL7&gt;0,MIN(MAX(assumptions!$G$19*assumptions!$G$18,'Monthly revenue'!AK16*(1+assumptions!$G$20)),assumptions!$G$21),0)</f>
        <v>90</v>
      </c>
      <c r="AM16" s="93">
        <f>IF(AM7&gt;0,MIN(MAX(assumptions!$G$19*assumptions!$G$18,'Monthly revenue'!AL16*(1+assumptions!$G$20)),assumptions!$G$21),0)</f>
        <v>90</v>
      </c>
      <c r="AN16" s="93">
        <f>IF(AN7&gt;0,MIN(MAX(assumptions!$G$19*assumptions!$G$18,'Monthly revenue'!AM16*(1+assumptions!$G$20)),assumptions!$G$21),0)</f>
        <v>90</v>
      </c>
    </row>
    <row r="18" spans="1:40" x14ac:dyDescent="0.25">
      <c r="A18" s="86" t="s">
        <v>11</v>
      </c>
    </row>
    <row r="19" spans="1:40" x14ac:dyDescent="0.25">
      <c r="A19" s="86" t="s">
        <v>7</v>
      </c>
    </row>
    <row r="20" spans="1:40" x14ac:dyDescent="0.25">
      <c r="A20" s="101" t="s">
        <v>9</v>
      </c>
    </row>
    <row r="21" spans="1:40" x14ac:dyDescent="0.25">
      <c r="A21" s="100" t="str">
        <f>assumptions!$A$11</f>
        <v>Alcoholic Beverages</v>
      </c>
      <c r="H21" s="93">
        <f>assumptions!$B$11</f>
        <v>700</v>
      </c>
      <c r="I21" s="93">
        <f>assumptions!$B$11</f>
        <v>700</v>
      </c>
      <c r="J21" s="93">
        <f>assumptions!$B$11</f>
        <v>700</v>
      </c>
      <c r="K21" s="93">
        <f>assumptions!$B$11</f>
        <v>700</v>
      </c>
      <c r="L21" s="93">
        <f>assumptions!$B$11</f>
        <v>700</v>
      </c>
      <c r="M21" s="93">
        <f>assumptions!$B$11</f>
        <v>700</v>
      </c>
      <c r="N21" s="93">
        <f>assumptions!$B$11</f>
        <v>700</v>
      </c>
      <c r="O21" s="93">
        <f>assumptions!$B$11</f>
        <v>700</v>
      </c>
      <c r="P21" s="93">
        <f>assumptions!$B$11</f>
        <v>700</v>
      </c>
      <c r="Q21" s="93">
        <f>assumptions!$B$11</f>
        <v>700</v>
      </c>
      <c r="R21" s="93">
        <f>assumptions!$B$11</f>
        <v>700</v>
      </c>
      <c r="S21" s="93">
        <f>assumptions!$B$11</f>
        <v>700</v>
      </c>
      <c r="T21" s="93">
        <f>$S$21*(1+assumptions!$B$14)</f>
        <v>735</v>
      </c>
      <c r="U21" s="93">
        <f>$S$21*(1+assumptions!$B$14)</f>
        <v>735</v>
      </c>
      <c r="V21" s="93">
        <f>$S$21*(1+assumptions!$B$14)</f>
        <v>735</v>
      </c>
      <c r="W21" s="93">
        <f>$S$21*(1+assumptions!$B$14)</f>
        <v>735</v>
      </c>
      <c r="X21" s="93">
        <f>$S$21*(1+assumptions!$B$14)</f>
        <v>735</v>
      </c>
      <c r="Y21" s="93">
        <f>$S$21*(1+assumptions!$B$14)</f>
        <v>735</v>
      </c>
      <c r="Z21" s="93">
        <f>$S$21*(1+assumptions!$B$14)</f>
        <v>735</v>
      </c>
      <c r="AA21" s="93">
        <f>$S$21*(1+assumptions!$B$14)</f>
        <v>735</v>
      </c>
      <c r="AB21" s="93">
        <f>$S$21*(1+assumptions!$B$14)</f>
        <v>735</v>
      </c>
      <c r="AC21" s="93">
        <f>$S$21*(1+assumptions!$B$14)</f>
        <v>735</v>
      </c>
      <c r="AD21" s="93">
        <f>$S$21*(1+assumptions!$B$14)</f>
        <v>735</v>
      </c>
      <c r="AE21" s="93">
        <f>$S$21*(1+assumptions!$B$14)</f>
        <v>735</v>
      </c>
      <c r="AF21" s="93">
        <f>$AE$21*(1+assumptions!$B$14)</f>
        <v>771.75</v>
      </c>
      <c r="AG21" s="93">
        <f>$AE$21*(1+assumptions!$B$14)</f>
        <v>771.75</v>
      </c>
      <c r="AH21" s="93">
        <f>$AE$21*(1+assumptions!$B$14)</f>
        <v>771.75</v>
      </c>
      <c r="AI21" s="93">
        <f>$AE$21*(1+assumptions!$B$14)</f>
        <v>771.75</v>
      </c>
      <c r="AJ21" s="93">
        <f>$AE$21*(1+assumptions!$B$14)</f>
        <v>771.75</v>
      </c>
      <c r="AK21" s="93">
        <f>$AE$21*(1+assumptions!$B$14)</f>
        <v>771.75</v>
      </c>
      <c r="AL21" s="93">
        <f>$AE$21*(1+assumptions!$B$14)</f>
        <v>771.75</v>
      </c>
      <c r="AM21" s="93">
        <f>$AE$21*(1+assumptions!$B$14)</f>
        <v>771.75</v>
      </c>
      <c r="AN21" s="93">
        <f>$AE$21*(1+assumptions!$B$14)</f>
        <v>771.75</v>
      </c>
    </row>
    <row r="22" spans="1:40" x14ac:dyDescent="0.25">
      <c r="A22" s="100" t="str">
        <f>assumptions!A12</f>
        <v>Non Alcoholic Beverages</v>
      </c>
      <c r="H22" s="93">
        <f>assumptions!$B$12</f>
        <v>300</v>
      </c>
      <c r="I22" s="93">
        <f>assumptions!$B$12</f>
        <v>300</v>
      </c>
      <c r="J22" s="93">
        <f>assumptions!$B$12</f>
        <v>300</v>
      </c>
      <c r="K22" s="93">
        <f>assumptions!$B$12</f>
        <v>300</v>
      </c>
      <c r="L22" s="93">
        <f>assumptions!$B$12</f>
        <v>300</v>
      </c>
      <c r="M22" s="93">
        <f>assumptions!$B$12</f>
        <v>300</v>
      </c>
      <c r="N22" s="93">
        <f>assumptions!$B$12</f>
        <v>300</v>
      </c>
      <c r="O22" s="93">
        <f>assumptions!$B$12</f>
        <v>300</v>
      </c>
      <c r="P22" s="93">
        <f>assumptions!$B$12</f>
        <v>300</v>
      </c>
      <c r="Q22" s="93">
        <f>assumptions!$B$12</f>
        <v>300</v>
      </c>
      <c r="R22" s="93">
        <f>assumptions!$B$12</f>
        <v>300</v>
      </c>
      <c r="S22" s="93">
        <f>assumptions!$B$12</f>
        <v>300</v>
      </c>
      <c r="T22" s="93">
        <f>$S$22*(1+assumptions!$B$14)</f>
        <v>315</v>
      </c>
      <c r="U22" s="93">
        <f>$S$22*(1+assumptions!$B$14)</f>
        <v>315</v>
      </c>
      <c r="V22" s="93">
        <f>$S$22*(1+assumptions!$B$14)</f>
        <v>315</v>
      </c>
      <c r="W22" s="93">
        <f>$S$22*(1+assumptions!$B$14)</f>
        <v>315</v>
      </c>
      <c r="X22" s="93">
        <f>$S$22*(1+assumptions!$B$14)</f>
        <v>315</v>
      </c>
      <c r="Y22" s="93">
        <f>$S$22*(1+assumptions!$B$14)</f>
        <v>315</v>
      </c>
      <c r="Z22" s="93">
        <f>$S$22*(1+assumptions!$B$14)</f>
        <v>315</v>
      </c>
      <c r="AA22" s="93">
        <f>$S$22*(1+assumptions!$B$14)</f>
        <v>315</v>
      </c>
      <c r="AB22" s="93">
        <f>$S$22*(1+assumptions!$B$14)</f>
        <v>315</v>
      </c>
      <c r="AC22" s="93">
        <f>$S$22*(1+assumptions!$B$14)</f>
        <v>315</v>
      </c>
      <c r="AD22" s="93">
        <f>$S$22*(1+assumptions!$B$14)</f>
        <v>315</v>
      </c>
      <c r="AE22" s="93">
        <f>$S$22*(1+assumptions!$B$14)</f>
        <v>315</v>
      </c>
      <c r="AF22" s="93">
        <f>$AE$22*(1+assumptions!$B$14)</f>
        <v>330.75</v>
      </c>
      <c r="AG22" s="93">
        <f>$AE$22*(1+assumptions!$B$14)</f>
        <v>330.75</v>
      </c>
      <c r="AH22" s="93">
        <f>$AE$22*(1+assumptions!$B$14)</f>
        <v>330.75</v>
      </c>
      <c r="AI22" s="93">
        <f>$AE$22*(1+assumptions!$B$14)</f>
        <v>330.75</v>
      </c>
      <c r="AJ22" s="93">
        <f>$AE$22*(1+assumptions!$B$14)</f>
        <v>330.75</v>
      </c>
      <c r="AK22" s="93">
        <f>$AE$22*(1+assumptions!$B$14)</f>
        <v>330.75</v>
      </c>
      <c r="AL22" s="93">
        <f>$AE$22*(1+assumptions!$B$14)</f>
        <v>330.75</v>
      </c>
      <c r="AM22" s="93">
        <f>$AE$22*(1+assumptions!$B$14)</f>
        <v>330.75</v>
      </c>
      <c r="AN22" s="93">
        <f>$AE$22*(1+assumptions!$B$14)</f>
        <v>330.75</v>
      </c>
    </row>
    <row r="23" spans="1:40" x14ac:dyDescent="0.25">
      <c r="A23" s="100" t="str">
        <f>assumptions!A13</f>
        <v>Food</v>
      </c>
      <c r="H23" s="93">
        <f>assumptions!$B$13</f>
        <v>1100</v>
      </c>
      <c r="I23" s="93">
        <f>assumptions!$B$13</f>
        <v>1100</v>
      </c>
      <c r="J23" s="93">
        <f>assumptions!$B$13</f>
        <v>1100</v>
      </c>
      <c r="K23" s="93">
        <f>assumptions!$B$13</f>
        <v>1100</v>
      </c>
      <c r="L23" s="93">
        <f>assumptions!$B$13</f>
        <v>1100</v>
      </c>
      <c r="M23" s="93">
        <f>assumptions!$B$13</f>
        <v>1100</v>
      </c>
      <c r="N23" s="93">
        <f>assumptions!$B$13</f>
        <v>1100</v>
      </c>
      <c r="O23" s="93">
        <f>assumptions!$B$13</f>
        <v>1100</v>
      </c>
      <c r="P23" s="93">
        <f>assumptions!$B$13</f>
        <v>1100</v>
      </c>
      <c r="Q23" s="93">
        <f>assumptions!$B$13</f>
        <v>1100</v>
      </c>
      <c r="R23" s="93">
        <f>assumptions!$B$13</f>
        <v>1100</v>
      </c>
      <c r="S23" s="93">
        <f>assumptions!$B$13</f>
        <v>1100</v>
      </c>
      <c r="T23" s="93">
        <f>$S$23*(1+assumptions!$B$14)</f>
        <v>1155</v>
      </c>
      <c r="U23" s="93">
        <f>$S$23*(1+assumptions!$B$14)</f>
        <v>1155</v>
      </c>
      <c r="V23" s="93">
        <f>$S$23*(1+assumptions!$B$14)</f>
        <v>1155</v>
      </c>
      <c r="W23" s="93">
        <f>$S$23*(1+assumptions!$B$14)</f>
        <v>1155</v>
      </c>
      <c r="X23" s="93">
        <f>$S$23*(1+assumptions!$B$14)</f>
        <v>1155</v>
      </c>
      <c r="Y23" s="93">
        <f>$S$23*(1+assumptions!$B$14)</f>
        <v>1155</v>
      </c>
      <c r="Z23" s="93">
        <f>$S$23*(1+assumptions!$B$14)</f>
        <v>1155</v>
      </c>
      <c r="AA23" s="93">
        <f>$S$23*(1+assumptions!$B$14)</f>
        <v>1155</v>
      </c>
      <c r="AB23" s="93">
        <f>$S$23*(1+assumptions!$B$14)</f>
        <v>1155</v>
      </c>
      <c r="AC23" s="93">
        <f>$S$23*(1+assumptions!$B$14)</f>
        <v>1155</v>
      </c>
      <c r="AD23" s="93">
        <f>$S$23*(1+assumptions!$B$14)</f>
        <v>1155</v>
      </c>
      <c r="AE23" s="93">
        <f>$S$23*(1+assumptions!$B$14)</f>
        <v>1155</v>
      </c>
      <c r="AF23" s="93">
        <f>$AE$23*(1+assumptions!$B$14)</f>
        <v>1212.75</v>
      </c>
      <c r="AG23" s="93">
        <f>$AE$23*(1+assumptions!$B$14)</f>
        <v>1212.75</v>
      </c>
      <c r="AH23" s="93">
        <f>$AE$23*(1+assumptions!$B$14)</f>
        <v>1212.75</v>
      </c>
      <c r="AI23" s="93">
        <f>$AE$23*(1+assumptions!$B$14)</f>
        <v>1212.75</v>
      </c>
      <c r="AJ23" s="93">
        <f>$AE$23*(1+assumptions!$B$14)</f>
        <v>1212.75</v>
      </c>
      <c r="AK23" s="93">
        <f>$AE$23*(1+assumptions!$B$14)</f>
        <v>1212.75</v>
      </c>
      <c r="AL23" s="93">
        <f>$AE$23*(1+assumptions!$B$14)</f>
        <v>1212.75</v>
      </c>
      <c r="AM23" s="93">
        <f>$AE$23*(1+assumptions!$B$14)</f>
        <v>1212.75</v>
      </c>
      <c r="AN23" s="93">
        <f>$AE$23*(1+assumptions!$B$14)</f>
        <v>1212.75</v>
      </c>
    </row>
    <row r="24" spans="1:40" s="106" customFormat="1" x14ac:dyDescent="0.25">
      <c r="A24" s="104" t="s">
        <v>40</v>
      </c>
      <c r="B24" s="105"/>
      <c r="C24" s="105"/>
      <c r="D24" s="105"/>
      <c r="H24" s="106">
        <f>SUM(H21:H23)</f>
        <v>2100</v>
      </c>
      <c r="I24" s="106">
        <f t="shared" ref="I24:J24" si="46">SUM(I21:I23)</f>
        <v>2100</v>
      </c>
      <c r="J24" s="106">
        <f t="shared" si="46"/>
        <v>2100</v>
      </c>
      <c r="K24" s="106">
        <f>SUM(K21:K23)</f>
        <v>2100</v>
      </c>
      <c r="L24" s="106">
        <f t="shared" ref="L24" si="47">SUM(L21:L23)</f>
        <v>2100</v>
      </c>
      <c r="M24" s="106">
        <f t="shared" ref="M24" si="48">SUM(M21:M23)</f>
        <v>2100</v>
      </c>
      <c r="N24" s="106">
        <f>SUM(N21:N23)</f>
        <v>2100</v>
      </c>
      <c r="O24" s="106">
        <f t="shared" ref="O24" si="49">SUM(O21:O23)</f>
        <v>2100</v>
      </c>
      <c r="P24" s="106">
        <f>SUM(P21:P23)</f>
        <v>2100</v>
      </c>
      <c r="Q24" s="106">
        <f t="shared" ref="Q24" si="50">SUM(Q21:Q23)</f>
        <v>2100</v>
      </c>
      <c r="R24" s="106">
        <f>SUM(R21:R23)</f>
        <v>2100</v>
      </c>
      <c r="S24" s="106">
        <f t="shared" ref="S24" si="51">SUM(S21:S23)</f>
        <v>2100</v>
      </c>
      <c r="T24" s="106">
        <f t="shared" ref="T24" si="52">SUM(T21:T23)</f>
        <v>2205</v>
      </c>
      <c r="U24" s="106">
        <f>SUM(U21:U23)</f>
        <v>2205</v>
      </c>
      <c r="V24" s="106">
        <f t="shared" ref="V24" si="53">SUM(V21:V23)</f>
        <v>2205</v>
      </c>
      <c r="W24" s="106">
        <f>SUM(W21:W23)</f>
        <v>2205</v>
      </c>
      <c r="X24" s="106">
        <f t="shared" ref="X24" si="54">SUM(X21:X23)</f>
        <v>2205</v>
      </c>
      <c r="Y24" s="106">
        <f>SUM(Y21:Y23)</f>
        <v>2205</v>
      </c>
      <c r="Z24" s="106">
        <f t="shared" ref="Z24" si="55">SUM(Z21:Z23)</f>
        <v>2205</v>
      </c>
      <c r="AA24" s="106">
        <f>SUM(AA21:AA23)</f>
        <v>2205</v>
      </c>
      <c r="AB24" s="106">
        <f t="shared" ref="AB24" si="56">SUM(AB21:AB23)</f>
        <v>2205</v>
      </c>
      <c r="AC24" s="106">
        <f>SUM(AC21:AC23)</f>
        <v>2205</v>
      </c>
      <c r="AD24" s="106">
        <f t="shared" ref="AD24" si="57">SUM(AD21:AD23)</f>
        <v>2205</v>
      </c>
      <c r="AE24" s="106">
        <f t="shared" ref="AE24" si="58">SUM(AE21:AE23)</f>
        <v>2205</v>
      </c>
      <c r="AF24" s="106">
        <f>SUM(AF21:AF23)</f>
        <v>2315.25</v>
      </c>
      <c r="AG24" s="106">
        <f>SUM(AG21:AG23)</f>
        <v>2315.25</v>
      </c>
      <c r="AH24" s="106">
        <f>SUM(AH21:AH23)</f>
        <v>2315.25</v>
      </c>
      <c r="AI24" s="106">
        <f t="shared" ref="AI24" si="59">SUM(AI21:AI23)</f>
        <v>2315.25</v>
      </c>
      <c r="AJ24" s="106">
        <f t="shared" ref="AJ24" si="60">SUM(AJ21:AJ23)</f>
        <v>2315.25</v>
      </c>
      <c r="AK24" s="106">
        <f>SUM(AK21:AK23)</f>
        <v>2315.25</v>
      </c>
      <c r="AL24" s="106">
        <f>SUM(AL21:AL23)</f>
        <v>2315.25</v>
      </c>
      <c r="AM24" s="106">
        <f t="shared" ref="AM24" si="61">SUM(AM21:AM23)</f>
        <v>2315.25</v>
      </c>
      <c r="AN24" s="106">
        <f>SUM(AN21:AN23)</f>
        <v>2315.25</v>
      </c>
    </row>
    <row r="26" spans="1:40" x14ac:dyDescent="0.25">
      <c r="A26" s="101" t="s">
        <v>10</v>
      </c>
      <c r="E26" s="93">
        <f>MOD(E3,12)</f>
        <v>1</v>
      </c>
      <c r="F26" s="93">
        <f t="shared" ref="F26:AN26" si="62">MOD(F3,12)</f>
        <v>2</v>
      </c>
      <c r="G26" s="93">
        <f t="shared" si="62"/>
        <v>3</v>
      </c>
      <c r="H26" s="102">
        <f t="shared" si="62"/>
        <v>4</v>
      </c>
      <c r="I26" s="93">
        <f t="shared" si="62"/>
        <v>5</v>
      </c>
      <c r="J26" s="93">
        <f t="shared" si="62"/>
        <v>6</v>
      </c>
      <c r="K26" s="93">
        <f t="shared" si="62"/>
        <v>7</v>
      </c>
      <c r="L26" s="93">
        <f t="shared" si="62"/>
        <v>8</v>
      </c>
      <c r="M26" s="93">
        <f t="shared" si="62"/>
        <v>9</v>
      </c>
      <c r="N26" s="93">
        <f t="shared" si="62"/>
        <v>10</v>
      </c>
      <c r="O26" s="93">
        <f t="shared" si="62"/>
        <v>11</v>
      </c>
      <c r="P26" s="93">
        <f t="shared" si="62"/>
        <v>0</v>
      </c>
      <c r="Q26" s="93">
        <f t="shared" si="62"/>
        <v>1</v>
      </c>
      <c r="R26" s="93">
        <f t="shared" si="62"/>
        <v>2</v>
      </c>
      <c r="S26" s="93">
        <f t="shared" si="62"/>
        <v>3</v>
      </c>
      <c r="T26" s="102">
        <f t="shared" si="62"/>
        <v>4</v>
      </c>
      <c r="U26" s="93">
        <f t="shared" si="62"/>
        <v>5</v>
      </c>
      <c r="V26" s="93">
        <f t="shared" si="62"/>
        <v>6</v>
      </c>
      <c r="W26" s="93">
        <f t="shared" si="62"/>
        <v>7</v>
      </c>
      <c r="X26" s="93">
        <f t="shared" si="62"/>
        <v>8</v>
      </c>
      <c r="Y26" s="93">
        <f t="shared" si="62"/>
        <v>9</v>
      </c>
      <c r="Z26" s="93">
        <f t="shared" si="62"/>
        <v>10</v>
      </c>
      <c r="AA26" s="93">
        <f t="shared" si="62"/>
        <v>11</v>
      </c>
      <c r="AB26" s="93">
        <f t="shared" si="62"/>
        <v>0</v>
      </c>
      <c r="AC26" s="93">
        <f t="shared" si="62"/>
        <v>1</v>
      </c>
      <c r="AD26" s="93">
        <f t="shared" si="62"/>
        <v>2</v>
      </c>
      <c r="AE26" s="93">
        <f t="shared" si="62"/>
        <v>3</v>
      </c>
      <c r="AF26" s="102">
        <f t="shared" si="62"/>
        <v>4</v>
      </c>
      <c r="AG26" s="93">
        <f t="shared" si="62"/>
        <v>5</v>
      </c>
      <c r="AH26" s="93">
        <f t="shared" si="62"/>
        <v>6</v>
      </c>
      <c r="AI26" s="93">
        <f t="shared" si="62"/>
        <v>7</v>
      </c>
      <c r="AJ26" s="93">
        <f t="shared" si="62"/>
        <v>8</v>
      </c>
      <c r="AK26" s="93">
        <f t="shared" si="62"/>
        <v>9</v>
      </c>
      <c r="AL26" s="93">
        <f t="shared" si="62"/>
        <v>10</v>
      </c>
      <c r="AM26" s="93">
        <f t="shared" si="62"/>
        <v>11</v>
      </c>
      <c r="AN26" s="93">
        <f t="shared" si="62"/>
        <v>0</v>
      </c>
    </row>
    <row r="27" spans="1:40" x14ac:dyDescent="0.25">
      <c r="A27" s="100" t="str">
        <f>assumptions!E11</f>
        <v>Alcoholic Beverages</v>
      </c>
      <c r="H27" s="93">
        <f>assumptions!$B$11</f>
        <v>700</v>
      </c>
      <c r="I27" s="93">
        <f>assumptions!$B$11</f>
        <v>700</v>
      </c>
      <c r="J27" s="93">
        <f>assumptions!$B$11</f>
        <v>700</v>
      </c>
      <c r="K27" s="93">
        <f>assumptions!$B$11</f>
        <v>700</v>
      </c>
      <c r="L27" s="93">
        <f>assumptions!$B$11</f>
        <v>700</v>
      </c>
      <c r="M27" s="93">
        <f>assumptions!$B$11</f>
        <v>700</v>
      </c>
      <c r="N27" s="93">
        <f>assumptions!$B$11</f>
        <v>700</v>
      </c>
      <c r="O27" s="93">
        <f>assumptions!$B$11</f>
        <v>700</v>
      </c>
      <c r="P27" s="93">
        <f>assumptions!$B$11</f>
        <v>700</v>
      </c>
      <c r="Q27" s="93">
        <f>assumptions!$B$11</f>
        <v>700</v>
      </c>
      <c r="R27" s="93">
        <f>assumptions!$B$11</f>
        <v>700</v>
      </c>
      <c r="S27" s="93">
        <f>assumptions!$B$11</f>
        <v>700</v>
      </c>
      <c r="T27" s="93">
        <f>$S$21*(1+assumptions!$B$14)</f>
        <v>735</v>
      </c>
      <c r="U27" s="93">
        <f>$S$21*(1+assumptions!$B$14)</f>
        <v>735</v>
      </c>
      <c r="V27" s="93">
        <f>$S$21*(1+assumptions!$B$14)</f>
        <v>735</v>
      </c>
      <c r="W27" s="93">
        <f>$S$21*(1+assumptions!$B$14)</f>
        <v>735</v>
      </c>
      <c r="X27" s="93">
        <f>$S$21*(1+assumptions!$B$14)</f>
        <v>735</v>
      </c>
      <c r="Y27" s="93">
        <f>$S$21*(1+assumptions!$B$14)</f>
        <v>735</v>
      </c>
      <c r="Z27" s="93">
        <f>$S$21*(1+assumptions!$B$14)</f>
        <v>735</v>
      </c>
      <c r="AA27" s="93">
        <f>$S$21*(1+assumptions!$B$14)</f>
        <v>735</v>
      </c>
      <c r="AB27" s="93">
        <f>$S$21*(1+assumptions!$B$14)</f>
        <v>735</v>
      </c>
      <c r="AC27" s="93">
        <f>$S$21*(1+assumptions!$B$14)</f>
        <v>735</v>
      </c>
      <c r="AD27" s="93">
        <f>$S$21*(1+assumptions!$B$14)</f>
        <v>735</v>
      </c>
      <c r="AE27" s="93">
        <f>$S$21*(1+assumptions!$B$14)</f>
        <v>735</v>
      </c>
      <c r="AF27" s="93">
        <f>$AE$21*(1+assumptions!$B$14)</f>
        <v>771.75</v>
      </c>
      <c r="AG27" s="93">
        <f>$AE$21*(1+assumptions!$B$14)</f>
        <v>771.75</v>
      </c>
      <c r="AH27" s="93">
        <f>$AE$21*(1+assumptions!$B$14)</f>
        <v>771.75</v>
      </c>
      <c r="AI27" s="93">
        <f>$AE$21*(1+assumptions!$B$14)</f>
        <v>771.75</v>
      </c>
      <c r="AJ27" s="93">
        <f>$AE$21*(1+assumptions!$B$14)</f>
        <v>771.75</v>
      </c>
      <c r="AK27" s="93">
        <f>$AE$21*(1+assumptions!$B$14)</f>
        <v>771.75</v>
      </c>
      <c r="AL27" s="93">
        <f>$AE$21*(1+assumptions!$B$14)</f>
        <v>771.75</v>
      </c>
      <c r="AM27" s="93">
        <f>$AE$21*(1+assumptions!$B$14)</f>
        <v>771.75</v>
      </c>
      <c r="AN27" s="93">
        <f>$AE$21*(1+assumptions!$B$14)</f>
        <v>771.75</v>
      </c>
    </row>
    <row r="28" spans="1:40" x14ac:dyDescent="0.25">
      <c r="A28" s="100" t="str">
        <f>assumptions!E12</f>
        <v>Non Alcoholic Beverages</v>
      </c>
      <c r="H28" s="93">
        <f>assumptions!$B$12</f>
        <v>300</v>
      </c>
      <c r="I28" s="93">
        <f>assumptions!$B$12</f>
        <v>300</v>
      </c>
      <c r="J28" s="93">
        <f>assumptions!$B$12</f>
        <v>300</v>
      </c>
      <c r="K28" s="93">
        <f>assumptions!$B$12</f>
        <v>300</v>
      </c>
      <c r="L28" s="93">
        <f>assumptions!$B$12</f>
        <v>300</v>
      </c>
      <c r="M28" s="93">
        <f>assumptions!$B$12</f>
        <v>300</v>
      </c>
      <c r="N28" s="93">
        <f>assumptions!$B$12</f>
        <v>300</v>
      </c>
      <c r="O28" s="93">
        <f>assumptions!$B$12</f>
        <v>300</v>
      </c>
      <c r="P28" s="93">
        <f>assumptions!$B$12</f>
        <v>300</v>
      </c>
      <c r="Q28" s="93">
        <f>assumptions!$B$12</f>
        <v>300</v>
      </c>
      <c r="R28" s="93">
        <f>assumptions!$B$12</f>
        <v>300</v>
      </c>
      <c r="S28" s="93">
        <f>assumptions!$B$12</f>
        <v>300</v>
      </c>
      <c r="T28" s="93">
        <f>$S$22*(1+assumptions!$B$14)</f>
        <v>315</v>
      </c>
      <c r="U28" s="93">
        <f>$S$22*(1+assumptions!$B$14)</f>
        <v>315</v>
      </c>
      <c r="V28" s="93">
        <f>$S$22*(1+assumptions!$B$14)</f>
        <v>315</v>
      </c>
      <c r="W28" s="93">
        <f>$S$22*(1+assumptions!$B$14)</f>
        <v>315</v>
      </c>
      <c r="X28" s="93">
        <f>$S$22*(1+assumptions!$B$14)</f>
        <v>315</v>
      </c>
      <c r="Y28" s="93">
        <f>$S$22*(1+assumptions!$B$14)</f>
        <v>315</v>
      </c>
      <c r="Z28" s="93">
        <f>$S$22*(1+assumptions!$B$14)</f>
        <v>315</v>
      </c>
      <c r="AA28" s="93">
        <f>$S$22*(1+assumptions!$B$14)</f>
        <v>315</v>
      </c>
      <c r="AB28" s="93">
        <f>$S$22*(1+assumptions!$B$14)</f>
        <v>315</v>
      </c>
      <c r="AC28" s="93">
        <f>$S$22*(1+assumptions!$B$14)</f>
        <v>315</v>
      </c>
      <c r="AD28" s="93">
        <f>$S$22*(1+assumptions!$B$14)</f>
        <v>315</v>
      </c>
      <c r="AE28" s="93">
        <f>$S$22*(1+assumptions!$B$14)</f>
        <v>315</v>
      </c>
      <c r="AF28" s="93">
        <f>$AE$22*(1+assumptions!$B$14)</f>
        <v>330.75</v>
      </c>
      <c r="AG28" s="93">
        <f>$AE$22*(1+assumptions!$B$14)</f>
        <v>330.75</v>
      </c>
      <c r="AH28" s="93">
        <f>$AE$22*(1+assumptions!$B$14)</f>
        <v>330.75</v>
      </c>
      <c r="AI28" s="93">
        <f>$AE$22*(1+assumptions!$B$14)</f>
        <v>330.75</v>
      </c>
      <c r="AJ28" s="93">
        <f>$AE$22*(1+assumptions!$B$14)</f>
        <v>330.75</v>
      </c>
      <c r="AK28" s="93">
        <f>$AE$22*(1+assumptions!$B$14)</f>
        <v>330.75</v>
      </c>
      <c r="AL28" s="93">
        <f>$AE$22*(1+assumptions!$B$14)</f>
        <v>330.75</v>
      </c>
      <c r="AM28" s="93">
        <f>$AE$22*(1+assumptions!$B$14)</f>
        <v>330.75</v>
      </c>
      <c r="AN28" s="93">
        <f>$AE$22*(1+assumptions!$B$14)</f>
        <v>330.75</v>
      </c>
    </row>
    <row r="29" spans="1:40" x14ac:dyDescent="0.25">
      <c r="A29" s="100" t="str">
        <f>assumptions!E13</f>
        <v>Food</v>
      </c>
      <c r="H29" s="93">
        <f>assumptions!$B$13</f>
        <v>1100</v>
      </c>
      <c r="I29" s="93">
        <f>assumptions!$B$13</f>
        <v>1100</v>
      </c>
      <c r="J29" s="93">
        <f>assumptions!$B$13</f>
        <v>1100</v>
      </c>
      <c r="K29" s="93">
        <f>assumptions!$B$13</f>
        <v>1100</v>
      </c>
      <c r="L29" s="93">
        <f>assumptions!$B$13</f>
        <v>1100</v>
      </c>
      <c r="M29" s="93">
        <f>assumptions!$B$13</f>
        <v>1100</v>
      </c>
      <c r="N29" s="93">
        <f>assumptions!$B$13</f>
        <v>1100</v>
      </c>
      <c r="O29" s="93">
        <f>assumptions!$B$13</f>
        <v>1100</v>
      </c>
      <c r="P29" s="93">
        <f>assumptions!$B$13</f>
        <v>1100</v>
      </c>
      <c r="Q29" s="93">
        <f>assumptions!$B$13</f>
        <v>1100</v>
      </c>
      <c r="R29" s="93">
        <f>assumptions!$B$13</f>
        <v>1100</v>
      </c>
      <c r="S29" s="93">
        <f>assumptions!$B$13</f>
        <v>1100</v>
      </c>
      <c r="T29" s="93">
        <f>$S$23*(1+assumptions!$B$14)</f>
        <v>1155</v>
      </c>
      <c r="U29" s="93">
        <f>$S$23*(1+assumptions!$B$14)</f>
        <v>1155</v>
      </c>
      <c r="V29" s="93">
        <f>$S$23*(1+assumptions!$B$14)</f>
        <v>1155</v>
      </c>
      <c r="W29" s="93">
        <f>$S$23*(1+assumptions!$B$14)</f>
        <v>1155</v>
      </c>
      <c r="X29" s="93">
        <f>$S$23*(1+assumptions!$B$14)</f>
        <v>1155</v>
      </c>
      <c r="Y29" s="93">
        <f>$S$23*(1+assumptions!$B$14)</f>
        <v>1155</v>
      </c>
      <c r="Z29" s="93">
        <f>$S$23*(1+assumptions!$B$14)</f>
        <v>1155</v>
      </c>
      <c r="AA29" s="93">
        <f>$S$23*(1+assumptions!$B$14)</f>
        <v>1155</v>
      </c>
      <c r="AB29" s="93">
        <f>$S$23*(1+assumptions!$B$14)</f>
        <v>1155</v>
      </c>
      <c r="AC29" s="93">
        <f>$S$23*(1+assumptions!$B$14)</f>
        <v>1155</v>
      </c>
      <c r="AD29" s="93">
        <f>$S$23*(1+assumptions!$B$14)</f>
        <v>1155</v>
      </c>
      <c r="AE29" s="93">
        <f>$S$23*(1+assumptions!$B$14)</f>
        <v>1155</v>
      </c>
      <c r="AF29" s="93">
        <f>$AE$23*(1+assumptions!$B$14)</f>
        <v>1212.75</v>
      </c>
      <c r="AG29" s="93">
        <f>$AE$23*(1+assumptions!$B$14)</f>
        <v>1212.75</v>
      </c>
      <c r="AH29" s="93">
        <f>$AE$23*(1+assumptions!$B$14)</f>
        <v>1212.75</v>
      </c>
      <c r="AI29" s="93">
        <f>$AE$23*(1+assumptions!$B$14)</f>
        <v>1212.75</v>
      </c>
      <c r="AJ29" s="93">
        <f>$AE$23*(1+assumptions!$B$14)</f>
        <v>1212.75</v>
      </c>
      <c r="AK29" s="93">
        <f>$AE$23*(1+assumptions!$B$14)</f>
        <v>1212.75</v>
      </c>
      <c r="AL29" s="93">
        <f>$AE$23*(1+assumptions!$B$14)</f>
        <v>1212.75</v>
      </c>
      <c r="AM29" s="93">
        <f>$AE$23*(1+assumptions!$B$14)</f>
        <v>1212.75</v>
      </c>
      <c r="AN29" s="93">
        <f>$AE$23*(1+assumptions!$B$14)</f>
        <v>1212.75</v>
      </c>
    </row>
    <row r="30" spans="1:40" s="106" customFormat="1" x14ac:dyDescent="0.25">
      <c r="A30" s="108" t="s">
        <v>40</v>
      </c>
      <c r="B30" s="105"/>
      <c r="C30" s="105"/>
      <c r="D30" s="105"/>
      <c r="H30" s="106">
        <f>SUM(H27:H29)</f>
        <v>2100</v>
      </c>
      <c r="I30" s="106">
        <f t="shared" ref="I30:AN30" si="63">SUM(I27:I29)</f>
        <v>2100</v>
      </c>
      <c r="J30" s="106">
        <f t="shared" si="63"/>
        <v>2100</v>
      </c>
      <c r="K30" s="106">
        <f t="shared" si="63"/>
        <v>2100</v>
      </c>
      <c r="L30" s="106">
        <f t="shared" si="63"/>
        <v>2100</v>
      </c>
      <c r="M30" s="106">
        <f t="shared" si="63"/>
        <v>2100</v>
      </c>
      <c r="N30" s="106">
        <f t="shared" si="63"/>
        <v>2100</v>
      </c>
      <c r="O30" s="106">
        <f t="shared" si="63"/>
        <v>2100</v>
      </c>
      <c r="P30" s="106">
        <f t="shared" si="63"/>
        <v>2100</v>
      </c>
      <c r="Q30" s="106">
        <f t="shared" si="63"/>
        <v>2100</v>
      </c>
      <c r="R30" s="106">
        <f t="shared" si="63"/>
        <v>2100</v>
      </c>
      <c r="S30" s="106">
        <f t="shared" si="63"/>
        <v>2100</v>
      </c>
      <c r="T30" s="106">
        <f t="shared" si="63"/>
        <v>2205</v>
      </c>
      <c r="U30" s="106">
        <f t="shared" si="63"/>
        <v>2205</v>
      </c>
      <c r="V30" s="106">
        <f t="shared" si="63"/>
        <v>2205</v>
      </c>
      <c r="W30" s="106">
        <f t="shared" si="63"/>
        <v>2205</v>
      </c>
      <c r="X30" s="106">
        <f t="shared" si="63"/>
        <v>2205</v>
      </c>
      <c r="Y30" s="106">
        <f t="shared" si="63"/>
        <v>2205</v>
      </c>
      <c r="Z30" s="106">
        <f t="shared" si="63"/>
        <v>2205</v>
      </c>
      <c r="AA30" s="106">
        <f t="shared" si="63"/>
        <v>2205</v>
      </c>
      <c r="AB30" s="106">
        <f t="shared" si="63"/>
        <v>2205</v>
      </c>
      <c r="AC30" s="106">
        <f t="shared" si="63"/>
        <v>2205</v>
      </c>
      <c r="AD30" s="106">
        <f t="shared" si="63"/>
        <v>2205</v>
      </c>
      <c r="AE30" s="106">
        <f t="shared" si="63"/>
        <v>2205</v>
      </c>
      <c r="AF30" s="106">
        <f t="shared" si="63"/>
        <v>2315.25</v>
      </c>
      <c r="AG30" s="106">
        <f t="shared" si="63"/>
        <v>2315.25</v>
      </c>
      <c r="AH30" s="106">
        <f t="shared" si="63"/>
        <v>2315.25</v>
      </c>
      <c r="AI30" s="106">
        <f t="shared" si="63"/>
        <v>2315.25</v>
      </c>
      <c r="AJ30" s="106">
        <f t="shared" si="63"/>
        <v>2315.25</v>
      </c>
      <c r="AK30" s="106">
        <f t="shared" si="63"/>
        <v>2315.25</v>
      </c>
      <c r="AL30" s="106">
        <f t="shared" si="63"/>
        <v>2315.25</v>
      </c>
      <c r="AM30" s="106">
        <f t="shared" si="63"/>
        <v>2315.25</v>
      </c>
      <c r="AN30" s="106">
        <f t="shared" si="63"/>
        <v>2315.25</v>
      </c>
    </row>
    <row r="32" spans="1:40" x14ac:dyDescent="0.25">
      <c r="A32" s="86" t="s">
        <v>109</v>
      </c>
    </row>
    <row r="33" spans="1:40" x14ac:dyDescent="0.25">
      <c r="A33" s="101" t="s">
        <v>9</v>
      </c>
    </row>
    <row r="34" spans="1:40" x14ac:dyDescent="0.25">
      <c r="A34" s="100" t="str">
        <f>assumptions!$A$11</f>
        <v>Alcoholic Beverages</v>
      </c>
      <c r="H34" s="93">
        <f>assumptions!C11</f>
        <v>1000</v>
      </c>
      <c r="I34" s="93">
        <f>H34</f>
        <v>1000</v>
      </c>
      <c r="J34" s="93">
        <f>I34</f>
        <v>1000</v>
      </c>
      <c r="K34" s="93">
        <f>J34</f>
        <v>1000</v>
      </c>
      <c r="L34" s="93">
        <f t="shared" ref="L34:S34" si="64">K34</f>
        <v>1000</v>
      </c>
      <c r="M34" s="93">
        <f t="shared" si="64"/>
        <v>1000</v>
      </c>
      <c r="N34" s="93">
        <f t="shared" si="64"/>
        <v>1000</v>
      </c>
      <c r="O34" s="93">
        <f t="shared" si="64"/>
        <v>1000</v>
      </c>
      <c r="P34" s="93">
        <f t="shared" si="64"/>
        <v>1000</v>
      </c>
      <c r="Q34" s="93">
        <f t="shared" si="64"/>
        <v>1000</v>
      </c>
      <c r="R34" s="93">
        <f t="shared" si="64"/>
        <v>1000</v>
      </c>
      <c r="S34" s="93">
        <f t="shared" si="64"/>
        <v>1000</v>
      </c>
      <c r="T34" s="93">
        <f>$S$34*(1+assumptions!$C$14)</f>
        <v>1050</v>
      </c>
      <c r="U34" s="93">
        <f>$S$34*(1+assumptions!$C$14)</f>
        <v>1050</v>
      </c>
      <c r="V34" s="93">
        <f>$S$34*(1+assumptions!$C$14)</f>
        <v>1050</v>
      </c>
      <c r="W34" s="93">
        <f>$S$34*(1+assumptions!$C$14)</f>
        <v>1050</v>
      </c>
      <c r="X34" s="93">
        <f>$S$34*(1+assumptions!$C$14)</f>
        <v>1050</v>
      </c>
      <c r="Y34" s="93">
        <f>$S$34*(1+assumptions!$C$14)</f>
        <v>1050</v>
      </c>
      <c r="Z34" s="93">
        <f>$S$34*(1+assumptions!$C$14)</f>
        <v>1050</v>
      </c>
      <c r="AA34" s="93">
        <f>$S$34*(1+assumptions!$C$14)</f>
        <v>1050</v>
      </c>
      <c r="AB34" s="93">
        <f>$S$34*(1+assumptions!$C$14)</f>
        <v>1050</v>
      </c>
      <c r="AC34" s="93">
        <f>$S$34*(1+assumptions!$C$14)</f>
        <v>1050</v>
      </c>
      <c r="AD34" s="93">
        <f>$S$34*(1+assumptions!$C$14)</f>
        <v>1050</v>
      </c>
      <c r="AE34" s="93">
        <f>$S$34*(1+assumptions!$C$14)</f>
        <v>1050</v>
      </c>
      <c r="AF34" s="93">
        <f>$AE$34*(1+assumptions!$C$14)</f>
        <v>1102.5</v>
      </c>
      <c r="AG34" s="93">
        <f>$AE$34*(1+assumptions!$C$14)</f>
        <v>1102.5</v>
      </c>
      <c r="AH34" s="93">
        <f>$AE$34*(1+assumptions!$C$14)</f>
        <v>1102.5</v>
      </c>
      <c r="AI34" s="93">
        <f>$AE$34*(1+assumptions!$C$14)</f>
        <v>1102.5</v>
      </c>
      <c r="AJ34" s="93">
        <f>$AE$34*(1+assumptions!$C$14)</f>
        <v>1102.5</v>
      </c>
      <c r="AK34" s="93">
        <f>$AE$34*(1+assumptions!$C$14)</f>
        <v>1102.5</v>
      </c>
      <c r="AL34" s="93">
        <f>$AE$34*(1+assumptions!$C$14)</f>
        <v>1102.5</v>
      </c>
      <c r="AM34" s="93">
        <f>$AE$34*(1+assumptions!$C$14)</f>
        <v>1102.5</v>
      </c>
      <c r="AN34" s="93">
        <f>$AE$34*(1+assumptions!$C$14)</f>
        <v>1102.5</v>
      </c>
    </row>
    <row r="35" spans="1:40" x14ac:dyDescent="0.25">
      <c r="A35" s="100" t="e">
        <f>[1]A36assumptions!A12</f>
        <v>#REF!</v>
      </c>
      <c r="H35" s="93">
        <f>assumptions!C12</f>
        <v>300</v>
      </c>
      <c r="I35" s="93">
        <f t="shared" ref="I35:S36" si="65">H35</f>
        <v>300</v>
      </c>
      <c r="J35" s="93">
        <f t="shared" si="65"/>
        <v>300</v>
      </c>
      <c r="K35" s="93">
        <f t="shared" si="65"/>
        <v>300</v>
      </c>
      <c r="L35" s="93">
        <f t="shared" si="65"/>
        <v>300</v>
      </c>
      <c r="M35" s="93">
        <f t="shared" si="65"/>
        <v>300</v>
      </c>
      <c r="N35" s="93">
        <f t="shared" si="65"/>
        <v>300</v>
      </c>
      <c r="O35" s="93">
        <f t="shared" si="65"/>
        <v>300</v>
      </c>
      <c r="P35" s="93">
        <f t="shared" si="65"/>
        <v>300</v>
      </c>
      <c r="Q35" s="93">
        <f t="shared" si="65"/>
        <v>300</v>
      </c>
      <c r="R35" s="93">
        <f t="shared" si="65"/>
        <v>300</v>
      </c>
      <c r="S35" s="93">
        <f t="shared" si="65"/>
        <v>300</v>
      </c>
      <c r="T35" s="93">
        <f>$S$35*(1+assumptions!$C$14)</f>
        <v>315</v>
      </c>
      <c r="U35" s="93">
        <f>$S$35*(1+assumptions!$C$14)</f>
        <v>315</v>
      </c>
      <c r="V35" s="93">
        <f>$S$35*(1+assumptions!$C$14)</f>
        <v>315</v>
      </c>
      <c r="W35" s="93">
        <f>$S$35*(1+assumptions!$C$14)</f>
        <v>315</v>
      </c>
      <c r="X35" s="93">
        <f>$S$35*(1+assumptions!$C$14)</f>
        <v>315</v>
      </c>
      <c r="Y35" s="93">
        <f>$S$35*(1+assumptions!$C$14)</f>
        <v>315</v>
      </c>
      <c r="Z35" s="93">
        <f>$S$35*(1+assumptions!$C$14)</f>
        <v>315</v>
      </c>
      <c r="AA35" s="93">
        <f>$S$35*(1+assumptions!$C$14)</f>
        <v>315</v>
      </c>
      <c r="AB35" s="93">
        <f>$S$35*(1+assumptions!$C$14)</f>
        <v>315</v>
      </c>
      <c r="AC35" s="93">
        <f>$S$35*(1+assumptions!$C$14)</f>
        <v>315</v>
      </c>
      <c r="AD35" s="93">
        <f>$S$35*(1+assumptions!$C$14)</f>
        <v>315</v>
      </c>
      <c r="AE35" s="93">
        <f>$S$35*(1+assumptions!$C$14)</f>
        <v>315</v>
      </c>
      <c r="AF35" s="93">
        <f>$AE$35*(1+assumptions!$C$14)</f>
        <v>330.75</v>
      </c>
      <c r="AG35" s="93">
        <f>$AE$35*(1+assumptions!$C$14)</f>
        <v>330.75</v>
      </c>
      <c r="AH35" s="93">
        <f>$AE$35*(1+assumptions!$C$14)</f>
        <v>330.75</v>
      </c>
      <c r="AI35" s="93">
        <f>$AE$35*(1+assumptions!$C$14)</f>
        <v>330.75</v>
      </c>
      <c r="AJ35" s="93">
        <f>$AE$35*(1+assumptions!$C$14)</f>
        <v>330.75</v>
      </c>
      <c r="AK35" s="93">
        <f>$AE$35*(1+assumptions!$C$14)</f>
        <v>330.75</v>
      </c>
      <c r="AL35" s="93">
        <f>$AE$35*(1+assumptions!$C$14)</f>
        <v>330.75</v>
      </c>
      <c r="AM35" s="93">
        <f>$AE$35*(1+assumptions!$C$14)</f>
        <v>330.75</v>
      </c>
      <c r="AN35" s="93">
        <f>$AE$35*(1+assumptions!$C$14)</f>
        <v>330.75</v>
      </c>
    </row>
    <row r="36" spans="1:40" x14ac:dyDescent="0.25">
      <c r="A36" s="100" t="str">
        <f>assumptions!A13</f>
        <v>Food</v>
      </c>
      <c r="H36" s="93">
        <f>assumptions!C13</f>
        <v>1100</v>
      </c>
      <c r="I36" s="93">
        <f t="shared" si="65"/>
        <v>1100</v>
      </c>
      <c r="J36" s="93">
        <f t="shared" si="65"/>
        <v>1100</v>
      </c>
      <c r="K36" s="93">
        <f t="shared" si="65"/>
        <v>1100</v>
      </c>
      <c r="L36" s="93">
        <f t="shared" si="65"/>
        <v>1100</v>
      </c>
      <c r="M36" s="93">
        <f t="shared" si="65"/>
        <v>1100</v>
      </c>
      <c r="N36" s="93">
        <f t="shared" si="65"/>
        <v>1100</v>
      </c>
      <c r="O36" s="93">
        <f t="shared" si="65"/>
        <v>1100</v>
      </c>
      <c r="P36" s="93">
        <f t="shared" si="65"/>
        <v>1100</v>
      </c>
      <c r="Q36" s="93">
        <f t="shared" si="65"/>
        <v>1100</v>
      </c>
      <c r="R36" s="93">
        <f t="shared" si="65"/>
        <v>1100</v>
      </c>
      <c r="S36" s="93">
        <f t="shared" si="65"/>
        <v>1100</v>
      </c>
      <c r="T36" s="93">
        <f>$S$36*(1+assumptions!$C$14)</f>
        <v>1155</v>
      </c>
      <c r="U36" s="93">
        <f>$S$36*(1+assumptions!$C$14)</f>
        <v>1155</v>
      </c>
      <c r="V36" s="93">
        <f>$S$36*(1+assumptions!$C$14)</f>
        <v>1155</v>
      </c>
      <c r="W36" s="93">
        <f>$S$36*(1+assumptions!$C$14)</f>
        <v>1155</v>
      </c>
      <c r="X36" s="93">
        <f>$S$36*(1+assumptions!$C$14)</f>
        <v>1155</v>
      </c>
      <c r="Y36" s="93">
        <f>$S$36*(1+assumptions!$C$14)</f>
        <v>1155</v>
      </c>
      <c r="Z36" s="93">
        <f>$S$36*(1+assumptions!$C$14)</f>
        <v>1155</v>
      </c>
      <c r="AA36" s="93">
        <f>$S$36*(1+assumptions!$C$14)</f>
        <v>1155</v>
      </c>
      <c r="AB36" s="93">
        <f>$S$36*(1+assumptions!$C$14)</f>
        <v>1155</v>
      </c>
      <c r="AC36" s="93">
        <f>$S$36*(1+assumptions!$C$14)</f>
        <v>1155</v>
      </c>
      <c r="AD36" s="93">
        <f>$S$36*(1+assumptions!$C$14)</f>
        <v>1155</v>
      </c>
      <c r="AE36" s="93">
        <f>$S$36*(1+assumptions!$C$14)</f>
        <v>1155</v>
      </c>
      <c r="AF36" s="93">
        <f>$AE$36*(1+assumptions!$C$14)</f>
        <v>1212.75</v>
      </c>
      <c r="AG36" s="93">
        <f>$AE$36*(1+assumptions!$C$14)</f>
        <v>1212.75</v>
      </c>
      <c r="AH36" s="93">
        <f>$AE$36*(1+assumptions!$C$14)</f>
        <v>1212.75</v>
      </c>
      <c r="AI36" s="93">
        <f>$AE$36*(1+assumptions!$C$14)</f>
        <v>1212.75</v>
      </c>
      <c r="AJ36" s="93">
        <f>$AE$36*(1+assumptions!$C$14)</f>
        <v>1212.75</v>
      </c>
      <c r="AK36" s="93">
        <f>$AE$36*(1+assumptions!$C$14)</f>
        <v>1212.75</v>
      </c>
      <c r="AL36" s="93">
        <f>$AE$36*(1+assumptions!$C$14)</f>
        <v>1212.75</v>
      </c>
      <c r="AM36" s="93">
        <f>$AE$36*(1+assumptions!$C$14)</f>
        <v>1212.75</v>
      </c>
      <c r="AN36" s="93">
        <f>$AE$36*(1+assumptions!$C$14)</f>
        <v>1212.75</v>
      </c>
    </row>
    <row r="37" spans="1:40" s="106" customFormat="1" x14ac:dyDescent="0.25">
      <c r="A37" s="108" t="s">
        <v>40</v>
      </c>
      <c r="B37" s="105"/>
      <c r="C37" s="105"/>
      <c r="D37" s="105"/>
      <c r="H37" s="106">
        <f>SUM(H34:H36)</f>
        <v>2400</v>
      </c>
      <c r="I37" s="106">
        <f t="shared" ref="I37:AN37" si="66">SUM(I34:I36)</f>
        <v>2400</v>
      </c>
      <c r="J37" s="106">
        <f t="shared" si="66"/>
        <v>2400</v>
      </c>
      <c r="K37" s="106">
        <f t="shared" si="66"/>
        <v>2400</v>
      </c>
      <c r="L37" s="106">
        <f t="shared" si="66"/>
        <v>2400</v>
      </c>
      <c r="M37" s="106">
        <f t="shared" si="66"/>
        <v>2400</v>
      </c>
      <c r="N37" s="106">
        <f t="shared" si="66"/>
        <v>2400</v>
      </c>
      <c r="O37" s="106">
        <f t="shared" si="66"/>
        <v>2400</v>
      </c>
      <c r="P37" s="106">
        <f t="shared" si="66"/>
        <v>2400</v>
      </c>
      <c r="Q37" s="106">
        <f t="shared" si="66"/>
        <v>2400</v>
      </c>
      <c r="R37" s="106">
        <f t="shared" si="66"/>
        <v>2400</v>
      </c>
      <c r="S37" s="106">
        <f t="shared" si="66"/>
        <v>2400</v>
      </c>
      <c r="T37" s="106">
        <f t="shared" si="66"/>
        <v>2520</v>
      </c>
      <c r="U37" s="106">
        <f t="shared" si="66"/>
        <v>2520</v>
      </c>
      <c r="V37" s="106">
        <f t="shared" si="66"/>
        <v>2520</v>
      </c>
      <c r="W37" s="106">
        <f t="shared" si="66"/>
        <v>2520</v>
      </c>
      <c r="X37" s="106">
        <f t="shared" si="66"/>
        <v>2520</v>
      </c>
      <c r="Y37" s="106">
        <f t="shared" si="66"/>
        <v>2520</v>
      </c>
      <c r="Z37" s="106">
        <f t="shared" si="66"/>
        <v>2520</v>
      </c>
      <c r="AA37" s="106">
        <f t="shared" si="66"/>
        <v>2520</v>
      </c>
      <c r="AB37" s="106">
        <f t="shared" si="66"/>
        <v>2520</v>
      </c>
      <c r="AC37" s="106">
        <f t="shared" si="66"/>
        <v>2520</v>
      </c>
      <c r="AD37" s="106">
        <f t="shared" si="66"/>
        <v>2520</v>
      </c>
      <c r="AE37" s="106">
        <f t="shared" si="66"/>
        <v>2520</v>
      </c>
      <c r="AF37" s="106">
        <f t="shared" si="66"/>
        <v>2646</v>
      </c>
      <c r="AG37" s="106">
        <f t="shared" si="66"/>
        <v>2646</v>
      </c>
      <c r="AH37" s="106">
        <f t="shared" si="66"/>
        <v>2646</v>
      </c>
      <c r="AI37" s="106">
        <f t="shared" si="66"/>
        <v>2646</v>
      </c>
      <c r="AJ37" s="106">
        <f t="shared" si="66"/>
        <v>2646</v>
      </c>
      <c r="AK37" s="106">
        <f t="shared" si="66"/>
        <v>2646</v>
      </c>
      <c r="AL37" s="106">
        <f t="shared" si="66"/>
        <v>2646</v>
      </c>
      <c r="AM37" s="106">
        <f t="shared" si="66"/>
        <v>2646</v>
      </c>
      <c r="AN37" s="106">
        <f t="shared" si="66"/>
        <v>2646</v>
      </c>
    </row>
    <row r="39" spans="1:40" x14ac:dyDescent="0.25">
      <c r="A39" s="101" t="s">
        <v>10</v>
      </c>
    </row>
    <row r="40" spans="1:40" x14ac:dyDescent="0.25">
      <c r="A40" s="100" t="str">
        <f>assumptions!E11</f>
        <v>Alcoholic Beverages</v>
      </c>
      <c r="H40" s="93">
        <f>assumptions!G11</f>
        <v>1000</v>
      </c>
      <c r="I40" s="93">
        <f>H40</f>
        <v>1000</v>
      </c>
      <c r="J40" s="93">
        <f t="shared" ref="J40:K40" si="67">I40</f>
        <v>1000</v>
      </c>
      <c r="K40" s="93">
        <f t="shared" si="67"/>
        <v>1000</v>
      </c>
      <c r="L40" s="93">
        <f>K40</f>
        <v>1000</v>
      </c>
      <c r="M40" s="93">
        <f t="shared" ref="M40:R40" si="68">L40</f>
        <v>1000</v>
      </c>
      <c r="N40" s="93">
        <f t="shared" si="68"/>
        <v>1000</v>
      </c>
      <c r="O40" s="93">
        <f t="shared" si="68"/>
        <v>1000</v>
      </c>
      <c r="P40" s="93">
        <f t="shared" si="68"/>
        <v>1000</v>
      </c>
      <c r="Q40" s="93">
        <f t="shared" si="68"/>
        <v>1000</v>
      </c>
      <c r="R40" s="93">
        <f t="shared" si="68"/>
        <v>1000</v>
      </c>
      <c r="S40" s="93">
        <f t="shared" ref="S40" si="69">R40</f>
        <v>1000</v>
      </c>
      <c r="T40" s="93">
        <f>S40*(1+assumptions!G14)</f>
        <v>1050</v>
      </c>
      <c r="U40" s="93">
        <f>T40</f>
        <v>1050</v>
      </c>
      <c r="V40" s="93">
        <f t="shared" ref="V40:AE40" si="70">U40</f>
        <v>1050</v>
      </c>
      <c r="W40" s="93">
        <f t="shared" si="70"/>
        <v>1050</v>
      </c>
      <c r="X40" s="93">
        <f t="shared" si="70"/>
        <v>1050</v>
      </c>
      <c r="Y40" s="93">
        <f t="shared" si="70"/>
        <v>1050</v>
      </c>
      <c r="Z40" s="93">
        <f t="shared" si="70"/>
        <v>1050</v>
      </c>
      <c r="AA40" s="93">
        <f t="shared" si="70"/>
        <v>1050</v>
      </c>
      <c r="AB40" s="93">
        <f t="shared" si="70"/>
        <v>1050</v>
      </c>
      <c r="AC40" s="93">
        <f t="shared" si="70"/>
        <v>1050</v>
      </c>
      <c r="AD40" s="93">
        <f t="shared" si="70"/>
        <v>1050</v>
      </c>
      <c r="AE40" s="93">
        <f t="shared" si="70"/>
        <v>1050</v>
      </c>
      <c r="AF40" s="93">
        <f>AE40*(1+assumptions!G14)</f>
        <v>1102.5</v>
      </c>
      <c r="AG40" s="93">
        <f>AF40</f>
        <v>1102.5</v>
      </c>
      <c r="AH40" s="93">
        <f t="shared" ref="AH40:AN40" si="71">AG40</f>
        <v>1102.5</v>
      </c>
      <c r="AI40" s="93">
        <f t="shared" si="71"/>
        <v>1102.5</v>
      </c>
      <c r="AJ40" s="93">
        <f t="shared" si="71"/>
        <v>1102.5</v>
      </c>
      <c r="AK40" s="93">
        <f t="shared" si="71"/>
        <v>1102.5</v>
      </c>
      <c r="AL40" s="93">
        <f t="shared" si="71"/>
        <v>1102.5</v>
      </c>
      <c r="AM40" s="93">
        <f t="shared" si="71"/>
        <v>1102.5</v>
      </c>
      <c r="AN40" s="93">
        <f t="shared" si="71"/>
        <v>1102.5</v>
      </c>
    </row>
    <row r="41" spans="1:40" x14ac:dyDescent="0.25">
      <c r="A41" s="100" t="str">
        <f>assumptions!E12</f>
        <v>Non Alcoholic Beverages</v>
      </c>
      <c r="H41" s="93">
        <f>assumptions!G12</f>
        <v>300</v>
      </c>
      <c r="I41" s="93">
        <f t="shared" ref="I41:K42" si="72">H41</f>
        <v>300</v>
      </c>
      <c r="J41" s="93">
        <f t="shared" si="72"/>
        <v>300</v>
      </c>
      <c r="K41" s="93">
        <f t="shared" si="72"/>
        <v>300</v>
      </c>
      <c r="L41" s="93">
        <f t="shared" ref="L41:Q41" si="73">K41</f>
        <v>300</v>
      </c>
      <c r="M41" s="93">
        <f t="shared" si="73"/>
        <v>300</v>
      </c>
      <c r="N41" s="93">
        <f t="shared" si="73"/>
        <v>300</v>
      </c>
      <c r="O41" s="93">
        <f t="shared" si="73"/>
        <v>300</v>
      </c>
      <c r="P41" s="93">
        <f t="shared" si="73"/>
        <v>300</v>
      </c>
      <c r="Q41" s="93">
        <f t="shared" si="73"/>
        <v>300</v>
      </c>
      <c r="R41" s="93">
        <f t="shared" ref="R41:S41" si="74">Q41</f>
        <v>300</v>
      </c>
      <c r="S41" s="93">
        <f t="shared" si="74"/>
        <v>300</v>
      </c>
      <c r="T41" s="93">
        <f>S41*(1+assumptions!G14)</f>
        <v>315</v>
      </c>
      <c r="U41" s="93">
        <f>T41</f>
        <v>315</v>
      </c>
      <c r="V41" s="93">
        <f t="shared" ref="V41:AE41" si="75">U41</f>
        <v>315</v>
      </c>
      <c r="W41" s="93">
        <f t="shared" si="75"/>
        <v>315</v>
      </c>
      <c r="X41" s="93">
        <f t="shared" si="75"/>
        <v>315</v>
      </c>
      <c r="Y41" s="93">
        <f t="shared" si="75"/>
        <v>315</v>
      </c>
      <c r="Z41" s="93">
        <f t="shared" si="75"/>
        <v>315</v>
      </c>
      <c r="AA41" s="93">
        <f t="shared" si="75"/>
        <v>315</v>
      </c>
      <c r="AB41" s="93">
        <f t="shared" si="75"/>
        <v>315</v>
      </c>
      <c r="AC41" s="93">
        <f t="shared" si="75"/>
        <v>315</v>
      </c>
      <c r="AD41" s="93">
        <f t="shared" si="75"/>
        <v>315</v>
      </c>
      <c r="AE41" s="93">
        <f t="shared" si="75"/>
        <v>315</v>
      </c>
      <c r="AF41" s="93">
        <f>AE41*(1+assumptions!G14)</f>
        <v>330.75</v>
      </c>
      <c r="AG41" s="93">
        <f>AF41</f>
        <v>330.75</v>
      </c>
      <c r="AH41" s="93">
        <f t="shared" ref="AH41:AN41" si="76">AG41</f>
        <v>330.75</v>
      </c>
      <c r="AI41" s="93">
        <f t="shared" si="76"/>
        <v>330.75</v>
      </c>
      <c r="AJ41" s="93">
        <f t="shared" si="76"/>
        <v>330.75</v>
      </c>
      <c r="AK41" s="93">
        <f t="shared" si="76"/>
        <v>330.75</v>
      </c>
      <c r="AL41" s="93">
        <f t="shared" si="76"/>
        <v>330.75</v>
      </c>
      <c r="AM41" s="93">
        <f t="shared" si="76"/>
        <v>330.75</v>
      </c>
      <c r="AN41" s="93">
        <f t="shared" si="76"/>
        <v>330.75</v>
      </c>
    </row>
    <row r="42" spans="1:40" x14ac:dyDescent="0.25">
      <c r="A42" s="100" t="str">
        <f>assumptions!E13</f>
        <v>Food</v>
      </c>
      <c r="H42" s="93">
        <f>assumptions!G13</f>
        <v>1100</v>
      </c>
      <c r="I42" s="93">
        <f t="shared" si="72"/>
        <v>1100</v>
      </c>
      <c r="J42" s="93">
        <f t="shared" si="72"/>
        <v>1100</v>
      </c>
      <c r="K42" s="93">
        <f t="shared" si="72"/>
        <v>1100</v>
      </c>
      <c r="L42" s="93">
        <f t="shared" ref="L42:Q42" si="77">K42</f>
        <v>1100</v>
      </c>
      <c r="M42" s="93">
        <f t="shared" si="77"/>
        <v>1100</v>
      </c>
      <c r="N42" s="93">
        <f t="shared" si="77"/>
        <v>1100</v>
      </c>
      <c r="O42" s="93">
        <f t="shared" si="77"/>
        <v>1100</v>
      </c>
      <c r="P42" s="93">
        <f t="shared" si="77"/>
        <v>1100</v>
      </c>
      <c r="Q42" s="93">
        <f t="shared" si="77"/>
        <v>1100</v>
      </c>
      <c r="R42" s="93">
        <f t="shared" ref="R42:S42" si="78">Q42</f>
        <v>1100</v>
      </c>
      <c r="S42" s="93">
        <f t="shared" si="78"/>
        <v>1100</v>
      </c>
      <c r="T42" s="93">
        <f>S42*(1+assumptions!G14)</f>
        <v>1155</v>
      </c>
      <c r="U42" s="93">
        <f>T42</f>
        <v>1155</v>
      </c>
      <c r="V42" s="93">
        <f t="shared" ref="V42:AE42" si="79">U42</f>
        <v>1155</v>
      </c>
      <c r="W42" s="93">
        <f t="shared" si="79"/>
        <v>1155</v>
      </c>
      <c r="X42" s="93">
        <f t="shared" si="79"/>
        <v>1155</v>
      </c>
      <c r="Y42" s="93">
        <f t="shared" si="79"/>
        <v>1155</v>
      </c>
      <c r="Z42" s="93">
        <f t="shared" si="79"/>
        <v>1155</v>
      </c>
      <c r="AA42" s="93">
        <f t="shared" si="79"/>
        <v>1155</v>
      </c>
      <c r="AB42" s="93">
        <f t="shared" si="79"/>
        <v>1155</v>
      </c>
      <c r="AC42" s="93">
        <f t="shared" si="79"/>
        <v>1155</v>
      </c>
      <c r="AD42" s="93">
        <f t="shared" si="79"/>
        <v>1155</v>
      </c>
      <c r="AE42" s="93">
        <f t="shared" si="79"/>
        <v>1155</v>
      </c>
      <c r="AF42" s="93">
        <f>AE42*(1+assumptions!G14)</f>
        <v>1212.75</v>
      </c>
      <c r="AG42" s="93">
        <f>AF42</f>
        <v>1212.75</v>
      </c>
      <c r="AH42" s="93">
        <f t="shared" ref="AH42:AN42" si="80">AG42</f>
        <v>1212.75</v>
      </c>
      <c r="AI42" s="93">
        <f t="shared" si="80"/>
        <v>1212.75</v>
      </c>
      <c r="AJ42" s="93">
        <f t="shared" si="80"/>
        <v>1212.75</v>
      </c>
      <c r="AK42" s="93">
        <f t="shared" si="80"/>
        <v>1212.75</v>
      </c>
      <c r="AL42" s="93">
        <f t="shared" si="80"/>
        <v>1212.75</v>
      </c>
      <c r="AM42" s="93">
        <f t="shared" si="80"/>
        <v>1212.75</v>
      </c>
      <c r="AN42" s="93">
        <f t="shared" si="80"/>
        <v>1212.75</v>
      </c>
    </row>
    <row r="43" spans="1:40" s="106" customFormat="1" x14ac:dyDescent="0.25">
      <c r="A43" s="109" t="s">
        <v>40</v>
      </c>
      <c r="B43" s="105"/>
      <c r="C43" s="105"/>
      <c r="D43" s="105"/>
      <c r="H43" s="106">
        <f>SUM(H40:H42)</f>
        <v>2400</v>
      </c>
      <c r="I43" s="106">
        <f t="shared" ref="I43:L43" si="81">SUM(I40:I42)</f>
        <v>2400</v>
      </c>
      <c r="J43" s="106">
        <f t="shared" si="81"/>
        <v>2400</v>
      </c>
      <c r="K43" s="106">
        <f t="shared" si="81"/>
        <v>2400</v>
      </c>
      <c r="L43" s="106">
        <f t="shared" si="81"/>
        <v>2400</v>
      </c>
      <c r="M43" s="106">
        <f t="shared" ref="M43" si="82">SUM(M40:M42)</f>
        <v>2400</v>
      </c>
      <c r="N43" s="106">
        <f t="shared" ref="N43" si="83">SUM(N40:N42)</f>
        <v>2400</v>
      </c>
      <c r="O43" s="106">
        <f t="shared" ref="O43:P43" si="84">SUM(O40:O42)</f>
        <v>2400</v>
      </c>
      <c r="P43" s="106">
        <f t="shared" si="84"/>
        <v>2400</v>
      </c>
      <c r="Q43" s="106">
        <f t="shared" ref="Q43" si="85">SUM(Q40:Q42)</f>
        <v>2400</v>
      </c>
      <c r="R43" s="106">
        <f t="shared" ref="R43" si="86">SUM(R40:R42)</f>
        <v>2400</v>
      </c>
      <c r="S43" s="106">
        <f t="shared" ref="S43:T43" si="87">SUM(S40:S42)</f>
        <v>2400</v>
      </c>
      <c r="T43" s="106">
        <f t="shared" si="87"/>
        <v>2520</v>
      </c>
      <c r="U43" s="106">
        <f t="shared" ref="U43" si="88">SUM(U40:U42)</f>
        <v>2520</v>
      </c>
      <c r="V43" s="106">
        <f t="shared" ref="V43" si="89">SUM(V40:V42)</f>
        <v>2520</v>
      </c>
      <c r="W43" s="106">
        <f t="shared" ref="W43:X43" si="90">SUM(W40:W42)</f>
        <v>2520</v>
      </c>
      <c r="X43" s="106">
        <f t="shared" si="90"/>
        <v>2520</v>
      </c>
      <c r="Y43" s="106">
        <f t="shared" ref="Y43" si="91">SUM(Y40:Y42)</f>
        <v>2520</v>
      </c>
      <c r="Z43" s="106">
        <f t="shared" ref="Z43" si="92">SUM(Z40:Z42)</f>
        <v>2520</v>
      </c>
      <c r="AA43" s="106">
        <f t="shared" ref="AA43:AB43" si="93">SUM(AA40:AA42)</f>
        <v>2520</v>
      </c>
      <c r="AB43" s="106">
        <f t="shared" si="93"/>
        <v>2520</v>
      </c>
      <c r="AC43" s="106">
        <f t="shared" ref="AC43" si="94">SUM(AC40:AC42)</f>
        <v>2520</v>
      </c>
      <c r="AD43" s="106">
        <f t="shared" ref="AD43" si="95">SUM(AD40:AD42)</f>
        <v>2520</v>
      </c>
      <c r="AE43" s="106">
        <f t="shared" ref="AE43:AF43" si="96">SUM(AE40:AE42)</f>
        <v>2520</v>
      </c>
      <c r="AF43" s="106">
        <f t="shared" si="96"/>
        <v>2646</v>
      </c>
      <c r="AG43" s="106">
        <f t="shared" ref="AG43" si="97">SUM(AG40:AG42)</f>
        <v>2646</v>
      </c>
      <c r="AH43" s="106">
        <f t="shared" ref="AH43" si="98">SUM(AH40:AH42)</f>
        <v>2646</v>
      </c>
      <c r="AI43" s="106">
        <f t="shared" ref="AI43:AJ43" si="99">SUM(AI40:AI42)</f>
        <v>2646</v>
      </c>
      <c r="AJ43" s="106">
        <f t="shared" si="99"/>
        <v>2646</v>
      </c>
      <c r="AK43" s="106">
        <f t="shared" ref="AK43" si="100">SUM(AK40:AK42)</f>
        <v>2646</v>
      </c>
      <c r="AL43" s="106">
        <f t="shared" ref="AL43" si="101">SUM(AL40:AL42)</f>
        <v>2646</v>
      </c>
      <c r="AM43" s="106">
        <f t="shared" ref="AM43:AN43" si="102">SUM(AM40:AM42)</f>
        <v>2646</v>
      </c>
      <c r="AN43" s="106">
        <f t="shared" si="102"/>
        <v>2646</v>
      </c>
    </row>
    <row r="45" spans="1:40" x14ac:dyDescent="0.25">
      <c r="A45" s="113" t="s">
        <v>111</v>
      </c>
    </row>
    <row r="46" spans="1:40" x14ac:dyDescent="0.25">
      <c r="A46" s="86" t="s">
        <v>7</v>
      </c>
    </row>
    <row r="47" spans="1:40" x14ac:dyDescent="0.25">
      <c r="A47" s="101" t="s">
        <v>9</v>
      </c>
    </row>
    <row r="48" spans="1:40" x14ac:dyDescent="0.25">
      <c r="A48" s="100" t="str">
        <f>$A$40</f>
        <v>Alcoholic Beverages</v>
      </c>
      <c r="E48" s="93">
        <f t="shared" ref="E48:AN48" si="103">E21*E$11*E$6/den</f>
        <v>0</v>
      </c>
      <c r="F48" s="93">
        <f t="shared" si="103"/>
        <v>0</v>
      </c>
      <c r="G48" s="93">
        <f t="shared" si="103"/>
        <v>0</v>
      </c>
      <c r="H48" s="93">
        <f t="shared" si="103"/>
        <v>3.22</v>
      </c>
      <c r="I48" s="93">
        <f t="shared" si="103"/>
        <v>2.9987999999999992</v>
      </c>
      <c r="J48" s="93">
        <f t="shared" si="103"/>
        <v>3.2044320000000002</v>
      </c>
      <c r="K48" s="93">
        <f t="shared" si="103"/>
        <v>3.2685206400000002</v>
      </c>
      <c r="L48" s="93">
        <f t="shared" si="103"/>
        <v>3.1823505504000007</v>
      </c>
      <c r="M48" s="93">
        <f t="shared" si="103"/>
        <v>3.555140186304</v>
      </c>
      <c r="N48" s="93">
        <f t="shared" si="103"/>
        <v>3.3109175126361601</v>
      </c>
      <c r="O48" s="93">
        <f t="shared" si="103"/>
        <v>3.2163198694179842</v>
      </c>
      <c r="P48" s="93">
        <f t="shared" si="103"/>
        <v>3.7727432068272955</v>
      </c>
      <c r="Q48" s="93">
        <f t="shared" si="103"/>
        <v>3.680885111356718</v>
      </c>
      <c r="R48" s="93">
        <f t="shared" si="103"/>
        <v>3.5838435947845864</v>
      </c>
      <c r="S48" s="93">
        <f t="shared" si="103"/>
        <v>3.8295928698555297</v>
      </c>
      <c r="T48" s="93">
        <f t="shared" si="103"/>
        <v>4.1014939636152716</v>
      </c>
      <c r="U48" s="93">
        <f t="shared" si="103"/>
        <v>4.1835238428875767</v>
      </c>
      <c r="V48" s="93">
        <f t="shared" si="103"/>
        <v>4.2671943197453288</v>
      </c>
      <c r="W48" s="93">
        <f t="shared" si="103"/>
        <v>4.1546955604065881</v>
      </c>
      <c r="X48" s="93">
        <f t="shared" si="103"/>
        <v>4.4395889702630402</v>
      </c>
      <c r="Y48" s="93">
        <f t="shared" si="103"/>
        <v>4.734216238289588</v>
      </c>
      <c r="Z48" s="93">
        <f t="shared" si="103"/>
        <v>4.408996166267956</v>
      </c>
      <c r="AA48" s="93">
        <f t="shared" si="103"/>
        <v>4.2830248472317285</v>
      </c>
      <c r="AB48" s="93">
        <f t="shared" si="103"/>
        <v>5.0239881458028171</v>
      </c>
      <c r="AC48" s="93">
        <f t="shared" si="103"/>
        <v>4.6788620036128847</v>
      </c>
      <c r="AD48" s="93">
        <f t="shared" si="103"/>
        <v>4.9996982552891973</v>
      </c>
      <c r="AE48" s="93">
        <f t="shared" si="103"/>
        <v>5.0996922203949806</v>
      </c>
      <c r="AF48" s="93">
        <f t="shared" si="103"/>
        <v>5.213508078586524</v>
      </c>
      <c r="AG48" s="93">
        <f t="shared" si="103"/>
        <v>5.8242333106495163</v>
      </c>
      <c r="AH48" s="93">
        <f t="shared" si="103"/>
        <v>5.6824258909119632</v>
      </c>
      <c r="AI48" s="93">
        <f t="shared" si="103"/>
        <v>5.5326164810606473</v>
      </c>
      <c r="AJ48" s="93">
        <f t="shared" si="103"/>
        <v>5.9119958969048074</v>
      </c>
      <c r="AK48" s="93">
        <f t="shared" si="103"/>
        <v>6.0302358148429027</v>
      </c>
      <c r="AL48" s="93">
        <f t="shared" si="103"/>
        <v>6.1508405311397611</v>
      </c>
      <c r="AM48" s="93">
        <f t="shared" si="103"/>
        <v>5.7035066743295975</v>
      </c>
      <c r="AN48" s="93">
        <f t="shared" si="103"/>
        <v>6.6902133289886176</v>
      </c>
    </row>
    <row r="49" spans="1:40" x14ac:dyDescent="0.25">
      <c r="A49" s="100" t="str">
        <f>A41</f>
        <v>Non Alcoholic Beverages</v>
      </c>
      <c r="E49" s="93">
        <f t="shared" ref="E49:AN49" si="104">E$22*E$11*E$6/den</f>
        <v>0</v>
      </c>
      <c r="F49" s="93">
        <f t="shared" si="104"/>
        <v>0</v>
      </c>
      <c r="G49" s="93">
        <f t="shared" si="104"/>
        <v>0</v>
      </c>
      <c r="H49" s="93">
        <f t="shared" si="104"/>
        <v>1.38</v>
      </c>
      <c r="I49" s="93">
        <f t="shared" si="104"/>
        <v>1.2851999999999999</v>
      </c>
      <c r="J49" s="93">
        <f t="shared" si="104"/>
        <v>1.3733279999999999</v>
      </c>
      <c r="K49" s="93">
        <f t="shared" si="104"/>
        <v>1.40079456</v>
      </c>
      <c r="L49" s="93">
        <f t="shared" si="104"/>
        <v>1.3638645216</v>
      </c>
      <c r="M49" s="93">
        <f t="shared" si="104"/>
        <v>1.5236315084160004</v>
      </c>
      <c r="N49" s="93">
        <f t="shared" si="104"/>
        <v>1.4189646482726401</v>
      </c>
      <c r="O49" s="93">
        <f t="shared" si="104"/>
        <v>1.3784228011791362</v>
      </c>
      <c r="P49" s="93">
        <f t="shared" si="104"/>
        <v>1.6168899457831265</v>
      </c>
      <c r="Q49" s="93">
        <f t="shared" si="104"/>
        <v>1.5775221905814505</v>
      </c>
      <c r="R49" s="93">
        <f t="shared" si="104"/>
        <v>1.5359329691933938</v>
      </c>
      <c r="S49" s="93">
        <f t="shared" si="104"/>
        <v>1.6412540870809413</v>
      </c>
      <c r="T49" s="93">
        <f t="shared" si="104"/>
        <v>1.7577831272636877</v>
      </c>
      <c r="U49" s="93">
        <f t="shared" si="104"/>
        <v>1.7929387898089615</v>
      </c>
      <c r="V49" s="93">
        <f t="shared" si="104"/>
        <v>1.8287975656051407</v>
      </c>
      <c r="W49" s="93">
        <f t="shared" si="104"/>
        <v>1.7805838116028236</v>
      </c>
      <c r="X49" s="93">
        <f t="shared" si="104"/>
        <v>1.902680987255589</v>
      </c>
      <c r="Y49" s="93">
        <f t="shared" si="104"/>
        <v>2.0289498164098236</v>
      </c>
      <c r="Z49" s="93">
        <f t="shared" si="104"/>
        <v>1.8895697855434095</v>
      </c>
      <c r="AA49" s="93">
        <f t="shared" si="104"/>
        <v>1.8355820773850264</v>
      </c>
      <c r="AB49" s="93">
        <f t="shared" si="104"/>
        <v>2.1531377767726361</v>
      </c>
      <c r="AC49" s="93">
        <f t="shared" si="104"/>
        <v>2.0052265729769507</v>
      </c>
      <c r="AD49" s="93">
        <f t="shared" si="104"/>
        <v>2.14272782369537</v>
      </c>
      <c r="AE49" s="93">
        <f t="shared" si="104"/>
        <v>2.1855823801692775</v>
      </c>
      <c r="AF49" s="93">
        <f t="shared" si="104"/>
        <v>2.2343606051085101</v>
      </c>
      <c r="AG49" s="93">
        <f t="shared" si="104"/>
        <v>2.4960999902783638</v>
      </c>
      <c r="AH49" s="93">
        <f t="shared" si="104"/>
        <v>2.4353253818194127</v>
      </c>
      <c r="AI49" s="93">
        <f t="shared" si="104"/>
        <v>2.3711213490259917</v>
      </c>
      <c r="AJ49" s="93">
        <f t="shared" si="104"/>
        <v>2.5337125272449175</v>
      </c>
      <c r="AK49" s="93">
        <f t="shared" si="104"/>
        <v>2.5843867777898155</v>
      </c>
      <c r="AL49" s="93">
        <f t="shared" si="104"/>
        <v>2.636074513345612</v>
      </c>
      <c r="AM49" s="93">
        <f t="shared" si="104"/>
        <v>2.4443600032841131</v>
      </c>
      <c r="AN49" s="93">
        <f t="shared" si="104"/>
        <v>2.8672342838522646</v>
      </c>
    </row>
    <row r="50" spans="1:40" x14ac:dyDescent="0.25">
      <c r="A50" s="100" t="str">
        <f>A42</f>
        <v>Food</v>
      </c>
      <c r="E50" s="111">
        <f t="shared" ref="E50:AN50" si="105">E$23*E$11*E$6/den</f>
        <v>0</v>
      </c>
      <c r="F50" s="111">
        <f t="shared" si="105"/>
        <v>0</v>
      </c>
      <c r="G50" s="111">
        <f t="shared" si="105"/>
        <v>0</v>
      </c>
      <c r="H50" s="111">
        <f t="shared" si="105"/>
        <v>5.0599999999999996</v>
      </c>
      <c r="I50" s="111">
        <f t="shared" si="105"/>
        <v>4.7123999999999997</v>
      </c>
      <c r="J50" s="111">
        <f t="shared" si="105"/>
        <v>5.0355359999999996</v>
      </c>
      <c r="K50" s="111">
        <f t="shared" si="105"/>
        <v>5.1362467199999999</v>
      </c>
      <c r="L50" s="111">
        <f t="shared" si="105"/>
        <v>5.0008365792000005</v>
      </c>
      <c r="M50" s="111">
        <f t="shared" si="105"/>
        <v>5.5866488641920009</v>
      </c>
      <c r="N50" s="111">
        <f t="shared" si="105"/>
        <v>5.2028703769996802</v>
      </c>
      <c r="O50" s="111">
        <f t="shared" si="105"/>
        <v>5.0542169376568324</v>
      </c>
      <c r="P50" s="111">
        <f t="shared" si="105"/>
        <v>5.9285964678714649</v>
      </c>
      <c r="Q50" s="111">
        <f t="shared" si="105"/>
        <v>5.7842480321319858</v>
      </c>
      <c r="R50" s="111">
        <f t="shared" si="105"/>
        <v>5.631754220375778</v>
      </c>
      <c r="S50" s="111">
        <f t="shared" si="105"/>
        <v>6.0179316526301179</v>
      </c>
      <c r="T50" s="111">
        <f t="shared" si="105"/>
        <v>6.4452047999668567</v>
      </c>
      <c r="U50" s="111">
        <f t="shared" si="105"/>
        <v>6.5741088959661926</v>
      </c>
      <c r="V50" s="111">
        <f t="shared" si="105"/>
        <v>6.7055910738855173</v>
      </c>
      <c r="W50" s="111">
        <f t="shared" si="105"/>
        <v>6.5288073092103529</v>
      </c>
      <c r="X50" s="111">
        <f t="shared" si="105"/>
        <v>6.9764969532704928</v>
      </c>
      <c r="Y50" s="111">
        <f t="shared" si="105"/>
        <v>7.439482660169352</v>
      </c>
      <c r="Z50" s="111">
        <f t="shared" si="105"/>
        <v>6.9284225469925023</v>
      </c>
      <c r="AA50" s="111">
        <f t="shared" si="105"/>
        <v>6.7304676170784292</v>
      </c>
      <c r="AB50" s="111">
        <f t="shared" si="105"/>
        <v>7.8948385148329985</v>
      </c>
      <c r="AC50" s="111">
        <f t="shared" si="105"/>
        <v>7.3524974342488187</v>
      </c>
      <c r="AD50" s="111">
        <f t="shared" si="105"/>
        <v>7.8566686868830233</v>
      </c>
      <c r="AE50" s="111">
        <f t="shared" si="105"/>
        <v>8.0138020606206837</v>
      </c>
      <c r="AF50" s="111">
        <f t="shared" si="105"/>
        <v>8.1926555520645366</v>
      </c>
      <c r="AG50" s="111">
        <f t="shared" si="105"/>
        <v>9.1523666310206693</v>
      </c>
      <c r="AH50" s="111">
        <f t="shared" si="105"/>
        <v>8.929526400004514</v>
      </c>
      <c r="AI50" s="111">
        <f t="shared" si="105"/>
        <v>8.6941116130953056</v>
      </c>
      <c r="AJ50" s="111">
        <f t="shared" si="105"/>
        <v>9.2902792665646974</v>
      </c>
      <c r="AK50" s="111">
        <f t="shared" si="105"/>
        <v>9.4760848518959904</v>
      </c>
      <c r="AL50" s="111">
        <f t="shared" si="105"/>
        <v>9.6656065489339102</v>
      </c>
      <c r="AM50" s="111">
        <f t="shared" si="105"/>
        <v>8.9626533453750827</v>
      </c>
      <c r="AN50" s="111">
        <f t="shared" si="105"/>
        <v>10.513192374124971</v>
      </c>
    </row>
    <row r="51" spans="1:40" x14ac:dyDescent="0.25">
      <c r="A51" s="104" t="s">
        <v>40</v>
      </c>
      <c r="B51" s="109"/>
      <c r="C51" s="109"/>
      <c r="D51" s="109"/>
      <c r="E51" s="112">
        <f>SUM(E48:E50)</f>
        <v>0</v>
      </c>
      <c r="F51" s="112">
        <f t="shared" ref="F51:I51" si="106">SUM(F48:F50)</f>
        <v>0</v>
      </c>
      <c r="G51" s="112">
        <f t="shared" si="106"/>
        <v>0</v>
      </c>
      <c r="H51" s="112">
        <f t="shared" si="106"/>
        <v>9.66</v>
      </c>
      <c r="I51" s="112">
        <f t="shared" si="106"/>
        <v>8.9963999999999977</v>
      </c>
      <c r="J51" s="112">
        <f t="shared" ref="J51" si="107">SUM(J48:J50)</f>
        <v>9.6132959999999983</v>
      </c>
      <c r="K51" s="112">
        <f t="shared" ref="K51" si="108">SUM(K48:K50)</f>
        <v>9.8055619199999988</v>
      </c>
      <c r="L51" s="112">
        <f t="shared" ref="L51:M51" si="109">SUM(L48:L50)</f>
        <v>9.5470516512000003</v>
      </c>
      <c r="M51" s="112">
        <f t="shared" si="109"/>
        <v>10.665420558912</v>
      </c>
      <c r="N51" s="112">
        <f t="shared" ref="N51" si="110">SUM(N48:N50)</f>
        <v>9.9327525379084811</v>
      </c>
      <c r="O51" s="112">
        <f t="shared" ref="O51" si="111">SUM(O48:O50)</f>
        <v>9.6489596082539535</v>
      </c>
      <c r="P51" s="112">
        <f t="shared" ref="P51:Q51" si="112">SUM(P48:P50)</f>
        <v>11.318229620481887</v>
      </c>
      <c r="Q51" s="112">
        <f t="shared" si="112"/>
        <v>11.042655334070155</v>
      </c>
      <c r="R51" s="112">
        <f t="shared" ref="R51" si="113">SUM(R48:R50)</f>
        <v>10.751530784353758</v>
      </c>
      <c r="S51" s="112">
        <f t="shared" ref="S51" si="114">SUM(S48:S50)</f>
        <v>11.488778609566589</v>
      </c>
      <c r="T51" s="112">
        <f t="shared" ref="T51:U51" si="115">SUM(T48:T50)</f>
        <v>12.304481890845816</v>
      </c>
      <c r="U51" s="112">
        <f t="shared" si="115"/>
        <v>12.550571528662731</v>
      </c>
      <c r="V51" s="112">
        <f t="shared" ref="V51" si="116">SUM(V48:V50)</f>
        <v>12.801582959235986</v>
      </c>
      <c r="W51" s="112">
        <f t="shared" ref="W51" si="117">SUM(W48:W50)</f>
        <v>12.464086681219765</v>
      </c>
      <c r="X51" s="112">
        <f t="shared" ref="X51:Y51" si="118">SUM(X48:X50)</f>
        <v>13.318766910789122</v>
      </c>
      <c r="Y51" s="112">
        <f t="shared" si="118"/>
        <v>14.202648714868763</v>
      </c>
      <c r="Z51" s="112">
        <f t="shared" ref="Z51" si="119">SUM(Z48:Z50)</f>
        <v>13.226988498803868</v>
      </c>
      <c r="AA51" s="112">
        <f t="shared" ref="AA51" si="120">SUM(AA48:AA50)</f>
        <v>12.849074541695185</v>
      </c>
      <c r="AB51" s="112">
        <f t="shared" ref="AB51:AC51" si="121">SUM(AB48:AB50)</f>
        <v>15.07196443740845</v>
      </c>
      <c r="AC51" s="112">
        <f t="shared" si="121"/>
        <v>14.036586010838654</v>
      </c>
      <c r="AD51" s="112">
        <f t="shared" ref="AD51" si="122">SUM(AD48:AD50)</f>
        <v>14.999094765867589</v>
      </c>
      <c r="AE51" s="112">
        <f t="shared" ref="AE51" si="123">SUM(AE48:AE50)</f>
        <v>15.299076661184941</v>
      </c>
      <c r="AF51" s="112">
        <f t="shared" ref="AF51:AG51" si="124">SUM(AF48:AF50)</f>
        <v>15.640524235759571</v>
      </c>
      <c r="AG51" s="112">
        <f t="shared" si="124"/>
        <v>17.472699931948547</v>
      </c>
      <c r="AH51" s="112">
        <f t="shared" ref="AH51" si="125">SUM(AH48:AH50)</f>
        <v>17.047277672735888</v>
      </c>
      <c r="AI51" s="112">
        <f t="shared" ref="AI51" si="126">SUM(AI48:AI50)</f>
        <v>16.597849443181943</v>
      </c>
      <c r="AJ51" s="112">
        <f t="shared" ref="AJ51:AK51" si="127">SUM(AJ48:AJ50)</f>
        <v>17.735987690714424</v>
      </c>
      <c r="AK51" s="112">
        <f t="shared" si="127"/>
        <v>18.090707444528711</v>
      </c>
      <c r="AL51" s="112">
        <f t="shared" ref="AL51" si="128">SUM(AL48:AL50)</f>
        <v>18.452521593419284</v>
      </c>
      <c r="AM51" s="112">
        <f t="shared" ref="AM51" si="129">SUM(AM48:AM50)</f>
        <v>17.110520022988794</v>
      </c>
      <c r="AN51" s="112">
        <f t="shared" ref="AN51" si="130">SUM(AN48:AN50)</f>
        <v>20.070639986965851</v>
      </c>
    </row>
    <row r="53" spans="1:40" x14ac:dyDescent="0.25">
      <c r="A53" s="101" t="s">
        <v>10</v>
      </c>
    </row>
    <row r="54" spans="1:40" x14ac:dyDescent="0.25">
      <c r="A54" s="100" t="s">
        <v>12</v>
      </c>
      <c r="E54" s="93">
        <f t="shared" ref="E54:AN54" si="131">E$27*E$12*E$6/den</f>
        <v>0</v>
      </c>
      <c r="F54" s="93">
        <f t="shared" si="131"/>
        <v>0</v>
      </c>
      <c r="G54" s="93">
        <f t="shared" si="131"/>
        <v>0</v>
      </c>
      <c r="H54" s="93">
        <f t="shared" si="131"/>
        <v>4.1859999999999999</v>
      </c>
      <c r="I54" s="93">
        <f t="shared" si="131"/>
        <v>3.8984399999999999</v>
      </c>
      <c r="J54" s="93">
        <f t="shared" si="131"/>
        <v>4.1657615999999997</v>
      </c>
      <c r="K54" s="93">
        <f t="shared" si="131"/>
        <v>4.2490768320000001</v>
      </c>
      <c r="L54" s="93">
        <f t="shared" si="131"/>
        <v>4.1370557155199998</v>
      </c>
      <c r="M54" s="93">
        <f t="shared" si="131"/>
        <v>4.6216822421951997</v>
      </c>
      <c r="N54" s="93">
        <f t="shared" si="131"/>
        <v>4.3041927664270085</v>
      </c>
      <c r="O54" s="93">
        <f t="shared" si="131"/>
        <v>4.1812158302433788</v>
      </c>
      <c r="P54" s="93">
        <f t="shared" si="131"/>
        <v>4.9045661688754842</v>
      </c>
      <c r="Q54" s="93">
        <f t="shared" si="131"/>
        <v>4.7851506447637329</v>
      </c>
      <c r="R54" s="93">
        <f t="shared" si="131"/>
        <v>4.6589966732199617</v>
      </c>
      <c r="S54" s="93">
        <f t="shared" si="131"/>
        <v>4.9784707308121883</v>
      </c>
      <c r="T54" s="93">
        <f t="shared" si="131"/>
        <v>5.3319421526998525</v>
      </c>
      <c r="U54" s="93">
        <f t="shared" si="131"/>
        <v>5.43858099575385</v>
      </c>
      <c r="V54" s="93">
        <f t="shared" si="131"/>
        <v>5.5473526156689275</v>
      </c>
      <c r="W54" s="93">
        <f t="shared" si="131"/>
        <v>5.4011042285285642</v>
      </c>
      <c r="X54" s="93">
        <f t="shared" si="131"/>
        <v>5.7714656613419519</v>
      </c>
      <c r="Y54" s="93">
        <f t="shared" si="131"/>
        <v>6.1544811097764622</v>
      </c>
      <c r="Z54" s="93">
        <f t="shared" si="131"/>
        <v>5.7316950161483406</v>
      </c>
      <c r="AA54" s="93">
        <f t="shared" si="131"/>
        <v>5.5679323014012461</v>
      </c>
      <c r="AB54" s="93">
        <f t="shared" si="131"/>
        <v>6.5311845895436615</v>
      </c>
      <c r="AC54" s="93">
        <f t="shared" si="131"/>
        <v>6.0825206046967484</v>
      </c>
      <c r="AD54" s="93">
        <f t="shared" si="131"/>
        <v>6.4996077318759538</v>
      </c>
      <c r="AE54" s="93">
        <f t="shared" si="131"/>
        <v>6.6295998865134731</v>
      </c>
      <c r="AF54" s="93">
        <f t="shared" si="131"/>
        <v>6.777560502162479</v>
      </c>
      <c r="AG54" s="93">
        <f t="shared" si="131"/>
        <v>7.57150330384437</v>
      </c>
      <c r="AH54" s="93">
        <f t="shared" si="131"/>
        <v>7.3871536581855501</v>
      </c>
      <c r="AI54" s="93">
        <f t="shared" si="131"/>
        <v>7.1924014253788409</v>
      </c>
      <c r="AJ54" s="93">
        <f t="shared" si="131"/>
        <v>7.6855946659762457</v>
      </c>
      <c r="AK54" s="93">
        <f t="shared" si="131"/>
        <v>7.8393065592957729</v>
      </c>
      <c r="AL54" s="93">
        <f t="shared" si="131"/>
        <v>7.9960926904816878</v>
      </c>
      <c r="AM54" s="93">
        <f t="shared" si="131"/>
        <v>7.4145586766284728</v>
      </c>
      <c r="AN54" s="93">
        <f t="shared" si="131"/>
        <v>8.6972773276851996</v>
      </c>
    </row>
    <row r="55" spans="1:40" x14ac:dyDescent="0.25">
      <c r="A55" s="100" t="s">
        <v>13</v>
      </c>
      <c r="E55" s="93">
        <f t="shared" ref="E55:AN55" si="132">E$28*E$12*E$6/den</f>
        <v>0</v>
      </c>
      <c r="F55" s="93">
        <f t="shared" si="132"/>
        <v>0</v>
      </c>
      <c r="G55" s="93">
        <f t="shared" si="132"/>
        <v>0</v>
      </c>
      <c r="H55" s="93">
        <f t="shared" si="132"/>
        <v>1.794</v>
      </c>
      <c r="I55" s="93">
        <f t="shared" si="132"/>
        <v>1.67076</v>
      </c>
      <c r="J55" s="93">
        <f t="shared" si="132"/>
        <v>1.7853263999999998</v>
      </c>
      <c r="K55" s="93">
        <f t="shared" si="132"/>
        <v>1.8210329279999999</v>
      </c>
      <c r="L55" s="93">
        <f t="shared" si="132"/>
        <v>1.7730238780800003</v>
      </c>
      <c r="M55" s="93">
        <f t="shared" si="132"/>
        <v>1.9807209609408001</v>
      </c>
      <c r="N55" s="93">
        <f t="shared" si="132"/>
        <v>1.8446540427544318</v>
      </c>
      <c r="O55" s="93">
        <f t="shared" si="132"/>
        <v>1.7919496415328771</v>
      </c>
      <c r="P55" s="93">
        <f t="shared" si="132"/>
        <v>2.1019569295180642</v>
      </c>
      <c r="Q55" s="93">
        <f t="shared" si="132"/>
        <v>2.0507788477558857</v>
      </c>
      <c r="R55" s="93">
        <f t="shared" si="132"/>
        <v>1.9967128599514126</v>
      </c>
      <c r="S55" s="93">
        <f t="shared" si="132"/>
        <v>2.1336303132052232</v>
      </c>
      <c r="T55" s="93">
        <f t="shared" si="132"/>
        <v>2.2851180654427941</v>
      </c>
      <c r="U55" s="93">
        <f t="shared" si="132"/>
        <v>2.3308204267516501</v>
      </c>
      <c r="V55" s="93">
        <f t="shared" si="132"/>
        <v>2.3774368352866833</v>
      </c>
      <c r="W55" s="93">
        <f t="shared" si="132"/>
        <v>2.3147589550836702</v>
      </c>
      <c r="X55" s="93">
        <f t="shared" si="132"/>
        <v>2.4734852834322649</v>
      </c>
      <c r="Y55" s="93">
        <f t="shared" si="132"/>
        <v>2.6376347613327695</v>
      </c>
      <c r="Z55" s="93">
        <f t="shared" si="132"/>
        <v>2.4564407212064316</v>
      </c>
      <c r="AA55" s="93">
        <f t="shared" si="132"/>
        <v>2.386256700600534</v>
      </c>
      <c r="AB55" s="93">
        <f t="shared" si="132"/>
        <v>2.7990791098044259</v>
      </c>
      <c r="AC55" s="93">
        <f t="shared" si="132"/>
        <v>2.6067945448700351</v>
      </c>
      <c r="AD55" s="93">
        <f t="shared" si="132"/>
        <v>2.7855461708039808</v>
      </c>
      <c r="AE55" s="93">
        <f t="shared" si="132"/>
        <v>2.8412570942200603</v>
      </c>
      <c r="AF55" s="93">
        <f t="shared" si="132"/>
        <v>2.9046687866410625</v>
      </c>
      <c r="AG55" s="93">
        <f t="shared" si="132"/>
        <v>3.2449299873618731</v>
      </c>
      <c r="AH55" s="93">
        <f t="shared" si="132"/>
        <v>3.1659229963652358</v>
      </c>
      <c r="AI55" s="93">
        <f t="shared" si="132"/>
        <v>3.0824577537337889</v>
      </c>
      <c r="AJ55" s="93">
        <f t="shared" si="132"/>
        <v>3.2938262854183913</v>
      </c>
      <c r="AK55" s="93">
        <f t="shared" si="132"/>
        <v>3.3597028111267591</v>
      </c>
      <c r="AL55" s="93">
        <f t="shared" si="132"/>
        <v>3.4268968673492943</v>
      </c>
      <c r="AM55" s="93">
        <f t="shared" si="132"/>
        <v>3.1776680042693455</v>
      </c>
      <c r="AN55" s="93">
        <f t="shared" si="132"/>
        <v>3.7274045690079425</v>
      </c>
    </row>
    <row r="56" spans="1:40" x14ac:dyDescent="0.25">
      <c r="A56" s="100" t="s">
        <v>14</v>
      </c>
      <c r="E56" s="93">
        <f t="shared" ref="E56:AN56" si="133">E$29*E$12*E$6/den</f>
        <v>0</v>
      </c>
      <c r="F56" s="93">
        <f t="shared" si="133"/>
        <v>0</v>
      </c>
      <c r="G56" s="93">
        <f t="shared" si="133"/>
        <v>0</v>
      </c>
      <c r="H56" s="93">
        <f t="shared" si="133"/>
        <v>6.5780000000000003</v>
      </c>
      <c r="I56" s="93">
        <f t="shared" si="133"/>
        <v>6.1261200000000002</v>
      </c>
      <c r="J56" s="93">
        <f t="shared" si="133"/>
        <v>6.5461967999999997</v>
      </c>
      <c r="K56" s="93">
        <f t="shared" si="133"/>
        <v>6.677120736</v>
      </c>
      <c r="L56" s="93">
        <f t="shared" si="133"/>
        <v>6.5010875529600005</v>
      </c>
      <c r="M56" s="93">
        <f t="shared" si="133"/>
        <v>7.2626435234496007</v>
      </c>
      <c r="N56" s="93">
        <f t="shared" si="133"/>
        <v>6.763731490099584</v>
      </c>
      <c r="O56" s="93">
        <f t="shared" si="133"/>
        <v>6.5704820189538822</v>
      </c>
      <c r="P56" s="93">
        <f t="shared" si="133"/>
        <v>7.707175408232902</v>
      </c>
      <c r="Q56" s="93">
        <f t="shared" si="133"/>
        <v>7.5195224417715796</v>
      </c>
      <c r="R56" s="93">
        <f t="shared" si="133"/>
        <v>7.3212804864885124</v>
      </c>
      <c r="S56" s="93">
        <f t="shared" si="133"/>
        <v>7.823311148419152</v>
      </c>
      <c r="T56" s="93">
        <f t="shared" si="133"/>
        <v>8.3787662399569118</v>
      </c>
      <c r="U56" s="93">
        <f t="shared" si="133"/>
        <v>8.5463415647560499</v>
      </c>
      <c r="V56" s="93">
        <f t="shared" si="133"/>
        <v>8.717268396051173</v>
      </c>
      <c r="W56" s="93">
        <f t="shared" si="133"/>
        <v>8.4874495019734582</v>
      </c>
      <c r="X56" s="93">
        <f t="shared" si="133"/>
        <v>9.0694460392516394</v>
      </c>
      <c r="Y56" s="93">
        <f t="shared" si="133"/>
        <v>9.6713274582201549</v>
      </c>
      <c r="Z56" s="93">
        <f t="shared" si="133"/>
        <v>9.006949311090251</v>
      </c>
      <c r="AA56" s="93">
        <f t="shared" si="133"/>
        <v>8.7496079022019586</v>
      </c>
      <c r="AB56" s="93">
        <f t="shared" si="133"/>
        <v>10.263290069282897</v>
      </c>
      <c r="AC56" s="93">
        <f t="shared" si="133"/>
        <v>9.5582466645234643</v>
      </c>
      <c r="AD56" s="93">
        <f t="shared" si="133"/>
        <v>10.213669292947928</v>
      </c>
      <c r="AE56" s="93">
        <f t="shared" si="133"/>
        <v>10.417942678806888</v>
      </c>
      <c r="AF56" s="93">
        <f t="shared" si="133"/>
        <v>10.650452217683897</v>
      </c>
      <c r="AG56" s="93">
        <f t="shared" si="133"/>
        <v>11.898076620326867</v>
      </c>
      <c r="AH56" s="93">
        <f t="shared" si="133"/>
        <v>11.608384320005865</v>
      </c>
      <c r="AI56" s="93">
        <f t="shared" si="133"/>
        <v>11.302345097023892</v>
      </c>
      <c r="AJ56" s="93">
        <f t="shared" si="133"/>
        <v>12.077363046534101</v>
      </c>
      <c r="AK56" s="93">
        <f t="shared" si="133"/>
        <v>12.318910307464783</v>
      </c>
      <c r="AL56" s="93">
        <f t="shared" si="133"/>
        <v>12.565288513614082</v>
      </c>
      <c r="AM56" s="93">
        <f t="shared" si="133"/>
        <v>11.651449348987601</v>
      </c>
      <c r="AN56" s="93">
        <f t="shared" si="133"/>
        <v>13.667150086362454</v>
      </c>
    </row>
    <row r="57" spans="1:40" x14ac:dyDescent="0.25">
      <c r="A57" s="104" t="s">
        <v>40</v>
      </c>
      <c r="B57" s="109"/>
      <c r="C57" s="109"/>
      <c r="D57" s="109"/>
      <c r="E57" s="112">
        <f>SUM(E54:E56)</f>
        <v>0</v>
      </c>
      <c r="F57" s="112">
        <f t="shared" ref="F57:I57" si="134">SUM(F54:F56)</f>
        <v>0</v>
      </c>
      <c r="G57" s="112">
        <f t="shared" si="134"/>
        <v>0</v>
      </c>
      <c r="H57" s="112">
        <f t="shared" si="134"/>
        <v>12.558</v>
      </c>
      <c r="I57" s="112">
        <f t="shared" si="134"/>
        <v>11.695320000000001</v>
      </c>
      <c r="J57" s="112">
        <f t="shared" ref="J57" si="135">SUM(J54:J56)</f>
        <v>12.497284799999999</v>
      </c>
      <c r="K57" s="112">
        <f t="shared" ref="K57" si="136">SUM(K54:K56)</f>
        <v>12.747230496</v>
      </c>
      <c r="L57" s="112">
        <f t="shared" ref="L57:M57" si="137">SUM(L54:L56)</f>
        <v>12.41116714656</v>
      </c>
      <c r="M57" s="112">
        <f t="shared" si="137"/>
        <v>13.8650467265856</v>
      </c>
      <c r="N57" s="112">
        <f t="shared" ref="N57" si="138">SUM(N54:N56)</f>
        <v>12.912578299281025</v>
      </c>
      <c r="O57" s="112">
        <f t="shared" ref="O57" si="139">SUM(O54:O56)</f>
        <v>12.543647490730137</v>
      </c>
      <c r="P57" s="112">
        <f t="shared" ref="P57:Q57" si="140">SUM(P54:P56)</f>
        <v>14.71369850662645</v>
      </c>
      <c r="Q57" s="112">
        <f t="shared" si="140"/>
        <v>14.355451934291198</v>
      </c>
      <c r="R57" s="112">
        <f t="shared" ref="R57" si="141">SUM(R54:R56)</f>
        <v>13.976990019659887</v>
      </c>
      <c r="S57" s="112">
        <f t="shared" ref="S57" si="142">SUM(S54:S56)</f>
        <v>14.935412192436562</v>
      </c>
      <c r="T57" s="112">
        <f t="shared" ref="T57:U57" si="143">SUM(T54:T56)</f>
        <v>15.995826458099557</v>
      </c>
      <c r="U57" s="112">
        <f t="shared" si="143"/>
        <v>16.315742987261551</v>
      </c>
      <c r="V57" s="112">
        <f t="shared" ref="V57" si="144">SUM(V54:V56)</f>
        <v>16.642057847006782</v>
      </c>
      <c r="W57" s="112">
        <f t="shared" ref="W57" si="145">SUM(W54:W56)</f>
        <v>16.203312685585693</v>
      </c>
      <c r="X57" s="112">
        <f t="shared" ref="X57:Y57" si="146">SUM(X54:X56)</f>
        <v>17.314396984025855</v>
      </c>
      <c r="Y57" s="112">
        <f t="shared" si="146"/>
        <v>18.463443329329387</v>
      </c>
      <c r="Z57" s="112">
        <f t="shared" ref="Z57" si="147">SUM(Z54:Z56)</f>
        <v>17.195085048445023</v>
      </c>
      <c r="AA57" s="112">
        <f t="shared" ref="AA57" si="148">SUM(AA54:AA56)</f>
        <v>16.703796904203738</v>
      </c>
      <c r="AB57" s="112">
        <f t="shared" ref="AB57:AC57" si="149">SUM(AB54:AB56)</f>
        <v>19.593553768630983</v>
      </c>
      <c r="AC57" s="112">
        <f t="shared" si="149"/>
        <v>18.247561814090247</v>
      </c>
      <c r="AD57" s="112">
        <f t="shared" ref="AD57" si="150">SUM(AD54:AD56)</f>
        <v>19.498823195627864</v>
      </c>
      <c r="AE57" s="112">
        <f t="shared" ref="AE57" si="151">SUM(AE54:AE56)</f>
        <v>19.888799659540421</v>
      </c>
      <c r="AF57" s="112">
        <f t="shared" ref="AF57:AG57" si="152">SUM(AF54:AF56)</f>
        <v>20.33268150648744</v>
      </c>
      <c r="AG57" s="112">
        <f t="shared" si="152"/>
        <v>22.71450991153311</v>
      </c>
      <c r="AH57" s="112">
        <f t="shared" ref="AH57" si="153">SUM(AH54:AH56)</f>
        <v>22.16146097455665</v>
      </c>
      <c r="AI57" s="112">
        <f t="shared" ref="AI57" si="154">SUM(AI54:AI56)</f>
        <v>21.57720427613652</v>
      </c>
      <c r="AJ57" s="112">
        <f t="shared" ref="AJ57:AK57" si="155">SUM(AJ54:AJ56)</f>
        <v>23.05678399792874</v>
      </c>
      <c r="AK57" s="112">
        <f t="shared" si="155"/>
        <v>23.517919677887313</v>
      </c>
      <c r="AL57" s="112">
        <f t="shared" ref="AL57" si="156">SUM(AL54:AL56)</f>
        <v>23.988278071445066</v>
      </c>
      <c r="AM57" s="112">
        <f t="shared" ref="AM57" si="157">SUM(AM54:AM56)</f>
        <v>22.243676029885421</v>
      </c>
      <c r="AN57" s="112">
        <f t="shared" ref="AN57" si="158">SUM(AN54:AN56)</f>
        <v>26.091831983055599</v>
      </c>
    </row>
    <row r="58" spans="1:40" x14ac:dyDescent="0.25">
      <c r="A58" s="101"/>
    </row>
    <row r="59" spans="1:40" x14ac:dyDescent="0.25">
      <c r="A59" s="86" t="s">
        <v>109</v>
      </c>
    </row>
    <row r="60" spans="1:40" x14ac:dyDescent="0.25">
      <c r="A60" s="101" t="s">
        <v>9</v>
      </c>
    </row>
    <row r="61" spans="1:40" x14ac:dyDescent="0.25">
      <c r="A61" s="100" t="s">
        <v>12</v>
      </c>
      <c r="E61" s="93">
        <f t="shared" ref="E61:AN61" si="159">E$34*E$15*E$7/den</f>
        <v>0</v>
      </c>
      <c r="F61" s="93">
        <f t="shared" si="159"/>
        <v>0</v>
      </c>
      <c r="G61" s="93">
        <f t="shared" si="159"/>
        <v>0</v>
      </c>
      <c r="H61" s="93">
        <f t="shared" si="159"/>
        <v>2.08</v>
      </c>
      <c r="I61" s="93">
        <f t="shared" si="159"/>
        <v>2.7040000000000002</v>
      </c>
      <c r="J61" s="93">
        <f t="shared" si="159"/>
        <v>2.2497280000000002</v>
      </c>
      <c r="K61" s="93">
        <f t="shared" si="159"/>
        <v>2.6321817600000004</v>
      </c>
      <c r="L61" s="93">
        <f t="shared" si="159"/>
        <v>2.7374690304000007</v>
      </c>
      <c r="M61" s="93">
        <f t="shared" si="159"/>
        <v>2.5306380369920003</v>
      </c>
      <c r="N61" s="93">
        <f t="shared" si="159"/>
        <v>3.2898294480896006</v>
      </c>
      <c r="O61" s="93">
        <f t="shared" si="159"/>
        <v>2.7371381008105473</v>
      </c>
      <c r="P61" s="93">
        <f t="shared" si="159"/>
        <v>2.8466236248429695</v>
      </c>
      <c r="Q61" s="93">
        <f t="shared" si="159"/>
        <v>2.9604885698366887</v>
      </c>
      <c r="R61" s="93">
        <f t="shared" si="159"/>
        <v>3.848635140787696</v>
      </c>
      <c r="S61" s="93">
        <f t="shared" si="159"/>
        <v>3.202064437135363</v>
      </c>
      <c r="T61" s="93">
        <f t="shared" si="159"/>
        <v>3.9337361610207933</v>
      </c>
      <c r="U61" s="93">
        <f t="shared" si="159"/>
        <v>4.0910856074616255</v>
      </c>
      <c r="V61" s="93">
        <f t="shared" si="159"/>
        <v>3.7819813615645255</v>
      </c>
      <c r="W61" s="93">
        <f t="shared" si="159"/>
        <v>4.9165757700338828</v>
      </c>
      <c r="X61" s="93">
        <f t="shared" si="159"/>
        <v>4.0905910406681913</v>
      </c>
      <c r="Y61" s="93">
        <f t="shared" si="159"/>
        <v>4.2542146822949194</v>
      </c>
      <c r="Z61" s="93">
        <f t="shared" si="159"/>
        <v>5.5304790869833944</v>
      </c>
      <c r="AA61" s="93">
        <f t="shared" si="159"/>
        <v>4.6013586003701841</v>
      </c>
      <c r="AB61" s="93">
        <f t="shared" si="159"/>
        <v>4.7854129443849924</v>
      </c>
      <c r="AC61" s="93">
        <f t="shared" si="159"/>
        <v>5.5989331449304407</v>
      </c>
      <c r="AD61" s="93">
        <f t="shared" si="159"/>
        <v>5.8228904707276579</v>
      </c>
      <c r="AE61" s="93">
        <f t="shared" si="159"/>
        <v>5.3829387462726803</v>
      </c>
      <c r="AF61" s="93">
        <f t="shared" si="159"/>
        <v>7.3477113886622103</v>
      </c>
      <c r="AG61" s="93">
        <f t="shared" si="159"/>
        <v>6.1132958753669584</v>
      </c>
      <c r="AH61" s="93">
        <f t="shared" si="159"/>
        <v>6.3578277103816365</v>
      </c>
      <c r="AI61" s="93">
        <f t="shared" si="159"/>
        <v>8.265176023496128</v>
      </c>
      <c r="AJ61" s="93">
        <f t="shared" si="159"/>
        <v>6.8766264515487787</v>
      </c>
      <c r="AK61" s="93">
        <f t="shared" si="159"/>
        <v>7.9379999999999997</v>
      </c>
      <c r="AL61" s="93">
        <f t="shared" si="159"/>
        <v>7.9379999999999997</v>
      </c>
      <c r="AM61" s="93">
        <f t="shared" si="159"/>
        <v>7.056</v>
      </c>
      <c r="AN61" s="93">
        <f t="shared" si="159"/>
        <v>7.056</v>
      </c>
    </row>
    <row r="62" spans="1:40" x14ac:dyDescent="0.25">
      <c r="A62" s="100" t="s">
        <v>13</v>
      </c>
      <c r="E62" s="93">
        <f t="shared" ref="E62:AN62" si="160">E$35*E$15*E$7/den</f>
        <v>0</v>
      </c>
      <c r="F62" s="93">
        <f t="shared" si="160"/>
        <v>0</v>
      </c>
      <c r="G62" s="93">
        <f t="shared" si="160"/>
        <v>0</v>
      </c>
      <c r="H62" s="93">
        <f t="shared" si="160"/>
        <v>0.624</v>
      </c>
      <c r="I62" s="93">
        <f t="shared" si="160"/>
        <v>0.81120000000000003</v>
      </c>
      <c r="J62" s="93">
        <f t="shared" si="160"/>
        <v>0.67491839999999992</v>
      </c>
      <c r="K62" s="93">
        <f t="shared" si="160"/>
        <v>0.78965452800000002</v>
      </c>
      <c r="L62" s="93">
        <f t="shared" si="160"/>
        <v>0.82124070912000013</v>
      </c>
      <c r="M62" s="93">
        <f t="shared" si="160"/>
        <v>0.75919141109760002</v>
      </c>
      <c r="N62" s="93">
        <f t="shared" si="160"/>
        <v>0.98694883442688019</v>
      </c>
      <c r="O62" s="93">
        <f t="shared" si="160"/>
        <v>0.82114143024316422</v>
      </c>
      <c r="P62" s="93">
        <f t="shared" si="160"/>
        <v>0.85398708745289098</v>
      </c>
      <c r="Q62" s="93">
        <f t="shared" si="160"/>
        <v>0.88814657095100669</v>
      </c>
      <c r="R62" s="93">
        <f t="shared" si="160"/>
        <v>1.1545905422363087</v>
      </c>
      <c r="S62" s="93">
        <f t="shared" si="160"/>
        <v>0.96061933114060905</v>
      </c>
      <c r="T62" s="93">
        <f t="shared" si="160"/>
        <v>1.180120848306238</v>
      </c>
      <c r="U62" s="93">
        <f t="shared" si="160"/>
        <v>1.2273256822384875</v>
      </c>
      <c r="V62" s="93">
        <f t="shared" si="160"/>
        <v>1.1345944084693576</v>
      </c>
      <c r="W62" s="93">
        <f t="shared" si="160"/>
        <v>1.474972731010165</v>
      </c>
      <c r="X62" s="93">
        <f t="shared" si="160"/>
        <v>1.2271773122004572</v>
      </c>
      <c r="Y62" s="93">
        <f t="shared" si="160"/>
        <v>1.2762644046884757</v>
      </c>
      <c r="Z62" s="93">
        <f t="shared" si="160"/>
        <v>1.6591437260950186</v>
      </c>
      <c r="AA62" s="93">
        <f t="shared" si="160"/>
        <v>1.3804075801110554</v>
      </c>
      <c r="AB62" s="93">
        <f t="shared" si="160"/>
        <v>1.4356238833154977</v>
      </c>
      <c r="AC62" s="93">
        <f t="shared" si="160"/>
        <v>1.6796799434791319</v>
      </c>
      <c r="AD62" s="93">
        <f t="shared" si="160"/>
        <v>1.7468671412182974</v>
      </c>
      <c r="AE62" s="93">
        <f t="shared" si="160"/>
        <v>1.614881623881804</v>
      </c>
      <c r="AF62" s="93">
        <f t="shared" si="160"/>
        <v>2.2043134165986631</v>
      </c>
      <c r="AG62" s="93">
        <f t="shared" si="160"/>
        <v>1.8339887626100875</v>
      </c>
      <c r="AH62" s="93">
        <f t="shared" si="160"/>
        <v>1.9073483131144913</v>
      </c>
      <c r="AI62" s="93">
        <f t="shared" si="160"/>
        <v>2.4795528070488388</v>
      </c>
      <c r="AJ62" s="93">
        <f t="shared" si="160"/>
        <v>2.0629879354646334</v>
      </c>
      <c r="AK62" s="93">
        <f t="shared" si="160"/>
        <v>2.3814000000000002</v>
      </c>
      <c r="AL62" s="93">
        <f t="shared" si="160"/>
        <v>2.3814000000000002</v>
      </c>
      <c r="AM62" s="93">
        <f t="shared" si="160"/>
        <v>2.1168</v>
      </c>
      <c r="AN62" s="93">
        <f t="shared" si="160"/>
        <v>2.1168</v>
      </c>
    </row>
    <row r="63" spans="1:40" x14ac:dyDescent="0.25">
      <c r="A63" s="100" t="s">
        <v>14</v>
      </c>
      <c r="E63" s="93">
        <f t="shared" ref="E63:AN63" si="161">E$36*E$15*E$7/den</f>
        <v>0</v>
      </c>
      <c r="F63" s="93">
        <f t="shared" si="161"/>
        <v>0</v>
      </c>
      <c r="G63" s="93">
        <f t="shared" si="161"/>
        <v>0</v>
      </c>
      <c r="H63" s="93">
        <f t="shared" si="161"/>
        <v>2.2879999999999998</v>
      </c>
      <c r="I63" s="93">
        <f t="shared" si="161"/>
        <v>2.9744000000000002</v>
      </c>
      <c r="J63" s="93">
        <f t="shared" si="161"/>
        <v>2.4747008000000004</v>
      </c>
      <c r="K63" s="93">
        <f t="shared" si="161"/>
        <v>2.8953999360000005</v>
      </c>
      <c r="L63" s="93">
        <f t="shared" si="161"/>
        <v>3.0112159334400004</v>
      </c>
      <c r="M63" s="93">
        <f t="shared" si="161"/>
        <v>2.7837018406912004</v>
      </c>
      <c r="N63" s="93">
        <f t="shared" si="161"/>
        <v>3.6188123928985609</v>
      </c>
      <c r="O63" s="93">
        <f t="shared" si="161"/>
        <v>3.0108519108916023</v>
      </c>
      <c r="P63" s="93">
        <f t="shared" si="161"/>
        <v>3.1312859873272663</v>
      </c>
      <c r="Q63" s="93">
        <f t="shared" si="161"/>
        <v>3.256537426820358</v>
      </c>
      <c r="R63" s="93">
        <f t="shared" si="161"/>
        <v>4.233498654866465</v>
      </c>
      <c r="S63" s="93">
        <f t="shared" si="161"/>
        <v>3.5222708808488994</v>
      </c>
      <c r="T63" s="93">
        <f t="shared" si="161"/>
        <v>4.3271097771228737</v>
      </c>
      <c r="U63" s="93">
        <f t="shared" si="161"/>
        <v>4.5001941682077877</v>
      </c>
      <c r="V63" s="93">
        <f t="shared" si="161"/>
        <v>4.1601794977209776</v>
      </c>
      <c r="W63" s="93">
        <f t="shared" si="161"/>
        <v>5.4082333470372719</v>
      </c>
      <c r="X63" s="93">
        <f t="shared" si="161"/>
        <v>4.4996501447350097</v>
      </c>
      <c r="Y63" s="93">
        <f t="shared" si="161"/>
        <v>4.6796361505244111</v>
      </c>
      <c r="Z63" s="93">
        <f t="shared" si="161"/>
        <v>6.0835269956817335</v>
      </c>
      <c r="AA63" s="93">
        <f t="shared" si="161"/>
        <v>5.0614944604072027</v>
      </c>
      <c r="AB63" s="93">
        <f t="shared" si="161"/>
        <v>5.2639542388234917</v>
      </c>
      <c r="AC63" s="93">
        <f t="shared" si="161"/>
        <v>6.1588264594234836</v>
      </c>
      <c r="AD63" s="93">
        <f t="shared" si="161"/>
        <v>6.4051795178004234</v>
      </c>
      <c r="AE63" s="93">
        <f t="shared" si="161"/>
        <v>5.9212326208999482</v>
      </c>
      <c r="AF63" s="93">
        <f t="shared" si="161"/>
        <v>8.0824825275284304</v>
      </c>
      <c r="AG63" s="93">
        <f t="shared" si="161"/>
        <v>6.7246254629036555</v>
      </c>
      <c r="AH63" s="93">
        <f t="shared" si="161"/>
        <v>6.9936104814198004</v>
      </c>
      <c r="AI63" s="93">
        <f t="shared" si="161"/>
        <v>9.0916936258457408</v>
      </c>
      <c r="AJ63" s="93">
        <f t="shared" si="161"/>
        <v>7.5642890967036571</v>
      </c>
      <c r="AK63" s="93">
        <f t="shared" si="161"/>
        <v>8.7317999999999998</v>
      </c>
      <c r="AL63" s="93">
        <f t="shared" si="161"/>
        <v>8.7317999999999998</v>
      </c>
      <c r="AM63" s="93">
        <f t="shared" si="161"/>
        <v>7.7615999999999996</v>
      </c>
      <c r="AN63" s="93">
        <f t="shared" si="161"/>
        <v>7.7615999999999996</v>
      </c>
    </row>
    <row r="64" spans="1:40" x14ac:dyDescent="0.25">
      <c r="A64" s="104" t="s">
        <v>40</v>
      </c>
      <c r="B64" s="109"/>
      <c r="C64" s="109"/>
      <c r="D64" s="109"/>
      <c r="E64" s="112">
        <f>SUM(E61:E63)</f>
        <v>0</v>
      </c>
      <c r="F64" s="112">
        <f t="shared" ref="F64:AN64" si="162">SUM(F61:F63)</f>
        <v>0</v>
      </c>
      <c r="G64" s="112">
        <f t="shared" si="162"/>
        <v>0</v>
      </c>
      <c r="H64" s="112">
        <f t="shared" si="162"/>
        <v>4.992</v>
      </c>
      <c r="I64" s="112">
        <f t="shared" si="162"/>
        <v>6.4896000000000003</v>
      </c>
      <c r="J64" s="112">
        <f t="shared" si="162"/>
        <v>5.3993472000000011</v>
      </c>
      <c r="K64" s="112">
        <f t="shared" si="162"/>
        <v>6.3172362240000011</v>
      </c>
      <c r="L64" s="112">
        <f t="shared" si="162"/>
        <v>6.5699256729600011</v>
      </c>
      <c r="M64" s="112">
        <f t="shared" si="162"/>
        <v>6.0735312887808011</v>
      </c>
      <c r="N64" s="112">
        <f t="shared" si="162"/>
        <v>7.8955906754150416</v>
      </c>
      <c r="O64" s="112">
        <f t="shared" si="162"/>
        <v>6.5691314419453137</v>
      </c>
      <c r="P64" s="112">
        <f t="shared" si="162"/>
        <v>6.831896699623127</v>
      </c>
      <c r="Q64" s="112">
        <f t="shared" si="162"/>
        <v>7.1051725676080535</v>
      </c>
      <c r="R64" s="112">
        <f t="shared" si="162"/>
        <v>9.23672433789047</v>
      </c>
      <c r="S64" s="112">
        <f t="shared" si="162"/>
        <v>7.6849546491248715</v>
      </c>
      <c r="T64" s="112">
        <f t="shared" si="162"/>
        <v>9.4409667864499056</v>
      </c>
      <c r="U64" s="112">
        <f t="shared" si="162"/>
        <v>9.8186054579078998</v>
      </c>
      <c r="V64" s="112">
        <f t="shared" si="162"/>
        <v>9.0767552677548604</v>
      </c>
      <c r="W64" s="112">
        <f t="shared" si="162"/>
        <v>11.79978184808132</v>
      </c>
      <c r="X64" s="112">
        <f t="shared" si="162"/>
        <v>9.8174184976036578</v>
      </c>
      <c r="Y64" s="112">
        <f t="shared" si="162"/>
        <v>10.210115237507807</v>
      </c>
      <c r="Z64" s="112">
        <f t="shared" si="162"/>
        <v>13.273149808760147</v>
      </c>
      <c r="AA64" s="112">
        <f t="shared" si="162"/>
        <v>11.043260640888441</v>
      </c>
      <c r="AB64" s="112">
        <f t="shared" si="162"/>
        <v>11.484991066523982</v>
      </c>
      <c r="AC64" s="112">
        <f t="shared" si="162"/>
        <v>13.437439547833057</v>
      </c>
      <c r="AD64" s="112">
        <f t="shared" si="162"/>
        <v>13.97493712974638</v>
      </c>
      <c r="AE64" s="112">
        <f t="shared" si="162"/>
        <v>12.919052991054432</v>
      </c>
      <c r="AF64" s="112">
        <f t="shared" si="162"/>
        <v>17.634507332789305</v>
      </c>
      <c r="AG64" s="112">
        <f t="shared" si="162"/>
        <v>14.671910100880702</v>
      </c>
      <c r="AH64" s="112">
        <f t="shared" si="162"/>
        <v>15.258786504915928</v>
      </c>
      <c r="AI64" s="112">
        <f t="shared" si="162"/>
        <v>19.836422456390707</v>
      </c>
      <c r="AJ64" s="112">
        <f t="shared" si="162"/>
        <v>16.503903483717068</v>
      </c>
      <c r="AK64" s="112">
        <f t="shared" si="162"/>
        <v>19.051200000000001</v>
      </c>
      <c r="AL64" s="112">
        <f t="shared" si="162"/>
        <v>19.051200000000001</v>
      </c>
      <c r="AM64" s="112">
        <f t="shared" si="162"/>
        <v>16.9344</v>
      </c>
      <c r="AN64" s="112">
        <f t="shared" si="162"/>
        <v>16.9344</v>
      </c>
    </row>
    <row r="66" spans="1:40" x14ac:dyDescent="0.25">
      <c r="A66" s="101" t="s">
        <v>10</v>
      </c>
    </row>
    <row r="67" spans="1:40" x14ac:dyDescent="0.25">
      <c r="A67" s="100" t="s">
        <v>12</v>
      </c>
      <c r="E67" s="93">
        <f t="shared" ref="E67:AN67" si="163">E$40*E$16*E7/den</f>
        <v>0</v>
      </c>
      <c r="F67" s="93">
        <f t="shared" si="163"/>
        <v>0</v>
      </c>
      <c r="G67" s="93">
        <f t="shared" si="163"/>
        <v>0</v>
      </c>
      <c r="H67" s="93">
        <f t="shared" si="163"/>
        <v>2.4</v>
      </c>
      <c r="I67" s="93">
        <f t="shared" si="163"/>
        <v>3.1200000000000006</v>
      </c>
      <c r="J67" s="93">
        <f t="shared" si="163"/>
        <v>2.5958400000000004</v>
      </c>
      <c r="K67" s="93">
        <f t="shared" si="163"/>
        <v>3.0371328000000015</v>
      </c>
      <c r="L67" s="93">
        <f t="shared" si="163"/>
        <v>3.158618112000001</v>
      </c>
      <c r="M67" s="93">
        <f t="shared" si="163"/>
        <v>2.9199669657600009</v>
      </c>
      <c r="N67" s="93">
        <f t="shared" si="163"/>
        <v>3.7959570554880013</v>
      </c>
      <c r="O67" s="93">
        <f t="shared" si="163"/>
        <v>3.1582362701660167</v>
      </c>
      <c r="P67" s="93">
        <f t="shared" si="163"/>
        <v>3.2845657209726573</v>
      </c>
      <c r="Q67" s="93">
        <f t="shared" si="163"/>
        <v>3.4159483498115639</v>
      </c>
      <c r="R67" s="93">
        <f t="shared" si="163"/>
        <v>4.4407328547550335</v>
      </c>
      <c r="S67" s="93">
        <f t="shared" si="163"/>
        <v>3.6946897351561883</v>
      </c>
      <c r="T67" s="93">
        <f t="shared" si="163"/>
        <v>4.5389263396393771</v>
      </c>
      <c r="U67" s="93">
        <f t="shared" si="163"/>
        <v>4.7204833932249519</v>
      </c>
      <c r="V67" s="93">
        <f t="shared" si="163"/>
        <v>4.363824647959067</v>
      </c>
      <c r="W67" s="93">
        <f t="shared" si="163"/>
        <v>5.672972042346788</v>
      </c>
      <c r="X67" s="93">
        <f t="shared" si="163"/>
        <v>4.7199127392325275</v>
      </c>
      <c r="Y67" s="93">
        <f t="shared" si="163"/>
        <v>4.908709248801828</v>
      </c>
      <c r="Z67" s="93">
        <f t="shared" si="163"/>
        <v>6.3813220234423769</v>
      </c>
      <c r="AA67" s="93">
        <f t="shared" si="163"/>
        <v>5.3092599235040581</v>
      </c>
      <c r="AB67" s="93">
        <f t="shared" si="163"/>
        <v>5.5216303204442196</v>
      </c>
      <c r="AC67" s="93">
        <f t="shared" si="163"/>
        <v>6.4603074749197384</v>
      </c>
      <c r="AD67" s="93">
        <f t="shared" si="163"/>
        <v>6.7187197739165274</v>
      </c>
      <c r="AE67" s="93">
        <f t="shared" si="163"/>
        <v>6.2110831687761694</v>
      </c>
      <c r="AF67" s="93">
        <f t="shared" si="163"/>
        <v>8.4781285253794731</v>
      </c>
      <c r="AG67" s="93">
        <f t="shared" si="163"/>
        <v>7.0538029331157208</v>
      </c>
      <c r="AH67" s="93">
        <f t="shared" si="163"/>
        <v>7.335955050440349</v>
      </c>
      <c r="AI67" s="93">
        <f t="shared" si="163"/>
        <v>9.5367415655724539</v>
      </c>
      <c r="AJ67" s="93">
        <f t="shared" si="163"/>
        <v>7.9345689825562822</v>
      </c>
      <c r="AK67" s="93">
        <f t="shared" si="163"/>
        <v>8.9302499999999991</v>
      </c>
      <c r="AL67" s="93">
        <f t="shared" si="163"/>
        <v>8.9302499999999991</v>
      </c>
      <c r="AM67" s="93">
        <f t="shared" si="163"/>
        <v>7.9379999999999997</v>
      </c>
      <c r="AN67" s="93">
        <f t="shared" si="163"/>
        <v>7.9379999999999997</v>
      </c>
    </row>
    <row r="68" spans="1:40" x14ac:dyDescent="0.25">
      <c r="A68" s="100" t="s">
        <v>13</v>
      </c>
      <c r="E68" s="93">
        <f t="shared" ref="E68:AN68" si="164">E$41*E$16*E$7/den</f>
        <v>0</v>
      </c>
      <c r="F68" s="93">
        <f t="shared" si="164"/>
        <v>0</v>
      </c>
      <c r="G68" s="93">
        <f t="shared" si="164"/>
        <v>0</v>
      </c>
      <c r="H68" s="93">
        <f t="shared" si="164"/>
        <v>0.72</v>
      </c>
      <c r="I68" s="93">
        <f t="shared" si="164"/>
        <v>0.93600000000000005</v>
      </c>
      <c r="J68" s="93">
        <f t="shared" si="164"/>
        <v>0.77875200000000011</v>
      </c>
      <c r="K68" s="93">
        <f t="shared" si="164"/>
        <v>0.91113984000000026</v>
      </c>
      <c r="L68" s="93">
        <f t="shared" si="164"/>
        <v>0.94758543360000025</v>
      </c>
      <c r="M68" s="93">
        <f t="shared" si="164"/>
        <v>0.8759900897280003</v>
      </c>
      <c r="N68" s="93">
        <f t="shared" si="164"/>
        <v>1.1387871166464003</v>
      </c>
      <c r="O68" s="93">
        <f t="shared" si="164"/>
        <v>0.94747088104980504</v>
      </c>
      <c r="P68" s="93">
        <f t="shared" si="164"/>
        <v>0.98536971629179726</v>
      </c>
      <c r="Q68" s="93">
        <f t="shared" si="164"/>
        <v>1.0247845049434692</v>
      </c>
      <c r="R68" s="93">
        <f t="shared" si="164"/>
        <v>1.3322198564265102</v>
      </c>
      <c r="S68" s="93">
        <f t="shared" si="164"/>
        <v>1.1084069205468565</v>
      </c>
      <c r="T68" s="93">
        <f t="shared" si="164"/>
        <v>1.361677901891813</v>
      </c>
      <c r="U68" s="93">
        <f t="shared" si="164"/>
        <v>1.4161450179674857</v>
      </c>
      <c r="V68" s="93">
        <f t="shared" si="164"/>
        <v>1.3091473943877201</v>
      </c>
      <c r="W68" s="93">
        <f t="shared" si="164"/>
        <v>1.7018916127040364</v>
      </c>
      <c r="X68" s="93">
        <f t="shared" si="164"/>
        <v>1.4159738217697582</v>
      </c>
      <c r="Y68" s="93">
        <f t="shared" si="164"/>
        <v>1.4726127746405484</v>
      </c>
      <c r="Z68" s="93">
        <f t="shared" si="164"/>
        <v>1.9143966070327134</v>
      </c>
      <c r="AA68" s="93">
        <f t="shared" si="164"/>
        <v>1.5927779770512174</v>
      </c>
      <c r="AB68" s="93">
        <f t="shared" si="164"/>
        <v>1.6564890961332659</v>
      </c>
      <c r="AC68" s="93">
        <f t="shared" si="164"/>
        <v>1.9380922424759215</v>
      </c>
      <c r="AD68" s="93">
        <f t="shared" si="164"/>
        <v>2.0156159321749585</v>
      </c>
      <c r="AE68" s="93">
        <f t="shared" si="164"/>
        <v>1.8633249506328509</v>
      </c>
      <c r="AF68" s="93">
        <f t="shared" si="164"/>
        <v>2.5434385576138414</v>
      </c>
      <c r="AG68" s="93">
        <f t="shared" si="164"/>
        <v>2.1161408799347163</v>
      </c>
      <c r="AH68" s="93">
        <f t="shared" si="164"/>
        <v>2.2007865151321049</v>
      </c>
      <c r="AI68" s="93">
        <f t="shared" si="164"/>
        <v>2.8610224696717363</v>
      </c>
      <c r="AJ68" s="93">
        <f t="shared" si="164"/>
        <v>2.380370694766885</v>
      </c>
      <c r="AK68" s="93">
        <f t="shared" si="164"/>
        <v>2.6790750000000001</v>
      </c>
      <c r="AL68" s="93">
        <f t="shared" si="164"/>
        <v>2.6790750000000001</v>
      </c>
      <c r="AM68" s="93">
        <f t="shared" si="164"/>
        <v>2.3814000000000002</v>
      </c>
      <c r="AN68" s="93">
        <f t="shared" si="164"/>
        <v>2.3814000000000002</v>
      </c>
    </row>
    <row r="69" spans="1:40" x14ac:dyDescent="0.25">
      <c r="A69" s="100" t="s">
        <v>14</v>
      </c>
      <c r="E69" s="93">
        <f t="shared" ref="E69:AN69" si="165">E$42*E$16*E$7/den</f>
        <v>0</v>
      </c>
      <c r="F69" s="93">
        <f t="shared" si="165"/>
        <v>0</v>
      </c>
      <c r="G69" s="93">
        <f t="shared" si="165"/>
        <v>0</v>
      </c>
      <c r="H69" s="93">
        <f t="shared" si="165"/>
        <v>2.64</v>
      </c>
      <c r="I69" s="93">
        <f t="shared" si="165"/>
        <v>3.4319999999999999</v>
      </c>
      <c r="J69" s="93">
        <f t="shared" si="165"/>
        <v>2.8554240000000006</v>
      </c>
      <c r="K69" s="93">
        <f t="shared" si="165"/>
        <v>3.3408460800000013</v>
      </c>
      <c r="L69" s="93">
        <f t="shared" si="165"/>
        <v>3.474479923200001</v>
      </c>
      <c r="M69" s="93">
        <f t="shared" si="165"/>
        <v>3.2119636623360006</v>
      </c>
      <c r="N69" s="93">
        <f t="shared" si="165"/>
        <v>4.1755527610368004</v>
      </c>
      <c r="O69" s="93">
        <f t="shared" si="165"/>
        <v>3.4740598971826189</v>
      </c>
      <c r="P69" s="93">
        <f t="shared" si="165"/>
        <v>3.6130222930699234</v>
      </c>
      <c r="Q69" s="93">
        <f t="shared" si="165"/>
        <v>3.7575431847927203</v>
      </c>
      <c r="R69" s="93">
        <f t="shared" si="165"/>
        <v>4.8848061402305376</v>
      </c>
      <c r="S69" s="93">
        <f t="shared" si="165"/>
        <v>4.0641587086718074</v>
      </c>
      <c r="T69" s="93">
        <f t="shared" si="165"/>
        <v>4.9928189736033151</v>
      </c>
      <c r="U69" s="93">
        <f t="shared" si="165"/>
        <v>5.1925317325474474</v>
      </c>
      <c r="V69" s="93">
        <f t="shared" si="165"/>
        <v>4.8002071127549737</v>
      </c>
      <c r="W69" s="93">
        <f t="shared" si="165"/>
        <v>6.240269246581466</v>
      </c>
      <c r="X69" s="93">
        <f t="shared" si="165"/>
        <v>5.1919040131557797</v>
      </c>
      <c r="Y69" s="93">
        <f t="shared" si="165"/>
        <v>5.3995801736820113</v>
      </c>
      <c r="Z69" s="93">
        <f t="shared" si="165"/>
        <v>7.0194542257866148</v>
      </c>
      <c r="AA69" s="93">
        <f t="shared" si="165"/>
        <v>5.8401859158544642</v>
      </c>
      <c r="AB69" s="93">
        <f t="shared" si="165"/>
        <v>6.0737933524886429</v>
      </c>
      <c r="AC69" s="93">
        <f t="shared" si="165"/>
        <v>7.1063382224117122</v>
      </c>
      <c r="AD69" s="93">
        <f t="shared" si="165"/>
        <v>7.3905917513081816</v>
      </c>
      <c r="AE69" s="93">
        <f t="shared" si="165"/>
        <v>6.8321914856537864</v>
      </c>
      <c r="AF69" s="93">
        <f t="shared" si="165"/>
        <v>9.3259413779174203</v>
      </c>
      <c r="AG69" s="93">
        <f t="shared" si="165"/>
        <v>7.7591832264272931</v>
      </c>
      <c r="AH69" s="93">
        <f t="shared" si="165"/>
        <v>8.0695505554843852</v>
      </c>
      <c r="AI69" s="93">
        <f t="shared" si="165"/>
        <v>10.490415722129699</v>
      </c>
      <c r="AJ69" s="93">
        <f t="shared" si="165"/>
        <v>8.7280258808119111</v>
      </c>
      <c r="AK69" s="93">
        <f t="shared" si="165"/>
        <v>9.8232750000000006</v>
      </c>
      <c r="AL69" s="93">
        <f t="shared" si="165"/>
        <v>9.8232750000000006</v>
      </c>
      <c r="AM69" s="93">
        <f t="shared" si="165"/>
        <v>8.7317999999999998</v>
      </c>
      <c r="AN69" s="93">
        <f t="shared" si="165"/>
        <v>8.7317999999999998</v>
      </c>
    </row>
    <row r="70" spans="1:40" s="106" customFormat="1" x14ac:dyDescent="0.25">
      <c r="A70" s="109" t="s">
        <v>40</v>
      </c>
      <c r="B70" s="105"/>
      <c r="C70" s="105"/>
      <c r="D70" s="105"/>
      <c r="E70" s="112">
        <f>SUM(E67:E69)</f>
        <v>0</v>
      </c>
      <c r="F70" s="112">
        <f t="shared" ref="F70:L70" si="166">SUM(F67:F69)</f>
        <v>0</v>
      </c>
      <c r="G70" s="112">
        <f t="shared" si="166"/>
        <v>0</v>
      </c>
      <c r="H70" s="112">
        <f t="shared" si="166"/>
        <v>5.76</v>
      </c>
      <c r="I70" s="112">
        <f t="shared" si="166"/>
        <v>7.4880000000000013</v>
      </c>
      <c r="J70" s="112">
        <f t="shared" si="166"/>
        <v>6.2300160000000009</v>
      </c>
      <c r="K70" s="112">
        <f t="shared" si="166"/>
        <v>7.2891187200000029</v>
      </c>
      <c r="L70" s="112">
        <f t="shared" si="166"/>
        <v>7.580683468800002</v>
      </c>
      <c r="M70" s="112">
        <f t="shared" ref="M70" si="167">SUM(M67:M69)</f>
        <v>7.0079207178240015</v>
      </c>
      <c r="N70" s="112">
        <f t="shared" ref="N70" si="168">SUM(N67:N69)</f>
        <v>9.1102969331712025</v>
      </c>
      <c r="O70" s="112">
        <f t="shared" ref="O70" si="169">SUM(O67:O69)</f>
        <v>7.5797670483984412</v>
      </c>
      <c r="P70" s="112">
        <f t="shared" ref="P70" si="170">SUM(P67:P69)</f>
        <v>7.8829577303343772</v>
      </c>
      <c r="Q70" s="112">
        <f t="shared" ref="Q70" si="171">SUM(Q67:Q69)</f>
        <v>8.1982760395477534</v>
      </c>
      <c r="R70" s="112">
        <f t="shared" ref="R70:S70" si="172">SUM(R67:R69)</f>
        <v>10.657758851412082</v>
      </c>
      <c r="S70" s="112">
        <f t="shared" si="172"/>
        <v>8.8672553643748522</v>
      </c>
      <c r="T70" s="112">
        <f t="shared" ref="T70" si="173">SUM(T67:T69)</f>
        <v>10.893423215134504</v>
      </c>
      <c r="U70" s="112">
        <f t="shared" ref="U70" si="174">SUM(U67:U69)</f>
        <v>11.329160143739884</v>
      </c>
      <c r="V70" s="112">
        <f t="shared" ref="V70" si="175">SUM(V67:V69)</f>
        <v>10.473179155101761</v>
      </c>
      <c r="W70" s="112">
        <f t="shared" ref="W70" si="176">SUM(W67:W69)</f>
        <v>13.61513290163229</v>
      </c>
      <c r="X70" s="112">
        <f t="shared" ref="X70" si="177">SUM(X67:X69)</f>
        <v>11.327790574158065</v>
      </c>
      <c r="Y70" s="112">
        <f t="shared" ref="Y70:Z70" si="178">SUM(Y67:Y69)</f>
        <v>11.780902197124387</v>
      </c>
      <c r="Z70" s="112">
        <f t="shared" si="178"/>
        <v>15.315172856261704</v>
      </c>
      <c r="AA70" s="112">
        <f t="shared" ref="AA70" si="179">SUM(AA67:AA69)</f>
        <v>12.742223816409741</v>
      </c>
      <c r="AB70" s="112">
        <f t="shared" ref="AB70" si="180">SUM(AB67:AB69)</f>
        <v>13.251912769066129</v>
      </c>
      <c r="AC70" s="112">
        <f t="shared" ref="AC70" si="181">SUM(AC67:AC69)</f>
        <v>15.504737939807374</v>
      </c>
      <c r="AD70" s="112">
        <f t="shared" ref="AD70" si="182">SUM(AD67:AD69)</f>
        <v>16.124927457399668</v>
      </c>
      <c r="AE70" s="112">
        <f t="shared" ref="AE70" si="183">SUM(AE67:AE69)</f>
        <v>14.906599605062805</v>
      </c>
      <c r="AF70" s="112">
        <f t="shared" ref="AF70:AG70" si="184">SUM(AF67:AF69)</f>
        <v>20.347508460910735</v>
      </c>
      <c r="AG70" s="112">
        <f t="shared" si="184"/>
        <v>16.929127039477731</v>
      </c>
      <c r="AH70" s="112">
        <f t="shared" ref="AH70" si="185">SUM(AH67:AH69)</f>
        <v>17.606292121056839</v>
      </c>
      <c r="AI70" s="112">
        <f t="shared" ref="AI70" si="186">SUM(AI67:AI69)</f>
        <v>22.888179757373891</v>
      </c>
      <c r="AJ70" s="112">
        <f t="shared" ref="AJ70" si="187">SUM(AJ67:AJ69)</f>
        <v>19.04296555813508</v>
      </c>
      <c r="AK70" s="112">
        <f t="shared" ref="AK70" si="188">SUM(AK67:AK69)</f>
        <v>21.432600000000001</v>
      </c>
      <c r="AL70" s="112">
        <f t="shared" ref="AL70" si="189">SUM(AL67:AL69)</f>
        <v>21.432600000000001</v>
      </c>
      <c r="AM70" s="112">
        <f t="shared" ref="AM70:AN70" si="190">SUM(AM67:AM69)</f>
        <v>19.051200000000001</v>
      </c>
      <c r="AN70" s="112">
        <f t="shared" si="190"/>
        <v>19.051200000000001</v>
      </c>
    </row>
    <row r="72" spans="1:40" x14ac:dyDescent="0.25">
      <c r="A72" s="107" t="s">
        <v>112</v>
      </c>
    </row>
    <row r="73" spans="1:40" x14ac:dyDescent="0.25">
      <c r="A73" s="103" t="s">
        <v>12</v>
      </c>
      <c r="E73" s="93">
        <f>SUM(E48,E54,E61,E67)</f>
        <v>0</v>
      </c>
      <c r="F73" s="93">
        <f t="shared" ref="F73:AN73" si="191">SUM(F48,F54,F61,F67)</f>
        <v>0</v>
      </c>
      <c r="G73" s="93">
        <f t="shared" si="191"/>
        <v>0</v>
      </c>
      <c r="H73" s="93">
        <f t="shared" si="191"/>
        <v>11.886000000000001</v>
      </c>
      <c r="I73" s="93">
        <f t="shared" si="191"/>
        <v>12.72124</v>
      </c>
      <c r="J73" s="93">
        <f t="shared" si="191"/>
        <v>12.215761600000002</v>
      </c>
      <c r="K73" s="93">
        <f t="shared" si="191"/>
        <v>13.186912032000002</v>
      </c>
      <c r="L73" s="93">
        <f t="shared" si="191"/>
        <v>13.215493408320002</v>
      </c>
      <c r="M73" s="93">
        <f t="shared" si="191"/>
        <v>13.627427431251201</v>
      </c>
      <c r="N73" s="93">
        <f t="shared" si="191"/>
        <v>14.70089678264077</v>
      </c>
      <c r="O73" s="93">
        <f t="shared" si="191"/>
        <v>13.292910070637927</v>
      </c>
      <c r="P73" s="93">
        <f t="shared" si="191"/>
        <v>14.808498721518408</v>
      </c>
      <c r="Q73" s="93">
        <f t="shared" si="191"/>
        <v>14.842472675768704</v>
      </c>
      <c r="R73" s="93">
        <f t="shared" si="191"/>
        <v>16.532208263547275</v>
      </c>
      <c r="S73" s="93">
        <f t="shared" si="191"/>
        <v>15.70481777295927</v>
      </c>
      <c r="T73" s="93">
        <f t="shared" si="191"/>
        <v>17.906098616975296</v>
      </c>
      <c r="U73" s="93">
        <f t="shared" si="191"/>
        <v>18.433673839328005</v>
      </c>
      <c r="V73" s="93">
        <f t="shared" si="191"/>
        <v>17.960352944937849</v>
      </c>
      <c r="W73" s="93">
        <f t="shared" si="191"/>
        <v>20.145347601315823</v>
      </c>
      <c r="X73" s="93">
        <f t="shared" si="191"/>
        <v>19.021558411505708</v>
      </c>
      <c r="Y73" s="93">
        <f t="shared" si="191"/>
        <v>20.051621279162795</v>
      </c>
      <c r="Z73" s="93">
        <f t="shared" si="191"/>
        <v>22.052492292842068</v>
      </c>
      <c r="AA73" s="93">
        <f t="shared" si="191"/>
        <v>19.761575672507217</v>
      </c>
      <c r="AB73" s="93">
        <f t="shared" si="191"/>
        <v>21.862216000175689</v>
      </c>
      <c r="AC73" s="93">
        <f t="shared" si="191"/>
        <v>22.82062322815981</v>
      </c>
      <c r="AD73" s="93">
        <f t="shared" si="191"/>
        <v>24.040916231809334</v>
      </c>
      <c r="AE73" s="93">
        <f t="shared" si="191"/>
        <v>23.323314021957302</v>
      </c>
      <c r="AF73" s="93">
        <f t="shared" si="191"/>
        <v>27.816908494790688</v>
      </c>
      <c r="AG73" s="93">
        <f t="shared" si="191"/>
        <v>26.562835422976562</v>
      </c>
      <c r="AH73" s="93">
        <f t="shared" si="191"/>
        <v>26.763362309919501</v>
      </c>
      <c r="AI73" s="93">
        <f t="shared" si="191"/>
        <v>30.52693549550807</v>
      </c>
      <c r="AJ73" s="93">
        <f t="shared" si="191"/>
        <v>28.408785996986115</v>
      </c>
      <c r="AK73" s="93">
        <f t="shared" si="191"/>
        <v>30.737792374138671</v>
      </c>
      <c r="AL73" s="93">
        <f t="shared" si="191"/>
        <v>31.015183221621449</v>
      </c>
      <c r="AM73" s="93">
        <f t="shared" si="191"/>
        <v>28.112065350958069</v>
      </c>
      <c r="AN73" s="93">
        <f t="shared" si="191"/>
        <v>30.381490656673815</v>
      </c>
    </row>
    <row r="74" spans="1:40" x14ac:dyDescent="0.25">
      <c r="A74" s="103" t="s">
        <v>13</v>
      </c>
      <c r="E74" s="93">
        <f t="shared" ref="E74:AN74" si="192">SUM(E49,E55,E62,E68)</f>
        <v>0</v>
      </c>
      <c r="F74" s="93">
        <f t="shared" si="192"/>
        <v>0</v>
      </c>
      <c r="G74" s="93">
        <f t="shared" si="192"/>
        <v>0</v>
      </c>
      <c r="H74" s="93">
        <f t="shared" si="192"/>
        <v>4.5179999999999998</v>
      </c>
      <c r="I74" s="93">
        <f t="shared" si="192"/>
        <v>4.7031600000000005</v>
      </c>
      <c r="J74" s="93">
        <f t="shared" si="192"/>
        <v>4.6123247999999997</v>
      </c>
      <c r="K74" s="93">
        <f t="shared" si="192"/>
        <v>4.9226218560000001</v>
      </c>
      <c r="L74" s="93">
        <f t="shared" si="192"/>
        <v>4.9057145424000002</v>
      </c>
      <c r="M74" s="93">
        <f t="shared" si="192"/>
        <v>5.1395339701824003</v>
      </c>
      <c r="N74" s="93">
        <f t="shared" si="192"/>
        <v>5.3893546421003524</v>
      </c>
      <c r="O74" s="93">
        <f t="shared" si="192"/>
        <v>4.9389847540049825</v>
      </c>
      <c r="P74" s="93">
        <f t="shared" si="192"/>
        <v>5.5582036790458789</v>
      </c>
      <c r="Q74" s="93">
        <f t="shared" si="192"/>
        <v>5.5412321142318124</v>
      </c>
      <c r="R74" s="93">
        <f t="shared" si="192"/>
        <v>6.019456227807626</v>
      </c>
      <c r="S74" s="93">
        <f t="shared" si="192"/>
        <v>5.8439106519736299</v>
      </c>
      <c r="T74" s="93">
        <f t="shared" si="192"/>
        <v>6.5846999429045328</v>
      </c>
      <c r="U74" s="93">
        <f t="shared" si="192"/>
        <v>6.7672299167665848</v>
      </c>
      <c r="V74" s="93">
        <f t="shared" si="192"/>
        <v>6.6499762037489019</v>
      </c>
      <c r="W74" s="93">
        <f t="shared" si="192"/>
        <v>7.2722071104006965</v>
      </c>
      <c r="X74" s="93">
        <f t="shared" si="192"/>
        <v>7.0193174046580689</v>
      </c>
      <c r="Y74" s="93">
        <f t="shared" si="192"/>
        <v>7.4154617570716184</v>
      </c>
      <c r="Z74" s="93">
        <f t="shared" si="192"/>
        <v>7.9195508398775729</v>
      </c>
      <c r="AA74" s="93">
        <f t="shared" si="192"/>
        <v>7.1950243351478331</v>
      </c>
      <c r="AB74" s="93">
        <f t="shared" si="192"/>
        <v>8.0443298660258264</v>
      </c>
      <c r="AC74" s="93">
        <f t="shared" si="192"/>
        <v>8.2297933038020386</v>
      </c>
      <c r="AD74" s="93">
        <f t="shared" si="192"/>
        <v>8.6907570678926067</v>
      </c>
      <c r="AE74" s="93">
        <f t="shared" si="192"/>
        <v>8.5050460489039921</v>
      </c>
      <c r="AF74" s="93">
        <f t="shared" si="192"/>
        <v>9.8867813659620758</v>
      </c>
      <c r="AG74" s="93">
        <f t="shared" si="192"/>
        <v>9.6911596201850401</v>
      </c>
      <c r="AH74" s="93">
        <f t="shared" si="192"/>
        <v>9.7093832064312444</v>
      </c>
      <c r="AI74" s="93">
        <f t="shared" si="192"/>
        <v>10.794154379480355</v>
      </c>
      <c r="AJ74" s="93">
        <f t="shared" si="192"/>
        <v>10.270897442894828</v>
      </c>
      <c r="AK74" s="93">
        <f t="shared" si="192"/>
        <v>11.004564588916576</v>
      </c>
      <c r="AL74" s="93">
        <f t="shared" si="192"/>
        <v>11.123446380694908</v>
      </c>
      <c r="AM74" s="93">
        <f t="shared" si="192"/>
        <v>10.120228007553457</v>
      </c>
      <c r="AN74" s="93">
        <f t="shared" si="192"/>
        <v>11.092838852860208</v>
      </c>
    </row>
    <row r="75" spans="1:40" x14ac:dyDescent="0.25">
      <c r="A75" s="103" t="s">
        <v>14</v>
      </c>
      <c r="E75" s="93">
        <f t="shared" ref="E75:AN75" si="193">SUM(E50,E56,E63,E69)</f>
        <v>0</v>
      </c>
      <c r="F75" s="93">
        <f t="shared" si="193"/>
        <v>0</v>
      </c>
      <c r="G75" s="93">
        <f t="shared" si="193"/>
        <v>0</v>
      </c>
      <c r="H75" s="93">
        <f t="shared" si="193"/>
        <v>16.565999999999999</v>
      </c>
      <c r="I75" s="93">
        <f t="shared" si="193"/>
        <v>17.244919999999997</v>
      </c>
      <c r="J75" s="93">
        <f t="shared" si="193"/>
        <v>16.911857600000001</v>
      </c>
      <c r="K75" s="93">
        <f t="shared" si="193"/>
        <v>18.049613472000001</v>
      </c>
      <c r="L75" s="93">
        <f t="shared" si="193"/>
        <v>17.987619988800002</v>
      </c>
      <c r="M75" s="93">
        <f t="shared" si="193"/>
        <v>18.844957890668802</v>
      </c>
      <c r="N75" s="93">
        <f t="shared" si="193"/>
        <v>19.760967021034627</v>
      </c>
      <c r="O75" s="93">
        <f t="shared" si="193"/>
        <v>18.109610764684938</v>
      </c>
      <c r="P75" s="93">
        <f t="shared" si="193"/>
        <v>20.38008015650156</v>
      </c>
      <c r="Q75" s="93">
        <f t="shared" si="193"/>
        <v>20.317851085516644</v>
      </c>
      <c r="R75" s="93">
        <f t="shared" si="193"/>
        <v>22.071339501961294</v>
      </c>
      <c r="S75" s="93">
        <f t="shared" si="193"/>
        <v>21.427672390569978</v>
      </c>
      <c r="T75" s="93">
        <f t="shared" si="193"/>
        <v>24.143899790649961</v>
      </c>
      <c r="U75" s="93">
        <f t="shared" si="193"/>
        <v>24.813176361477478</v>
      </c>
      <c r="V75" s="93">
        <f t="shared" si="193"/>
        <v>24.38324608041264</v>
      </c>
      <c r="W75" s="93">
        <f t="shared" si="193"/>
        <v>26.664759404802549</v>
      </c>
      <c r="X75" s="93">
        <f t="shared" si="193"/>
        <v>25.737497150412921</v>
      </c>
      <c r="Y75" s="93">
        <f t="shared" si="193"/>
        <v>27.190026442595929</v>
      </c>
      <c r="Z75" s="93">
        <f t="shared" si="193"/>
        <v>29.038353079551101</v>
      </c>
      <c r="AA75" s="93">
        <f t="shared" si="193"/>
        <v>26.381755895542057</v>
      </c>
      <c r="AB75" s="93">
        <f t="shared" si="193"/>
        <v>29.49587617542803</v>
      </c>
      <c r="AC75" s="93">
        <f t="shared" si="193"/>
        <v>30.175908780607479</v>
      </c>
      <c r="AD75" s="93">
        <f t="shared" si="193"/>
        <v>31.866109248939559</v>
      </c>
      <c r="AE75" s="93">
        <f t="shared" si="193"/>
        <v>31.185168845981309</v>
      </c>
      <c r="AF75" s="93">
        <f t="shared" si="193"/>
        <v>36.251531675194286</v>
      </c>
      <c r="AG75" s="93">
        <f t="shared" si="193"/>
        <v>35.534251940678487</v>
      </c>
      <c r="AH75" s="93">
        <f t="shared" si="193"/>
        <v>35.601071756914564</v>
      </c>
      <c r="AI75" s="93">
        <f t="shared" si="193"/>
        <v>39.578566058094637</v>
      </c>
      <c r="AJ75" s="93">
        <f t="shared" si="193"/>
        <v>37.659957290614365</v>
      </c>
      <c r="AK75" s="93">
        <f t="shared" si="193"/>
        <v>40.350070159360776</v>
      </c>
      <c r="AL75" s="93">
        <f t="shared" si="193"/>
        <v>40.785970062547996</v>
      </c>
      <c r="AM75" s="93">
        <f t="shared" si="193"/>
        <v>37.107502694362687</v>
      </c>
      <c r="AN75" s="93">
        <f t="shared" si="193"/>
        <v>40.673742460487425</v>
      </c>
    </row>
    <row r="76" spans="1:40" x14ac:dyDescent="0.25">
      <c r="A76" s="107" t="s">
        <v>113</v>
      </c>
      <c r="B76" s="86"/>
      <c r="C76" s="86"/>
      <c r="D76" s="86"/>
      <c r="E76" s="110">
        <f>SUM(E78)</f>
        <v>0</v>
      </c>
      <c r="F76" s="110">
        <f t="shared" ref="F76:K76" si="194">SUM(F73:F75)</f>
        <v>0</v>
      </c>
      <c r="G76" s="110">
        <f t="shared" si="194"/>
        <v>0</v>
      </c>
      <c r="H76" s="110">
        <f t="shared" si="194"/>
        <v>32.97</v>
      </c>
      <c r="I76" s="110">
        <f t="shared" si="194"/>
        <v>34.669319999999999</v>
      </c>
      <c r="J76" s="110">
        <f t="shared" si="194"/>
        <v>33.739944000000008</v>
      </c>
      <c r="K76" s="110">
        <f t="shared" si="194"/>
        <v>36.159147360000006</v>
      </c>
      <c r="L76" s="110">
        <f t="shared" ref="L76" si="195">SUM(L73:L75)</f>
        <v>36.108827939520005</v>
      </c>
      <c r="M76" s="110">
        <f t="shared" ref="M76" si="196">SUM(M73:M75)</f>
        <v>37.611919292102399</v>
      </c>
      <c r="N76" s="110">
        <f t="shared" ref="N76" si="197">SUM(N73:N75)</f>
        <v>39.85121844577575</v>
      </c>
      <c r="O76" s="110">
        <f t="shared" ref="O76" si="198">SUM(O73:O75)</f>
        <v>36.341505589327845</v>
      </c>
      <c r="P76" s="110">
        <f t="shared" ref="P76:Q76" si="199">SUM(P73:P75)</f>
        <v>40.746782557065842</v>
      </c>
      <c r="Q76" s="110">
        <f t="shared" si="199"/>
        <v>40.701555875517158</v>
      </c>
      <c r="R76" s="110">
        <f t="shared" ref="R76" si="200">SUM(R73:R75)</f>
        <v>44.623003993316196</v>
      </c>
      <c r="S76" s="110">
        <f t="shared" ref="S76" si="201">SUM(S73:S75)</f>
        <v>42.976400815502878</v>
      </c>
      <c r="T76" s="110">
        <f t="shared" ref="T76" si="202">SUM(T73:T75)</f>
        <v>48.634698350529789</v>
      </c>
      <c r="U76" s="110">
        <f t="shared" ref="U76" si="203">SUM(U73:U75)</f>
        <v>50.014080117572064</v>
      </c>
      <c r="V76" s="110">
        <f t="shared" ref="V76:W76" si="204">SUM(V73:V75)</f>
        <v>48.993575229099392</v>
      </c>
      <c r="W76" s="110">
        <f t="shared" si="204"/>
        <v>54.082314116519072</v>
      </c>
      <c r="X76" s="110">
        <f t="shared" ref="X76" si="205">SUM(X73:X75)</f>
        <v>51.778372966576697</v>
      </c>
      <c r="Y76" s="110">
        <f t="shared" ref="Y76" si="206">SUM(Y73:Y75)</f>
        <v>54.657109478830343</v>
      </c>
      <c r="Z76" s="110">
        <f t="shared" ref="Z76" si="207">SUM(Z73:Z75)</f>
        <v>59.010396212270742</v>
      </c>
      <c r="AA76" s="110">
        <f t="shared" ref="AA76" si="208">SUM(AA73:AA75)</f>
        <v>53.338355903197105</v>
      </c>
      <c r="AB76" s="110">
        <f t="shared" ref="AB76:AC76" si="209">SUM(AB73:AB75)</f>
        <v>59.402422041629549</v>
      </c>
      <c r="AC76" s="110">
        <f t="shared" si="209"/>
        <v>61.22632531256933</v>
      </c>
      <c r="AD76" s="110">
        <f t="shared" ref="AD76" si="210">SUM(AD73:AD75)</f>
        <v>64.597782548641504</v>
      </c>
      <c r="AE76" s="110">
        <f t="shared" ref="AE76" si="211">SUM(AE73:AE75)</f>
        <v>63.013528916842603</v>
      </c>
      <c r="AF76" s="110">
        <f t="shared" ref="AF76" si="212">SUM(AF73:AF75)</f>
        <v>73.955221535947047</v>
      </c>
      <c r="AG76" s="110">
        <f t="shared" ref="AG76" si="213">SUM(AG73:AG75)</f>
        <v>71.788246983840082</v>
      </c>
      <c r="AH76" s="110">
        <f t="shared" ref="AH76:AI76" si="214">SUM(AH73:AH75)</f>
        <v>72.073817273265306</v>
      </c>
      <c r="AI76" s="110">
        <f t="shared" si="214"/>
        <v>80.899655933083068</v>
      </c>
      <c r="AJ76" s="110">
        <f t="shared" ref="AJ76" si="215">SUM(AJ73:AJ75)</f>
        <v>76.339640730495319</v>
      </c>
      <c r="AK76" s="110">
        <f t="shared" ref="AK76" si="216">SUM(AK73:AK75)</f>
        <v>82.092427122416012</v>
      </c>
      <c r="AL76" s="110">
        <f t="shared" ref="AL76" si="217">SUM(AL73:AL75)</f>
        <v>82.92459966486436</v>
      </c>
      <c r="AM76" s="110">
        <f t="shared" ref="AM76" si="218">SUM(AM73:AM75)</f>
        <v>75.33979605287422</v>
      </c>
      <c r="AN76" s="110">
        <f t="shared" ref="AN76" si="219">SUM(AN73:AN75)</f>
        <v>82.148071970021448</v>
      </c>
    </row>
    <row r="78" spans="1:40" s="115" customFormat="1" x14ac:dyDescent="0.25">
      <c r="A78" s="116" t="s">
        <v>95</v>
      </c>
      <c r="B78" s="114"/>
      <c r="C78" s="114"/>
      <c r="D78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B420-C847-416D-A16C-E269E68D2BCA}">
  <dimension ref="A1:AN35"/>
  <sheetViews>
    <sheetView workbookViewId="0">
      <selection activeCell="E6" sqref="E6"/>
    </sheetView>
  </sheetViews>
  <sheetFormatPr defaultRowHeight="15" x14ac:dyDescent="0.25"/>
  <cols>
    <col min="1" max="1" width="43" bestFit="1" customWidth="1"/>
    <col min="2" max="2" width="5.5703125" bestFit="1" customWidth="1"/>
    <col min="3" max="3" width="3.5703125" customWidth="1"/>
    <col min="4" max="4" width="3.140625" customWidth="1"/>
    <col min="5" max="5" width="12.140625" bestFit="1" customWidth="1"/>
    <col min="6" max="6" width="11.7109375" bestFit="1" customWidth="1"/>
    <col min="7" max="7" width="12" bestFit="1" customWidth="1"/>
    <col min="8" max="8" width="11.28515625" bestFit="1" customWidth="1"/>
    <col min="9" max="9" width="14.140625" bestFit="1" customWidth="1"/>
    <col min="10" max="10" width="18" bestFit="1" customWidth="1"/>
    <col min="11" max="11" width="15.140625" bestFit="1" customWidth="1"/>
    <col min="12" max="12" width="17.5703125" bestFit="1" customWidth="1"/>
    <col min="13" max="13" width="17.28515625" bestFit="1" customWidth="1"/>
    <col min="14" max="14" width="14.7109375" bestFit="1" customWidth="1"/>
    <col min="15" max="15" width="15.85546875" bestFit="1" customWidth="1"/>
    <col min="16" max="16" width="13.5703125" bestFit="1" customWidth="1"/>
    <col min="17" max="17" width="12.140625" bestFit="1" customWidth="1"/>
    <col min="18" max="18" width="11.7109375" bestFit="1" customWidth="1"/>
    <col min="19" max="19" width="12" bestFit="1" customWidth="1"/>
    <col min="20" max="20" width="11.28515625" bestFit="1" customWidth="1"/>
    <col min="21" max="21" width="14.140625" bestFit="1" customWidth="1"/>
    <col min="22" max="22" width="18" bestFit="1" customWidth="1"/>
    <col min="23" max="23" width="15.140625" bestFit="1" customWidth="1"/>
    <col min="24" max="24" width="17.5703125" bestFit="1" customWidth="1"/>
    <col min="25" max="25" width="17.28515625" bestFit="1" customWidth="1"/>
    <col min="26" max="26" width="14.7109375" bestFit="1" customWidth="1"/>
    <col min="27" max="27" width="15.85546875" bestFit="1" customWidth="1"/>
    <col min="28" max="28" width="13.5703125" bestFit="1" customWidth="1"/>
    <col min="29" max="29" width="12.140625" bestFit="1" customWidth="1"/>
    <col min="30" max="30" width="11.7109375" bestFit="1" customWidth="1"/>
    <col min="31" max="31" width="12" bestFit="1" customWidth="1"/>
    <col min="32" max="32" width="11.28515625" bestFit="1" customWidth="1"/>
    <col min="33" max="33" width="14.140625" bestFit="1" customWidth="1"/>
    <col min="34" max="34" width="18" bestFit="1" customWidth="1"/>
    <col min="35" max="35" width="15.140625" bestFit="1" customWidth="1"/>
    <col min="36" max="36" width="17.5703125" bestFit="1" customWidth="1"/>
    <col min="37" max="37" width="17.28515625" bestFit="1" customWidth="1"/>
    <col min="38" max="38" width="14.7109375" bestFit="1" customWidth="1"/>
    <col min="39" max="39" width="15.85546875" bestFit="1" customWidth="1"/>
    <col min="40" max="40" width="13.5703125" bestFit="1" customWidth="1"/>
  </cols>
  <sheetData>
    <row r="1" spans="1:40" x14ac:dyDescent="0.25">
      <c r="A1" t="s">
        <v>105</v>
      </c>
      <c r="B1" s="90" t="str">
        <f>Converter!C1</f>
        <v>lakhs</v>
      </c>
    </row>
    <row r="3" spans="1:40" x14ac:dyDescent="0.25">
      <c r="E3" s="92">
        <v>1</v>
      </c>
      <c r="F3" s="92">
        <f>1+E3</f>
        <v>2</v>
      </c>
      <c r="G3" s="92">
        <f t="shared" ref="G3:AN3" si="0">1+F3</f>
        <v>3</v>
      </c>
      <c r="H3" s="92">
        <f t="shared" si="0"/>
        <v>4</v>
      </c>
      <c r="I3" s="92">
        <f t="shared" si="0"/>
        <v>5</v>
      </c>
      <c r="J3" s="92">
        <f t="shared" si="0"/>
        <v>6</v>
      </c>
      <c r="K3" s="92">
        <f t="shared" si="0"/>
        <v>7</v>
      </c>
      <c r="L3" s="92">
        <f t="shared" si="0"/>
        <v>8</v>
      </c>
      <c r="M3" s="92">
        <f t="shared" si="0"/>
        <v>9</v>
      </c>
      <c r="N3" s="92">
        <f t="shared" si="0"/>
        <v>10</v>
      </c>
      <c r="O3" s="92">
        <f t="shared" si="0"/>
        <v>11</v>
      </c>
      <c r="P3" s="92">
        <f t="shared" si="0"/>
        <v>12</v>
      </c>
      <c r="Q3" s="92">
        <f t="shared" si="0"/>
        <v>13</v>
      </c>
      <c r="R3" s="92">
        <f t="shared" si="0"/>
        <v>14</v>
      </c>
      <c r="S3" s="92">
        <f t="shared" si="0"/>
        <v>15</v>
      </c>
      <c r="T3" s="92">
        <f t="shared" si="0"/>
        <v>16</v>
      </c>
      <c r="U3" s="92">
        <f t="shared" si="0"/>
        <v>17</v>
      </c>
      <c r="V3" s="92">
        <f t="shared" si="0"/>
        <v>18</v>
      </c>
      <c r="W3" s="92">
        <f t="shared" si="0"/>
        <v>19</v>
      </c>
      <c r="X3" s="92">
        <f t="shared" si="0"/>
        <v>20</v>
      </c>
      <c r="Y3" s="92">
        <f t="shared" si="0"/>
        <v>21</v>
      </c>
      <c r="Z3" s="92">
        <f t="shared" si="0"/>
        <v>22</v>
      </c>
      <c r="AA3" s="92">
        <f t="shared" si="0"/>
        <v>23</v>
      </c>
      <c r="AB3" s="92">
        <f t="shared" si="0"/>
        <v>24</v>
      </c>
      <c r="AC3" s="92">
        <f t="shared" si="0"/>
        <v>25</v>
      </c>
      <c r="AD3" s="92">
        <f t="shared" si="0"/>
        <v>26</v>
      </c>
      <c r="AE3" s="92">
        <f t="shared" si="0"/>
        <v>27</v>
      </c>
      <c r="AF3" s="92">
        <f t="shared" si="0"/>
        <v>28</v>
      </c>
      <c r="AG3" s="92">
        <f t="shared" si="0"/>
        <v>29</v>
      </c>
      <c r="AH3" s="92">
        <f t="shared" si="0"/>
        <v>30</v>
      </c>
      <c r="AI3" s="92">
        <f t="shared" si="0"/>
        <v>31</v>
      </c>
      <c r="AJ3" s="92">
        <f t="shared" si="0"/>
        <v>32</v>
      </c>
      <c r="AK3" s="92">
        <f t="shared" si="0"/>
        <v>33</v>
      </c>
      <c r="AL3" s="92">
        <f t="shared" si="0"/>
        <v>34</v>
      </c>
      <c r="AM3" s="92">
        <f t="shared" si="0"/>
        <v>35</v>
      </c>
      <c r="AN3" s="92">
        <f t="shared" si="0"/>
        <v>36</v>
      </c>
    </row>
    <row r="4" spans="1:40" x14ac:dyDescent="0.25">
      <c r="E4" s="91">
        <f>EOMONTH(assumptions!G3,0)</f>
        <v>43951</v>
      </c>
      <c r="F4" s="91">
        <f>EOMONTH(E4,1)</f>
        <v>43982</v>
      </c>
      <c r="G4" s="91">
        <f t="shared" ref="G4:AN4" si="1">EOMONTH(F4,1)</f>
        <v>44012</v>
      </c>
      <c r="H4" s="91">
        <f t="shared" si="1"/>
        <v>44043</v>
      </c>
      <c r="I4" s="91">
        <f t="shared" si="1"/>
        <v>44074</v>
      </c>
      <c r="J4" s="91">
        <f t="shared" si="1"/>
        <v>44104</v>
      </c>
      <c r="K4" s="91">
        <f t="shared" si="1"/>
        <v>44135</v>
      </c>
      <c r="L4" s="91">
        <f t="shared" si="1"/>
        <v>44165</v>
      </c>
      <c r="M4" s="91">
        <f t="shared" si="1"/>
        <v>44196</v>
      </c>
      <c r="N4" s="91">
        <f t="shared" si="1"/>
        <v>44227</v>
      </c>
      <c r="O4" s="91">
        <f t="shared" si="1"/>
        <v>44255</v>
      </c>
      <c r="P4" s="91">
        <f t="shared" si="1"/>
        <v>44286</v>
      </c>
      <c r="Q4" s="91">
        <f t="shared" si="1"/>
        <v>44316</v>
      </c>
      <c r="R4" s="91">
        <f t="shared" si="1"/>
        <v>44347</v>
      </c>
      <c r="S4" s="91">
        <f t="shared" si="1"/>
        <v>44377</v>
      </c>
      <c r="T4" s="91">
        <f t="shared" si="1"/>
        <v>44408</v>
      </c>
      <c r="U4" s="91">
        <f t="shared" si="1"/>
        <v>44439</v>
      </c>
      <c r="V4" s="91">
        <f t="shared" si="1"/>
        <v>44469</v>
      </c>
      <c r="W4" s="91">
        <f t="shared" si="1"/>
        <v>44500</v>
      </c>
      <c r="X4" s="91">
        <f t="shared" si="1"/>
        <v>44530</v>
      </c>
      <c r="Y4" s="91">
        <f t="shared" si="1"/>
        <v>44561</v>
      </c>
      <c r="Z4" s="91">
        <f t="shared" si="1"/>
        <v>44592</v>
      </c>
      <c r="AA4" s="91">
        <f t="shared" si="1"/>
        <v>44620</v>
      </c>
      <c r="AB4" s="91">
        <f t="shared" si="1"/>
        <v>44651</v>
      </c>
      <c r="AC4" s="91">
        <f t="shared" si="1"/>
        <v>44681</v>
      </c>
      <c r="AD4" s="91">
        <f t="shared" si="1"/>
        <v>44712</v>
      </c>
      <c r="AE4" s="91">
        <f t="shared" si="1"/>
        <v>44742</v>
      </c>
      <c r="AF4" s="91">
        <f t="shared" si="1"/>
        <v>44773</v>
      </c>
      <c r="AG4" s="91">
        <f t="shared" si="1"/>
        <v>44804</v>
      </c>
      <c r="AH4" s="91">
        <f t="shared" si="1"/>
        <v>44834</v>
      </c>
      <c r="AI4" s="91">
        <f t="shared" si="1"/>
        <v>44865</v>
      </c>
      <c r="AJ4" s="91">
        <f t="shared" si="1"/>
        <v>44895</v>
      </c>
      <c r="AK4" s="91">
        <f t="shared" si="1"/>
        <v>44926</v>
      </c>
      <c r="AL4" s="91">
        <f t="shared" si="1"/>
        <v>44957</v>
      </c>
      <c r="AM4" s="91">
        <f t="shared" si="1"/>
        <v>44985</v>
      </c>
      <c r="AN4" s="91">
        <f t="shared" si="1"/>
        <v>45016</v>
      </c>
    </row>
    <row r="5" spans="1:40" x14ac:dyDescent="0.25">
      <c r="A5" s="96" t="s">
        <v>5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</row>
    <row r="6" spans="1:40" x14ac:dyDescent="0.25">
      <c r="A6" t="str">
        <f>'Monthly revenue'!A73</f>
        <v>Alcoholic Beverages</v>
      </c>
      <c r="E6" s="93">
        <f>'Monthly revenue'!E73</f>
        <v>0</v>
      </c>
      <c r="F6" s="93">
        <f>'Monthly revenue'!F73</f>
        <v>0</v>
      </c>
      <c r="G6" s="93">
        <f>'Monthly revenue'!G73</f>
        <v>0</v>
      </c>
      <c r="H6" s="93">
        <f>'Monthly revenue'!H73</f>
        <v>11.886000000000001</v>
      </c>
      <c r="I6" s="93">
        <f>'Monthly revenue'!I73</f>
        <v>12.72124</v>
      </c>
      <c r="J6" s="93">
        <f>'Monthly revenue'!J73</f>
        <v>12.215761600000002</v>
      </c>
      <c r="K6" s="93">
        <f>'Monthly revenue'!K73</f>
        <v>13.186912032000002</v>
      </c>
      <c r="L6" s="93">
        <f>'Monthly revenue'!L73</f>
        <v>13.215493408320002</v>
      </c>
      <c r="M6" s="93">
        <f>'Monthly revenue'!M73</f>
        <v>13.627427431251201</v>
      </c>
      <c r="N6" s="93">
        <f>'Monthly revenue'!N73</f>
        <v>14.70089678264077</v>
      </c>
      <c r="O6" s="93">
        <f>'Monthly revenue'!O73</f>
        <v>13.292910070637927</v>
      </c>
      <c r="P6" s="93">
        <f>'Monthly revenue'!P73</f>
        <v>14.808498721518408</v>
      </c>
      <c r="Q6" s="93">
        <f>'Monthly revenue'!Q73</f>
        <v>14.842472675768704</v>
      </c>
      <c r="R6" s="93">
        <f>'Monthly revenue'!R73</f>
        <v>16.532208263547275</v>
      </c>
      <c r="S6" s="93">
        <f>'Monthly revenue'!S73</f>
        <v>15.70481777295927</v>
      </c>
      <c r="T6" s="93">
        <f>'Monthly revenue'!T73</f>
        <v>17.906098616975296</v>
      </c>
      <c r="U6" s="93">
        <f>'Monthly revenue'!U73</f>
        <v>18.433673839328005</v>
      </c>
      <c r="V6" s="93">
        <f>'Monthly revenue'!V73</f>
        <v>17.960352944937849</v>
      </c>
      <c r="W6" s="93">
        <f>'Monthly revenue'!W73</f>
        <v>20.145347601315823</v>
      </c>
      <c r="X6" s="93">
        <f>'Monthly revenue'!X73</f>
        <v>19.021558411505708</v>
      </c>
      <c r="Y6" s="93">
        <f>'Monthly revenue'!Y73</f>
        <v>20.051621279162795</v>
      </c>
      <c r="Z6" s="93">
        <f>'Monthly revenue'!Z73</f>
        <v>22.052492292842068</v>
      </c>
      <c r="AA6" s="93">
        <f>'Monthly revenue'!AA73</f>
        <v>19.761575672507217</v>
      </c>
      <c r="AB6" s="93">
        <f>'Monthly revenue'!AB73</f>
        <v>21.862216000175689</v>
      </c>
      <c r="AC6" s="93">
        <f>'Monthly revenue'!AC73</f>
        <v>22.82062322815981</v>
      </c>
      <c r="AD6" s="93">
        <f>'Monthly revenue'!AD73</f>
        <v>24.040916231809334</v>
      </c>
      <c r="AE6" s="93">
        <f>'Monthly revenue'!AE73</f>
        <v>23.323314021957302</v>
      </c>
      <c r="AF6" s="93">
        <f>'Monthly revenue'!AF73</f>
        <v>27.816908494790688</v>
      </c>
      <c r="AG6" s="93">
        <f>'Monthly revenue'!AG73</f>
        <v>26.562835422976562</v>
      </c>
      <c r="AH6" s="93">
        <f>'Monthly revenue'!AH73</f>
        <v>26.763362309919501</v>
      </c>
      <c r="AI6" s="93">
        <f>'Monthly revenue'!AI73</f>
        <v>30.52693549550807</v>
      </c>
      <c r="AJ6" s="93">
        <f>'Monthly revenue'!AJ73</f>
        <v>28.408785996986115</v>
      </c>
      <c r="AK6" s="93">
        <f>'Monthly revenue'!AK73</f>
        <v>30.737792374138671</v>
      </c>
      <c r="AL6" s="93">
        <f>'Monthly revenue'!AL73</f>
        <v>31.015183221621449</v>
      </c>
      <c r="AM6" s="93">
        <f>'Monthly revenue'!AM73</f>
        <v>28.112065350958069</v>
      </c>
      <c r="AN6" s="93">
        <f>'Monthly revenue'!AN73</f>
        <v>30.381490656673815</v>
      </c>
    </row>
    <row r="7" spans="1:40" x14ac:dyDescent="0.25">
      <c r="A7" t="str">
        <f>'Monthly revenue'!A74</f>
        <v>Non Alcoholic Beverages</v>
      </c>
      <c r="E7" s="93">
        <f>'Monthly revenue'!E74</f>
        <v>0</v>
      </c>
      <c r="F7" s="93">
        <f>'Monthly revenue'!F74</f>
        <v>0</v>
      </c>
      <c r="G7" s="93">
        <f>'Monthly revenue'!G74</f>
        <v>0</v>
      </c>
      <c r="H7" s="93">
        <f>'Monthly revenue'!H74</f>
        <v>4.5179999999999998</v>
      </c>
      <c r="I7" s="93">
        <f>'Monthly revenue'!I74</f>
        <v>4.7031600000000005</v>
      </c>
      <c r="J7" s="93">
        <f>'Monthly revenue'!J74</f>
        <v>4.6123247999999997</v>
      </c>
      <c r="K7" s="93">
        <f>'Monthly revenue'!K74</f>
        <v>4.9226218560000001</v>
      </c>
      <c r="L7" s="93">
        <f>'Monthly revenue'!L74</f>
        <v>4.9057145424000002</v>
      </c>
      <c r="M7" s="93">
        <f>'Monthly revenue'!M74</f>
        <v>5.1395339701824003</v>
      </c>
      <c r="N7" s="93">
        <f>'Monthly revenue'!N74</f>
        <v>5.3893546421003524</v>
      </c>
      <c r="O7" s="93">
        <f>'Monthly revenue'!O74</f>
        <v>4.9389847540049825</v>
      </c>
      <c r="P7" s="93">
        <f>'Monthly revenue'!P74</f>
        <v>5.5582036790458789</v>
      </c>
      <c r="Q7" s="93">
        <f>'Monthly revenue'!Q74</f>
        <v>5.5412321142318124</v>
      </c>
      <c r="R7" s="93">
        <f>'Monthly revenue'!R74</f>
        <v>6.019456227807626</v>
      </c>
      <c r="S7" s="93">
        <f>'Monthly revenue'!S74</f>
        <v>5.8439106519736299</v>
      </c>
      <c r="T7" s="93">
        <f>'Monthly revenue'!T74</f>
        <v>6.5846999429045328</v>
      </c>
      <c r="U7" s="93">
        <f>'Monthly revenue'!U74</f>
        <v>6.7672299167665848</v>
      </c>
      <c r="V7" s="93">
        <f>'Monthly revenue'!V74</f>
        <v>6.6499762037489019</v>
      </c>
      <c r="W7" s="93">
        <f>'Monthly revenue'!W74</f>
        <v>7.2722071104006965</v>
      </c>
      <c r="X7" s="93">
        <f>'Monthly revenue'!X74</f>
        <v>7.0193174046580689</v>
      </c>
      <c r="Y7" s="93">
        <f>'Monthly revenue'!Y74</f>
        <v>7.4154617570716184</v>
      </c>
      <c r="Z7" s="93">
        <f>'Monthly revenue'!Z74</f>
        <v>7.9195508398775729</v>
      </c>
      <c r="AA7" s="93">
        <f>'Monthly revenue'!AA74</f>
        <v>7.1950243351478331</v>
      </c>
      <c r="AB7" s="93">
        <f>'Monthly revenue'!AB74</f>
        <v>8.0443298660258264</v>
      </c>
      <c r="AC7" s="93">
        <f>'Monthly revenue'!AC74</f>
        <v>8.2297933038020386</v>
      </c>
      <c r="AD7" s="93">
        <f>'Monthly revenue'!AD74</f>
        <v>8.6907570678926067</v>
      </c>
      <c r="AE7" s="93">
        <f>'Monthly revenue'!AE74</f>
        <v>8.5050460489039921</v>
      </c>
      <c r="AF7" s="93">
        <f>'Monthly revenue'!AF74</f>
        <v>9.8867813659620758</v>
      </c>
      <c r="AG7" s="93">
        <f>'Monthly revenue'!AG74</f>
        <v>9.6911596201850401</v>
      </c>
      <c r="AH7" s="93">
        <f>'Monthly revenue'!AH74</f>
        <v>9.7093832064312444</v>
      </c>
      <c r="AI7" s="93">
        <f>'Monthly revenue'!AI74</f>
        <v>10.794154379480355</v>
      </c>
      <c r="AJ7" s="93">
        <f>'Monthly revenue'!AJ74</f>
        <v>10.270897442894828</v>
      </c>
      <c r="AK7" s="93">
        <f>'Monthly revenue'!AK74</f>
        <v>11.004564588916576</v>
      </c>
      <c r="AL7" s="93">
        <f>'Monthly revenue'!AL74</f>
        <v>11.123446380694908</v>
      </c>
      <c r="AM7" s="93">
        <f>'Monthly revenue'!AM74</f>
        <v>10.120228007553457</v>
      </c>
      <c r="AN7" s="93">
        <f>'Monthly revenue'!AN74</f>
        <v>11.092838852860208</v>
      </c>
    </row>
    <row r="8" spans="1:40" x14ac:dyDescent="0.25">
      <c r="A8" t="str">
        <f>'Monthly revenue'!A75</f>
        <v>Food</v>
      </c>
      <c r="E8" s="93">
        <f>'Monthly revenue'!E75</f>
        <v>0</v>
      </c>
      <c r="F8" s="93">
        <f>'Monthly revenue'!F75</f>
        <v>0</v>
      </c>
      <c r="G8" s="93">
        <f>'Monthly revenue'!G75</f>
        <v>0</v>
      </c>
      <c r="H8" s="93">
        <f>'Monthly revenue'!H75</f>
        <v>16.565999999999999</v>
      </c>
      <c r="I8" s="93">
        <f>'Monthly revenue'!I75</f>
        <v>17.244919999999997</v>
      </c>
      <c r="J8" s="93">
        <f>'Monthly revenue'!J75</f>
        <v>16.911857600000001</v>
      </c>
      <c r="K8" s="93">
        <f>'Monthly revenue'!K75</f>
        <v>18.049613472000001</v>
      </c>
      <c r="L8" s="93">
        <f>'Monthly revenue'!L75</f>
        <v>17.987619988800002</v>
      </c>
      <c r="M8" s="93">
        <f>'Monthly revenue'!M75</f>
        <v>18.844957890668802</v>
      </c>
      <c r="N8" s="93">
        <f>'Monthly revenue'!N75</f>
        <v>19.760967021034627</v>
      </c>
      <c r="O8" s="93">
        <f>'Monthly revenue'!O75</f>
        <v>18.109610764684938</v>
      </c>
      <c r="P8" s="93">
        <f>'Monthly revenue'!P75</f>
        <v>20.38008015650156</v>
      </c>
      <c r="Q8" s="93">
        <f>'Monthly revenue'!Q75</f>
        <v>20.317851085516644</v>
      </c>
      <c r="R8" s="93">
        <f>'Monthly revenue'!R75</f>
        <v>22.071339501961294</v>
      </c>
      <c r="S8" s="93">
        <f>'Monthly revenue'!S75</f>
        <v>21.427672390569978</v>
      </c>
      <c r="T8" s="93">
        <f>'Monthly revenue'!T75</f>
        <v>24.143899790649961</v>
      </c>
      <c r="U8" s="93">
        <f>'Monthly revenue'!U75</f>
        <v>24.813176361477478</v>
      </c>
      <c r="V8" s="93">
        <f>'Monthly revenue'!V75</f>
        <v>24.38324608041264</v>
      </c>
      <c r="W8" s="93">
        <f>'Monthly revenue'!W75</f>
        <v>26.664759404802549</v>
      </c>
      <c r="X8" s="93">
        <f>'Monthly revenue'!X75</f>
        <v>25.737497150412921</v>
      </c>
      <c r="Y8" s="93">
        <f>'Monthly revenue'!Y75</f>
        <v>27.190026442595929</v>
      </c>
      <c r="Z8" s="93">
        <f>'Monthly revenue'!Z75</f>
        <v>29.038353079551101</v>
      </c>
      <c r="AA8" s="93">
        <f>'Monthly revenue'!AA75</f>
        <v>26.381755895542057</v>
      </c>
      <c r="AB8" s="93">
        <f>'Monthly revenue'!AB75</f>
        <v>29.49587617542803</v>
      </c>
      <c r="AC8" s="93">
        <f>'Monthly revenue'!AC75</f>
        <v>30.175908780607479</v>
      </c>
      <c r="AD8" s="93">
        <f>'Monthly revenue'!AD75</f>
        <v>31.866109248939559</v>
      </c>
      <c r="AE8" s="93">
        <f>'Monthly revenue'!AE75</f>
        <v>31.185168845981309</v>
      </c>
      <c r="AF8" s="93">
        <f>'Monthly revenue'!AF75</f>
        <v>36.251531675194286</v>
      </c>
      <c r="AG8" s="93">
        <f>'Monthly revenue'!AG75</f>
        <v>35.534251940678487</v>
      </c>
      <c r="AH8" s="93">
        <f>'Monthly revenue'!AH75</f>
        <v>35.601071756914564</v>
      </c>
      <c r="AI8" s="93">
        <f>'Monthly revenue'!AI75</f>
        <v>39.578566058094637</v>
      </c>
      <c r="AJ8" s="93">
        <f>'Monthly revenue'!AJ75</f>
        <v>37.659957290614365</v>
      </c>
      <c r="AK8" s="93">
        <f>'Monthly revenue'!AK75</f>
        <v>40.350070159360776</v>
      </c>
      <c r="AL8" s="93">
        <f>'Monthly revenue'!AL75</f>
        <v>40.785970062547996</v>
      </c>
      <c r="AM8" s="93">
        <f>'Monthly revenue'!AM75</f>
        <v>37.107502694362687</v>
      </c>
      <c r="AN8" s="93">
        <f>'Monthly revenue'!AN75</f>
        <v>40.673742460487425</v>
      </c>
    </row>
    <row r="9" spans="1:40" x14ac:dyDescent="0.25">
      <c r="A9" s="109" t="str">
        <f>'Monthly revenue'!A76</f>
        <v xml:space="preserve">Total </v>
      </c>
      <c r="B9" s="109"/>
      <c r="C9" s="109"/>
      <c r="E9" s="112">
        <f>'Monthly revenue'!E76</f>
        <v>0</v>
      </c>
      <c r="F9" s="112">
        <f>'Monthly revenue'!F76</f>
        <v>0</v>
      </c>
      <c r="G9" s="112">
        <f>'Monthly revenue'!G76</f>
        <v>0</v>
      </c>
      <c r="H9" s="112">
        <f>'Monthly revenue'!H76</f>
        <v>32.97</v>
      </c>
      <c r="I9" s="112">
        <f>'Monthly revenue'!I76</f>
        <v>34.669319999999999</v>
      </c>
      <c r="J9" s="112">
        <f>'Monthly revenue'!J76</f>
        <v>33.739944000000008</v>
      </c>
      <c r="K9" s="112">
        <f>'Monthly revenue'!K76</f>
        <v>36.159147360000006</v>
      </c>
      <c r="L9" s="112">
        <f>'Monthly revenue'!L76</f>
        <v>36.108827939520005</v>
      </c>
      <c r="M9" s="112">
        <f>'Monthly revenue'!M76</f>
        <v>37.611919292102399</v>
      </c>
      <c r="N9" s="112">
        <f>'Monthly revenue'!N76</f>
        <v>39.85121844577575</v>
      </c>
      <c r="O9" s="112">
        <f>'Monthly revenue'!O76</f>
        <v>36.341505589327845</v>
      </c>
      <c r="P9" s="112">
        <f>'Monthly revenue'!P76</f>
        <v>40.746782557065842</v>
      </c>
      <c r="Q9" s="112">
        <f>'Monthly revenue'!Q76</f>
        <v>40.701555875517158</v>
      </c>
      <c r="R9" s="112">
        <f>'Monthly revenue'!R76</f>
        <v>44.623003993316196</v>
      </c>
      <c r="S9" s="112">
        <f>'Monthly revenue'!S76</f>
        <v>42.976400815502878</v>
      </c>
      <c r="T9" s="112">
        <f>'Monthly revenue'!T76</f>
        <v>48.634698350529789</v>
      </c>
      <c r="U9" s="112">
        <f>'Monthly revenue'!U76</f>
        <v>50.014080117572064</v>
      </c>
      <c r="V9" s="112">
        <f>'Monthly revenue'!V76</f>
        <v>48.993575229099392</v>
      </c>
      <c r="W9" s="112">
        <f>'Monthly revenue'!W76</f>
        <v>54.082314116519072</v>
      </c>
      <c r="X9" s="112">
        <f>'Monthly revenue'!X76</f>
        <v>51.778372966576697</v>
      </c>
      <c r="Y9" s="112">
        <f>'Monthly revenue'!Y76</f>
        <v>54.657109478830343</v>
      </c>
      <c r="Z9" s="112">
        <f>'Monthly revenue'!Z76</f>
        <v>59.010396212270742</v>
      </c>
      <c r="AA9" s="112">
        <f>'Monthly revenue'!AA76</f>
        <v>53.338355903197105</v>
      </c>
      <c r="AB9" s="112">
        <f>'Monthly revenue'!AB76</f>
        <v>59.402422041629549</v>
      </c>
      <c r="AC9" s="112">
        <f>'Monthly revenue'!AC76</f>
        <v>61.22632531256933</v>
      </c>
      <c r="AD9" s="112">
        <f>'Monthly revenue'!AD76</f>
        <v>64.597782548641504</v>
      </c>
      <c r="AE9" s="112">
        <f>'Monthly revenue'!AE76</f>
        <v>63.013528916842603</v>
      </c>
      <c r="AF9" s="112">
        <f>'Monthly revenue'!AF76</f>
        <v>73.955221535947047</v>
      </c>
      <c r="AG9" s="112">
        <f>'Monthly revenue'!AG76</f>
        <v>71.788246983840082</v>
      </c>
      <c r="AH9" s="112">
        <f>'Monthly revenue'!AH76</f>
        <v>72.073817273265306</v>
      </c>
      <c r="AI9" s="112">
        <f>'Monthly revenue'!AI76</f>
        <v>80.899655933083068</v>
      </c>
      <c r="AJ9" s="112">
        <f>'Monthly revenue'!AJ76</f>
        <v>76.339640730495319</v>
      </c>
      <c r="AK9" s="112">
        <f>'Monthly revenue'!AK76</f>
        <v>82.092427122416012</v>
      </c>
      <c r="AL9" s="112">
        <f>'Monthly revenue'!AL76</f>
        <v>82.92459966486436</v>
      </c>
      <c r="AM9" s="112">
        <f>'Monthly revenue'!AM76</f>
        <v>75.33979605287422</v>
      </c>
      <c r="AN9" s="112">
        <f>'Monthly revenue'!AN76</f>
        <v>82.148071970021448</v>
      </c>
    </row>
    <row r="10" spans="1:40" x14ac:dyDescent="0.25"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</row>
    <row r="11" spans="1:40" x14ac:dyDescent="0.25">
      <c r="A11" s="86" t="s">
        <v>114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</row>
    <row r="12" spans="1:40" x14ac:dyDescent="0.25">
      <c r="A12" t="str">
        <f>assumptions!A25</f>
        <v>Alcoholic Beverage cost (% of revenue)</v>
      </c>
      <c r="E12" s="93">
        <f>assumptions!$G$25*'monthly pL'!E$6</f>
        <v>0</v>
      </c>
      <c r="F12" s="93">
        <f>assumptions!$G$25*'monthly pL'!F$6</f>
        <v>0</v>
      </c>
      <c r="G12" s="93">
        <f>assumptions!$G$25*'monthly pL'!G$6</f>
        <v>0</v>
      </c>
      <c r="H12" s="93">
        <f>assumptions!$G$25*'monthly pL'!H$6</f>
        <v>4.1600999999999999</v>
      </c>
      <c r="I12" s="93">
        <f>assumptions!$G$25*'monthly pL'!I$6</f>
        <v>4.4524339999999993</v>
      </c>
      <c r="J12" s="93">
        <f>assumptions!$G$25*'monthly pL'!J$6</f>
        <v>4.2755165600000007</v>
      </c>
      <c r="K12" s="93">
        <f>assumptions!$G$25*'monthly pL'!K$6</f>
        <v>4.6154192112000008</v>
      </c>
      <c r="L12" s="93">
        <f>assumptions!$G$25*'monthly pL'!L$6</f>
        <v>4.6254226929120001</v>
      </c>
      <c r="M12" s="93">
        <f>assumptions!$G$25*'monthly pL'!M$6</f>
        <v>4.7695996009379202</v>
      </c>
      <c r="N12" s="93">
        <f>assumptions!$G$25*'monthly pL'!N$6</f>
        <v>5.1453138739242696</v>
      </c>
      <c r="O12" s="93">
        <f>assumptions!$G$25*'monthly pL'!O$6</f>
        <v>4.6525185247232743</v>
      </c>
      <c r="P12" s="93">
        <f>assumptions!$G$25*'monthly pL'!P$6</f>
        <v>5.1829745525314426</v>
      </c>
      <c r="Q12" s="93">
        <f>assumptions!$G$25*'monthly pL'!Q$6</f>
        <v>5.1948654365190459</v>
      </c>
      <c r="R12" s="93">
        <f>assumptions!$G$25*'monthly pL'!R$6</f>
        <v>5.7862728922415458</v>
      </c>
      <c r="S12" s="93">
        <f>assumptions!$G$25*'monthly pL'!S$6</f>
        <v>5.4966862205357438</v>
      </c>
      <c r="T12" s="93">
        <f>assumptions!$G$25*'monthly pL'!T$6</f>
        <v>6.2671345159413532</v>
      </c>
      <c r="U12" s="93">
        <f>assumptions!$G$25*'monthly pL'!U$6</f>
        <v>6.4517858437648012</v>
      </c>
      <c r="V12" s="93">
        <f>assumptions!$G$25*'monthly pL'!V$6</f>
        <v>6.286123530728247</v>
      </c>
      <c r="W12" s="93">
        <f>assumptions!$G$25*'monthly pL'!W$6</f>
        <v>7.0508716604605377</v>
      </c>
      <c r="X12" s="93">
        <f>assumptions!$G$25*'monthly pL'!X$6</f>
        <v>6.6575454440269972</v>
      </c>
      <c r="Y12" s="93">
        <f>assumptions!$G$25*'monthly pL'!Y$6</f>
        <v>7.0180674477069775</v>
      </c>
      <c r="Z12" s="93">
        <f>assumptions!$G$25*'monthly pL'!Z$6</f>
        <v>7.7183723024947231</v>
      </c>
      <c r="AA12" s="93">
        <f>assumptions!$G$25*'monthly pL'!AA$6</f>
        <v>6.9165514853775258</v>
      </c>
      <c r="AB12" s="93">
        <f>assumptions!$G$25*'monthly pL'!AB$6</f>
        <v>7.6517756000614909</v>
      </c>
      <c r="AC12" s="93">
        <f>assumptions!$G$25*'monthly pL'!AC$6</f>
        <v>7.9872181298559335</v>
      </c>
      <c r="AD12" s="93">
        <f>assumptions!$G$25*'monthly pL'!AD$6</f>
        <v>8.4143206811332654</v>
      </c>
      <c r="AE12" s="93">
        <f>assumptions!$G$25*'monthly pL'!AE$6</f>
        <v>8.1631599076850545</v>
      </c>
      <c r="AF12" s="93">
        <f>assumptions!$G$25*'monthly pL'!AF$6</f>
        <v>9.7359179731767398</v>
      </c>
      <c r="AG12" s="93">
        <f>assumptions!$G$25*'monthly pL'!AG$6</f>
        <v>9.2969923980417963</v>
      </c>
      <c r="AH12" s="93">
        <f>assumptions!$G$25*'monthly pL'!AH$6</f>
        <v>9.3671768084718252</v>
      </c>
      <c r="AI12" s="93">
        <f>assumptions!$G$25*'monthly pL'!AI$6</f>
        <v>10.684427423427824</v>
      </c>
      <c r="AJ12" s="93">
        <f>assumptions!$G$25*'monthly pL'!AJ$6</f>
        <v>9.9430750989451404</v>
      </c>
      <c r="AK12" s="93">
        <f>assumptions!$G$25*'monthly pL'!AK$6</f>
        <v>10.758227330948534</v>
      </c>
      <c r="AL12" s="93">
        <f>assumptions!$G$25*'monthly pL'!AL$6</f>
        <v>10.855314127567507</v>
      </c>
      <c r="AM12" s="93">
        <f>assumptions!$G$25*'monthly pL'!AM$6</f>
        <v>9.8392228728353235</v>
      </c>
      <c r="AN12" s="93">
        <f>assumptions!$G$25*'monthly pL'!AN$6</f>
        <v>10.633521729835834</v>
      </c>
    </row>
    <row r="13" spans="1:40" x14ac:dyDescent="0.25">
      <c r="A13" t="str">
        <f>assumptions!A26</f>
        <v>Non Alcoholic Beverages (% of revenue)</v>
      </c>
      <c r="E13" s="93">
        <f>assumptions!$G$26*'monthly pL'!E$7</f>
        <v>0</v>
      </c>
      <c r="F13" s="93">
        <f>assumptions!$G$26*'monthly pL'!F$7</f>
        <v>0</v>
      </c>
      <c r="G13" s="93">
        <f>assumptions!$G$26*'monthly pL'!G$7</f>
        <v>0</v>
      </c>
      <c r="H13" s="93">
        <f>assumptions!$G$26*'monthly pL'!H$7</f>
        <v>1.8071999999999999</v>
      </c>
      <c r="I13" s="93">
        <f>assumptions!$G$26*'monthly pL'!I$7</f>
        <v>1.8812640000000003</v>
      </c>
      <c r="J13" s="93">
        <f>assumptions!$G$26*'monthly pL'!J$7</f>
        <v>1.84492992</v>
      </c>
      <c r="K13" s="93">
        <f>assumptions!$G$26*'monthly pL'!K$7</f>
        <v>1.9690487424000001</v>
      </c>
      <c r="L13" s="93">
        <f>assumptions!$G$26*'monthly pL'!L$7</f>
        <v>1.9622858169600002</v>
      </c>
      <c r="M13" s="93">
        <f>assumptions!$G$26*'monthly pL'!M$7</f>
        <v>2.0558135880729602</v>
      </c>
      <c r="N13" s="93">
        <f>assumptions!$G$26*'monthly pL'!N$7</f>
        <v>2.155741856840141</v>
      </c>
      <c r="O13" s="93">
        <f>assumptions!$G$26*'monthly pL'!O$7</f>
        <v>1.975593901601993</v>
      </c>
      <c r="P13" s="93">
        <f>assumptions!$G$26*'monthly pL'!P$7</f>
        <v>2.2232814716183515</v>
      </c>
      <c r="Q13" s="93">
        <f>assumptions!$G$26*'monthly pL'!Q$7</f>
        <v>2.2164928456927249</v>
      </c>
      <c r="R13" s="93">
        <f>assumptions!$G$26*'monthly pL'!R$7</f>
        <v>2.4077824911230508</v>
      </c>
      <c r="S13" s="93">
        <f>assumptions!$G$26*'monthly pL'!S$7</f>
        <v>2.3375642607894522</v>
      </c>
      <c r="T13" s="93">
        <f>assumptions!$G$26*'monthly pL'!T$7</f>
        <v>2.6338799771618131</v>
      </c>
      <c r="U13" s="93">
        <f>assumptions!$G$26*'monthly pL'!U$7</f>
        <v>2.706891966706634</v>
      </c>
      <c r="V13" s="93">
        <f>assumptions!$G$26*'monthly pL'!V$7</f>
        <v>2.6599904814995607</v>
      </c>
      <c r="W13" s="93">
        <f>assumptions!$G$26*'monthly pL'!W$7</f>
        <v>2.9088828441602788</v>
      </c>
      <c r="X13" s="93">
        <f>assumptions!$G$26*'monthly pL'!X$7</f>
        <v>2.8077269618632279</v>
      </c>
      <c r="Y13" s="93">
        <f>assumptions!$G$26*'monthly pL'!Y$7</f>
        <v>2.9661847028286474</v>
      </c>
      <c r="Z13" s="93">
        <f>assumptions!$G$26*'monthly pL'!Z$7</f>
        <v>3.1678203359510295</v>
      </c>
      <c r="AA13" s="93">
        <f>assumptions!$G$26*'monthly pL'!AA$7</f>
        <v>2.8780097340591335</v>
      </c>
      <c r="AB13" s="93">
        <f>assumptions!$G$26*'monthly pL'!AB$7</f>
        <v>3.2177319464103307</v>
      </c>
      <c r="AC13" s="93">
        <f>assumptions!$G$26*'monthly pL'!AC$7</f>
        <v>3.2919173215208155</v>
      </c>
      <c r="AD13" s="93">
        <f>assumptions!$G$26*'monthly pL'!AD$7</f>
        <v>3.4763028271570429</v>
      </c>
      <c r="AE13" s="93">
        <f>assumptions!$G$26*'monthly pL'!AE$7</f>
        <v>3.402018419561597</v>
      </c>
      <c r="AF13" s="93">
        <f>assumptions!$G$26*'monthly pL'!AF$7</f>
        <v>3.9547125463848305</v>
      </c>
      <c r="AG13" s="93">
        <f>assumptions!$G$26*'monthly pL'!AG$7</f>
        <v>3.8764638480740161</v>
      </c>
      <c r="AH13" s="93">
        <f>assumptions!$G$26*'monthly pL'!AH$7</f>
        <v>3.8837532825724979</v>
      </c>
      <c r="AI13" s="93">
        <f>assumptions!$G$26*'monthly pL'!AI$7</f>
        <v>4.3176617517921425</v>
      </c>
      <c r="AJ13" s="93">
        <f>assumptions!$G$26*'monthly pL'!AJ$7</f>
        <v>4.1083589771579314</v>
      </c>
      <c r="AK13" s="93">
        <f>assumptions!$G$26*'monthly pL'!AK$7</f>
        <v>4.4018258355666307</v>
      </c>
      <c r="AL13" s="93">
        <f>assumptions!$G$26*'monthly pL'!AL$7</f>
        <v>4.4493785522779632</v>
      </c>
      <c r="AM13" s="93">
        <f>assumptions!$G$26*'monthly pL'!AM$7</f>
        <v>4.0480912030213831</v>
      </c>
      <c r="AN13" s="93">
        <f>assumptions!$G$26*'monthly pL'!AN$7</f>
        <v>4.4371355411440829</v>
      </c>
    </row>
    <row r="14" spans="1:40" x14ac:dyDescent="0.25">
      <c r="A14" t="str">
        <f>assumptions!A27</f>
        <v>Food (% of revenue)</v>
      </c>
      <c r="E14" s="93">
        <f>assumptions!$G$27*'monthly pL'!E$8</f>
        <v>0</v>
      </c>
      <c r="F14" s="93">
        <f>assumptions!$G$27*'monthly pL'!F$8</f>
        <v>0</v>
      </c>
      <c r="G14" s="93">
        <f>assumptions!$G$27*'monthly pL'!G$8</f>
        <v>0</v>
      </c>
      <c r="H14" s="93">
        <f>assumptions!$G$27*'monthly pL'!H$8</f>
        <v>4.9697999999999993</v>
      </c>
      <c r="I14" s="93">
        <f>assumptions!$G$27*'monthly pL'!I$8</f>
        <v>5.1734759999999991</v>
      </c>
      <c r="J14" s="93">
        <f>assumptions!$G$27*'monthly pL'!J$8</f>
        <v>5.0735572800000002</v>
      </c>
      <c r="K14" s="93">
        <f>assumptions!$G$27*'monthly pL'!K$8</f>
        <v>5.4148840415999997</v>
      </c>
      <c r="L14" s="93">
        <f>assumptions!$G$27*'monthly pL'!L$8</f>
        <v>5.3962859966400005</v>
      </c>
      <c r="M14" s="93">
        <f>assumptions!$G$27*'monthly pL'!M$8</f>
        <v>5.6534873672006407</v>
      </c>
      <c r="N14" s="93">
        <f>assumptions!$G$27*'monthly pL'!N$8</f>
        <v>5.9282901063103877</v>
      </c>
      <c r="O14" s="93">
        <f>assumptions!$G$27*'monthly pL'!O$8</f>
        <v>5.4328832294054807</v>
      </c>
      <c r="P14" s="93">
        <f>assumptions!$G$27*'monthly pL'!P$8</f>
        <v>6.1140240469504681</v>
      </c>
      <c r="Q14" s="93">
        <f>assumptions!$G$27*'monthly pL'!Q$8</f>
        <v>6.0953553256549933</v>
      </c>
      <c r="R14" s="93">
        <f>assumptions!$G$27*'monthly pL'!R$8</f>
        <v>6.6214018505883878</v>
      </c>
      <c r="S14" s="93">
        <f>assumptions!$G$27*'monthly pL'!S$8</f>
        <v>6.4283017171709931</v>
      </c>
      <c r="T14" s="93">
        <f>assumptions!$G$27*'monthly pL'!T$8</f>
        <v>7.2431699371949883</v>
      </c>
      <c r="U14" s="93">
        <f>assumptions!$G$27*'monthly pL'!U$8</f>
        <v>7.4439529084432428</v>
      </c>
      <c r="V14" s="93">
        <f>assumptions!$G$27*'monthly pL'!V$8</f>
        <v>7.3149738241237916</v>
      </c>
      <c r="W14" s="93">
        <f>assumptions!$G$27*'monthly pL'!W$8</f>
        <v>7.9994278214407641</v>
      </c>
      <c r="X14" s="93">
        <f>assumptions!$G$27*'monthly pL'!X$8</f>
        <v>7.7212491451238758</v>
      </c>
      <c r="Y14" s="93">
        <f>assumptions!$G$27*'monthly pL'!Y$8</f>
        <v>8.1570079327787788</v>
      </c>
      <c r="Z14" s="93">
        <f>assumptions!$G$27*'monthly pL'!Z$8</f>
        <v>8.7115059238653298</v>
      </c>
      <c r="AA14" s="93">
        <f>assumptions!$G$27*'monthly pL'!AA$8</f>
        <v>7.9145267686626166</v>
      </c>
      <c r="AB14" s="93">
        <f>assumptions!$G$27*'monthly pL'!AB$8</f>
        <v>8.8487628526284094</v>
      </c>
      <c r="AC14" s="93">
        <f>assumptions!$G$27*'monthly pL'!AC$8</f>
        <v>9.0527726341822436</v>
      </c>
      <c r="AD14" s="93">
        <f>assumptions!$G$27*'monthly pL'!AD$8</f>
        <v>9.5598327746818672</v>
      </c>
      <c r="AE14" s="93">
        <f>assumptions!$G$27*'monthly pL'!AE$8</f>
        <v>9.355550653794392</v>
      </c>
      <c r="AF14" s="93">
        <f>assumptions!$G$27*'monthly pL'!AF$8</f>
        <v>10.875459502558286</v>
      </c>
      <c r="AG14" s="93">
        <f>assumptions!$G$27*'monthly pL'!AG$8</f>
        <v>10.660275582203546</v>
      </c>
      <c r="AH14" s="93">
        <f>assumptions!$G$27*'monthly pL'!AH$8</f>
        <v>10.680321527074369</v>
      </c>
      <c r="AI14" s="93">
        <f>assumptions!$G$27*'monthly pL'!AI$8</f>
        <v>11.873569817428391</v>
      </c>
      <c r="AJ14" s="93">
        <f>assumptions!$G$27*'monthly pL'!AJ$8</f>
        <v>11.29798718718431</v>
      </c>
      <c r="AK14" s="93">
        <f>assumptions!$G$27*'monthly pL'!AK$8</f>
        <v>12.105021047808233</v>
      </c>
      <c r="AL14" s="93">
        <f>assumptions!$G$27*'monthly pL'!AL$8</f>
        <v>12.235791018764399</v>
      </c>
      <c r="AM14" s="93">
        <f>assumptions!$G$27*'monthly pL'!AM$8</f>
        <v>11.132250808308806</v>
      </c>
      <c r="AN14" s="93">
        <f>assumptions!$G$27*'monthly pL'!AN$8</f>
        <v>12.202122738146228</v>
      </c>
    </row>
    <row r="15" spans="1:40" x14ac:dyDescent="0.25">
      <c r="A15" t="s">
        <v>115</v>
      </c>
      <c r="E15" s="93">
        <f>IF(MOD(E3,12)=4,MAX(C15*(1+assumptions!$G$41),assumptions!$G$40/den),'monthly pL'!C15)</f>
        <v>0</v>
      </c>
      <c r="F15" s="93">
        <f>IF(MOD(F3,12)=4,MAX(E15*(1+assumptions!$G$41),assumptions!$G$40/den),'monthly pL'!E15)</f>
        <v>0</v>
      </c>
      <c r="G15" s="93">
        <f>IF(MOD(G3,12)=4,MAX(F15*(1+assumptions!$G$41),assumptions!$G$40/den),'monthly pL'!F15)</f>
        <v>0</v>
      </c>
      <c r="H15" s="93">
        <f>IF(MOD(H3,12)=4,MAX(G15*(1+assumptions!$G$41),assumptions!$G$40/den),'monthly pL'!G15)</f>
        <v>9.86</v>
      </c>
      <c r="I15" s="93">
        <f>IF(MOD(I3,12)=4,MAX(H15*(1+assumptions!$G$41),assumptions!$G$40/den),'monthly pL'!H15)</f>
        <v>9.86</v>
      </c>
      <c r="J15" s="93">
        <f>IF(MOD(J3,12)=4,MAX(I15*(1+assumptions!$G$41),assumptions!$G$40/den),'monthly pL'!I15)</f>
        <v>9.86</v>
      </c>
      <c r="K15" s="93">
        <f>IF(MOD(K3,12)=4,MAX(J15*(1+assumptions!$G$41),assumptions!$G$40/den),'monthly pL'!J15)</f>
        <v>9.86</v>
      </c>
      <c r="L15" s="93">
        <f>IF(MOD(L3,12)=4,MAX(K15*(1+assumptions!$G$41),assumptions!$G$40/den),'monthly pL'!K15)</f>
        <v>9.86</v>
      </c>
      <c r="M15" s="93">
        <f>IF(MOD(M3,12)=4,MAX(L15*(1+assumptions!$G$41),assumptions!$G$40/den),'monthly pL'!L15)</f>
        <v>9.86</v>
      </c>
      <c r="N15" s="93">
        <f>IF(MOD(N3,12)=4,MAX(M15*(1+assumptions!$G$41),assumptions!$G$40/den),'monthly pL'!M15)</f>
        <v>9.86</v>
      </c>
      <c r="O15" s="93">
        <f>IF(MOD(O3,12)=4,MAX(N15*(1+assumptions!$G$41),assumptions!$G$40/den),'monthly pL'!N15)</f>
        <v>9.86</v>
      </c>
      <c r="P15" s="93">
        <f>IF(MOD(P3,12)=4,MAX(O15*(1+assumptions!$G$41),assumptions!$G$40/den),'monthly pL'!O15)</f>
        <v>9.86</v>
      </c>
      <c r="Q15" s="93">
        <f>IF(MOD(Q3,12)=4,MAX(P15*(1+assumptions!$G$41),assumptions!$G$40/den),'monthly pL'!P15)</f>
        <v>9.86</v>
      </c>
      <c r="R15" s="93">
        <f>IF(MOD(R3,12)=4,MAX(Q15*(1+assumptions!$G$41),assumptions!$G$40/den),'monthly pL'!Q15)</f>
        <v>9.86</v>
      </c>
      <c r="S15" s="93">
        <f>IF(MOD(S3,12)=4,MAX(R15*(1+assumptions!$G$41),assumptions!$G$40/den),'monthly pL'!R15)</f>
        <v>9.86</v>
      </c>
      <c r="T15" s="93">
        <f>IF(MOD(T3,12)=4,MAX(S15*(1+assumptions!$G$41),assumptions!$G$40/den),'monthly pL'!S15)</f>
        <v>10.6488</v>
      </c>
      <c r="U15" s="93">
        <f>IF(MOD(U3,12)=4,MAX(T15*(1+assumptions!$G$41),assumptions!$G$40/den),'monthly pL'!T15)</f>
        <v>10.6488</v>
      </c>
      <c r="V15" s="93">
        <f>IF(MOD(V3,12)=4,MAX(U15*(1+assumptions!$G$41),assumptions!$G$40/den),'monthly pL'!U15)</f>
        <v>10.6488</v>
      </c>
      <c r="W15" s="93">
        <f>IF(MOD(W3,12)=4,MAX(V15*(1+assumptions!$G$41),assumptions!$G$40/den),'monthly pL'!V15)</f>
        <v>10.6488</v>
      </c>
      <c r="X15" s="93">
        <f>IF(MOD(X3,12)=4,MAX(W15*(1+assumptions!$G$41),assumptions!$G$40/den),'monthly pL'!W15)</f>
        <v>10.6488</v>
      </c>
      <c r="Y15" s="93">
        <f>IF(MOD(Y3,12)=4,MAX(X15*(1+assumptions!$G$41),assumptions!$G$40/den),'monthly pL'!X15)</f>
        <v>10.6488</v>
      </c>
      <c r="Z15" s="93">
        <f>IF(MOD(Z3,12)=4,MAX(Y15*(1+assumptions!$G$41),assumptions!$G$40/den),'monthly pL'!Y15)</f>
        <v>10.6488</v>
      </c>
      <c r="AA15" s="93">
        <f>IF(MOD(AA3,12)=4,MAX(Z15*(1+assumptions!$G$41),assumptions!$G$40/den),'monthly pL'!Z15)</f>
        <v>10.6488</v>
      </c>
      <c r="AB15" s="93">
        <f>IF(MOD(AB3,12)=4,MAX(AA15*(1+assumptions!$G$41),assumptions!$G$40/den),'monthly pL'!AA15)</f>
        <v>10.6488</v>
      </c>
      <c r="AC15" s="93">
        <f>IF(MOD(AC3,12)=4,MAX(AB15*(1+assumptions!$G$41),assumptions!$G$40/den),'monthly pL'!AB15)</f>
        <v>10.6488</v>
      </c>
      <c r="AD15" s="93">
        <f>IF(MOD(AD3,12)=4,MAX(AC15*(1+assumptions!$G$41),assumptions!$G$40/den),'monthly pL'!AC15)</f>
        <v>10.6488</v>
      </c>
      <c r="AE15" s="93">
        <f>IF(MOD(AE3,12)=4,MAX(AD15*(1+assumptions!$G$41),assumptions!$G$40/den),'monthly pL'!AD15)</f>
        <v>10.6488</v>
      </c>
      <c r="AF15" s="93">
        <f>IF(MOD(AF3,12)=4,MAX(AE15*(1+assumptions!$G$41),assumptions!$G$40/den),'monthly pL'!AE15)</f>
        <v>11.500704000000001</v>
      </c>
      <c r="AG15" s="93">
        <f>IF(MOD(AG3,12)=4,MAX(AF15*(1+assumptions!$G$41),assumptions!$G$40/den),'monthly pL'!AF15)</f>
        <v>11.500704000000001</v>
      </c>
      <c r="AH15" s="93">
        <f>IF(MOD(AH3,12)=4,MAX(AG15*(1+assumptions!$G$41),assumptions!$G$40/den),'monthly pL'!AG15)</f>
        <v>11.500704000000001</v>
      </c>
      <c r="AI15" s="93">
        <f>IF(MOD(AI3,12)=4,MAX(AH15*(1+assumptions!$G$41),assumptions!$G$40/den),'monthly pL'!AH15)</f>
        <v>11.500704000000001</v>
      </c>
      <c r="AJ15" s="93">
        <f>IF(MOD(AJ3,12)=4,MAX(AI15*(1+assumptions!$G$41),assumptions!$G$40/den),'monthly pL'!AI15)</f>
        <v>11.500704000000001</v>
      </c>
      <c r="AK15" s="93">
        <f>IF(MOD(AK3,12)=4,MAX(AJ15*(1+assumptions!$G$41),assumptions!$G$40/den),'monthly pL'!AJ15)</f>
        <v>11.500704000000001</v>
      </c>
      <c r="AL15" s="93">
        <f>IF(MOD(AL3,12)=4,MAX(AK15*(1+assumptions!$G$41),assumptions!$G$40/den),'monthly pL'!AK15)</f>
        <v>11.500704000000001</v>
      </c>
      <c r="AM15" s="93">
        <f>IF(MOD(AM3,12)=4,MAX(AL15*(1+assumptions!$G$41),assumptions!$G$40/den),'monthly pL'!AL15)</f>
        <v>11.500704000000001</v>
      </c>
      <c r="AN15" s="93">
        <f>IF(MOD(AN3,12)=4,MAX(AM15*(1+assumptions!$G$41),assumptions!$G$40/den),'monthly pL'!AM15)</f>
        <v>11.500704000000001</v>
      </c>
    </row>
    <row r="16" spans="1:40" s="86" customFormat="1" x14ac:dyDescent="0.25">
      <c r="A16" s="109" t="s">
        <v>116</v>
      </c>
      <c r="B16" s="109"/>
      <c r="C16" s="109"/>
      <c r="E16" s="112">
        <f>SUM(E12:E15)</f>
        <v>0</v>
      </c>
      <c r="F16" s="112">
        <f t="shared" ref="F16:J16" si="2">SUM(F12:F15)</f>
        <v>0</v>
      </c>
      <c r="G16" s="112">
        <f t="shared" si="2"/>
        <v>0</v>
      </c>
      <c r="H16" s="112">
        <f t="shared" si="2"/>
        <v>20.7971</v>
      </c>
      <c r="I16" s="112">
        <f t="shared" si="2"/>
        <v>21.367173999999999</v>
      </c>
      <c r="J16" s="112">
        <f t="shared" si="2"/>
        <v>21.054003760000001</v>
      </c>
      <c r="K16" s="112">
        <f t="shared" ref="K16" si="3">SUM(K12:K15)</f>
        <v>21.859351995200001</v>
      </c>
      <c r="L16" s="112">
        <f t="shared" ref="L16" si="4">SUM(L12:L15)</f>
        <v>21.843994506512001</v>
      </c>
      <c r="M16" s="112">
        <f t="shared" ref="M16" si="5">SUM(M12:M15)</f>
        <v>22.33890055621152</v>
      </c>
      <c r="N16" s="112">
        <f t="shared" ref="N16:O16" si="6">SUM(N12:N15)</f>
        <v>23.089345837074799</v>
      </c>
      <c r="O16" s="112">
        <f t="shared" si="6"/>
        <v>21.920995655730749</v>
      </c>
      <c r="P16" s="112">
        <f t="shared" ref="P16" si="7">SUM(P12:P15)</f>
        <v>23.380280071100263</v>
      </c>
      <c r="Q16" s="112">
        <f t="shared" ref="Q16" si="8">SUM(Q12:Q15)</f>
        <v>23.366713607866764</v>
      </c>
      <c r="R16" s="112">
        <f t="shared" ref="R16" si="9">SUM(R12:R15)</f>
        <v>24.675457233952983</v>
      </c>
      <c r="S16" s="112">
        <f t="shared" ref="S16:T16" si="10">SUM(S12:S15)</f>
        <v>24.122552198496187</v>
      </c>
      <c r="T16" s="112">
        <f t="shared" si="10"/>
        <v>26.792984430298155</v>
      </c>
      <c r="U16" s="112">
        <f t="shared" ref="U16" si="11">SUM(U12:U15)</f>
        <v>27.251430718914676</v>
      </c>
      <c r="V16" s="112">
        <f t="shared" ref="V16" si="12">SUM(V12:V15)</f>
        <v>26.909887836351601</v>
      </c>
      <c r="W16" s="112">
        <f t="shared" ref="W16" si="13">SUM(W12:W15)</f>
        <v>28.607982326061581</v>
      </c>
      <c r="X16" s="112">
        <f t="shared" ref="X16:Y16" si="14">SUM(X12:X15)</f>
        <v>27.835321551014104</v>
      </c>
      <c r="Y16" s="112">
        <f t="shared" si="14"/>
        <v>28.790060083314401</v>
      </c>
      <c r="Z16" s="112">
        <f t="shared" ref="Z16" si="15">SUM(Z12:Z15)</f>
        <v>30.246498562311082</v>
      </c>
      <c r="AA16" s="112">
        <f t="shared" ref="AA16" si="16">SUM(AA12:AA15)</f>
        <v>28.357887988099279</v>
      </c>
      <c r="AB16" s="112">
        <f t="shared" ref="AB16" si="17">SUM(AB12:AB15)</f>
        <v>30.367070399100228</v>
      </c>
      <c r="AC16" s="112">
        <f t="shared" ref="AC16:AD16" si="18">SUM(AC12:AC15)</f>
        <v>30.980708085558994</v>
      </c>
      <c r="AD16" s="112">
        <f t="shared" si="18"/>
        <v>32.099256282972178</v>
      </c>
      <c r="AE16" s="112">
        <f t="shared" ref="AE16" si="19">SUM(AE12:AE15)</f>
        <v>31.569528981041046</v>
      </c>
      <c r="AF16" s="112">
        <f t="shared" ref="AF16" si="20">SUM(AF12:AF15)</f>
        <v>36.066794022119858</v>
      </c>
      <c r="AG16" s="112">
        <f t="shared" ref="AG16" si="21">SUM(AG12:AG15)</f>
        <v>35.334435828319357</v>
      </c>
      <c r="AH16" s="112">
        <f t="shared" ref="AH16:AI16" si="22">SUM(AH12:AH15)</f>
        <v>35.431955618118693</v>
      </c>
      <c r="AI16" s="112">
        <f t="shared" si="22"/>
        <v>38.37636299264836</v>
      </c>
      <c r="AJ16" s="112">
        <f t="shared" ref="AJ16" si="23">SUM(AJ12:AJ15)</f>
        <v>36.850125263287381</v>
      </c>
      <c r="AK16" s="112">
        <f t="shared" ref="AK16" si="24">SUM(AK12:AK15)</f>
        <v>38.765778214323397</v>
      </c>
      <c r="AL16" s="112">
        <f t="shared" ref="AL16" si="25">SUM(AL12:AL15)</f>
        <v>39.041187698609868</v>
      </c>
      <c r="AM16" s="112">
        <f t="shared" ref="AM16:AN16" si="26">SUM(AM12:AM15)</f>
        <v>36.52026888416551</v>
      </c>
      <c r="AN16" s="112">
        <f t="shared" si="26"/>
        <v>38.773484009126143</v>
      </c>
    </row>
    <row r="17" spans="1:40" x14ac:dyDescent="0.25"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</row>
    <row r="18" spans="1:40" x14ac:dyDescent="0.25">
      <c r="A18" s="86" t="s">
        <v>117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</row>
    <row r="19" spans="1:40" x14ac:dyDescent="0.25">
      <c r="A19" t="s">
        <v>118</v>
      </c>
      <c r="E19" s="93">
        <f>IF(MOD(E3,12)=4,MAX(C19*(1+assumptions!$G$41),assumptions!$G$50/den),'monthly pL'!C19)</f>
        <v>0</v>
      </c>
      <c r="F19" s="93">
        <f>IF(MOD(F3,12)=4,MAX(E19*(1+assumptions!$G$41),assumptions!$G$50/den),'monthly pL'!E19)</f>
        <v>0</v>
      </c>
      <c r="G19" s="93">
        <f>IF(MOD(G3,12)=4,MAX(F19*(1+assumptions!$G$41),assumptions!$G$50/den),'monthly pL'!F19)</f>
        <v>0</v>
      </c>
      <c r="H19" s="93">
        <f>IF(MOD(H3,12)=4,MAX(G19*(1+assumptions!$G$41),assumptions!$G$50/den),'monthly pL'!G19)</f>
        <v>3.8</v>
      </c>
      <c r="I19" s="93">
        <f>IF(MOD(I3,12)=4,MAX(H19*(1+assumptions!$G$41),assumptions!$G$50/den),'monthly pL'!H19)</f>
        <v>3.8</v>
      </c>
      <c r="J19" s="93">
        <f>IF(MOD(J3,12)=4,MAX(I19*(1+assumptions!$G$41),assumptions!$G$50/den),'monthly pL'!I19)</f>
        <v>3.8</v>
      </c>
      <c r="K19" s="93">
        <f>IF(MOD(K3,12)=4,MAX(J19*(1+assumptions!$G$41),assumptions!$G$50/den),'monthly pL'!J19)</f>
        <v>3.8</v>
      </c>
      <c r="L19" s="93">
        <f>IF(MOD(L3,12)=4,MAX(K19*(1+assumptions!$G$41),assumptions!$G$50/den),'monthly pL'!K19)</f>
        <v>3.8</v>
      </c>
      <c r="M19" s="93">
        <f>IF(MOD(M3,12)=4,MAX(L19*(1+assumptions!$G$41),assumptions!$G$50/den),'monthly pL'!L19)</f>
        <v>3.8</v>
      </c>
      <c r="N19" s="93">
        <f>IF(MOD(N3,12)=4,MAX(M19*(1+assumptions!$G$41),assumptions!$G$50/den),'monthly pL'!M19)</f>
        <v>3.8</v>
      </c>
      <c r="O19" s="93">
        <f>IF(MOD(O3,12)=4,MAX(N19*(1+assumptions!$G$41),assumptions!$G$50/den),'monthly pL'!N19)</f>
        <v>3.8</v>
      </c>
      <c r="P19" s="93">
        <f>IF(MOD(P3,12)=4,MAX(O19*(1+assumptions!$G$41),assumptions!$G$50/den),'monthly pL'!O19)</f>
        <v>3.8</v>
      </c>
      <c r="Q19" s="93">
        <f>IF(MOD(Q3,12)=4,MAX(P19*(1+assumptions!$G$41),assumptions!$G$50/den),'monthly pL'!P19)</f>
        <v>3.8</v>
      </c>
      <c r="R19" s="93">
        <f>IF(MOD(R3,12)=4,MAX(Q19*(1+assumptions!$G$41),assumptions!$G$50/den),'monthly pL'!Q19)</f>
        <v>3.8</v>
      </c>
      <c r="S19" s="93">
        <f>IF(MOD(S3,12)=4,MAX(R19*(1+assumptions!$G$41),assumptions!$G$50/den),'monthly pL'!R19)</f>
        <v>3.8</v>
      </c>
      <c r="T19" s="93">
        <f>IF(MOD(T3,12)=4,MAX(S19*(1+assumptions!$G$41),assumptions!$G$50/den),'monthly pL'!S19)</f>
        <v>4.1040000000000001</v>
      </c>
      <c r="U19" s="93">
        <f>IF(MOD(U3,12)=4,MAX(T19*(1+assumptions!$G$41),assumptions!$G$50/den),'monthly pL'!T19)</f>
        <v>4.1040000000000001</v>
      </c>
      <c r="V19" s="93">
        <f>IF(MOD(V3,12)=4,MAX(U19*(1+assumptions!$G$41),assumptions!$G$50/den),'monthly pL'!U19)</f>
        <v>4.1040000000000001</v>
      </c>
      <c r="W19" s="93">
        <f>IF(MOD(W3,12)=4,MAX(V19*(1+assumptions!$G$41),assumptions!$G$50/den),'monthly pL'!V19)</f>
        <v>4.1040000000000001</v>
      </c>
      <c r="X19" s="93">
        <f>IF(MOD(X3,12)=4,MAX(W19*(1+assumptions!$G$41),assumptions!$G$50/den),'monthly pL'!W19)</f>
        <v>4.1040000000000001</v>
      </c>
      <c r="Y19" s="93">
        <f>IF(MOD(Y3,12)=4,MAX(X19*(1+assumptions!$G$41),assumptions!$G$50/den),'monthly pL'!X19)</f>
        <v>4.1040000000000001</v>
      </c>
      <c r="Z19" s="93">
        <f>IF(MOD(Z3,12)=4,MAX(Y19*(1+assumptions!$G$41),assumptions!$G$50/den),'monthly pL'!Y19)</f>
        <v>4.1040000000000001</v>
      </c>
      <c r="AA19" s="93">
        <f>IF(MOD(AA3,12)=4,MAX(Z19*(1+assumptions!$G$41),assumptions!$G$50/den),'monthly pL'!Z19)</f>
        <v>4.1040000000000001</v>
      </c>
      <c r="AB19" s="93">
        <f>IF(MOD(AB3,12)=4,MAX(AA19*(1+assumptions!$G$41),assumptions!$G$50/den),'monthly pL'!AA19)</f>
        <v>4.1040000000000001</v>
      </c>
      <c r="AC19" s="93">
        <f>IF(MOD(AC3,12)=4,MAX(AB19*(1+assumptions!$G$41),assumptions!$G$50/den),'monthly pL'!AB19)</f>
        <v>4.1040000000000001</v>
      </c>
      <c r="AD19" s="93">
        <f>IF(MOD(AD3,12)=4,MAX(AC19*(1+assumptions!$G$41),assumptions!$G$50/den),'monthly pL'!AC19)</f>
        <v>4.1040000000000001</v>
      </c>
      <c r="AE19" s="93">
        <f>IF(MOD(AE3,12)=4,MAX(AD19*(1+assumptions!$G$41),assumptions!$G$50/den),'monthly pL'!AD19)</f>
        <v>4.1040000000000001</v>
      </c>
      <c r="AF19" s="93">
        <f>IF(MOD(AF3,12)=4,MAX(AE19*(1+assumptions!$G$41),assumptions!$G$50/den),'monthly pL'!AE19)</f>
        <v>4.4323200000000007</v>
      </c>
      <c r="AG19" s="93">
        <f>IF(MOD(AG3,12)=4,MAX(AF19*(1+assumptions!$G$41),assumptions!$G$50/den),'monthly pL'!AF19)</f>
        <v>4.4323200000000007</v>
      </c>
      <c r="AH19" s="93">
        <f>IF(MOD(AH3,12)=4,MAX(AG19*(1+assumptions!$G$41),assumptions!$G$50/den),'monthly pL'!AG19)</f>
        <v>4.4323200000000007</v>
      </c>
      <c r="AI19" s="93">
        <f>IF(MOD(AI3,12)=4,MAX(AH19*(1+assumptions!$G$41),assumptions!$G$50/den),'monthly pL'!AH19)</f>
        <v>4.4323200000000007</v>
      </c>
      <c r="AJ19" s="93">
        <f>IF(MOD(AJ3,12)=4,MAX(AI19*(1+assumptions!$G$41),assumptions!$G$50/den),'monthly pL'!AI19)</f>
        <v>4.4323200000000007</v>
      </c>
      <c r="AK19" s="93">
        <f>IF(MOD(AK3,12)=4,MAX(AJ19*(1+assumptions!$G$41),assumptions!$G$50/den),'monthly pL'!AJ19)</f>
        <v>4.4323200000000007</v>
      </c>
      <c r="AL19" s="93">
        <f>IF(MOD(AL3,12)=4,MAX(AK19*(1+assumptions!$G$41),assumptions!$G$50/den),'monthly pL'!AK19)</f>
        <v>4.4323200000000007</v>
      </c>
      <c r="AM19" s="93">
        <f>IF(MOD(AM3,12)=4,MAX(AL19*(1+assumptions!$G$41),assumptions!$G$50/den),'monthly pL'!AL19)</f>
        <v>4.4323200000000007</v>
      </c>
      <c r="AN19" s="93">
        <f>IF(MOD(AN3,12)=4,MAX(AM19*(1+assumptions!$G$41),assumptions!$G$50/den),'monthly pL'!AM19)</f>
        <v>4.4323200000000007</v>
      </c>
    </row>
    <row r="20" spans="1:40" x14ac:dyDescent="0.25">
      <c r="A20" t="str">
        <f>assumptions!A52</f>
        <v>Rotalty to brand (% Of Revenue)</v>
      </c>
      <c r="E20" s="93">
        <f>E$9*assumptions!$G$52</f>
        <v>0</v>
      </c>
      <c r="F20" s="93">
        <f>F$9*assumptions!$G$52</f>
        <v>0</v>
      </c>
      <c r="G20" s="93">
        <f>G$9*assumptions!$G$52</f>
        <v>0</v>
      </c>
      <c r="H20" s="93">
        <f>H$9*assumptions!$G$52</f>
        <v>1.6485000000000001</v>
      </c>
      <c r="I20" s="93">
        <f>I$9*assumptions!$G$52</f>
        <v>1.733466</v>
      </c>
      <c r="J20" s="93">
        <f>J$9*assumptions!$G$52</f>
        <v>1.6869972000000004</v>
      </c>
      <c r="K20" s="93">
        <f>K$9*assumptions!$G$52</f>
        <v>1.8079573680000003</v>
      </c>
      <c r="L20" s="93">
        <f>L$9*assumptions!$G$52</f>
        <v>1.8054413969760004</v>
      </c>
      <c r="M20" s="93">
        <f>M$9*assumptions!$G$52</f>
        <v>1.88059596460512</v>
      </c>
      <c r="N20" s="93">
        <f>N$9*assumptions!$G$52</f>
        <v>1.9925609222887877</v>
      </c>
      <c r="O20" s="93">
        <f>O$9*assumptions!$G$52</f>
        <v>1.8170752794663922</v>
      </c>
      <c r="P20" s="93">
        <f>P$9*assumptions!$G$52</f>
        <v>2.0373391278532922</v>
      </c>
      <c r="Q20" s="93">
        <f>Q$9*assumptions!$G$52</f>
        <v>2.0350777937758582</v>
      </c>
      <c r="R20" s="93">
        <f>R$9*assumptions!$G$52</f>
        <v>2.2311501996658101</v>
      </c>
      <c r="S20" s="93">
        <f>S$9*assumptions!$G$52</f>
        <v>2.1488200407751439</v>
      </c>
      <c r="T20" s="93">
        <f>T$9*assumptions!$G$52</f>
        <v>2.4317349175264895</v>
      </c>
      <c r="U20" s="93">
        <f>U$9*assumptions!$G$52</f>
        <v>2.5007040058786032</v>
      </c>
      <c r="V20" s="93">
        <f>V$9*assumptions!$G$52</f>
        <v>2.4496787614549698</v>
      </c>
      <c r="W20" s="93">
        <f>W$9*assumptions!$G$52</f>
        <v>2.704115705825954</v>
      </c>
      <c r="X20" s="93">
        <f>X$9*assumptions!$G$52</f>
        <v>2.5889186483288351</v>
      </c>
      <c r="Y20" s="93">
        <f>Y$9*assumptions!$G$52</f>
        <v>2.7328554739415174</v>
      </c>
      <c r="Z20" s="93">
        <f>Z$9*assumptions!$G$52</f>
        <v>2.9505198106135371</v>
      </c>
      <c r="AA20" s="93">
        <f>AA$9*assumptions!$G$52</f>
        <v>2.6669177951598555</v>
      </c>
      <c r="AB20" s="93">
        <f>AB$9*assumptions!$G$52</f>
        <v>2.9701211020814777</v>
      </c>
      <c r="AC20" s="93">
        <f>AC$9*assumptions!$G$52</f>
        <v>3.0613162656284665</v>
      </c>
      <c r="AD20" s="93">
        <f>AD$9*assumptions!$G$52</f>
        <v>3.2298891274320756</v>
      </c>
      <c r="AE20" s="93">
        <f>AE$9*assumptions!$G$52</f>
        <v>3.1506764458421301</v>
      </c>
      <c r="AF20" s="93">
        <f>AF$9*assumptions!$G$52</f>
        <v>3.6977610767973523</v>
      </c>
      <c r="AG20" s="93">
        <f>AG$9*assumptions!$G$52</f>
        <v>3.5894123491920045</v>
      </c>
      <c r="AH20" s="93">
        <f>AH$9*assumptions!$G$52</f>
        <v>3.6036908636632656</v>
      </c>
      <c r="AI20" s="93">
        <f>AI$9*assumptions!$G$52</f>
        <v>4.0449827966541534</v>
      </c>
      <c r="AJ20" s="93">
        <f>AJ$9*assumptions!$G$52</f>
        <v>3.8169820365247662</v>
      </c>
      <c r="AK20" s="93">
        <f>AK$9*assumptions!$G$52</f>
        <v>4.1046213561208011</v>
      </c>
      <c r="AL20" s="93">
        <f>AL$9*assumptions!$G$52</f>
        <v>4.1462299832432183</v>
      </c>
      <c r="AM20" s="93">
        <f>AM$9*assumptions!$G$52</f>
        <v>3.7669898026437112</v>
      </c>
      <c r="AN20" s="93">
        <f>AN$9*assumptions!$G$52</f>
        <v>4.1074035985010724</v>
      </c>
    </row>
    <row r="21" spans="1:40" x14ac:dyDescent="0.25">
      <c r="A21" t="str">
        <f>assumptions!A53</f>
        <v>Rent (as per contract) (% of revenue)</v>
      </c>
      <c r="E21" s="93">
        <f>E9*assumptions!$G$53</f>
        <v>0</v>
      </c>
      <c r="F21" s="93">
        <f>F9*assumptions!$G$53</f>
        <v>0</v>
      </c>
      <c r="G21" s="93">
        <f>G9*assumptions!$G$53</f>
        <v>0</v>
      </c>
      <c r="H21" s="93">
        <f>H9*assumptions!$G$53</f>
        <v>3.2970000000000002</v>
      </c>
      <c r="I21" s="93">
        <f>I9*assumptions!$G$53</f>
        <v>3.4669319999999999</v>
      </c>
      <c r="J21" s="93">
        <f>J9*assumptions!$G$53</f>
        <v>3.3739944000000008</v>
      </c>
      <c r="K21" s="93">
        <f>K9*assumptions!$G$53</f>
        <v>3.6159147360000006</v>
      </c>
      <c r="L21" s="93">
        <f>L9*assumptions!$G$53</f>
        <v>3.6108827939520007</v>
      </c>
      <c r="M21" s="93">
        <f>M9*assumptions!$G$53</f>
        <v>3.76119192921024</v>
      </c>
      <c r="N21" s="93">
        <f>N9*assumptions!$G$53</f>
        <v>3.9851218445775753</v>
      </c>
      <c r="O21" s="93">
        <f>O9*assumptions!$G$53</f>
        <v>3.6341505589327845</v>
      </c>
      <c r="P21" s="93">
        <f>P9*assumptions!$G$53</f>
        <v>4.0746782557065844</v>
      </c>
      <c r="Q21" s="93">
        <f>Q9*assumptions!$G$53</f>
        <v>4.0701555875517164</v>
      </c>
      <c r="R21" s="93">
        <f>R9*assumptions!$G$53</f>
        <v>4.4623003993316201</v>
      </c>
      <c r="S21" s="93">
        <f>S9*assumptions!$G$53</f>
        <v>4.2976400815502878</v>
      </c>
      <c r="T21" s="93">
        <f>T9*assumptions!$G$53</f>
        <v>4.863469835052979</v>
      </c>
      <c r="U21" s="93">
        <f>U9*assumptions!$G$53</f>
        <v>5.0014080117572064</v>
      </c>
      <c r="V21" s="93">
        <f>V9*assumptions!$G$53</f>
        <v>4.8993575229099395</v>
      </c>
      <c r="W21" s="93">
        <f>W9*assumptions!$G$53</f>
        <v>5.4082314116519079</v>
      </c>
      <c r="X21" s="93">
        <f>X9*assumptions!$G$53</f>
        <v>5.1778372966576702</v>
      </c>
      <c r="Y21" s="93">
        <f>Y9*assumptions!$G$53</f>
        <v>5.4657109478830348</v>
      </c>
      <c r="Z21" s="93">
        <f>Z9*assumptions!$G$53</f>
        <v>5.9010396212270742</v>
      </c>
      <c r="AA21" s="93">
        <f>AA9*assumptions!$G$53</f>
        <v>5.333835590319711</v>
      </c>
      <c r="AB21" s="93">
        <f>AB9*assumptions!$G$53</f>
        <v>5.9402422041629555</v>
      </c>
      <c r="AC21" s="93">
        <f>AC9*assumptions!$G$53</f>
        <v>6.122632531256933</v>
      </c>
      <c r="AD21" s="93">
        <f>AD9*assumptions!$G$53</f>
        <v>6.4597782548641511</v>
      </c>
      <c r="AE21" s="93">
        <f>AE9*assumptions!$G$53</f>
        <v>6.3013528916842603</v>
      </c>
      <c r="AF21" s="93">
        <f>AF9*assumptions!$G$53</f>
        <v>7.3955221535947047</v>
      </c>
      <c r="AG21" s="93">
        <f>AG9*assumptions!$G$53</f>
        <v>7.1788246983840089</v>
      </c>
      <c r="AH21" s="93">
        <f>AH9*assumptions!$G$53</f>
        <v>7.2073817273265313</v>
      </c>
      <c r="AI21" s="93">
        <f>AI9*assumptions!$G$53</f>
        <v>8.0899655933083068</v>
      </c>
      <c r="AJ21" s="93">
        <f>AJ9*assumptions!$G$53</f>
        <v>7.6339640730495324</v>
      </c>
      <c r="AK21" s="93">
        <f>AK9*assumptions!$G$53</f>
        <v>8.2092427122416023</v>
      </c>
      <c r="AL21" s="93">
        <f>AL9*assumptions!$G$53</f>
        <v>8.2924599664864367</v>
      </c>
      <c r="AM21" s="93">
        <f>AM9*assumptions!$G$53</f>
        <v>7.5339796052874224</v>
      </c>
      <c r="AN21" s="93">
        <f>AN9*assumptions!$G$53</f>
        <v>8.2148071970021448</v>
      </c>
    </row>
    <row r="22" spans="1:40" x14ac:dyDescent="0.25">
      <c r="A22" t="str">
        <f>assumptions!A54</f>
        <v>Water Cost (per month)</v>
      </c>
      <c r="E22" s="93">
        <f>IF(MOD(E$3,12)=4,MAX(C22*(1+assumptions!$G$41),assumptions!$G$54/den),'monthly pL'!C22)</f>
        <v>0</v>
      </c>
      <c r="F22" s="93">
        <f>IF(MOD(F$3,12)=4,MAX(E22*(1+assumptions!$G$41),assumptions!$G$54/den),'monthly pL'!E22)</f>
        <v>0</v>
      </c>
      <c r="G22" s="93">
        <f>IF(MOD(G$3,12)=4,MAX(F22*(1+assumptions!$G$41),assumptions!$G$54/den),'monthly pL'!F22)</f>
        <v>0</v>
      </c>
      <c r="H22" s="93">
        <f>IF(MOD(H$3,12)=4,MAX(G22*(1+assumptions!$G$41),assumptions!$G$54/den),'monthly pL'!G22)</f>
        <v>0.1</v>
      </c>
      <c r="I22" s="93">
        <f>IF(MOD(I$3,12)=4,MAX(H22*(1+assumptions!$G$41),assumptions!$G$54/den),'monthly pL'!H22)</f>
        <v>0.1</v>
      </c>
      <c r="J22" s="93">
        <f>IF(MOD(J$3,12)=4,MAX(I22*(1+assumptions!$G$41),assumptions!$G$54/den),'monthly pL'!I22)</f>
        <v>0.1</v>
      </c>
      <c r="K22" s="93">
        <f>IF(MOD(K$3,12)=4,MAX(J22*(1+assumptions!$G$41),assumptions!$G$54/den),'monthly pL'!J22)</f>
        <v>0.1</v>
      </c>
      <c r="L22" s="93">
        <f>IF(MOD(L$3,12)=4,MAX(K22*(1+assumptions!$G$41),assumptions!$G$54/den),'monthly pL'!K22)</f>
        <v>0.1</v>
      </c>
      <c r="M22" s="93">
        <f>IF(MOD(M$3,12)=4,MAX(L22*(1+assumptions!$G$41),assumptions!$G$54/den),'monthly pL'!L22)</f>
        <v>0.1</v>
      </c>
      <c r="N22" s="93">
        <f>IF(MOD(N$3,12)=4,MAX(M22*(1+assumptions!$G$41),assumptions!$G$54/den),'monthly pL'!M22)</f>
        <v>0.1</v>
      </c>
      <c r="O22" s="93">
        <f>IF(MOD(O$3,12)=4,MAX(N22*(1+assumptions!$G$41),assumptions!$G$54/den),'monthly pL'!N22)</f>
        <v>0.1</v>
      </c>
      <c r="P22" s="93">
        <f>IF(MOD(P$3,12)=4,MAX(O22*(1+assumptions!$G$41),assumptions!$G$54/den),'monthly pL'!O22)</f>
        <v>0.1</v>
      </c>
      <c r="Q22" s="93">
        <f>IF(MOD(Q$3,12)=4,MAX(P22*(1+assumptions!$G$41),assumptions!$G$54/den),'monthly pL'!P22)</f>
        <v>0.1</v>
      </c>
      <c r="R22" s="93">
        <f>IF(MOD(R$3,12)=4,MAX(Q22*(1+assumptions!$G$41),assumptions!$G$54/den),'monthly pL'!Q22)</f>
        <v>0.1</v>
      </c>
      <c r="S22" s="93">
        <f>IF(MOD(S$3,12)=4,MAX(R22*(1+assumptions!$G$41),assumptions!$G$54/den),'monthly pL'!R22)</f>
        <v>0.1</v>
      </c>
      <c r="T22" s="93">
        <f>IF(MOD(T$3,12)=4,MAX(S22*(1+assumptions!$G$41),assumptions!$G$54/den),'monthly pL'!S22)</f>
        <v>0.10800000000000001</v>
      </c>
      <c r="U22" s="93">
        <f>IF(MOD(U$3,12)=4,MAX(T22*(1+assumptions!$G$41),assumptions!$G$54/den),'monthly pL'!T22)</f>
        <v>0.10800000000000001</v>
      </c>
      <c r="V22" s="93">
        <f>IF(MOD(V$3,12)=4,MAX(U22*(1+assumptions!$G$41),assumptions!$G$54/den),'monthly pL'!U22)</f>
        <v>0.10800000000000001</v>
      </c>
      <c r="W22" s="93">
        <f>IF(MOD(W$3,12)=4,MAX(V22*(1+assumptions!$G$41),assumptions!$G$54/den),'monthly pL'!V22)</f>
        <v>0.10800000000000001</v>
      </c>
      <c r="X22" s="93">
        <f>IF(MOD(X$3,12)=4,MAX(W22*(1+assumptions!$G$41),assumptions!$G$54/den),'monthly pL'!W22)</f>
        <v>0.10800000000000001</v>
      </c>
      <c r="Y22" s="93">
        <f>IF(MOD(Y$3,12)=4,MAX(X22*(1+assumptions!$G$41),assumptions!$G$54/den),'monthly pL'!X22)</f>
        <v>0.10800000000000001</v>
      </c>
      <c r="Z22" s="93">
        <f>IF(MOD(Z$3,12)=4,MAX(Y22*(1+assumptions!$G$41),assumptions!$G$54/den),'monthly pL'!Y22)</f>
        <v>0.10800000000000001</v>
      </c>
      <c r="AA22" s="93">
        <f>IF(MOD(AA$3,12)=4,MAX(Z22*(1+assumptions!$G$41),assumptions!$G$54/den),'monthly pL'!Z22)</f>
        <v>0.10800000000000001</v>
      </c>
      <c r="AB22" s="93">
        <f>IF(MOD(AB$3,12)=4,MAX(AA22*(1+assumptions!$G$41),assumptions!$G$54/den),'monthly pL'!AA22)</f>
        <v>0.10800000000000001</v>
      </c>
      <c r="AC22" s="93">
        <f>IF(MOD(AC$3,12)=4,MAX(AB22*(1+assumptions!$G$41),assumptions!$G$54/den),'monthly pL'!AB22)</f>
        <v>0.10800000000000001</v>
      </c>
      <c r="AD22" s="93">
        <f>IF(MOD(AD$3,12)=4,MAX(AC22*(1+assumptions!$G$41),assumptions!$G$54/den),'monthly pL'!AC22)</f>
        <v>0.10800000000000001</v>
      </c>
      <c r="AE22" s="93">
        <f>IF(MOD(AE$3,12)=4,MAX(AD22*(1+assumptions!$G$41),assumptions!$G$54/den),'monthly pL'!AD22)</f>
        <v>0.10800000000000001</v>
      </c>
      <c r="AF22" s="93">
        <f>IF(MOD(AF$3,12)=4,MAX(AE22*(1+assumptions!$G$41),assumptions!$G$54/den),'monthly pL'!AE22)</f>
        <v>0.11664000000000002</v>
      </c>
      <c r="AG22" s="93">
        <f>IF(MOD(AG$3,12)=4,MAX(AF22*(1+assumptions!$G$41),assumptions!$G$54/den),'monthly pL'!AF22)</f>
        <v>0.11664000000000002</v>
      </c>
      <c r="AH22" s="93">
        <f>IF(MOD(AH$3,12)=4,MAX(AG22*(1+assumptions!$G$41),assumptions!$G$54/den),'monthly pL'!AG22)</f>
        <v>0.11664000000000002</v>
      </c>
      <c r="AI22" s="93">
        <f>IF(MOD(AI$3,12)=4,MAX(AH22*(1+assumptions!$G$41),assumptions!$G$54/den),'monthly pL'!AH22)</f>
        <v>0.11664000000000002</v>
      </c>
      <c r="AJ22" s="93">
        <f>IF(MOD(AJ$3,12)=4,MAX(AI22*(1+assumptions!$G$41),assumptions!$G$54/den),'monthly pL'!AI22)</f>
        <v>0.11664000000000002</v>
      </c>
      <c r="AK22" s="93">
        <f>IF(MOD(AK$3,12)=4,MAX(AJ22*(1+assumptions!$G$41),assumptions!$G$54/den),'monthly pL'!AJ22)</f>
        <v>0.11664000000000002</v>
      </c>
      <c r="AL22" s="93">
        <f>IF(MOD(AL$3,12)=4,MAX(AK22*(1+assumptions!$G$41),assumptions!$G$54/den),'monthly pL'!AK22)</f>
        <v>0.11664000000000002</v>
      </c>
      <c r="AM22" s="93">
        <f>IF(MOD(AM$3,12)=4,MAX(AL22*(1+assumptions!$G$41),assumptions!$G$54/den),'monthly pL'!AL22)</f>
        <v>0.11664000000000002</v>
      </c>
      <c r="AN22" s="93">
        <f>IF(MOD(AN$3,12)=4,MAX(AM22*(1+assumptions!$G$41),assumptions!$G$54/den),'monthly pL'!AM22)</f>
        <v>0.11664000000000002</v>
      </c>
    </row>
    <row r="23" spans="1:40" x14ac:dyDescent="0.25">
      <c r="A23" t="str">
        <f>assumptions!A55</f>
        <v>Maintenance (per month)</v>
      </c>
      <c r="E23" s="93">
        <f>IF(MOD(E$3,12)=4,MAX(C23*(1+assumptions!$G$41),assumptions!$G55/den),'monthly pL'!C23)</f>
        <v>0</v>
      </c>
      <c r="F23" s="93">
        <f>IF(MOD(F$3,12)=4,MAX(E23*(1+assumptions!$G$41),assumptions!$G55/den),'monthly pL'!E23)</f>
        <v>0</v>
      </c>
      <c r="G23" s="93">
        <f>IF(MOD(G$3,12)=4,MAX(F23*(1+assumptions!$G$41),assumptions!$G55/den),'monthly pL'!F23)</f>
        <v>0</v>
      </c>
      <c r="H23" s="93">
        <f>IF(MOD(H$3,12)=4,MAX(G23*(1+assumptions!$G$41),assumptions!$G55/den),'monthly pL'!G23)</f>
        <v>0.5</v>
      </c>
      <c r="I23" s="93">
        <f>IF(MOD(I$3,12)=4,MAX(H23*(1+assumptions!$G$41),assumptions!$G55/den),'monthly pL'!H23)</f>
        <v>0.5</v>
      </c>
      <c r="J23" s="93">
        <f>IF(MOD(J$3,12)=4,MAX(I23*(1+assumptions!$G$41),assumptions!$G55/den),'monthly pL'!I23)</f>
        <v>0.5</v>
      </c>
      <c r="K23" s="93">
        <f>IF(MOD(K$3,12)=4,MAX(J23*(1+assumptions!$G$41),assumptions!$G55/den),'monthly pL'!J23)</f>
        <v>0.5</v>
      </c>
      <c r="L23" s="93">
        <f>IF(MOD(L$3,12)=4,MAX(K23*(1+assumptions!$G$41),assumptions!$G55/den),'monthly pL'!K23)</f>
        <v>0.5</v>
      </c>
      <c r="M23" s="93">
        <f>IF(MOD(M$3,12)=4,MAX(L23*(1+assumptions!$G$41),assumptions!$G55/den),'monthly pL'!L23)</f>
        <v>0.5</v>
      </c>
      <c r="N23" s="93">
        <f>IF(MOD(N$3,12)=4,MAX(M23*(1+assumptions!$G$41),assumptions!$G55/den),'monthly pL'!M23)</f>
        <v>0.5</v>
      </c>
      <c r="O23" s="93">
        <f>IF(MOD(O$3,12)=4,MAX(N23*(1+assumptions!$G$41),assumptions!$G55/den),'monthly pL'!N23)</f>
        <v>0.5</v>
      </c>
      <c r="P23" s="93">
        <f>IF(MOD(P$3,12)=4,MAX(O23*(1+assumptions!$G$41),assumptions!$G55/den),'monthly pL'!O23)</f>
        <v>0.5</v>
      </c>
      <c r="Q23" s="93">
        <f>IF(MOD(Q$3,12)=4,MAX(P23*(1+assumptions!$G$41),assumptions!$G55/den),'monthly pL'!P23)</f>
        <v>0.5</v>
      </c>
      <c r="R23" s="93">
        <f>IF(MOD(R$3,12)=4,MAX(Q23*(1+assumptions!$G$41),assumptions!$G55/den),'monthly pL'!Q23)</f>
        <v>0.5</v>
      </c>
      <c r="S23" s="93">
        <f>IF(MOD(S$3,12)=4,MAX(R23*(1+assumptions!$G$41),assumptions!$G55/den),'monthly pL'!R23)</f>
        <v>0.5</v>
      </c>
      <c r="T23" s="93">
        <f>IF(MOD(T$3,12)=4,MAX(S23*(1+assumptions!$G$41),assumptions!$G55/den),'monthly pL'!S23)</f>
        <v>0.54</v>
      </c>
      <c r="U23" s="93">
        <f>IF(MOD(U$3,12)=4,MAX(T23*(1+assumptions!$G$41),assumptions!$G55/den),'monthly pL'!T23)</f>
        <v>0.54</v>
      </c>
      <c r="V23" s="93">
        <f>IF(MOD(V$3,12)=4,MAX(U23*(1+assumptions!$G$41),assumptions!$G55/den),'monthly pL'!U23)</f>
        <v>0.54</v>
      </c>
      <c r="W23" s="93">
        <f>IF(MOD(W$3,12)=4,MAX(V23*(1+assumptions!$G$41),assumptions!$G55/den),'monthly pL'!V23)</f>
        <v>0.54</v>
      </c>
      <c r="X23" s="93">
        <f>IF(MOD(X$3,12)=4,MAX(W23*(1+assumptions!$G$41),assumptions!$G55/den),'monthly pL'!W23)</f>
        <v>0.54</v>
      </c>
      <c r="Y23" s="93">
        <f>IF(MOD(Y$3,12)=4,MAX(X23*(1+assumptions!$G$41),assumptions!$G55/den),'monthly pL'!X23)</f>
        <v>0.54</v>
      </c>
      <c r="Z23" s="93">
        <f>IF(MOD(Z$3,12)=4,MAX(Y23*(1+assumptions!$G$41),assumptions!$G55/den),'monthly pL'!Y23)</f>
        <v>0.54</v>
      </c>
      <c r="AA23" s="93">
        <f>IF(MOD(AA$3,12)=4,MAX(Z23*(1+assumptions!$G$41),assumptions!$G55/den),'monthly pL'!Z23)</f>
        <v>0.54</v>
      </c>
      <c r="AB23" s="93">
        <f>IF(MOD(AB$3,12)=4,MAX(AA23*(1+assumptions!$G$41),assumptions!$G55/den),'monthly pL'!AA23)</f>
        <v>0.54</v>
      </c>
      <c r="AC23" s="93">
        <f>IF(MOD(AC$3,12)=4,MAX(AB23*(1+assumptions!$G$41),assumptions!$G55/den),'monthly pL'!AB23)</f>
        <v>0.54</v>
      </c>
      <c r="AD23" s="93">
        <f>IF(MOD(AD$3,12)=4,MAX(AC23*(1+assumptions!$G$41),assumptions!$G55/den),'monthly pL'!AC23)</f>
        <v>0.54</v>
      </c>
      <c r="AE23" s="93">
        <f>IF(MOD(AE$3,12)=4,MAX(AD23*(1+assumptions!$G$41),assumptions!$G55/den),'monthly pL'!AD23)</f>
        <v>0.54</v>
      </c>
      <c r="AF23" s="93">
        <f>IF(MOD(AF$3,12)=4,MAX(AE23*(1+assumptions!$G$41),assumptions!$G55/den),'monthly pL'!AE23)</f>
        <v>0.58320000000000005</v>
      </c>
      <c r="AG23" s="93">
        <f>IF(MOD(AG$3,12)=4,MAX(AF23*(1+assumptions!$G$41),assumptions!$G55/den),'monthly pL'!AF23)</f>
        <v>0.58320000000000005</v>
      </c>
      <c r="AH23" s="93">
        <f>IF(MOD(AH$3,12)=4,MAX(AG23*(1+assumptions!$G$41),assumptions!$G55/den),'monthly pL'!AG23)</f>
        <v>0.58320000000000005</v>
      </c>
      <c r="AI23" s="93">
        <f>IF(MOD(AI$3,12)=4,MAX(AH23*(1+assumptions!$G$41),assumptions!$G55/den),'monthly pL'!AH23)</f>
        <v>0.58320000000000005</v>
      </c>
      <c r="AJ23" s="93">
        <f>IF(MOD(AJ$3,12)=4,MAX(AI23*(1+assumptions!$G$41),assumptions!$G55/den),'monthly pL'!AI23)</f>
        <v>0.58320000000000005</v>
      </c>
      <c r="AK23" s="93">
        <f>IF(MOD(AK$3,12)=4,MAX(AJ23*(1+assumptions!$G$41),assumptions!$G55/den),'monthly pL'!AJ23)</f>
        <v>0.58320000000000005</v>
      </c>
      <c r="AL23" s="93">
        <f>IF(MOD(AL$3,12)=4,MAX(AK23*(1+assumptions!$G$41),assumptions!$G55/den),'monthly pL'!AK23)</f>
        <v>0.58320000000000005</v>
      </c>
      <c r="AM23" s="93">
        <f>IF(MOD(AM$3,12)=4,MAX(AL23*(1+assumptions!$G$41),assumptions!$G55/den),'monthly pL'!AL23)</f>
        <v>0.58320000000000005</v>
      </c>
      <c r="AN23" s="93">
        <f>IF(MOD(AN$3,12)=4,MAX(AM23*(1+assumptions!$G$41),assumptions!$G55/den),'monthly pL'!AM23)</f>
        <v>0.58320000000000005</v>
      </c>
    </row>
    <row r="24" spans="1:40" x14ac:dyDescent="0.25">
      <c r="A24" t="str">
        <f>assumptions!A56</f>
        <v>Marketing cost (per month)</v>
      </c>
      <c r="E24" s="93">
        <f>IF(MOD(E$3,12)=4,MAX(C24*(1+assumptions!$G$41),assumptions!$G56/den),'monthly pL'!C24)</f>
        <v>0</v>
      </c>
      <c r="F24" s="93">
        <f>IF(MOD(F$3,12)=4,MAX(E24*(1+assumptions!$G$41),assumptions!$G56/den),'monthly pL'!E24)</f>
        <v>0</v>
      </c>
      <c r="G24" s="93">
        <f>IF(MOD(G$3,12)=4,MAX(F24*(1+assumptions!$G$41),assumptions!$G56/den),'monthly pL'!F24)</f>
        <v>0</v>
      </c>
      <c r="H24" s="93">
        <f>IF(MOD(H$3,12)=4,MAX(G24*(1+assumptions!$G$41),assumptions!$G56/den),'monthly pL'!G24)</f>
        <v>0.5</v>
      </c>
      <c r="I24" s="93">
        <f>IF(MOD(I$3,12)=4,MAX(H24*(1+assumptions!$G$41),assumptions!$G56/den),'monthly pL'!H24)</f>
        <v>0.5</v>
      </c>
      <c r="J24" s="93">
        <f>IF(MOD(J$3,12)=4,MAX(I24*(1+assumptions!$G$41),assumptions!$G56/den),'monthly pL'!I24)</f>
        <v>0.5</v>
      </c>
      <c r="K24" s="93">
        <f>IF(MOD(K$3,12)=4,MAX(J24*(1+assumptions!$G$41),assumptions!$G56/den),'monthly pL'!J24)</f>
        <v>0.5</v>
      </c>
      <c r="L24" s="93">
        <f>IF(MOD(L$3,12)=4,MAX(K24*(1+assumptions!$G$41),assumptions!$G56/den),'monthly pL'!K24)</f>
        <v>0.5</v>
      </c>
      <c r="M24" s="93">
        <f>IF(MOD(M$3,12)=4,MAX(L24*(1+assumptions!$G$41),assumptions!$G56/den),'monthly pL'!L24)</f>
        <v>0.5</v>
      </c>
      <c r="N24" s="93">
        <f>IF(MOD(N$3,12)=4,MAX(M24*(1+assumptions!$G$41),assumptions!$G56/den),'monthly pL'!M24)</f>
        <v>0.5</v>
      </c>
      <c r="O24" s="93">
        <f>IF(MOD(O$3,12)=4,MAX(N24*(1+assumptions!$G$41),assumptions!$G56/den),'monthly pL'!N24)</f>
        <v>0.5</v>
      </c>
      <c r="P24" s="93">
        <f>IF(MOD(P$3,12)=4,MAX(O24*(1+assumptions!$G$41),assumptions!$G56/den),'monthly pL'!O24)</f>
        <v>0.5</v>
      </c>
      <c r="Q24" s="93">
        <f>IF(MOD(Q$3,12)=4,MAX(P24*(1+assumptions!$G$41),assumptions!$G56/den),'monthly pL'!P24)</f>
        <v>0.5</v>
      </c>
      <c r="R24" s="93">
        <f>IF(MOD(R$3,12)=4,MAX(Q24*(1+assumptions!$G$41),assumptions!$G56/den),'monthly pL'!Q24)</f>
        <v>0.5</v>
      </c>
      <c r="S24" s="93">
        <f>IF(MOD(S$3,12)=4,MAX(R24*(1+assumptions!$G$41),assumptions!$G56/den),'monthly pL'!R24)</f>
        <v>0.5</v>
      </c>
      <c r="T24" s="93">
        <f>IF(MOD(T$3,12)=4,MAX(S24*(1+assumptions!$G$41),assumptions!$G56/den),'monthly pL'!S24)</f>
        <v>0.54</v>
      </c>
      <c r="U24" s="93">
        <f>IF(MOD(U$3,12)=4,MAX(T24*(1+assumptions!$G$41),assumptions!$G56/den),'monthly pL'!T24)</f>
        <v>0.54</v>
      </c>
      <c r="V24" s="93">
        <f>IF(MOD(V$3,12)=4,MAX(U24*(1+assumptions!$G$41),assumptions!$G56/den),'monthly pL'!U24)</f>
        <v>0.54</v>
      </c>
      <c r="W24" s="93">
        <f>IF(MOD(W$3,12)=4,MAX(V24*(1+assumptions!$G$41),assumptions!$G56/den),'monthly pL'!V24)</f>
        <v>0.54</v>
      </c>
      <c r="X24" s="93">
        <f>IF(MOD(X$3,12)=4,MAX(W24*(1+assumptions!$G$41),assumptions!$G56/den),'monthly pL'!W24)</f>
        <v>0.54</v>
      </c>
      <c r="Y24" s="93">
        <f>IF(MOD(Y$3,12)=4,MAX(X24*(1+assumptions!$G$41),assumptions!$G56/den),'monthly pL'!X24)</f>
        <v>0.54</v>
      </c>
      <c r="Z24" s="93">
        <f>IF(MOD(Z$3,12)=4,MAX(Y24*(1+assumptions!$G$41),assumptions!$G56/den),'monthly pL'!Y24)</f>
        <v>0.54</v>
      </c>
      <c r="AA24" s="93">
        <f>IF(MOD(AA$3,12)=4,MAX(Z24*(1+assumptions!$G$41),assumptions!$G56/den),'monthly pL'!Z24)</f>
        <v>0.54</v>
      </c>
      <c r="AB24" s="93">
        <f>IF(MOD(AB$3,12)=4,MAX(AA24*(1+assumptions!$G$41),assumptions!$G56/den),'monthly pL'!AA24)</f>
        <v>0.54</v>
      </c>
      <c r="AC24" s="93">
        <f>IF(MOD(AC$3,12)=4,MAX(AB24*(1+assumptions!$G$41),assumptions!$G56/den),'monthly pL'!AB24)</f>
        <v>0.54</v>
      </c>
      <c r="AD24" s="93">
        <f>IF(MOD(AD$3,12)=4,MAX(AC24*(1+assumptions!$G$41),assumptions!$G56/den),'monthly pL'!AC24)</f>
        <v>0.54</v>
      </c>
      <c r="AE24" s="93">
        <f>IF(MOD(AE$3,12)=4,MAX(AD24*(1+assumptions!$G$41),assumptions!$G56/den),'monthly pL'!AD24)</f>
        <v>0.54</v>
      </c>
      <c r="AF24" s="93">
        <f>IF(MOD(AF$3,12)=4,MAX(AE24*(1+assumptions!$G$41),assumptions!$G56/den),'monthly pL'!AE24)</f>
        <v>0.58320000000000005</v>
      </c>
      <c r="AG24" s="93">
        <f>IF(MOD(AG$3,12)=4,MAX(AF24*(1+assumptions!$G$41),assumptions!$G56/den),'monthly pL'!AF24)</f>
        <v>0.58320000000000005</v>
      </c>
      <c r="AH24" s="93">
        <f>IF(MOD(AH$3,12)=4,MAX(AG24*(1+assumptions!$G$41),assumptions!$G56/den),'monthly pL'!AG24)</f>
        <v>0.58320000000000005</v>
      </c>
      <c r="AI24" s="93">
        <f>IF(MOD(AI$3,12)=4,MAX(AH24*(1+assumptions!$G$41),assumptions!$G56/den),'monthly pL'!AH24)</f>
        <v>0.58320000000000005</v>
      </c>
      <c r="AJ24" s="93">
        <f>IF(MOD(AJ$3,12)=4,MAX(AI24*(1+assumptions!$G$41),assumptions!$G56/den),'monthly pL'!AI24)</f>
        <v>0.58320000000000005</v>
      </c>
      <c r="AK24" s="93">
        <f>IF(MOD(AK$3,12)=4,MAX(AJ24*(1+assumptions!$G$41),assumptions!$G56/den),'monthly pL'!AJ24)</f>
        <v>0.58320000000000005</v>
      </c>
      <c r="AL24" s="93">
        <f>IF(MOD(AL$3,12)=4,MAX(AK24*(1+assumptions!$G$41),assumptions!$G56/den),'monthly pL'!AK24)</f>
        <v>0.58320000000000005</v>
      </c>
      <c r="AM24" s="93">
        <f>IF(MOD(AM$3,12)=4,MAX(AL24*(1+assumptions!$G$41),assumptions!$G56/den),'monthly pL'!AL24)</f>
        <v>0.58320000000000005</v>
      </c>
      <c r="AN24" s="93">
        <f>IF(MOD(AN$3,12)=4,MAX(AM24*(1+assumptions!$G$41),assumptions!$G56/den),'monthly pL'!AM24)</f>
        <v>0.58320000000000005</v>
      </c>
    </row>
    <row r="25" spans="1:40" x14ac:dyDescent="0.25">
      <c r="A25" t="str">
        <f>assumptions!A57</f>
        <v>Electricity (Based on area Rs./sq. Ft.)</v>
      </c>
      <c r="E25" s="93">
        <f>IF(MOD(E$3,12)=4,MAX(C25*(1+assumptions!$G$41),assumptions!$G$57*assumptions!$G$67/den),'monthly pL'!C25)</f>
        <v>0</v>
      </c>
      <c r="F25" s="93">
        <f>IF(MOD(F$3,12)=4,MAX(E25*(1+assumptions!$G$41),assumptions!$G$57*assumptions!$G$67/den),'monthly pL'!E25)</f>
        <v>0</v>
      </c>
      <c r="G25" s="93">
        <f>IF(MOD(G$3,12)=4,MAX(F25*(1+assumptions!$G$41),assumptions!$G$57*assumptions!$G$67/den),'monthly pL'!F25)</f>
        <v>0</v>
      </c>
      <c r="H25" s="93">
        <f>IF(MOD(H$3,12)=4,MAX(G25*(1+assumptions!$G$41),assumptions!$G$57*assumptions!$G$67/den),'monthly pL'!G25)</f>
        <v>0.26600000000000001</v>
      </c>
      <c r="I25" s="93">
        <f>IF(MOD(I$3,12)=4,MAX(H25*(1+assumptions!$G$41),assumptions!$G$57*assumptions!$G$67/den),'monthly pL'!H25)</f>
        <v>0.26600000000000001</v>
      </c>
      <c r="J25" s="93">
        <f>IF(MOD(J$3,12)=4,MAX(I25*(1+assumptions!$G$41),assumptions!$G$57*assumptions!$G$67/den),'monthly pL'!I25)</f>
        <v>0.26600000000000001</v>
      </c>
      <c r="K25" s="93">
        <f>IF(MOD(K$3,12)=4,MAX(J25*(1+assumptions!$G$41),assumptions!$G$57*assumptions!$G$67/den),'monthly pL'!J25)</f>
        <v>0.26600000000000001</v>
      </c>
      <c r="L25" s="93">
        <f>IF(MOD(L$3,12)=4,MAX(K25*(1+assumptions!$G$41),assumptions!$G$57*assumptions!$G$67/den),'monthly pL'!K25)</f>
        <v>0.26600000000000001</v>
      </c>
      <c r="M25" s="93">
        <f>IF(MOD(M$3,12)=4,MAX(L25*(1+assumptions!$G$41),assumptions!$G$57*assumptions!$G$67/den),'monthly pL'!L25)</f>
        <v>0.26600000000000001</v>
      </c>
      <c r="N25" s="93">
        <f>IF(MOD(N$3,12)=4,MAX(M25*(1+assumptions!$G$41),assumptions!$G$57*assumptions!$G$67/den),'monthly pL'!M25)</f>
        <v>0.26600000000000001</v>
      </c>
      <c r="O25" s="93">
        <f>IF(MOD(O$3,12)=4,MAX(N25*(1+assumptions!$G$41),assumptions!$G$57*assumptions!$G$67/den),'monthly pL'!N25)</f>
        <v>0.26600000000000001</v>
      </c>
      <c r="P25" s="93">
        <f>IF(MOD(P$3,12)=4,MAX(O25*(1+assumptions!$G$41),assumptions!$G$57*assumptions!$G$67/den),'monthly pL'!O25)</f>
        <v>0.26600000000000001</v>
      </c>
      <c r="Q25" s="93">
        <f>IF(MOD(Q$3,12)=4,MAX(P25*(1+assumptions!$G$41),assumptions!$G$57*assumptions!$G$67/den),'monthly pL'!P25)</f>
        <v>0.26600000000000001</v>
      </c>
      <c r="R25" s="93">
        <f>IF(MOD(R$3,12)=4,MAX(Q25*(1+assumptions!$G$41),assumptions!$G$57*assumptions!$G$67/den),'monthly pL'!Q25)</f>
        <v>0.26600000000000001</v>
      </c>
      <c r="S25" s="93">
        <f>IF(MOD(S$3,12)=4,MAX(R25*(1+assumptions!$G$41),assumptions!$G$57*assumptions!$G$67/den),'monthly pL'!R25)</f>
        <v>0.26600000000000001</v>
      </c>
      <c r="T25" s="93">
        <f>IF(MOD(T$3,12)=4,MAX(S25*(1+assumptions!$G$41),assumptions!$G$57*assumptions!$G$67/den),'monthly pL'!S25)</f>
        <v>0.28728000000000004</v>
      </c>
      <c r="U25" s="93">
        <f>IF(MOD(U$3,12)=4,MAX(T25*(1+assumptions!$G$41),assumptions!$G$57*assumptions!$G$67/den),'monthly pL'!T25)</f>
        <v>0.28728000000000004</v>
      </c>
      <c r="V25" s="93">
        <f>IF(MOD(V$3,12)=4,MAX(U25*(1+assumptions!$G$41),assumptions!$G$57*assumptions!$G$67/den),'monthly pL'!U25)</f>
        <v>0.28728000000000004</v>
      </c>
      <c r="W25" s="93">
        <f>IF(MOD(W$3,12)=4,MAX(V25*(1+assumptions!$G$41),assumptions!$G$57*assumptions!$G$67/den),'monthly pL'!V25)</f>
        <v>0.28728000000000004</v>
      </c>
      <c r="X25" s="93">
        <f>IF(MOD(X$3,12)=4,MAX(W25*(1+assumptions!$G$41),assumptions!$G$57*assumptions!$G$67/den),'monthly pL'!W25)</f>
        <v>0.28728000000000004</v>
      </c>
      <c r="Y25" s="93">
        <f>IF(MOD(Y$3,12)=4,MAX(X25*(1+assumptions!$G$41),assumptions!$G$57*assumptions!$G$67/den),'monthly pL'!X25)</f>
        <v>0.28728000000000004</v>
      </c>
      <c r="Z25" s="93">
        <f>IF(MOD(Z$3,12)=4,MAX(Y25*(1+assumptions!$G$41),assumptions!$G$57*assumptions!$G$67/den),'monthly pL'!Y25)</f>
        <v>0.28728000000000004</v>
      </c>
      <c r="AA25" s="93">
        <f>IF(MOD(AA$3,12)=4,MAX(Z25*(1+assumptions!$G$41),assumptions!$G$57*assumptions!$G$67/den),'monthly pL'!Z25)</f>
        <v>0.28728000000000004</v>
      </c>
      <c r="AB25" s="93">
        <f>IF(MOD(AB$3,12)=4,MAX(AA25*(1+assumptions!$G$41),assumptions!$G$57*assumptions!$G$67/den),'monthly pL'!AA25)</f>
        <v>0.28728000000000004</v>
      </c>
      <c r="AC25" s="93">
        <f>IF(MOD(AC$3,12)=4,MAX(AB25*(1+assumptions!$G$41),assumptions!$G$57*assumptions!$G$67/den),'monthly pL'!AB25)</f>
        <v>0.28728000000000004</v>
      </c>
      <c r="AD25" s="93">
        <f>IF(MOD(AD$3,12)=4,MAX(AC25*(1+assumptions!$G$41),assumptions!$G$57*assumptions!$G$67/den),'monthly pL'!AC25)</f>
        <v>0.28728000000000004</v>
      </c>
      <c r="AE25" s="93">
        <f>IF(MOD(AE$3,12)=4,MAX(AD25*(1+assumptions!$G$41),assumptions!$G$57*assumptions!$G$67/den),'monthly pL'!AD25)</f>
        <v>0.28728000000000004</v>
      </c>
      <c r="AF25" s="93">
        <f>IF(MOD(AF$3,12)=4,MAX(AE25*(1+assumptions!$G$41),assumptions!$G$57*assumptions!$G$67/den),'monthly pL'!AE25)</f>
        <v>0.31026240000000005</v>
      </c>
      <c r="AG25" s="93">
        <f>IF(MOD(AG$3,12)=4,MAX(AF25*(1+assumptions!$G$41),assumptions!$G$57*assumptions!$G$67/den),'monthly pL'!AF25)</f>
        <v>0.31026240000000005</v>
      </c>
      <c r="AH25" s="93">
        <f>IF(MOD(AH$3,12)=4,MAX(AG25*(1+assumptions!$G$41),assumptions!$G$57*assumptions!$G$67/den),'monthly pL'!AG25)</f>
        <v>0.31026240000000005</v>
      </c>
      <c r="AI25" s="93">
        <f>IF(MOD(AI$3,12)=4,MAX(AH25*(1+assumptions!$G$41),assumptions!$G$57*assumptions!$G$67/den),'monthly pL'!AH25)</f>
        <v>0.31026240000000005</v>
      </c>
      <c r="AJ25" s="93">
        <f>IF(MOD(AJ$3,12)=4,MAX(AI25*(1+assumptions!$G$41),assumptions!$G$57*assumptions!$G$67/den),'monthly pL'!AI25)</f>
        <v>0.31026240000000005</v>
      </c>
      <c r="AK25" s="93">
        <f>IF(MOD(AK$3,12)=4,MAX(AJ25*(1+assumptions!$G$41),assumptions!$G$57*assumptions!$G$67/den),'monthly pL'!AJ25)</f>
        <v>0.31026240000000005</v>
      </c>
      <c r="AL25" s="93">
        <f>IF(MOD(AL$3,12)=4,MAX(AK25*(1+assumptions!$G$41),assumptions!$G$57*assumptions!$G$67/den),'monthly pL'!AK25)</f>
        <v>0.31026240000000005</v>
      </c>
      <c r="AM25" s="93">
        <f>IF(MOD(AM$3,12)=4,MAX(AL25*(1+assumptions!$G$41),assumptions!$G$57*assumptions!$G$67/den),'monthly pL'!AL25)</f>
        <v>0.31026240000000005</v>
      </c>
      <c r="AN25" s="93">
        <f>IF(MOD(AN$3,12)=4,MAX(AM25*(1+assumptions!$G$41),assumptions!$G$57*assumptions!$G$67/den),'monthly pL'!AM25)</f>
        <v>0.31026240000000005</v>
      </c>
    </row>
    <row r="26" spans="1:40" x14ac:dyDescent="0.25">
      <c r="A26" t="str">
        <f>assumptions!A58</f>
        <v>Phone and internet (per month)</v>
      </c>
      <c r="E26" s="93">
        <f>IF(MOD(E$3,12)=4,MAX(C26*(1+assumptions!$G$41),assumptions!$G$58/den),'monthly pL'!C26)</f>
        <v>0</v>
      </c>
      <c r="F26" s="93">
        <f>IF(MOD(F$3,12)=4,MAX(E26*(1+assumptions!$G$41),assumptions!$G$58/den),'monthly pL'!E26)</f>
        <v>0</v>
      </c>
      <c r="G26" s="93">
        <f>IF(MOD(G$3,12)=4,MAX(F26*(1+assumptions!$G$41),assumptions!$G$58/den),'monthly pL'!F26)</f>
        <v>0</v>
      </c>
      <c r="H26" s="93">
        <f>IF(MOD(H$3,12)=4,MAX(G26*(1+assumptions!$G$41),assumptions!$G$58/den),'monthly pL'!G26)</f>
        <v>0.15</v>
      </c>
      <c r="I26" s="93">
        <f>IF(MOD(I$3,12)=4,MAX(H26*(1+assumptions!$G$41),assumptions!$G$58/den),'monthly pL'!H26)</f>
        <v>0.15</v>
      </c>
      <c r="J26" s="93">
        <f>IF(MOD(J$3,12)=4,MAX(I26*(1+assumptions!$G$41),assumptions!$G$58/den),'monthly pL'!I26)</f>
        <v>0.15</v>
      </c>
      <c r="K26" s="93">
        <f>IF(MOD(K$3,12)=4,MAX(J26*(1+assumptions!$G$41),assumptions!$G$58/den),'monthly pL'!J26)</f>
        <v>0.15</v>
      </c>
      <c r="L26" s="93">
        <f>IF(MOD(L$3,12)=4,MAX(K26*(1+assumptions!$G$41),assumptions!$G$58/den),'monthly pL'!K26)</f>
        <v>0.15</v>
      </c>
      <c r="M26" s="93">
        <f>IF(MOD(M$3,12)=4,MAX(L26*(1+assumptions!$G$41),assumptions!$G$58/den),'monthly pL'!L26)</f>
        <v>0.15</v>
      </c>
      <c r="N26" s="93">
        <f>IF(MOD(N$3,12)=4,MAX(M26*(1+assumptions!$G$41),assumptions!$G$58/den),'monthly pL'!M26)</f>
        <v>0.15</v>
      </c>
      <c r="O26" s="93">
        <f>IF(MOD(O$3,12)=4,MAX(N26*(1+assumptions!$G$41),assumptions!$G$58/den),'monthly pL'!N26)</f>
        <v>0.15</v>
      </c>
      <c r="P26" s="93">
        <f>IF(MOD(P$3,12)=4,MAX(O26*(1+assumptions!$G$41),assumptions!$G$58/den),'monthly pL'!O26)</f>
        <v>0.15</v>
      </c>
      <c r="Q26" s="93">
        <f>IF(MOD(Q$3,12)=4,MAX(P26*(1+assumptions!$G$41),assumptions!$G$58/den),'monthly pL'!P26)</f>
        <v>0.15</v>
      </c>
      <c r="R26" s="93">
        <f>IF(MOD(R$3,12)=4,MAX(Q26*(1+assumptions!$G$41),assumptions!$G$58/den),'monthly pL'!Q26)</f>
        <v>0.15</v>
      </c>
      <c r="S26" s="93">
        <f>IF(MOD(S$3,12)=4,MAX(R26*(1+assumptions!$G$41),assumptions!$G$58/den),'monthly pL'!R26)</f>
        <v>0.15</v>
      </c>
      <c r="T26" s="93">
        <f>IF(MOD(T$3,12)=4,MAX(S26*(1+assumptions!$G$41),assumptions!$G$58/den),'monthly pL'!S26)</f>
        <v>0.16200000000000001</v>
      </c>
      <c r="U26" s="93">
        <f>IF(MOD(U$3,12)=4,MAX(T26*(1+assumptions!$G$41),assumptions!$G$58/den),'monthly pL'!T26)</f>
        <v>0.16200000000000001</v>
      </c>
      <c r="V26" s="93">
        <f>IF(MOD(V$3,12)=4,MAX(U26*(1+assumptions!$G$41),assumptions!$G$58/den),'monthly pL'!U26)</f>
        <v>0.16200000000000001</v>
      </c>
      <c r="W26" s="93">
        <f>IF(MOD(W$3,12)=4,MAX(V26*(1+assumptions!$G$41),assumptions!$G$58/den),'monthly pL'!V26)</f>
        <v>0.16200000000000001</v>
      </c>
      <c r="X26" s="93">
        <f>IF(MOD(X$3,12)=4,MAX(W26*(1+assumptions!$G$41),assumptions!$G$58/den),'monthly pL'!W26)</f>
        <v>0.16200000000000001</v>
      </c>
      <c r="Y26" s="93">
        <f>IF(MOD(Y$3,12)=4,MAX(X26*(1+assumptions!$G$41),assumptions!$G$58/den),'monthly pL'!X26)</f>
        <v>0.16200000000000001</v>
      </c>
      <c r="Z26" s="93">
        <f>IF(MOD(Z$3,12)=4,MAX(Y26*(1+assumptions!$G$41),assumptions!$G$58/den),'monthly pL'!Y26)</f>
        <v>0.16200000000000001</v>
      </c>
      <c r="AA26" s="93">
        <f>IF(MOD(AA$3,12)=4,MAX(Z26*(1+assumptions!$G$41),assumptions!$G$58/den),'monthly pL'!Z26)</f>
        <v>0.16200000000000001</v>
      </c>
      <c r="AB26" s="93">
        <f>IF(MOD(AB$3,12)=4,MAX(AA26*(1+assumptions!$G$41),assumptions!$G$58/den),'monthly pL'!AA26)</f>
        <v>0.16200000000000001</v>
      </c>
      <c r="AC26" s="93">
        <f>IF(MOD(AC$3,12)=4,MAX(AB26*(1+assumptions!$G$41),assumptions!$G$58/den),'monthly pL'!AB26)</f>
        <v>0.16200000000000001</v>
      </c>
      <c r="AD26" s="93">
        <f>IF(MOD(AD$3,12)=4,MAX(AC26*(1+assumptions!$G$41),assumptions!$G$58/den),'monthly pL'!AC26)</f>
        <v>0.16200000000000001</v>
      </c>
      <c r="AE26" s="93">
        <f>IF(MOD(AE$3,12)=4,MAX(AD26*(1+assumptions!$G$41),assumptions!$G$58/den),'monthly pL'!AD26)</f>
        <v>0.16200000000000001</v>
      </c>
      <c r="AF26" s="93">
        <f>IF(MOD(AF$3,12)=4,MAX(AE26*(1+assumptions!$G$41),assumptions!$G$58/den),'monthly pL'!AE26)</f>
        <v>0.17496</v>
      </c>
      <c r="AG26" s="93">
        <f>IF(MOD(AG$3,12)=4,MAX(AF26*(1+assumptions!$G$41),assumptions!$G$58/den),'monthly pL'!AF26)</f>
        <v>0.17496</v>
      </c>
      <c r="AH26" s="93">
        <f>IF(MOD(AH$3,12)=4,MAX(AG26*(1+assumptions!$G$41),assumptions!$G$58/den),'monthly pL'!AG26)</f>
        <v>0.17496</v>
      </c>
      <c r="AI26" s="93">
        <f>IF(MOD(AI$3,12)=4,MAX(AH26*(1+assumptions!$G$41),assumptions!$G$58/den),'monthly pL'!AH26)</f>
        <v>0.17496</v>
      </c>
      <c r="AJ26" s="93">
        <f>IF(MOD(AJ$3,12)=4,MAX(AI26*(1+assumptions!$G$41),assumptions!$G$58/den),'monthly pL'!AI26)</f>
        <v>0.17496</v>
      </c>
      <c r="AK26" s="93">
        <f>IF(MOD(AK$3,12)=4,MAX(AJ26*(1+assumptions!$G$41),assumptions!$G$58/den),'monthly pL'!AJ26)</f>
        <v>0.17496</v>
      </c>
      <c r="AL26" s="93">
        <f>IF(MOD(AL$3,12)=4,MAX(AK26*(1+assumptions!$G$41),assumptions!$G$58/den),'monthly pL'!AK26)</f>
        <v>0.17496</v>
      </c>
      <c r="AM26" s="93">
        <f>IF(MOD(AM$3,12)=4,MAX(AL26*(1+assumptions!$G$41),assumptions!$G$58/den),'monthly pL'!AL26)</f>
        <v>0.17496</v>
      </c>
      <c r="AN26" s="93">
        <f>IF(MOD(AN$3,12)=4,MAX(AM26*(1+assumptions!$G$41),assumptions!$G$58/den),'monthly pL'!AM26)</f>
        <v>0.17496</v>
      </c>
    </row>
    <row r="27" spans="1:40" x14ac:dyDescent="0.25">
      <c r="A27" t="str">
        <f>assumptions!A59</f>
        <v>Housekeeping  &amp; Consumables (% of revenue)</v>
      </c>
      <c r="E27" s="93">
        <f>E9*assumptions!$G$59</f>
        <v>0</v>
      </c>
      <c r="F27" s="93">
        <f>F9*assumptions!$G$59</f>
        <v>0</v>
      </c>
      <c r="G27" s="93">
        <f>G9*assumptions!$G$59</f>
        <v>0</v>
      </c>
      <c r="H27" s="93">
        <f>H9*assumptions!$G$59</f>
        <v>0.65939999999999999</v>
      </c>
      <c r="I27" s="93">
        <f>I9*assumptions!$G$59</f>
        <v>0.69338639999999996</v>
      </c>
      <c r="J27" s="93">
        <f>J9*assumptions!$G$59</f>
        <v>0.67479888000000021</v>
      </c>
      <c r="K27" s="93">
        <f>K9*assumptions!$G$59</f>
        <v>0.72318294720000009</v>
      </c>
      <c r="L27" s="93">
        <f>L9*assumptions!$G$59</f>
        <v>0.7221765587904001</v>
      </c>
      <c r="M27" s="93">
        <f>M9*assumptions!$G$59</f>
        <v>0.75223838584204805</v>
      </c>
      <c r="N27" s="93">
        <f>N9*assumptions!$G$59</f>
        <v>0.79702436891551498</v>
      </c>
      <c r="O27" s="93">
        <f>O9*assumptions!$G$59</f>
        <v>0.72683011178655688</v>
      </c>
      <c r="P27" s="93">
        <f>P9*assumptions!$G$59</f>
        <v>0.81493565114131683</v>
      </c>
      <c r="Q27" s="93">
        <f>Q9*assumptions!$G$59</f>
        <v>0.81403111751034318</v>
      </c>
      <c r="R27" s="93">
        <f>R9*assumptions!$G$59</f>
        <v>0.89246007986632392</v>
      </c>
      <c r="S27" s="93">
        <f>S9*assumptions!$G$59</f>
        <v>0.8595280163100576</v>
      </c>
      <c r="T27" s="93">
        <f>T9*assumptions!$G$59</f>
        <v>0.97269396701059574</v>
      </c>
      <c r="U27" s="93">
        <f>U9*assumptions!$G$59</f>
        <v>1.0002816023514414</v>
      </c>
      <c r="V27" s="93">
        <f>V9*assumptions!$G$59</f>
        <v>0.97987150458198791</v>
      </c>
      <c r="W27" s="93">
        <f>W9*assumptions!$G$59</f>
        <v>1.0816462823303814</v>
      </c>
      <c r="X27" s="93">
        <f>X9*assumptions!$G$59</f>
        <v>1.035567459331534</v>
      </c>
      <c r="Y27" s="93">
        <f>Y9*assumptions!$G$59</f>
        <v>1.0931421895766069</v>
      </c>
      <c r="Z27" s="93">
        <f>Z9*assumptions!$G$59</f>
        <v>1.1802079242454149</v>
      </c>
      <c r="AA27" s="93">
        <f>AA9*assumptions!$G$59</f>
        <v>1.0667671180639422</v>
      </c>
      <c r="AB27" s="93">
        <f>AB9*assumptions!$G$59</f>
        <v>1.1880484408325911</v>
      </c>
      <c r="AC27" s="93">
        <f>AC9*assumptions!$G$59</f>
        <v>1.2245265062513866</v>
      </c>
      <c r="AD27" s="93">
        <f>AD9*assumptions!$G$59</f>
        <v>1.29195565097283</v>
      </c>
      <c r="AE27" s="93">
        <f>AE9*assumptions!$G$59</f>
        <v>1.2602705783368522</v>
      </c>
      <c r="AF27" s="93">
        <f>AF9*assumptions!$G$59</f>
        <v>1.4791044307189409</v>
      </c>
      <c r="AG27" s="93">
        <f>AG9*assumptions!$G$59</f>
        <v>1.4357649396768017</v>
      </c>
      <c r="AH27" s="93">
        <f>AH9*assumptions!$G$59</f>
        <v>1.4414763454653061</v>
      </c>
      <c r="AI27" s="93">
        <f>AI9*assumptions!$G$59</f>
        <v>1.6179931186616614</v>
      </c>
      <c r="AJ27" s="93">
        <f>AJ9*assumptions!$G$59</f>
        <v>1.5267928146099063</v>
      </c>
      <c r="AK27" s="93">
        <f>AK9*assumptions!$G$59</f>
        <v>1.6418485424483202</v>
      </c>
      <c r="AL27" s="93">
        <f>AL9*assumptions!$G$59</f>
        <v>1.6584919932972872</v>
      </c>
      <c r="AM27" s="93">
        <f>AM9*assumptions!$G$59</f>
        <v>1.5067959210574844</v>
      </c>
      <c r="AN27" s="93">
        <f>AN9*assumptions!$G$59</f>
        <v>1.642961439400429</v>
      </c>
    </row>
    <row r="28" spans="1:40" x14ac:dyDescent="0.25">
      <c r="A28" t="str">
        <f>assumptions!A60</f>
        <v>Payment Settlement Charges (% or revenue)</v>
      </c>
      <c r="E28" s="93">
        <f>assumptions!$G$60*'monthly pL'!E$9</f>
        <v>0</v>
      </c>
      <c r="F28" s="93">
        <f>assumptions!$G$60*'monthly pL'!F$9</f>
        <v>0</v>
      </c>
      <c r="G28" s="93">
        <f>assumptions!$G$60*'monthly pL'!G$9</f>
        <v>0</v>
      </c>
      <c r="H28" s="93">
        <f>assumptions!$G$60*'monthly pL'!H$9</f>
        <v>0.49454999999999999</v>
      </c>
      <c r="I28" s="93">
        <f>assumptions!$G$60*'monthly pL'!I$9</f>
        <v>0.52003979999999994</v>
      </c>
      <c r="J28" s="93">
        <f>assumptions!$G$60*'monthly pL'!J$9</f>
        <v>0.5060991600000001</v>
      </c>
      <c r="K28" s="93">
        <f>assumptions!$G$60*'monthly pL'!K$9</f>
        <v>0.54238721040000004</v>
      </c>
      <c r="L28" s="93">
        <f>assumptions!$G$60*'monthly pL'!L$9</f>
        <v>0.54163241909280002</v>
      </c>
      <c r="M28" s="93">
        <f>assumptions!$G$60*'monthly pL'!M$9</f>
        <v>0.56417878938153598</v>
      </c>
      <c r="N28" s="93">
        <f>assumptions!$G$60*'monthly pL'!N$9</f>
        <v>0.59776827668663624</v>
      </c>
      <c r="O28" s="93">
        <f>assumptions!$G$60*'monthly pL'!O$9</f>
        <v>0.54512258383991763</v>
      </c>
      <c r="P28" s="93">
        <f>assumptions!$G$60*'monthly pL'!P$9</f>
        <v>0.61120173835598757</v>
      </c>
      <c r="Q28" s="93">
        <f>assumptions!$G$60*'monthly pL'!Q$9</f>
        <v>0.61052333813275739</v>
      </c>
      <c r="R28" s="93">
        <f>assumptions!$G$60*'monthly pL'!R$9</f>
        <v>0.66934505989974291</v>
      </c>
      <c r="S28" s="93">
        <f>assumptions!$G$60*'monthly pL'!S$9</f>
        <v>0.64464601223254314</v>
      </c>
      <c r="T28" s="93">
        <f>assumptions!$G$60*'monthly pL'!T$9</f>
        <v>0.72952047525794683</v>
      </c>
      <c r="U28" s="93">
        <f>assumptions!$G$60*'monthly pL'!U$9</f>
        <v>0.75021120176358091</v>
      </c>
      <c r="V28" s="93">
        <f>assumptions!$G$60*'monthly pL'!V$9</f>
        <v>0.73490362843649082</v>
      </c>
      <c r="W28" s="93">
        <f>assumptions!$G$60*'monthly pL'!W$9</f>
        <v>0.81123471174778605</v>
      </c>
      <c r="X28" s="93">
        <f>assumptions!$G$60*'monthly pL'!X$9</f>
        <v>0.77667559449865042</v>
      </c>
      <c r="Y28" s="93">
        <f>assumptions!$G$60*'monthly pL'!Y$9</f>
        <v>0.81985664218245513</v>
      </c>
      <c r="Z28" s="93">
        <f>assumptions!$G$60*'monthly pL'!Z$9</f>
        <v>0.8851559431840611</v>
      </c>
      <c r="AA28" s="93">
        <f>assumptions!$G$60*'monthly pL'!AA$9</f>
        <v>0.80007533854795654</v>
      </c>
      <c r="AB28" s="93">
        <f>assumptions!$G$60*'monthly pL'!AB$9</f>
        <v>0.89103633062444321</v>
      </c>
      <c r="AC28" s="93">
        <f>assumptions!$G$60*'monthly pL'!AC$9</f>
        <v>0.91839487968853994</v>
      </c>
      <c r="AD28" s="93">
        <f>assumptions!$G$60*'monthly pL'!AD$9</f>
        <v>0.96896673822962254</v>
      </c>
      <c r="AE28" s="93">
        <f>assumptions!$G$60*'monthly pL'!AE$9</f>
        <v>0.94520293375263897</v>
      </c>
      <c r="AF28" s="93">
        <f>assumptions!$G$60*'monthly pL'!AF$9</f>
        <v>1.1093283230392057</v>
      </c>
      <c r="AG28" s="93">
        <f>assumptions!$G$60*'monthly pL'!AG$9</f>
        <v>1.0768237047576013</v>
      </c>
      <c r="AH28" s="93">
        <f>assumptions!$G$60*'monthly pL'!AH$9</f>
        <v>1.0811072590989796</v>
      </c>
      <c r="AI28" s="93">
        <f>assumptions!$G$60*'monthly pL'!AI$9</f>
        <v>1.2134948389962459</v>
      </c>
      <c r="AJ28" s="93">
        <f>assumptions!$G$60*'monthly pL'!AJ$9</f>
        <v>1.1450946109574298</v>
      </c>
      <c r="AK28" s="93">
        <f>assumptions!$G$60*'monthly pL'!AK$9</f>
        <v>1.2313864068362401</v>
      </c>
      <c r="AL28" s="93">
        <f>assumptions!$G$60*'monthly pL'!AL$9</f>
        <v>1.2438689949729653</v>
      </c>
      <c r="AM28" s="93">
        <f>assumptions!$G$60*'monthly pL'!AM$9</f>
        <v>1.1300969407931132</v>
      </c>
      <c r="AN28" s="93">
        <f>assumptions!$G$60*'monthly pL'!AN$9</f>
        <v>1.2322210795503217</v>
      </c>
    </row>
    <row r="29" spans="1:40" s="86" customFormat="1" x14ac:dyDescent="0.25">
      <c r="A29" s="86" t="s">
        <v>119</v>
      </c>
      <c r="E29" s="110">
        <f>SUM(E19:E28)</f>
        <v>0</v>
      </c>
      <c r="F29" s="110">
        <f t="shared" ref="F29:Q29" si="27">SUM(F19:F28)</f>
        <v>0</v>
      </c>
      <c r="G29" s="110">
        <f t="shared" si="27"/>
        <v>0</v>
      </c>
      <c r="H29" s="110">
        <f t="shared" si="27"/>
        <v>11.41545</v>
      </c>
      <c r="I29" s="110">
        <f t="shared" si="27"/>
        <v>11.729824199999999</v>
      </c>
      <c r="J29" s="110">
        <f t="shared" si="27"/>
        <v>11.557889640000003</v>
      </c>
      <c r="K29" s="110">
        <f t="shared" si="27"/>
        <v>12.005442261600001</v>
      </c>
      <c r="L29" s="110">
        <f t="shared" si="27"/>
        <v>11.9961331688112</v>
      </c>
      <c r="M29" s="110">
        <f t="shared" si="27"/>
        <v>12.274205069038944</v>
      </c>
      <c r="N29" s="110">
        <f t="shared" si="27"/>
        <v>12.688475412468515</v>
      </c>
      <c r="O29" s="110">
        <f t="shared" si="27"/>
        <v>12.03917853402565</v>
      </c>
      <c r="P29" s="110">
        <f t="shared" si="27"/>
        <v>12.854154773057182</v>
      </c>
      <c r="Q29" s="110">
        <f t="shared" si="27"/>
        <v>12.845787836970674</v>
      </c>
      <c r="R29" s="110">
        <f t="shared" ref="R29" si="28">SUM(R19:R28)</f>
        <v>13.571255738763497</v>
      </c>
      <c r="S29" s="110">
        <f t="shared" ref="S29" si="29">SUM(S19:S28)</f>
        <v>13.266634150868033</v>
      </c>
      <c r="T29" s="110">
        <f t="shared" ref="T29" si="30">SUM(T19:T28)</f>
        <v>14.738699194848012</v>
      </c>
      <c r="U29" s="110">
        <f t="shared" ref="U29" si="31">SUM(U19:U28)</f>
        <v>14.99388482175083</v>
      </c>
      <c r="V29" s="110">
        <f t="shared" ref="V29" si="32">SUM(V19:V28)</f>
        <v>14.805091417383389</v>
      </c>
      <c r="W29" s="110">
        <f t="shared" ref="W29" si="33">SUM(W19:W28)</f>
        <v>15.746508111556032</v>
      </c>
      <c r="X29" s="110">
        <f t="shared" ref="X29" si="34">SUM(X19:X28)</f>
        <v>15.320278998816692</v>
      </c>
      <c r="Y29" s="110">
        <f t="shared" ref="Y29" si="35">SUM(Y19:Y28)</f>
        <v>15.852845253583613</v>
      </c>
      <c r="Z29" s="110">
        <f t="shared" ref="Z29" si="36">SUM(Z19:Z28)</f>
        <v>16.658203299270088</v>
      </c>
      <c r="AA29" s="110">
        <f t="shared" ref="AA29" si="37">SUM(AA19:AA28)</f>
        <v>15.608875842091466</v>
      </c>
      <c r="AB29" s="110">
        <f t="shared" ref="AB29:AC29" si="38">SUM(AB19:AB28)</f>
        <v>16.730728077701471</v>
      </c>
      <c r="AC29" s="110">
        <f t="shared" si="38"/>
        <v>17.068150182825327</v>
      </c>
      <c r="AD29" s="110">
        <f t="shared" ref="AD29" si="39">SUM(AD19:AD28)</f>
        <v>17.691869771498681</v>
      </c>
      <c r="AE29" s="110">
        <f t="shared" ref="AE29" si="40">SUM(AE19:AE28)</f>
        <v>17.398782849615881</v>
      </c>
      <c r="AF29" s="110">
        <f t="shared" ref="AF29" si="41">SUM(AF19:AF28)</f>
        <v>19.882298384150204</v>
      </c>
      <c r="AG29" s="110">
        <f t="shared" ref="AG29" si="42">SUM(AG19:AG28)</f>
        <v>19.481408092010415</v>
      </c>
      <c r="AH29" s="110">
        <f t="shared" ref="AH29" si="43">SUM(AH19:AH28)</f>
        <v>19.534238595554083</v>
      </c>
      <c r="AI29" s="110">
        <f t="shared" ref="AI29" si="44">SUM(AI19:AI28)</f>
        <v>21.167018747620371</v>
      </c>
      <c r="AJ29" s="110">
        <f t="shared" ref="AJ29" si="45">SUM(AJ19:AJ28)</f>
        <v>20.323415935141636</v>
      </c>
      <c r="AK29" s="110">
        <f t="shared" ref="AK29" si="46">SUM(AK19:AK28)</f>
        <v>21.387681417646963</v>
      </c>
      <c r="AL29" s="110">
        <f t="shared" ref="AL29" si="47">SUM(AL19:AL28)</f>
        <v>21.541633337999905</v>
      </c>
      <c r="AM29" s="110">
        <f t="shared" ref="AM29" si="48">SUM(AM19:AM28)</f>
        <v>20.13844466978173</v>
      </c>
      <c r="AN29" s="110">
        <f>SUM(AN19:AN28)</f>
        <v>21.39797571445397</v>
      </c>
    </row>
    <row r="30" spans="1:40" x14ac:dyDescent="0.25"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</row>
    <row r="31" spans="1:40" ht="15.75" thickBot="1" x14ac:dyDescent="0.3">
      <c r="A31" s="118" t="s">
        <v>120</v>
      </c>
      <c r="B31" s="119"/>
      <c r="C31" s="119"/>
      <c r="E31" s="120">
        <f>E9-E16-E29</f>
        <v>0</v>
      </c>
      <c r="F31" s="120">
        <f t="shared" ref="F31:AN31" si="49">F9-F16-F29</f>
        <v>0</v>
      </c>
      <c r="G31" s="120">
        <f t="shared" si="49"/>
        <v>0</v>
      </c>
      <c r="H31" s="120">
        <f t="shared" si="49"/>
        <v>0.75744999999999862</v>
      </c>
      <c r="I31" s="120">
        <f t="shared" si="49"/>
        <v>1.572321800000001</v>
      </c>
      <c r="J31" s="120">
        <f t="shared" si="49"/>
        <v>1.1280506000000052</v>
      </c>
      <c r="K31" s="120">
        <f t="shared" si="49"/>
        <v>2.2943531032000042</v>
      </c>
      <c r="L31" s="120">
        <f t="shared" si="49"/>
        <v>2.2687002641968039</v>
      </c>
      <c r="M31" s="120">
        <f t="shared" si="49"/>
        <v>2.9988136668519356</v>
      </c>
      <c r="N31" s="120">
        <f t="shared" si="49"/>
        <v>4.0733971962324365</v>
      </c>
      <c r="O31" s="120">
        <f t="shared" si="49"/>
        <v>2.3813313995714456</v>
      </c>
      <c r="P31" s="120">
        <f t="shared" si="49"/>
        <v>4.5123477129083973</v>
      </c>
      <c r="Q31" s="120">
        <f t="shared" si="49"/>
        <v>4.4890544306797207</v>
      </c>
      <c r="R31" s="120">
        <f t="shared" si="49"/>
        <v>6.3762910205997159</v>
      </c>
      <c r="S31" s="120">
        <f t="shared" si="49"/>
        <v>5.5872144661386578</v>
      </c>
      <c r="T31" s="120">
        <f t="shared" si="49"/>
        <v>7.1030147253836216</v>
      </c>
      <c r="U31" s="120">
        <f t="shared" si="49"/>
        <v>7.7687645769065572</v>
      </c>
      <c r="V31" s="120">
        <f t="shared" si="49"/>
        <v>7.2785959753644018</v>
      </c>
      <c r="W31" s="120">
        <f t="shared" si="49"/>
        <v>9.7278236789014585</v>
      </c>
      <c r="X31" s="120">
        <f t="shared" si="49"/>
        <v>8.6227724167459012</v>
      </c>
      <c r="Y31" s="120">
        <f t="shared" si="49"/>
        <v>10.014204141932328</v>
      </c>
      <c r="Z31" s="120">
        <f t="shared" si="49"/>
        <v>12.105694350689571</v>
      </c>
      <c r="AA31" s="120">
        <f t="shared" si="49"/>
        <v>9.3715920730063598</v>
      </c>
      <c r="AB31" s="120">
        <f t="shared" si="49"/>
        <v>12.30462356482785</v>
      </c>
      <c r="AC31" s="120">
        <f t="shared" si="49"/>
        <v>13.177467044185008</v>
      </c>
      <c r="AD31" s="120">
        <f t="shared" si="49"/>
        <v>14.806656494170646</v>
      </c>
      <c r="AE31" s="120">
        <f t="shared" si="49"/>
        <v>14.045217086185676</v>
      </c>
      <c r="AF31" s="120">
        <f t="shared" si="49"/>
        <v>18.006129129676985</v>
      </c>
      <c r="AG31" s="120">
        <f t="shared" si="49"/>
        <v>16.97240306351031</v>
      </c>
      <c r="AH31" s="120">
        <f t="shared" si="49"/>
        <v>17.10762305959253</v>
      </c>
      <c r="AI31" s="120">
        <f t="shared" si="49"/>
        <v>21.356274192814336</v>
      </c>
      <c r="AJ31" s="120">
        <f t="shared" si="49"/>
        <v>19.166099532066301</v>
      </c>
      <c r="AK31" s="120">
        <f t="shared" si="49"/>
        <v>21.938967490445652</v>
      </c>
      <c r="AL31" s="120">
        <f t="shared" si="49"/>
        <v>22.341778628254588</v>
      </c>
      <c r="AM31" s="120">
        <f t="shared" si="49"/>
        <v>18.68108249892698</v>
      </c>
      <c r="AN31" s="120">
        <f t="shared" si="49"/>
        <v>21.976612246441334</v>
      </c>
    </row>
    <row r="32" spans="1:40" ht="15.75" thickTop="1" x14ac:dyDescent="0.25"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</row>
    <row r="33" spans="1:40" x14ac:dyDescent="0.25">
      <c r="A33" t="s">
        <v>121</v>
      </c>
      <c r="E33" s="121" t="e">
        <f>E31/E9</f>
        <v>#DIV/0!</v>
      </c>
      <c r="F33" s="121" t="e">
        <f t="shared" ref="F33:H33" si="50">F31/F9</f>
        <v>#DIV/0!</v>
      </c>
      <c r="G33" s="121" t="e">
        <f t="shared" si="50"/>
        <v>#DIV/0!</v>
      </c>
      <c r="H33" s="121">
        <f t="shared" si="50"/>
        <v>2.2973915680922011E-2</v>
      </c>
      <c r="I33" s="121">
        <f>I31/I9</f>
        <v>4.5351965368804495E-2</v>
      </c>
      <c r="J33" s="121">
        <f t="shared" ref="J33:AN33" si="51">J31/J9</f>
        <v>3.3433683233143628E-2</v>
      </c>
      <c r="K33" s="121">
        <f t="shared" si="51"/>
        <v>6.3451526673387909E-2</v>
      </c>
      <c r="L33" s="121">
        <f t="shared" si="51"/>
        <v>6.2829518255112932E-2</v>
      </c>
      <c r="M33" s="121">
        <f t="shared" si="51"/>
        <v>7.9730407894436126E-2</v>
      </c>
      <c r="N33" s="121">
        <f t="shared" si="51"/>
        <v>0.10221512302754243</v>
      </c>
      <c r="O33" s="121">
        <f t="shared" si="51"/>
        <v>6.5526492668777997E-2</v>
      </c>
      <c r="P33" s="121">
        <f t="shared" si="51"/>
        <v>0.11074120285666376</v>
      </c>
      <c r="Q33" s="121">
        <f t="shared" si="51"/>
        <v>0.11029196142794093</v>
      </c>
      <c r="R33" s="121">
        <f t="shared" si="51"/>
        <v>0.14289246464793767</v>
      </c>
      <c r="S33" s="121">
        <f t="shared" si="51"/>
        <v>0.13000657012029684</v>
      </c>
      <c r="T33" s="121">
        <f t="shared" si="51"/>
        <v>0.14604829404285277</v>
      </c>
      <c r="U33" s="121">
        <f t="shared" si="51"/>
        <v>0.15533154980845207</v>
      </c>
      <c r="V33" s="121">
        <f t="shared" si="51"/>
        <v>0.14856225415942559</v>
      </c>
      <c r="W33" s="121">
        <f t="shared" si="51"/>
        <v>0.17987069965133318</v>
      </c>
      <c r="X33" s="121">
        <f t="shared" si="51"/>
        <v>0.16653231692529161</v>
      </c>
      <c r="Y33" s="121">
        <f t="shared" si="51"/>
        <v>0.18321869263523724</v>
      </c>
      <c r="Z33" s="121">
        <f t="shared" si="51"/>
        <v>0.20514511217893311</v>
      </c>
      <c r="AA33" s="121">
        <f t="shared" si="51"/>
        <v>0.17570080506445879</v>
      </c>
      <c r="AB33" s="121">
        <f t="shared" si="51"/>
        <v>0.20714009870177855</v>
      </c>
      <c r="AC33" s="121">
        <f t="shared" si="51"/>
        <v>0.21522550923825845</v>
      </c>
      <c r="AD33" s="121">
        <f t="shared" si="51"/>
        <v>0.22921307682692324</v>
      </c>
      <c r="AE33" s="121">
        <f t="shared" si="51"/>
        <v>0.22289208885159886</v>
      </c>
      <c r="AF33" s="121">
        <f t="shared" si="51"/>
        <v>0.24347339857436348</v>
      </c>
      <c r="AG33" s="121">
        <f t="shared" si="51"/>
        <v>0.23642314413013718</v>
      </c>
      <c r="AH33" s="121">
        <f t="shared" si="51"/>
        <v>0.237362522297516</v>
      </c>
      <c r="AI33" s="121">
        <f t="shared" si="51"/>
        <v>0.26398473450220089</v>
      </c>
      <c r="AJ33" s="121">
        <f t="shared" si="51"/>
        <v>0.2510635280526024</v>
      </c>
      <c r="AK33" s="121">
        <f t="shared" si="51"/>
        <v>0.26724715372016378</v>
      </c>
      <c r="AL33" s="121">
        <f t="shared" si="51"/>
        <v>0.26942280961919352</v>
      </c>
      <c r="AM33" s="121">
        <f t="shared" si="51"/>
        <v>0.24795769935209819</v>
      </c>
      <c r="AN33" s="121">
        <f t="shared" si="51"/>
        <v>0.26752438273245571</v>
      </c>
    </row>
    <row r="34" spans="1:40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</row>
    <row r="35" spans="1:40" s="114" customFormat="1" x14ac:dyDescent="0.25">
      <c r="A35" s="114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F677-B647-49CD-9698-06E2E1E5D68B}">
  <dimension ref="A1:D22"/>
  <sheetViews>
    <sheetView workbookViewId="0">
      <selection activeCell="A22" sqref="A22:XFD22"/>
    </sheetView>
  </sheetViews>
  <sheetFormatPr defaultRowHeight="15" x14ac:dyDescent="0.25"/>
  <cols>
    <col min="1" max="1" width="29.7109375" bestFit="1" customWidth="1"/>
    <col min="3" max="3" width="9.5703125" style="93" bestFit="1" customWidth="1"/>
    <col min="4" max="16384" width="9.140625" style="93"/>
  </cols>
  <sheetData>
    <row r="1" spans="1:4" customFormat="1" x14ac:dyDescent="0.25">
      <c r="A1" t="s">
        <v>105</v>
      </c>
      <c r="B1" s="90" t="str">
        <f>Converter!C1</f>
        <v>lakhs</v>
      </c>
    </row>
    <row r="2" spans="1:4" customFormat="1" x14ac:dyDescent="0.25"/>
    <row r="3" spans="1:4" customFormat="1" x14ac:dyDescent="0.25">
      <c r="C3" s="128">
        <v>0</v>
      </c>
    </row>
    <row r="4" spans="1:4" customFormat="1" x14ac:dyDescent="0.25">
      <c r="C4" s="129">
        <f>assumptions!G3</f>
        <v>43922</v>
      </c>
    </row>
    <row r="5" spans="1:4" customFormat="1" x14ac:dyDescent="0.25">
      <c r="A5" s="96" t="s">
        <v>122</v>
      </c>
    </row>
    <row r="6" spans="1:4" x14ac:dyDescent="0.25">
      <c r="A6" t="str">
        <f>assumptions!A79</f>
        <v>Kitchen Equipments and cutlery</v>
      </c>
      <c r="C6" s="93">
        <f>assumptions!$G$70*assumptions!$G$79/den</f>
        <v>30</v>
      </c>
      <c r="D6" s="93">
        <f>C6</f>
        <v>30</v>
      </c>
    </row>
    <row r="7" spans="1:4" x14ac:dyDescent="0.25">
      <c r="A7" t="str">
        <f>assumptions!A80</f>
        <v>Refrigeration Equipments</v>
      </c>
      <c r="C7" s="93">
        <f>assumptions!$G$70*assumptions!$G$80/den</f>
        <v>50</v>
      </c>
    </row>
    <row r="8" spans="1:4" x14ac:dyDescent="0.25">
      <c r="A8" t="str">
        <f>assumptions!A81</f>
        <v>Furniture &amp; Fixtures</v>
      </c>
      <c r="C8" s="93">
        <f>assumptions!G69*assumptions!G81/den</f>
        <v>51</v>
      </c>
    </row>
    <row r="9" spans="1:4" x14ac:dyDescent="0.25">
      <c r="A9" t="str">
        <f>assumptions!A82</f>
        <v>Restaurants Décor</v>
      </c>
      <c r="C9" s="93">
        <f>assumptions!G69*assumptions!G82/den</f>
        <v>60</v>
      </c>
    </row>
    <row r="10" spans="1:4" ht="15.75" thickBot="1" x14ac:dyDescent="0.3">
      <c r="A10" s="118" t="s">
        <v>40</v>
      </c>
      <c r="B10" s="118"/>
      <c r="C10" s="122">
        <f>SUM(C6:C9)</f>
        <v>191</v>
      </c>
    </row>
    <row r="11" spans="1:4" ht="15.75" thickTop="1" x14ac:dyDescent="0.25">
      <c r="A11" t="s">
        <v>123</v>
      </c>
      <c r="C11" s="93">
        <f>assumptions!G83/den</f>
        <v>10</v>
      </c>
    </row>
    <row r="12" spans="1:4" x14ac:dyDescent="0.25">
      <c r="A12" t="s">
        <v>124</v>
      </c>
      <c r="C12" s="93">
        <f>assumptions!G87/den</f>
        <v>24</v>
      </c>
    </row>
    <row r="14" spans="1:4" s="123" customFormat="1" ht="15.75" thickBot="1" x14ac:dyDescent="0.3">
      <c r="A14" s="118" t="s">
        <v>125</v>
      </c>
      <c r="B14" s="118"/>
      <c r="C14" s="122">
        <f>SUM(C10:C12)</f>
        <v>225</v>
      </c>
    </row>
    <row r="15" spans="1:4" ht="15.75" thickTop="1" x14ac:dyDescent="0.25"/>
    <row r="16" spans="1:4" x14ac:dyDescent="0.25">
      <c r="A16" s="86" t="s">
        <v>126</v>
      </c>
    </row>
    <row r="17" spans="1:3" x14ac:dyDescent="0.25">
      <c r="A17" t="s">
        <v>127</v>
      </c>
      <c r="B17" s="124">
        <f>assumptions!G100</f>
        <v>1</v>
      </c>
      <c r="C17" s="93">
        <f>B17*C14</f>
        <v>225</v>
      </c>
    </row>
    <row r="18" spans="1:3" x14ac:dyDescent="0.25">
      <c r="A18" t="s">
        <v>91</v>
      </c>
      <c r="B18" s="124">
        <f>1-B17</f>
        <v>0</v>
      </c>
      <c r="C18" s="93">
        <f>B18*C14</f>
        <v>0</v>
      </c>
    </row>
    <row r="20" spans="1:3" x14ac:dyDescent="0.25">
      <c r="A20" s="125" t="s">
        <v>128</v>
      </c>
      <c r="B20" s="126"/>
      <c r="C20" s="127">
        <f>C17+C18</f>
        <v>225</v>
      </c>
    </row>
    <row r="22" spans="1:3" s="114" customFormat="1" x14ac:dyDescent="0.25">
      <c r="A22" s="114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3921-DF74-4E7D-BE45-5BA6F1D8A7B4}">
  <dimension ref="A1:G38"/>
  <sheetViews>
    <sheetView workbookViewId="0">
      <selection activeCell="A38" sqref="A38:XFD38"/>
    </sheetView>
  </sheetViews>
  <sheetFormatPr defaultRowHeight="15" x14ac:dyDescent="0.25"/>
  <cols>
    <col min="1" max="1" width="29" customWidth="1"/>
    <col min="3" max="3" width="2.42578125" customWidth="1"/>
    <col min="4" max="4" width="2.5703125" customWidth="1"/>
    <col min="5" max="7" width="13.42578125" bestFit="1" customWidth="1"/>
  </cols>
  <sheetData>
    <row r="1" spans="1:7" x14ac:dyDescent="0.25">
      <c r="A1" s="86" t="s">
        <v>105</v>
      </c>
      <c r="B1" s="90" t="str">
        <f>Converter!C1</f>
        <v>lakhs</v>
      </c>
    </row>
    <row r="2" spans="1:7" x14ac:dyDescent="0.25">
      <c r="E2" s="130">
        <v>1</v>
      </c>
      <c r="F2" s="130">
        <v>2</v>
      </c>
      <c r="G2" s="130">
        <f>F2+1</f>
        <v>3</v>
      </c>
    </row>
    <row r="3" spans="1:7" x14ac:dyDescent="0.25">
      <c r="E3" s="129">
        <f>EOMONTH(assumptions!G3,11)</f>
        <v>44286</v>
      </c>
      <c r="F3" s="129">
        <f>EOMONTH(E3,12)</f>
        <v>44651</v>
      </c>
      <c r="G3" s="129">
        <f>EOMONTH(F3,12)</f>
        <v>45016</v>
      </c>
    </row>
    <row r="4" spans="1:7" x14ac:dyDescent="0.25">
      <c r="A4" s="96" t="str">
        <f>'capital structure'!A6</f>
        <v>Kitchen Equipments and cutlery</v>
      </c>
    </row>
    <row r="5" spans="1:7" x14ac:dyDescent="0.25">
      <c r="A5" t="s">
        <v>129</v>
      </c>
      <c r="E5" s="131">
        <v>0</v>
      </c>
      <c r="F5" s="117">
        <f>E9</f>
        <v>26.634246575342466</v>
      </c>
      <c r="G5" s="117">
        <f>F9</f>
        <v>22.639109589041094</v>
      </c>
    </row>
    <row r="6" spans="1:7" x14ac:dyDescent="0.25">
      <c r="A6" t="s">
        <v>130</v>
      </c>
      <c r="E6" s="132">
        <f>'capital structure'!D6</f>
        <v>30</v>
      </c>
      <c r="F6">
        <v>0</v>
      </c>
      <c r="G6">
        <v>0</v>
      </c>
    </row>
    <row r="7" spans="1:7" x14ac:dyDescent="0.25">
      <c r="A7" t="s">
        <v>132</v>
      </c>
      <c r="E7" s="131">
        <v>0</v>
      </c>
      <c r="F7" s="131">
        <v>0</v>
      </c>
      <c r="G7" s="131">
        <v>0</v>
      </c>
    </row>
    <row r="8" spans="1:7" x14ac:dyDescent="0.25">
      <c r="A8" t="s">
        <v>131</v>
      </c>
      <c r="E8" s="133">
        <f>(E5+E6-E7)*assumptions!$G$96*MIN(365,'fixed asset schedule'!E$3-assumptions!$G$5)/365</f>
        <v>3.3657534246575342</v>
      </c>
      <c r="F8" s="133">
        <f>(F5+F6-F7)*assumptions!$G$96*MIN(365,'fixed asset schedule'!F$3-assumptions!$G$5)/365</f>
        <v>3.9951369863013704</v>
      </c>
      <c r="G8" s="133">
        <f>(G5+G6-G7)*assumptions!$G$96*MIN(365,'fixed asset schedule'!G$3-assumptions!$G$5)/365</f>
        <v>3.3958664383561636</v>
      </c>
    </row>
    <row r="9" spans="1:7" x14ac:dyDescent="0.25">
      <c r="A9" s="125" t="s">
        <v>133</v>
      </c>
      <c r="B9" s="125"/>
      <c r="C9" s="125"/>
      <c r="D9" s="125"/>
      <c r="E9" s="135">
        <f>(E5+E6)-(E7+E8)</f>
        <v>26.634246575342466</v>
      </c>
      <c r="F9" s="135">
        <f t="shared" ref="F9:G9" si="0">(F5+F6)-(F7+F8)</f>
        <v>22.639109589041094</v>
      </c>
      <c r="G9" s="135">
        <f t="shared" si="0"/>
        <v>19.243243150684933</v>
      </c>
    </row>
    <row r="13" spans="1:7" x14ac:dyDescent="0.25">
      <c r="A13" s="96" t="str">
        <f>'capital structure'!A7</f>
        <v>Refrigeration Equipments</v>
      </c>
    </row>
    <row r="14" spans="1:7" x14ac:dyDescent="0.25">
      <c r="A14" t="s">
        <v>129</v>
      </c>
      <c r="E14" s="131">
        <v>0</v>
      </c>
      <c r="F14" s="117">
        <f>E18</f>
        <v>44.390410958904113</v>
      </c>
      <c r="G14" s="117">
        <f>F18</f>
        <v>37.731849315068494</v>
      </c>
    </row>
    <row r="15" spans="1:7" x14ac:dyDescent="0.25">
      <c r="A15" t="s">
        <v>130</v>
      </c>
      <c r="E15" s="132">
        <f>'capital structure'!C7</f>
        <v>50</v>
      </c>
      <c r="F15">
        <v>0</v>
      </c>
      <c r="G15">
        <v>0</v>
      </c>
    </row>
    <row r="16" spans="1:7" x14ac:dyDescent="0.25">
      <c r="A16" t="s">
        <v>132</v>
      </c>
      <c r="E16" s="131">
        <v>0</v>
      </c>
      <c r="F16" s="131">
        <v>0</v>
      </c>
      <c r="G16" s="131">
        <v>0</v>
      </c>
    </row>
    <row r="17" spans="1:7" x14ac:dyDescent="0.25">
      <c r="A17" t="s">
        <v>131</v>
      </c>
      <c r="E17" s="133">
        <f>(E14+E15-E16)*assumptions!$G$96*MIN(365,'fixed asset schedule'!E$3-assumptions!$G$5)/365</f>
        <v>5.6095890410958908</v>
      </c>
      <c r="F17" s="133">
        <f>(F14+F15-F16)*assumptions!$G$96*MIN(365,'fixed asset schedule'!F$3-assumptions!$G$5)/365</f>
        <v>6.6585616438356166</v>
      </c>
      <c r="G17" s="133">
        <f>(G14+G15-G16)*assumptions!$G$96*MIN(365,'fixed asset schedule'!G$3-assumptions!$G$5)/365</f>
        <v>5.6597773972602736</v>
      </c>
    </row>
    <row r="18" spans="1:7" x14ac:dyDescent="0.25">
      <c r="A18" s="125" t="s">
        <v>133</v>
      </c>
      <c r="B18" s="125"/>
      <c r="C18" s="125"/>
      <c r="D18" s="125"/>
      <c r="E18" s="135">
        <f>(E14+E15)-(E16+E17)</f>
        <v>44.390410958904113</v>
      </c>
      <c r="F18" s="135">
        <f t="shared" ref="F18" si="1">(F14+F15)-(F16+F17)</f>
        <v>37.731849315068494</v>
      </c>
      <c r="G18" s="135">
        <f t="shared" ref="G18" si="2">(G14+G15)-(G16+G17)</f>
        <v>32.072071917808223</v>
      </c>
    </row>
    <row r="21" spans="1:7" x14ac:dyDescent="0.25">
      <c r="A21" s="96" t="str">
        <f>'capital structure'!A8</f>
        <v>Furniture &amp; Fixtures</v>
      </c>
    </row>
    <row r="22" spans="1:7" x14ac:dyDescent="0.25">
      <c r="A22" t="s">
        <v>129</v>
      </c>
      <c r="E22" s="131">
        <v>0</v>
      </c>
      <c r="F22" s="117">
        <f>E26</f>
        <v>47.185479452054793</v>
      </c>
      <c r="G22" s="117">
        <f>F26</f>
        <v>42.466931506849313</v>
      </c>
    </row>
    <row r="23" spans="1:7" x14ac:dyDescent="0.25">
      <c r="A23" t="s">
        <v>130</v>
      </c>
      <c r="E23" s="132">
        <f>'capital structure'!C8</f>
        <v>51</v>
      </c>
      <c r="F23">
        <v>0</v>
      </c>
      <c r="G23">
        <v>0</v>
      </c>
    </row>
    <row r="24" spans="1:7" x14ac:dyDescent="0.25">
      <c r="A24" t="s">
        <v>132</v>
      </c>
      <c r="E24" s="131">
        <v>0</v>
      </c>
      <c r="F24" s="131">
        <v>0</v>
      </c>
      <c r="G24" s="131">
        <v>0</v>
      </c>
    </row>
    <row r="25" spans="1:7" x14ac:dyDescent="0.25">
      <c r="A25" t="s">
        <v>131</v>
      </c>
      <c r="E25" s="133">
        <f>(E22+E23-E24)*assumptions!$G$97*MIN(365,'fixed asset schedule'!E$3-assumptions!$G$5)/365</f>
        <v>3.814520547945206</v>
      </c>
      <c r="F25" s="133">
        <f>(F22+F23-F24)*assumptions!$G$97*MIN(365,'fixed asset schedule'!F$3-assumptions!$G$5)/365</f>
        <v>4.7185479452054793</v>
      </c>
      <c r="G25" s="133">
        <f>(G22+G23-G24)*assumptions!$G$97*MIN(365,'fixed asset schedule'!G$3-assumptions!$G$5)/365</f>
        <v>4.2466931506849317</v>
      </c>
    </row>
    <row r="26" spans="1:7" x14ac:dyDescent="0.25">
      <c r="A26" s="125" t="s">
        <v>133</v>
      </c>
      <c r="B26" s="125"/>
      <c r="C26" s="125"/>
      <c r="D26" s="125"/>
      <c r="E26" s="135">
        <f>(E22+E23)-(E24+E25)</f>
        <v>47.185479452054793</v>
      </c>
      <c r="F26" s="135">
        <f t="shared" ref="F26" si="3">(F22+F23)-(F24+F25)</f>
        <v>42.466931506849313</v>
      </c>
      <c r="G26" s="135">
        <f t="shared" ref="G26" si="4">(G22+G23)-(G24+G25)</f>
        <v>38.22023835616438</v>
      </c>
    </row>
    <row r="31" spans="1:7" x14ac:dyDescent="0.25">
      <c r="A31" s="96" t="str">
        <f>'capital structure'!A9</f>
        <v>Restaurants Décor</v>
      </c>
    </row>
    <row r="32" spans="1:7" x14ac:dyDescent="0.25">
      <c r="A32" t="s">
        <v>129</v>
      </c>
      <c r="E32" s="131">
        <v>0</v>
      </c>
      <c r="F32" s="117">
        <f>E36</f>
        <v>55.512328767123286</v>
      </c>
      <c r="G32" s="117">
        <f>F36</f>
        <v>49.961095890410959</v>
      </c>
    </row>
    <row r="33" spans="1:7" x14ac:dyDescent="0.25">
      <c r="A33" t="s">
        <v>130</v>
      </c>
      <c r="E33" s="132">
        <f>'capital structure'!C9</f>
        <v>60</v>
      </c>
      <c r="F33">
        <v>0</v>
      </c>
      <c r="G33">
        <v>0</v>
      </c>
    </row>
    <row r="34" spans="1:7" x14ac:dyDescent="0.25">
      <c r="A34" t="s">
        <v>132</v>
      </c>
      <c r="E34" s="131">
        <v>0</v>
      </c>
      <c r="F34" s="131">
        <v>0</v>
      </c>
      <c r="G34" s="131">
        <v>0</v>
      </c>
    </row>
    <row r="35" spans="1:7" x14ac:dyDescent="0.25">
      <c r="A35" t="s">
        <v>131</v>
      </c>
      <c r="E35" s="133">
        <f>(E32+E33-E34)*assumptions!$G$97*MIN(365,'fixed asset schedule'!E$3-assumptions!$G$5)/365</f>
        <v>4.4876712328767123</v>
      </c>
      <c r="F35" s="133">
        <f>(F32+F33-F34)*assumptions!$G$97*MIN(365,'fixed asset schedule'!F$3-assumptions!$G$5)/365</f>
        <v>5.5512328767123291</v>
      </c>
      <c r="G35" s="133">
        <f>(G32+G33-G34)*assumptions!$G$97*MIN(365,'fixed asset schedule'!G$3-assumptions!$G$5)/365</f>
        <v>4.9961095890410965</v>
      </c>
    </row>
    <row r="36" spans="1:7" x14ac:dyDescent="0.25">
      <c r="A36" s="125" t="s">
        <v>133</v>
      </c>
      <c r="B36" s="125"/>
      <c r="C36" s="125"/>
      <c r="D36" s="125"/>
      <c r="E36" s="135">
        <f>(E32+E33)-(E34+E35)</f>
        <v>55.512328767123286</v>
      </c>
      <c r="F36" s="135">
        <f t="shared" ref="F36" si="5">(F32+F33)-(F34+F35)</f>
        <v>49.961095890410959</v>
      </c>
      <c r="G36" s="135">
        <f t="shared" ref="G36" si="6">(G32+G33)-(G34+G35)</f>
        <v>44.964986301369862</v>
      </c>
    </row>
    <row r="38" spans="1:7" s="114" customFormat="1" x14ac:dyDescent="0.25">
      <c r="A38" s="114" t="s">
        <v>134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FA19-7D8B-4FCF-BF96-4DB2E5AD426D}">
  <dimension ref="A1:G23"/>
  <sheetViews>
    <sheetView workbookViewId="0">
      <selection activeCell="A23" sqref="A23:XFD23"/>
    </sheetView>
  </sheetViews>
  <sheetFormatPr defaultRowHeight="15" x14ac:dyDescent="0.25"/>
  <cols>
    <col min="1" max="1" width="25" customWidth="1"/>
    <col min="5" max="7" width="13.42578125" bestFit="1" customWidth="1"/>
  </cols>
  <sheetData>
    <row r="1" spans="1:7" x14ac:dyDescent="0.25">
      <c r="A1" s="94" t="s">
        <v>105</v>
      </c>
      <c r="B1" s="90" t="str">
        <f>Converter!C1</f>
        <v>lakhs</v>
      </c>
    </row>
    <row r="2" spans="1:7" x14ac:dyDescent="0.25">
      <c r="E2" s="130">
        <v>1</v>
      </c>
      <c r="F2" s="130">
        <v>2</v>
      </c>
      <c r="G2" s="130">
        <f>F2+1</f>
        <v>3</v>
      </c>
    </row>
    <row r="3" spans="1:7" x14ac:dyDescent="0.25">
      <c r="E3" s="129">
        <f>EOMONTH(assumptions!G3,11)</f>
        <v>44286</v>
      </c>
      <c r="F3" s="129">
        <f>EOMONTH(E3,12)</f>
        <v>44651</v>
      </c>
      <c r="G3" s="129">
        <f>EOMONTH(F3,12)</f>
        <v>45016</v>
      </c>
    </row>
    <row r="4" spans="1:7" x14ac:dyDescent="0.25">
      <c r="A4" s="96" t="s">
        <v>135</v>
      </c>
    </row>
    <row r="5" spans="1:7" x14ac:dyDescent="0.25">
      <c r="A5" s="86" t="s">
        <v>82</v>
      </c>
    </row>
    <row r="6" spans="1:7" x14ac:dyDescent="0.25">
      <c r="A6" s="103" t="str">
        <f>'Monthly revenue'!A73</f>
        <v>Alcoholic Beverages</v>
      </c>
      <c r="E6" s="117">
        <f>'monthly pL'!P12/30*assumptions!$G$89</f>
        <v>5.1829745525314426</v>
      </c>
      <c r="F6" s="117">
        <f>'monthly pL'!AB12/30*assumptions!$G$89</f>
        <v>7.6517756000614909</v>
      </c>
      <c r="G6" s="117">
        <f>'monthly pL'!AN12/30*assumptions!$G$89</f>
        <v>10.633521729835834</v>
      </c>
    </row>
    <row r="7" spans="1:7" x14ac:dyDescent="0.25">
      <c r="A7" s="103" t="str">
        <f>'Monthly revenue'!A74</f>
        <v>Non Alcoholic Beverages</v>
      </c>
      <c r="E7" s="117">
        <f>'monthly pL'!P13/30*assumptions!$G$89</f>
        <v>2.2232814716183515</v>
      </c>
      <c r="F7" s="117">
        <f>'monthly pL'!AB13/30*assumptions!$G$89</f>
        <v>3.2177319464103307</v>
      </c>
      <c r="G7" s="117">
        <f>'monthly pL'!AN13/30*assumptions!$G$89</f>
        <v>4.4371355411440829</v>
      </c>
    </row>
    <row r="8" spans="1:7" x14ac:dyDescent="0.25">
      <c r="A8" s="103" t="str">
        <f>'Monthly revenue'!A75</f>
        <v>Food</v>
      </c>
      <c r="E8" s="117">
        <f>'monthly pL'!P14/30*assumptions!$G$89</f>
        <v>6.1140240469504681</v>
      </c>
      <c r="F8" s="117">
        <f>'monthly pL'!AB14/30*assumptions!$G$89</f>
        <v>8.8487628526284094</v>
      </c>
      <c r="G8" s="117">
        <f>'monthly pL'!AN14/30*assumptions!$G$89</f>
        <v>12.202122738146228</v>
      </c>
    </row>
    <row r="9" spans="1:7" x14ac:dyDescent="0.25">
      <c r="A9" s="136" t="s">
        <v>40</v>
      </c>
      <c r="B9" s="125"/>
      <c r="C9" s="125"/>
      <c r="D9" s="125"/>
      <c r="E9" s="135">
        <f>SUM(E6:E8)</f>
        <v>13.520280071100263</v>
      </c>
      <c r="F9" s="135">
        <f t="shared" ref="F9:G9" si="0">SUM(F6:F8)</f>
        <v>19.718270399100231</v>
      </c>
      <c r="G9" s="135">
        <f t="shared" si="0"/>
        <v>27.272780009126144</v>
      </c>
    </row>
    <row r="11" spans="1:7" x14ac:dyDescent="0.25">
      <c r="A11" s="96" t="s">
        <v>136</v>
      </c>
    </row>
    <row r="12" spans="1:7" x14ac:dyDescent="0.25">
      <c r="A12" s="86" t="s">
        <v>137</v>
      </c>
      <c r="E12" s="93">
        <f>SUMIF('monthly pL'!$E$4:$AN$4,'working capital'!E$3,'monthly pL'!$E$29:$AN$29)*assumptions!$G$93/30</f>
        <v>12.854154773057182</v>
      </c>
      <c r="F12" s="93">
        <f>SUMIF('monthly pL'!$E$4:$AN$4,'working capital'!F$3,'monthly pL'!$E$29:$AN$29)*assumptions!$G$93/30</f>
        <v>16.730728077701471</v>
      </c>
      <c r="G12" s="93">
        <f>SUMIF('monthly pL'!$E$4:$AN$4,'working capital'!G$3,'monthly pL'!$E$29:$AN$29)*assumptions!$G$93/30</f>
        <v>21.39797571445397</v>
      </c>
    </row>
    <row r="13" spans="1:7" x14ac:dyDescent="0.25">
      <c r="A13" s="86" t="s">
        <v>138</v>
      </c>
      <c r="E13" s="93"/>
      <c r="F13" s="93"/>
      <c r="G13" s="93"/>
    </row>
    <row r="14" spans="1:7" x14ac:dyDescent="0.25">
      <c r="A14" s="103" t="s">
        <v>12</v>
      </c>
      <c r="E14" s="93">
        <f>SUMIF('monthly pL'!$E$4:$AN$4,'working capital'!E$3,'monthly pL'!$E12:$AN12)/30*assumptions!$G$92</f>
        <v>5.1829745525314426</v>
      </c>
      <c r="F14" s="93">
        <f>SUMIF('monthly pL'!$E$4:$AN$4,'working capital'!F$3,'monthly pL'!$E12:$AN12)/30*assumptions!$G$92</f>
        <v>7.6517756000614909</v>
      </c>
      <c r="G14" s="93">
        <f>SUMIF('monthly pL'!$E$4:$AN$4,'working capital'!G$3,'monthly pL'!$E12:$AN12)/30*assumptions!$G$92</f>
        <v>10.633521729835834</v>
      </c>
    </row>
    <row r="15" spans="1:7" x14ac:dyDescent="0.25">
      <c r="A15" s="103" t="s">
        <v>13</v>
      </c>
      <c r="E15" s="93">
        <f>SUMIF('monthly pL'!$E$4:$AN$4,'working capital'!E$3,'monthly pL'!$E13:$AN13)/30*assumptions!$G$92</f>
        <v>2.2232814716183515</v>
      </c>
      <c r="F15" s="93">
        <f>SUMIF('monthly pL'!$E$4:$AN$4,'working capital'!F$3,'monthly pL'!$E13:$AN13)/30*assumptions!$G$92</f>
        <v>3.2177319464103307</v>
      </c>
      <c r="G15" s="93">
        <f>SUMIF('monthly pL'!$E$4:$AN$4,'working capital'!G$3,'monthly pL'!$E13:$AN13)/30*assumptions!$G$92</f>
        <v>4.4371355411440829</v>
      </c>
    </row>
    <row r="16" spans="1:7" x14ac:dyDescent="0.25">
      <c r="A16" s="103" t="s">
        <v>14</v>
      </c>
      <c r="E16" s="93">
        <f>SUMIF('monthly pL'!$E$4:$AN$4,'working capital'!E$3,'monthly pL'!$E14:$AN14)/30*assumptions!$G$92</f>
        <v>6.1140240469504681</v>
      </c>
      <c r="F16" s="93">
        <f>SUMIF('monthly pL'!$E$4:$AN$4,'working capital'!F$3,'monthly pL'!$E14:$AN14)/30*assumptions!$G$92</f>
        <v>8.8487628526284094</v>
      </c>
      <c r="G16" s="93">
        <f>SUMIF('monthly pL'!$E$4:$AN$4,'working capital'!G$3,'monthly pL'!$E14:$AN14)/30*assumptions!$G$92</f>
        <v>12.202122738146228</v>
      </c>
    </row>
    <row r="17" spans="1:7" x14ac:dyDescent="0.25">
      <c r="A17" s="136" t="s">
        <v>40</v>
      </c>
      <c r="B17" s="125"/>
      <c r="C17" s="125"/>
      <c r="D17" s="125"/>
      <c r="E17" s="127">
        <f>SUM(E12:E16)</f>
        <v>26.374434844157442</v>
      </c>
      <c r="F17" s="127">
        <f t="shared" ref="F17:G17" si="1">SUM(F12:F16)</f>
        <v>36.448998476801705</v>
      </c>
      <c r="G17" s="127">
        <f t="shared" si="1"/>
        <v>48.670755723580115</v>
      </c>
    </row>
    <row r="20" spans="1:7" x14ac:dyDescent="0.25">
      <c r="A20" s="86" t="s">
        <v>79</v>
      </c>
      <c r="B20" s="86"/>
      <c r="C20" s="86"/>
      <c r="D20" s="86"/>
      <c r="E20" s="134">
        <f>E9-E17</f>
        <v>-12.854154773057179</v>
      </c>
      <c r="F20" s="134">
        <f t="shared" ref="F20:G20" si="2">F9-F17</f>
        <v>-16.730728077701475</v>
      </c>
      <c r="G20" s="134">
        <f t="shared" si="2"/>
        <v>-21.39797571445397</v>
      </c>
    </row>
    <row r="21" spans="1:7" x14ac:dyDescent="0.25">
      <c r="A21" t="s">
        <v>139</v>
      </c>
      <c r="E21" s="117">
        <f>-(E20-D20)</f>
        <v>12.854154773057179</v>
      </c>
      <c r="F21" s="117">
        <f t="shared" ref="F21:G21" si="3">-(F20-E20)</f>
        <v>3.8765733046442961</v>
      </c>
      <c r="G21" s="117">
        <f t="shared" si="3"/>
        <v>4.6672476367524958</v>
      </c>
    </row>
    <row r="23" spans="1:7" s="114" customFormat="1" x14ac:dyDescent="0.25">
      <c r="A23" s="114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B34D-8B06-47D5-AA8F-7C99B6574082}">
  <dimension ref="A1:G43"/>
  <sheetViews>
    <sheetView workbookViewId="0">
      <selection activeCell="A43" sqref="A43:XFD43"/>
    </sheetView>
  </sheetViews>
  <sheetFormatPr defaultRowHeight="15" x14ac:dyDescent="0.25"/>
  <cols>
    <col min="1" max="1" width="36.7109375" customWidth="1"/>
    <col min="3" max="3" width="1.85546875" customWidth="1"/>
    <col min="4" max="4" width="11.140625" customWidth="1"/>
    <col min="5" max="5" width="16" style="93" customWidth="1"/>
    <col min="6" max="6" width="14.7109375" style="93" customWidth="1"/>
    <col min="7" max="7" width="14.28515625" style="93" customWidth="1"/>
  </cols>
  <sheetData>
    <row r="1" spans="1:7" x14ac:dyDescent="0.25">
      <c r="A1" s="94" t="s">
        <v>105</v>
      </c>
      <c r="B1" s="90" t="str">
        <f>Converter!C1</f>
        <v>lakhs</v>
      </c>
      <c r="E1"/>
      <c r="F1"/>
      <c r="G1"/>
    </row>
    <row r="2" spans="1:7" x14ac:dyDescent="0.25">
      <c r="E2" s="130">
        <v>1</v>
      </c>
      <c r="F2" s="130">
        <v>2</v>
      </c>
      <c r="G2" s="130">
        <f>F2+1</f>
        <v>3</v>
      </c>
    </row>
    <row r="3" spans="1:7" x14ac:dyDescent="0.25">
      <c r="D3" s="137">
        <f>assumptions!G3</f>
        <v>43922</v>
      </c>
      <c r="E3" s="129">
        <f>EOMONTH(assumptions!G3,11)</f>
        <v>44286</v>
      </c>
      <c r="F3" s="129">
        <f>EOMONTH(E3,12)</f>
        <v>44651</v>
      </c>
      <c r="G3" s="129">
        <f>EOMONTH(F3,12)</f>
        <v>45016</v>
      </c>
    </row>
    <row r="4" spans="1:7" x14ac:dyDescent="0.25">
      <c r="E4"/>
      <c r="F4"/>
      <c r="G4"/>
    </row>
    <row r="5" spans="1:7" x14ac:dyDescent="0.25">
      <c r="A5" s="96" t="s">
        <v>5</v>
      </c>
      <c r="E5"/>
      <c r="F5"/>
      <c r="G5"/>
    </row>
    <row r="6" spans="1:7" x14ac:dyDescent="0.25">
      <c r="A6" t="str">
        <f>'Monthly revenue'!A73</f>
        <v>Alcoholic Beverages</v>
      </c>
      <c r="E6" s="93">
        <f>SUMIFS('monthly pL'!$E6:$AN6,'monthly pL'!$E$4:$AN$4,"&gt;"&amp;'Annual pL'!D$3,'monthly pL'!$E$4:$AN$4,"&lt;="&amp;'Annual pL'!E$3)</f>
        <v>119.65514004636832</v>
      </c>
      <c r="F6" s="93">
        <f>SUMIFS('monthly pL'!$E6:$AN6,'monthly pL'!$E$4:$AN$4,"&gt;"&amp;'Annual pL'!E$3,'monthly pL'!$E$4:$AN$4,"&lt;="&amp;'Annual pL'!F$3)</f>
        <v>224.27443537102567</v>
      </c>
      <c r="G6" s="93">
        <f>SUMIFS('monthly pL'!$E6:$AN6,'monthly pL'!$E$4:$AN$4,"&gt;"&amp;'Annual pL'!F$3,'monthly pL'!$E$4:$AN$4,"&lt;="&amp;'Annual pL'!G$3)</f>
        <v>330.51021280549941</v>
      </c>
    </row>
    <row r="7" spans="1:7" x14ac:dyDescent="0.25">
      <c r="A7" t="str">
        <f>'Monthly revenue'!A74</f>
        <v>Non Alcoholic Beverages</v>
      </c>
      <c r="E7" s="93">
        <f>SUMIFS('monthly pL'!$E7:$AN7,'monthly pL'!$E$4:$AN$4,"&gt;"&amp;'Annual pL'!D$3,'monthly pL'!$E$4:$AN$4,"&lt;="&amp;'Annual pL'!E$3)</f>
        <v>44.687898243733613</v>
      </c>
      <c r="F7" s="93">
        <f>SUMIFS('monthly pL'!$E7:$AN7,'monthly pL'!$E$4:$AN$4,"&gt;"&amp;'Annual pL'!E$3,'monthly pL'!$E$4:$AN$4,"&lt;="&amp;'Annual pL'!F$3)</f>
        <v>82.2723963706147</v>
      </c>
      <c r="G7" s="93">
        <f>SUMIFS('monthly pL'!$E7:$AN7,'monthly pL'!$E$4:$AN$4,"&gt;"&amp;'Annual pL'!F$3,'monthly pL'!$E$4:$AN$4,"&lt;="&amp;'Annual pL'!G$3)</f>
        <v>119.11905026557736</v>
      </c>
    </row>
    <row r="8" spans="1:7" x14ac:dyDescent="0.25">
      <c r="A8" t="str">
        <f>'Monthly revenue'!A75</f>
        <v>Food</v>
      </c>
      <c r="E8" s="93">
        <f>SUMIFS('monthly pL'!$E8:$AN8,'monthly pL'!$E$4:$AN$4,"&gt;"&amp;'Annual pL'!D$3,'monthly pL'!$E$4:$AN$4,"&lt;="&amp;'Annual pL'!E$3)</f>
        <v>163.85562689368993</v>
      </c>
      <c r="F8" s="93">
        <f>SUMIFS('monthly pL'!$E8:$AN8,'monthly pL'!$E$4:$AN$4,"&gt;"&amp;'Annual pL'!E$3,'monthly pL'!$E$4:$AN$4,"&lt;="&amp;'Annual pL'!F$3)</f>
        <v>301.6654533589205</v>
      </c>
      <c r="G8" s="93">
        <f>SUMIFS('monthly pL'!$E8:$AN8,'monthly pL'!$E$4:$AN$4,"&gt;"&amp;'Annual pL'!F$3,'monthly pL'!$E$4:$AN$4,"&lt;="&amp;'Annual pL'!G$3)</f>
        <v>436.76985097378355</v>
      </c>
    </row>
    <row r="9" spans="1:7" x14ac:dyDescent="0.25">
      <c r="A9" s="125" t="str">
        <f>'Monthly revenue'!A76</f>
        <v xml:space="preserve">Total </v>
      </c>
      <c r="B9" s="125"/>
      <c r="C9" s="125"/>
      <c r="D9" s="125"/>
      <c r="E9" s="127">
        <f>SUMIFS('monthly pL'!$E9:$AN9,'monthly pL'!$E$4:$AN$4,"&gt;"&amp;'Annual pL'!D$3,'monthly pL'!$E$4:$AN$4,"&lt;="&amp;'Annual pL'!E$3)</f>
        <v>328.19866518379183</v>
      </c>
      <c r="F9" s="127">
        <f>SUMIFS('monthly pL'!$E9:$AN9,'monthly pL'!$E$4:$AN$4,"&gt;"&amp;'Annual pL'!E$3,'monthly pL'!$E$4:$AN$4,"&lt;="&amp;'Annual pL'!F$3)</f>
        <v>608.21228510056085</v>
      </c>
      <c r="G9" s="127">
        <f>SUMIFS('monthly pL'!$E9:$AN9,'monthly pL'!$E$4:$AN$4,"&gt;"&amp;'Annual pL'!F$3,'monthly pL'!$E$4:$AN$4,"&lt;="&amp;'Annual pL'!G$3)</f>
        <v>886.3991140448602</v>
      </c>
    </row>
    <row r="10" spans="1:7" x14ac:dyDescent="0.25">
      <c r="E10" s="93">
        <f>SUMIFS('monthly pL'!$E10:$AN10,'monthly pL'!$E$4:$AN$4,"&gt;"&amp;'Annual pL'!D$3,'monthly pL'!$E$4:$AN$4,"&lt;="&amp;'Annual pL'!E$3)</f>
        <v>0</v>
      </c>
      <c r="F10" s="93">
        <f>SUMIFS('monthly pL'!$E10:$AN10,'monthly pL'!$E$4:$AN$4,"&gt;"&amp;'Annual pL'!E$3,'monthly pL'!$E$4:$AN$4,"&lt;="&amp;'Annual pL'!F$3)</f>
        <v>0</v>
      </c>
      <c r="G10" s="93">
        <f>SUMIFS('monthly pL'!$E10:$AN10,'monthly pL'!$E$4:$AN$4,"&gt;"&amp;'Annual pL'!F$3,'monthly pL'!$E$4:$AN$4,"&lt;="&amp;'Annual pL'!G$3)</f>
        <v>0</v>
      </c>
    </row>
    <row r="11" spans="1:7" x14ac:dyDescent="0.25">
      <c r="A11" s="86" t="s">
        <v>114</v>
      </c>
      <c r="E11" s="93">
        <f>SUMIFS('monthly pL'!$E11:$AN11,'monthly pL'!$E$4:$AN$4,"&gt;"&amp;'Annual pL'!D$3,'monthly pL'!$E$4:$AN$4,"&lt;="&amp;'Annual pL'!E$3)</f>
        <v>0</v>
      </c>
      <c r="F11" s="93">
        <f>SUMIFS('monthly pL'!$E11:$AN11,'monthly pL'!$E$4:$AN$4,"&gt;"&amp;'Annual pL'!E$3,'monthly pL'!$E$4:$AN$4,"&lt;="&amp;'Annual pL'!F$3)</f>
        <v>0</v>
      </c>
      <c r="G11" s="93">
        <f>SUMIFS('monthly pL'!$E11:$AN11,'monthly pL'!$E$4:$AN$4,"&gt;"&amp;'Annual pL'!F$3,'monthly pL'!$E$4:$AN$4,"&lt;="&amp;'Annual pL'!G$3)</f>
        <v>0</v>
      </c>
    </row>
    <row r="12" spans="1:7" x14ac:dyDescent="0.25">
      <c r="A12" t="str">
        <f>assumptions!A25</f>
        <v>Alcoholic Beverage cost (% of revenue)</v>
      </c>
      <c r="E12" s="93">
        <f>SUMIFS('monthly pL'!$E12:$AN12,'monthly pL'!$E$4:$AN$4,"&gt;"&amp;'Annual pL'!D$3,'monthly pL'!$E$4:$AN$4,"&lt;="&amp;'Annual pL'!E$3)</f>
        <v>41.879299016228906</v>
      </c>
      <c r="F12" s="93">
        <f>SUMIFS('monthly pL'!$E12:$AN12,'monthly pL'!$E$4:$AN$4,"&gt;"&amp;'Annual pL'!E$3,'monthly pL'!$E$4:$AN$4,"&lt;="&amp;'Annual pL'!F$3)</f>
        <v>78.49605237985898</v>
      </c>
      <c r="G12" s="93">
        <f>SUMIFS('monthly pL'!$E12:$AN12,'monthly pL'!$E$4:$AN$4,"&gt;"&amp;'Annual pL'!F$3,'monthly pL'!$E$4:$AN$4,"&lt;="&amp;'Annual pL'!G$3)</f>
        <v>115.67857448192477</v>
      </c>
    </row>
    <row r="13" spans="1:7" x14ac:dyDescent="0.25">
      <c r="A13" t="str">
        <f>assumptions!A26</f>
        <v>Non Alcoholic Beverages (% of revenue)</v>
      </c>
      <c r="E13" s="93">
        <f>SUMIFS('monthly pL'!$E13:$AN13,'monthly pL'!$E$4:$AN$4,"&gt;"&amp;'Annual pL'!D$3,'monthly pL'!$E$4:$AN$4,"&lt;="&amp;'Annual pL'!E$3)</f>
        <v>17.875159297493447</v>
      </c>
      <c r="F13" s="93">
        <f>SUMIFS('monthly pL'!$E13:$AN13,'monthly pL'!$E$4:$AN$4,"&gt;"&amp;'Annual pL'!E$3,'monthly pL'!$E$4:$AN$4,"&lt;="&amp;'Annual pL'!F$3)</f>
        <v>32.908958548245884</v>
      </c>
      <c r="G13" s="93">
        <f>SUMIFS('monthly pL'!$E13:$AN13,'monthly pL'!$E$4:$AN$4,"&gt;"&amp;'Annual pL'!F$3,'monthly pL'!$E$4:$AN$4,"&lt;="&amp;'Annual pL'!G$3)</f>
        <v>47.647620106230931</v>
      </c>
    </row>
    <row r="14" spans="1:7" x14ac:dyDescent="0.25">
      <c r="A14" t="str">
        <f>assumptions!A27</f>
        <v>Food (% of revenue)</v>
      </c>
      <c r="E14" s="93">
        <f>SUMIFS('monthly pL'!$E14:$AN14,'monthly pL'!$E$4:$AN$4,"&gt;"&amp;'Annual pL'!D$3,'monthly pL'!$E$4:$AN$4,"&lt;="&amp;'Annual pL'!E$3)</f>
        <v>49.15668806810698</v>
      </c>
      <c r="F14" s="93">
        <f>SUMIFS('monthly pL'!$E14:$AN14,'monthly pL'!$E$4:$AN$4,"&gt;"&amp;'Annual pL'!E$3,'monthly pL'!$E$4:$AN$4,"&lt;="&amp;'Annual pL'!F$3)</f>
        <v>90.499636007676159</v>
      </c>
      <c r="G14" s="93">
        <f>SUMIFS('monthly pL'!$E14:$AN14,'monthly pL'!$E$4:$AN$4,"&gt;"&amp;'Annual pL'!F$3,'monthly pL'!$E$4:$AN$4,"&lt;="&amp;'Annual pL'!G$3)</f>
        <v>131.03095529213508</v>
      </c>
    </row>
    <row r="15" spans="1:7" x14ac:dyDescent="0.25">
      <c r="A15" t="s">
        <v>115</v>
      </c>
      <c r="E15" s="93">
        <f>SUMIFS('monthly pL'!$E15:$AN15,'monthly pL'!$E$4:$AN$4,"&gt;"&amp;'Annual pL'!D$3,'monthly pL'!$E$4:$AN$4,"&lt;="&amp;'Annual pL'!E$3)</f>
        <v>88.74</v>
      </c>
      <c r="F15" s="93">
        <f>SUMIFS('monthly pL'!$E15:$AN15,'monthly pL'!$E$4:$AN$4,"&gt;"&amp;'Annual pL'!E$3,'monthly pL'!$E$4:$AN$4,"&lt;="&amp;'Annual pL'!F$3)</f>
        <v>125.41919999999998</v>
      </c>
      <c r="G15" s="93">
        <f>SUMIFS('monthly pL'!$E15:$AN15,'monthly pL'!$E$4:$AN$4,"&gt;"&amp;'Annual pL'!F$3,'monthly pL'!$E$4:$AN$4,"&lt;="&amp;'Annual pL'!G$3)</f>
        <v>135.45273599999999</v>
      </c>
    </row>
    <row r="16" spans="1:7" x14ac:dyDescent="0.25">
      <c r="A16" s="125" t="s">
        <v>116</v>
      </c>
      <c r="B16" s="125"/>
      <c r="C16" s="125"/>
      <c r="D16" s="125"/>
      <c r="E16" s="127">
        <f>SUMIFS('monthly pL'!$E16:$AN16,'monthly pL'!$E$4:$AN$4,"&gt;"&amp;'Annual pL'!D$3,'monthly pL'!$E$4:$AN$4,"&lt;="&amp;'Annual pL'!E$3)</f>
        <v>197.65114638182936</v>
      </c>
      <c r="F16" s="127">
        <f>SUMIFS('monthly pL'!$E16:$AN16,'monthly pL'!$E$4:$AN$4,"&gt;"&amp;'Annual pL'!E$3,'monthly pL'!$E$4:$AN$4,"&lt;="&amp;'Annual pL'!F$3)</f>
        <v>327.32384693578103</v>
      </c>
      <c r="G16" s="127">
        <f>SUMIFS('monthly pL'!$E16:$AN16,'monthly pL'!$E$4:$AN$4,"&gt;"&amp;'Annual pL'!F$3,'monthly pL'!$E$4:$AN$4,"&lt;="&amp;'Annual pL'!G$3)</f>
        <v>429.80988588029078</v>
      </c>
    </row>
    <row r="17" spans="1:7" x14ac:dyDescent="0.25">
      <c r="E17" s="93">
        <f>SUMIFS('monthly pL'!$E17:$AN17,'monthly pL'!$E$4:$AN$4,"&gt;"&amp;'Annual pL'!D$3,'monthly pL'!$E$4:$AN$4,"&lt;="&amp;'Annual pL'!E$3)</f>
        <v>0</v>
      </c>
      <c r="F17" s="93">
        <f>SUMIFS('monthly pL'!$E17:$AN17,'monthly pL'!$E$4:$AN$4,"&gt;"&amp;'Annual pL'!E$3,'monthly pL'!$E$4:$AN$4,"&lt;="&amp;'Annual pL'!F$3)</f>
        <v>0</v>
      </c>
      <c r="G17" s="93">
        <f>SUMIFS('monthly pL'!$E17:$AN17,'monthly pL'!$E$4:$AN$4,"&gt;"&amp;'Annual pL'!F$3,'monthly pL'!$E$4:$AN$4,"&lt;="&amp;'Annual pL'!G$3)</f>
        <v>0</v>
      </c>
    </row>
    <row r="18" spans="1:7" x14ac:dyDescent="0.25">
      <c r="A18" s="86" t="s">
        <v>117</v>
      </c>
      <c r="E18" s="93">
        <f>SUMIFS('monthly pL'!$E18:$AN18,'monthly pL'!$E$4:$AN$4,"&gt;"&amp;'Annual pL'!D$3,'monthly pL'!$E$4:$AN$4,"&lt;="&amp;'Annual pL'!E$3)</f>
        <v>0</v>
      </c>
      <c r="F18" s="93">
        <f>SUMIFS('monthly pL'!$E18:$AN18,'monthly pL'!$E$4:$AN$4,"&gt;"&amp;'Annual pL'!E$3,'monthly pL'!$E$4:$AN$4,"&lt;="&amp;'Annual pL'!F$3)</f>
        <v>0</v>
      </c>
      <c r="G18" s="93">
        <f>SUMIFS('monthly pL'!$E18:$AN18,'monthly pL'!$E$4:$AN$4,"&gt;"&amp;'Annual pL'!F$3,'monthly pL'!$E$4:$AN$4,"&lt;="&amp;'Annual pL'!G$3)</f>
        <v>0</v>
      </c>
    </row>
    <row r="19" spans="1:7" x14ac:dyDescent="0.25">
      <c r="A19" t="s">
        <v>118</v>
      </c>
      <c r="E19" s="93">
        <f>SUMIFS('monthly pL'!$E19:$AN19,'monthly pL'!$E$4:$AN$4,"&gt;"&amp;'Annual pL'!D$3,'monthly pL'!$E$4:$AN$4,"&lt;="&amp;'Annual pL'!E$3)</f>
        <v>34.200000000000003</v>
      </c>
      <c r="F19" s="93">
        <f>SUMIFS('monthly pL'!$E19:$AN19,'monthly pL'!$E$4:$AN$4,"&gt;"&amp;'Annual pL'!E$3,'monthly pL'!$E$4:$AN$4,"&lt;="&amp;'Annual pL'!F$3)</f>
        <v>48.335999999999991</v>
      </c>
      <c r="G19" s="93">
        <f>SUMIFS('monthly pL'!$E19:$AN19,'monthly pL'!$E$4:$AN$4,"&gt;"&amp;'Annual pL'!F$3,'monthly pL'!$E$4:$AN$4,"&lt;="&amp;'Annual pL'!G$3)</f>
        <v>52.202880000000022</v>
      </c>
    </row>
    <row r="20" spans="1:7" x14ac:dyDescent="0.25">
      <c r="A20" t="str">
        <f>assumptions!A52</f>
        <v>Rotalty to brand (% Of Revenue)</v>
      </c>
      <c r="E20" s="93">
        <f>SUMIFS('monthly pL'!$E20:$AN20,'monthly pL'!$E$4:$AN$4,"&gt;"&amp;'Annual pL'!D$3,'monthly pL'!$E$4:$AN$4,"&lt;="&amp;'Annual pL'!E$3)</f>
        <v>16.409933259189593</v>
      </c>
      <c r="F20" s="93">
        <f>SUMIFS('monthly pL'!$E20:$AN20,'monthly pL'!$E$4:$AN$4,"&gt;"&amp;'Annual pL'!E$3,'monthly pL'!$E$4:$AN$4,"&lt;="&amp;'Annual pL'!F$3)</f>
        <v>30.410614255028051</v>
      </c>
      <c r="G20" s="93">
        <f>SUMIFS('monthly pL'!$E20:$AN20,'monthly pL'!$E$4:$AN$4,"&gt;"&amp;'Annual pL'!F$3,'monthly pL'!$E$4:$AN$4,"&lt;="&amp;'Annual pL'!G$3)</f>
        <v>44.319955702243014</v>
      </c>
    </row>
    <row r="21" spans="1:7" x14ac:dyDescent="0.25">
      <c r="A21" t="str">
        <f>assumptions!A53</f>
        <v>Rent (as per contract) (% of revenue)</v>
      </c>
      <c r="E21" s="93">
        <f>SUMIFS('monthly pL'!$E21:$AN21,'monthly pL'!$E$4:$AN$4,"&gt;"&amp;'Annual pL'!D$3,'monthly pL'!$E$4:$AN$4,"&lt;="&amp;'Annual pL'!E$3)</f>
        <v>32.819866518379186</v>
      </c>
      <c r="F21" s="93">
        <f>SUMIFS('monthly pL'!$E21:$AN21,'monthly pL'!$E$4:$AN$4,"&gt;"&amp;'Annual pL'!E$3,'monthly pL'!$E$4:$AN$4,"&lt;="&amp;'Annual pL'!F$3)</f>
        <v>60.821228510056102</v>
      </c>
      <c r="G21" s="93">
        <f>SUMIFS('monthly pL'!$E21:$AN21,'monthly pL'!$E$4:$AN$4,"&gt;"&amp;'Annual pL'!F$3,'monthly pL'!$E$4:$AN$4,"&lt;="&amp;'Annual pL'!G$3)</f>
        <v>88.639911404486028</v>
      </c>
    </row>
    <row r="22" spans="1:7" x14ac:dyDescent="0.25">
      <c r="A22" t="str">
        <f>assumptions!A54</f>
        <v>Water Cost (per month)</v>
      </c>
      <c r="E22" s="93">
        <f>SUMIFS('monthly pL'!$E22:$AN22,'monthly pL'!$E$4:$AN$4,"&gt;"&amp;'Annual pL'!D$3,'monthly pL'!$E$4:$AN$4,"&lt;="&amp;'Annual pL'!E$3)</f>
        <v>0.89999999999999991</v>
      </c>
      <c r="F22" s="93">
        <f>SUMIFS('monthly pL'!$E22:$AN22,'monthly pL'!$E$4:$AN$4,"&gt;"&amp;'Annual pL'!E$3,'monthly pL'!$E$4:$AN$4,"&lt;="&amp;'Annual pL'!F$3)</f>
        <v>1.2720000000000002</v>
      </c>
      <c r="G22" s="93">
        <f>SUMIFS('monthly pL'!$E22:$AN22,'monthly pL'!$E$4:$AN$4,"&gt;"&amp;'Annual pL'!F$3,'monthly pL'!$E$4:$AN$4,"&lt;="&amp;'Annual pL'!G$3)</f>
        <v>1.3737600000000005</v>
      </c>
    </row>
    <row r="23" spans="1:7" x14ac:dyDescent="0.25">
      <c r="A23" t="str">
        <f>assumptions!A55</f>
        <v>Maintenance (per month)</v>
      </c>
      <c r="E23" s="93">
        <f>SUMIFS('monthly pL'!$E23:$AN23,'monthly pL'!$E$4:$AN$4,"&gt;"&amp;'Annual pL'!D$3,'monthly pL'!$E$4:$AN$4,"&lt;="&amp;'Annual pL'!E$3)</f>
        <v>4.5</v>
      </c>
      <c r="F23" s="93">
        <f>SUMIFS('monthly pL'!$E23:$AN23,'monthly pL'!$E$4:$AN$4,"&gt;"&amp;'Annual pL'!E$3,'monthly pL'!$E$4:$AN$4,"&lt;="&amp;'Annual pL'!F$3)</f>
        <v>6.36</v>
      </c>
      <c r="G23" s="93">
        <f>SUMIFS('monthly pL'!$E23:$AN23,'monthly pL'!$E$4:$AN$4,"&gt;"&amp;'Annual pL'!F$3,'monthly pL'!$E$4:$AN$4,"&lt;="&amp;'Annual pL'!G$3)</f>
        <v>6.8687999999999994</v>
      </c>
    </row>
    <row r="24" spans="1:7" x14ac:dyDescent="0.25">
      <c r="A24" t="str">
        <f>assumptions!A56</f>
        <v>Marketing cost (per month)</v>
      </c>
      <c r="E24" s="93">
        <f>SUMIFS('monthly pL'!$E24:$AN24,'monthly pL'!$E$4:$AN$4,"&gt;"&amp;'Annual pL'!D$3,'monthly pL'!$E$4:$AN$4,"&lt;="&amp;'Annual pL'!E$3)</f>
        <v>4.5</v>
      </c>
      <c r="F24" s="93">
        <f>SUMIFS('monthly pL'!$E24:$AN24,'monthly pL'!$E$4:$AN$4,"&gt;"&amp;'Annual pL'!E$3,'monthly pL'!$E$4:$AN$4,"&lt;="&amp;'Annual pL'!F$3)</f>
        <v>6.36</v>
      </c>
      <c r="G24" s="93">
        <f>SUMIFS('monthly pL'!$E24:$AN24,'monthly pL'!$E$4:$AN$4,"&gt;"&amp;'Annual pL'!F$3,'monthly pL'!$E$4:$AN$4,"&lt;="&amp;'Annual pL'!G$3)</f>
        <v>6.8687999999999994</v>
      </c>
    </row>
    <row r="25" spans="1:7" x14ac:dyDescent="0.25">
      <c r="A25" t="str">
        <f>assumptions!A57</f>
        <v>Electricity (Based on area Rs./sq. Ft.)</v>
      </c>
      <c r="E25" s="93">
        <f>SUMIFS('monthly pL'!$E25:$AN25,'monthly pL'!$E$4:$AN$4,"&gt;"&amp;'Annual pL'!D$3,'monthly pL'!$E$4:$AN$4,"&lt;="&amp;'Annual pL'!E$3)</f>
        <v>2.3940000000000001</v>
      </c>
      <c r="F25" s="93">
        <f>SUMIFS('monthly pL'!$E25:$AN25,'monthly pL'!$E$4:$AN$4,"&gt;"&amp;'Annual pL'!E$3,'monthly pL'!$E$4:$AN$4,"&lt;="&amp;'Annual pL'!F$3)</f>
        <v>3.3835199999999999</v>
      </c>
      <c r="G25" s="93">
        <f>SUMIFS('monthly pL'!$E25:$AN25,'monthly pL'!$E$4:$AN$4,"&gt;"&amp;'Annual pL'!F$3,'monthly pL'!$E$4:$AN$4,"&lt;="&amp;'Annual pL'!G$3)</f>
        <v>3.6542016000000004</v>
      </c>
    </row>
    <row r="26" spans="1:7" x14ac:dyDescent="0.25">
      <c r="A26" t="str">
        <f>assumptions!A58</f>
        <v>Phone and internet (per month)</v>
      </c>
      <c r="E26" s="93">
        <f>SUMIFS('monthly pL'!$E26:$AN26,'monthly pL'!$E$4:$AN$4,"&gt;"&amp;'Annual pL'!D$3,'monthly pL'!$E$4:$AN$4,"&lt;="&amp;'Annual pL'!E$3)</f>
        <v>1.3499999999999999</v>
      </c>
      <c r="F26" s="93">
        <f>SUMIFS('monthly pL'!$E26:$AN26,'monthly pL'!$E$4:$AN$4,"&gt;"&amp;'Annual pL'!E$3,'monthly pL'!$E$4:$AN$4,"&lt;="&amp;'Annual pL'!F$3)</f>
        <v>1.9079999999999997</v>
      </c>
      <c r="G26" s="93">
        <f>SUMIFS('monthly pL'!$E26:$AN26,'monthly pL'!$E$4:$AN$4,"&gt;"&amp;'Annual pL'!F$3,'monthly pL'!$E$4:$AN$4,"&lt;="&amp;'Annual pL'!G$3)</f>
        <v>2.0606400000000002</v>
      </c>
    </row>
    <row r="27" spans="1:7" x14ac:dyDescent="0.25">
      <c r="A27" t="str">
        <f>assumptions!A59</f>
        <v>Housekeeping  &amp; Consumables (% of revenue)</v>
      </c>
      <c r="E27" s="93">
        <f>SUMIFS('monthly pL'!$E27:$AN27,'monthly pL'!$E$4:$AN$4,"&gt;"&amp;'Annual pL'!D$3,'monthly pL'!$E$4:$AN$4,"&lt;="&amp;'Annual pL'!E$3)</f>
        <v>6.5639733036758372</v>
      </c>
      <c r="F27" s="93">
        <f>SUMIFS('monthly pL'!$E27:$AN27,'monthly pL'!$E$4:$AN$4,"&gt;"&amp;'Annual pL'!E$3,'monthly pL'!$E$4:$AN$4,"&lt;="&amp;'Annual pL'!F$3)</f>
        <v>12.164245702011222</v>
      </c>
      <c r="G27" s="93">
        <f>SUMIFS('monthly pL'!$E27:$AN27,'monthly pL'!$E$4:$AN$4,"&gt;"&amp;'Annual pL'!F$3,'monthly pL'!$E$4:$AN$4,"&lt;="&amp;'Annual pL'!G$3)</f>
        <v>17.727982280897209</v>
      </c>
    </row>
    <row r="28" spans="1:7" x14ac:dyDescent="0.25">
      <c r="A28" t="str">
        <f>assumptions!A60</f>
        <v>Payment Settlement Charges (% or revenue)</v>
      </c>
      <c r="E28" s="93">
        <f>SUMIFS('monthly pL'!$E28:$AN28,'monthly pL'!$E$4:$AN$4,"&gt;"&amp;'Annual pL'!D$3,'monthly pL'!$E$4:$AN$4,"&lt;="&amp;'Annual pL'!E$3)</f>
        <v>4.922979977756877</v>
      </c>
      <c r="F28" s="93">
        <f>SUMIFS('monthly pL'!$E28:$AN28,'monthly pL'!$E$4:$AN$4,"&gt;"&amp;'Annual pL'!E$3,'monthly pL'!$E$4:$AN$4,"&lt;="&amp;'Annual pL'!F$3)</f>
        <v>9.1231842765084146</v>
      </c>
      <c r="G28" s="93">
        <f>SUMIFS('monthly pL'!$E28:$AN28,'monthly pL'!$E$4:$AN$4,"&gt;"&amp;'Annual pL'!F$3,'monthly pL'!$E$4:$AN$4,"&lt;="&amp;'Annual pL'!G$3)</f>
        <v>13.295986710672903</v>
      </c>
    </row>
    <row r="29" spans="1:7" x14ac:dyDescent="0.25">
      <c r="A29" s="125" t="s">
        <v>119</v>
      </c>
      <c r="B29" s="125"/>
      <c r="C29" s="125"/>
      <c r="D29" s="125"/>
      <c r="E29" s="127">
        <f>SUMIFS('monthly pL'!$E29:$AN29,'monthly pL'!$E$4:$AN$4,"&gt;"&amp;'Annual pL'!D$3,'monthly pL'!$E$4:$AN$4,"&lt;="&amp;'Annual pL'!E$3)</f>
        <v>108.56075305900151</v>
      </c>
      <c r="F29" s="127">
        <f>SUMIFS('monthly pL'!$E29:$AN29,'monthly pL'!$E$4:$AN$4,"&gt;"&amp;'Annual pL'!E$3,'monthly pL'!$E$4:$AN$4,"&lt;="&amp;'Annual pL'!F$3)</f>
        <v>180.1387927436038</v>
      </c>
      <c r="G29" s="127">
        <f>SUMIFS('monthly pL'!$E29:$AN29,'monthly pL'!$E$4:$AN$4,"&gt;"&amp;'Annual pL'!F$3,'monthly pL'!$E$4:$AN$4,"&lt;="&amp;'Annual pL'!G$3)</f>
        <v>237.01291769829919</v>
      </c>
    </row>
    <row r="30" spans="1:7" x14ac:dyDescent="0.25">
      <c r="E30" s="93">
        <f>SUMIFS('monthly pL'!$E30:$AN30,'monthly pL'!$E$4:$AN$4,"&gt;"&amp;'Annual pL'!D$3,'monthly pL'!$E$4:$AN$4,"&lt;="&amp;'Annual pL'!E$3)</f>
        <v>0</v>
      </c>
      <c r="F30" s="93">
        <f>SUMIFS('monthly pL'!$E30:$AN30,'monthly pL'!$E$4:$AN$4,"&gt;"&amp;'Annual pL'!E$3,'monthly pL'!$E$4:$AN$4,"&lt;="&amp;'Annual pL'!F$3)</f>
        <v>0</v>
      </c>
      <c r="G30" s="93">
        <f>SUMIFS('monthly pL'!$E30:$AN30,'monthly pL'!$E$4:$AN$4,"&gt;"&amp;'Annual pL'!F$3,'monthly pL'!$E$4:$AN$4,"&lt;="&amp;'Annual pL'!G$3)</f>
        <v>0</v>
      </c>
    </row>
    <row r="31" spans="1:7" x14ac:dyDescent="0.25">
      <c r="A31" s="125" t="s">
        <v>120</v>
      </c>
      <c r="B31" s="125"/>
      <c r="C31" s="125"/>
      <c r="D31" s="125"/>
      <c r="E31" s="127">
        <f>SUMIFS('monthly pL'!$E31:$AN31,'monthly pL'!$E$4:$AN$4,"&gt;"&amp;'Annual pL'!D$3,'monthly pL'!$E$4:$AN$4,"&lt;="&amp;'Annual pL'!E$3)</f>
        <v>21.98676574296103</v>
      </c>
      <c r="F31" s="127">
        <f>SUMIFS('monthly pL'!$E31:$AN31,'monthly pL'!$E$4:$AN$4,"&gt;"&amp;'Annual pL'!E$3,'monthly pL'!$E$4:$AN$4,"&lt;="&amp;'Annual pL'!F$3)</f>
        <v>100.74964542117614</v>
      </c>
      <c r="G31" s="127">
        <f>SUMIFS('monthly pL'!$E31:$AN31,'monthly pL'!$E$4:$AN$4,"&gt;"&amp;'Annual pL'!F$3,'monthly pL'!$E$4:$AN$4,"&lt;="&amp;'Annual pL'!G$3)</f>
        <v>219.57631046627034</v>
      </c>
    </row>
    <row r="32" spans="1:7" x14ac:dyDescent="0.25">
      <c r="A32" t="s">
        <v>131</v>
      </c>
      <c r="E32" s="93">
        <f>SUM('fixed asset schedule'!E8,'fixed asset schedule'!E17,'fixed asset schedule'!E25,'fixed asset schedule'!E35)</f>
        <v>17.277534246575343</v>
      </c>
      <c r="F32" s="93">
        <f>SUM('fixed asset schedule'!F8,'fixed asset schedule'!F17,'fixed asset schedule'!F25,'fixed asset schedule'!F35)</f>
        <v>20.923479452054796</v>
      </c>
      <c r="G32" s="93">
        <f>SUM('fixed asset schedule'!G8,'fixed asset schedule'!G17,'fixed asset schedule'!G25,'fixed asset schedule'!G35)</f>
        <v>18.298446575342464</v>
      </c>
    </row>
    <row r="34" spans="1:7" x14ac:dyDescent="0.25">
      <c r="A34" s="125" t="s">
        <v>140</v>
      </c>
      <c r="B34" s="126"/>
      <c r="C34" s="126"/>
      <c r="D34" s="126"/>
      <c r="E34" s="127">
        <f>E31-E32</f>
        <v>4.7092314963856872</v>
      </c>
      <c r="F34" s="127">
        <f t="shared" ref="F34:G34" si="0">F31-F32</f>
        <v>79.826165969121348</v>
      </c>
      <c r="G34" s="127">
        <f t="shared" si="0"/>
        <v>201.27786389092788</v>
      </c>
    </row>
    <row r="35" spans="1:7" x14ac:dyDescent="0.25">
      <c r="A35" t="s">
        <v>141</v>
      </c>
      <c r="E35" s="93">
        <v>0</v>
      </c>
      <c r="F35" s="93">
        <v>0</v>
      </c>
      <c r="G35" s="93">
        <v>0</v>
      </c>
    </row>
    <row r="37" spans="1:7" x14ac:dyDescent="0.25">
      <c r="A37" s="125" t="s">
        <v>142</v>
      </c>
      <c r="B37" s="125"/>
      <c r="C37" s="125"/>
      <c r="D37" s="125"/>
      <c r="E37" s="127">
        <f>E34-E35</f>
        <v>4.7092314963856872</v>
      </c>
      <c r="F37" s="127">
        <f>F34-F35</f>
        <v>79.826165969121348</v>
      </c>
      <c r="G37" s="127">
        <f>G34-G35</f>
        <v>201.27786389092788</v>
      </c>
    </row>
    <row r="38" spans="1:7" x14ac:dyDescent="0.25">
      <c r="A38" t="s">
        <v>143</v>
      </c>
      <c r="E38" s="93">
        <f>E37*assumptions!$G$105</f>
        <v>1.1853135676402773</v>
      </c>
      <c r="F38" s="93">
        <f>F37*assumptions!$G$105</f>
        <v>20.092245974427843</v>
      </c>
      <c r="G38" s="93">
        <f>G37*assumptions!$G$105</f>
        <v>50.661638341346539</v>
      </c>
    </row>
    <row r="39" spans="1:7" ht="15.75" thickBot="1" x14ac:dyDescent="0.3">
      <c r="A39" s="118" t="s">
        <v>144</v>
      </c>
      <c r="B39" s="118"/>
      <c r="C39" s="118"/>
      <c r="D39" s="118"/>
      <c r="E39" s="122">
        <f>E37-E38</f>
        <v>3.5239179287454099</v>
      </c>
      <c r="F39" s="122">
        <f t="shared" ref="F39:G39" si="1">F37-F38</f>
        <v>59.733919994693508</v>
      </c>
      <c r="G39" s="122">
        <f t="shared" si="1"/>
        <v>150.61622554958134</v>
      </c>
    </row>
    <row r="40" spans="1:7" ht="15.75" thickTop="1" x14ac:dyDescent="0.25">
      <c r="A40" t="s">
        <v>145</v>
      </c>
    </row>
    <row r="41" spans="1:7" x14ac:dyDescent="0.25">
      <c r="A41" s="86" t="s">
        <v>146</v>
      </c>
      <c r="E41" s="121">
        <f>E39/E9</f>
        <v>1.0737148875276534E-2</v>
      </c>
      <c r="F41" s="121">
        <f t="shared" ref="F41:G41" si="2">F39/F9</f>
        <v>9.8212287811347318E-2</v>
      </c>
      <c r="G41" s="121">
        <f t="shared" si="2"/>
        <v>0.16991919685285103</v>
      </c>
    </row>
    <row r="43" spans="1:7" s="114" customFormat="1" x14ac:dyDescent="0.25">
      <c r="A43" s="114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009A-BEDA-453A-BDD3-5220AECBB54A}">
  <dimension ref="A1:G38"/>
  <sheetViews>
    <sheetView showGridLines="0" workbookViewId="0">
      <selection activeCell="B3" sqref="B3"/>
    </sheetView>
  </sheetViews>
  <sheetFormatPr defaultRowHeight="15" x14ac:dyDescent="0.25"/>
  <cols>
    <col min="1" max="1" width="23.85546875" customWidth="1"/>
    <col min="5" max="7" width="13.42578125" bestFit="1" customWidth="1"/>
  </cols>
  <sheetData>
    <row r="1" spans="1:7" x14ac:dyDescent="0.25">
      <c r="A1" s="94" t="s">
        <v>105</v>
      </c>
      <c r="B1" s="90" t="str">
        <f>Converter!C1</f>
        <v>lakhs</v>
      </c>
    </row>
    <row r="2" spans="1:7" x14ac:dyDescent="0.25">
      <c r="E2" s="130">
        <v>1</v>
      </c>
      <c r="F2" s="130">
        <v>2</v>
      </c>
      <c r="G2" s="130">
        <f>F2+1</f>
        <v>3</v>
      </c>
    </row>
    <row r="3" spans="1:7" x14ac:dyDescent="0.25">
      <c r="E3" s="129">
        <f>EOMONTH(assumptions!G3,11)</f>
        <v>44286</v>
      </c>
      <c r="F3" s="129">
        <f>EOMONTH(E3,12)</f>
        <v>44651</v>
      </c>
      <c r="G3" s="129">
        <f>EOMONTH(F3,12)</f>
        <v>45016</v>
      </c>
    </row>
    <row r="4" spans="1:7" x14ac:dyDescent="0.25">
      <c r="A4" s="96" t="s">
        <v>161</v>
      </c>
    </row>
    <row r="5" spans="1:7" x14ac:dyDescent="0.25">
      <c r="A5" s="103" t="s">
        <v>163</v>
      </c>
      <c r="E5" s="117">
        <f>'capital structure'!C17</f>
        <v>225</v>
      </c>
      <c r="F5" s="117">
        <f>E5</f>
        <v>225</v>
      </c>
      <c r="G5" s="117">
        <f>F5</f>
        <v>225</v>
      </c>
    </row>
    <row r="6" spans="1:7" x14ac:dyDescent="0.25">
      <c r="A6" s="103" t="s">
        <v>164</v>
      </c>
      <c r="E6" s="117">
        <f>D6+'Annual pL'!E39</f>
        <v>3.5239179287454099</v>
      </c>
      <c r="F6" s="117">
        <f>E6+'Annual pL'!F39</f>
        <v>63.25783792343892</v>
      </c>
      <c r="G6" s="117">
        <f>F6+'Annual pL'!G39</f>
        <v>213.87406347302027</v>
      </c>
    </row>
    <row r="8" spans="1:7" s="86" customFormat="1" x14ac:dyDescent="0.25">
      <c r="A8" s="86" t="s">
        <v>165</v>
      </c>
      <c r="E8" s="134">
        <f>SUM(E5:E6)</f>
        <v>228.52391792874542</v>
      </c>
      <c r="F8" s="134">
        <f t="shared" ref="F8:G8" si="0">SUM(F5:F6)</f>
        <v>288.2578379234389</v>
      </c>
      <c r="G8" s="134">
        <f t="shared" si="0"/>
        <v>438.87406347302027</v>
      </c>
    </row>
    <row r="10" spans="1:7" x14ac:dyDescent="0.25">
      <c r="A10" s="86" t="s">
        <v>166</v>
      </c>
    </row>
    <row r="11" spans="1:7" x14ac:dyDescent="0.25">
      <c r="A11" s="103" t="str">
        <f>'working capital'!A12</f>
        <v>Creditor for expenses</v>
      </c>
      <c r="E11" s="140">
        <f>'working capital'!E12</f>
        <v>12.854154773057182</v>
      </c>
      <c r="F11" s="140">
        <f>'working capital'!F12</f>
        <v>16.730728077701471</v>
      </c>
      <c r="G11" s="140">
        <f>'working capital'!G12</f>
        <v>21.39797571445397</v>
      </c>
    </row>
    <row r="12" spans="1:7" x14ac:dyDescent="0.25">
      <c r="A12" s="107" t="str">
        <f>'working capital'!A13</f>
        <v>Creditor for raw material</v>
      </c>
      <c r="E12" s="140">
        <f>'working capital'!E13</f>
        <v>0</v>
      </c>
      <c r="F12" s="140">
        <f>'working capital'!F13</f>
        <v>0</v>
      </c>
      <c r="G12" s="140">
        <f>'working capital'!G13</f>
        <v>0</v>
      </c>
    </row>
    <row r="13" spans="1:7" x14ac:dyDescent="0.25">
      <c r="A13" s="103" t="str">
        <f>'working capital'!A14</f>
        <v>Alcoholic Beverages</v>
      </c>
      <c r="E13" s="140">
        <f>'working capital'!E14</f>
        <v>5.1829745525314426</v>
      </c>
      <c r="F13" s="140">
        <f>'working capital'!F14</f>
        <v>7.6517756000614909</v>
      </c>
      <c r="G13" s="140">
        <f>'working capital'!G14</f>
        <v>10.633521729835834</v>
      </c>
    </row>
    <row r="14" spans="1:7" x14ac:dyDescent="0.25">
      <c r="A14" s="103" t="str">
        <f>'working capital'!A15</f>
        <v>Non Alcoholic Beverages</v>
      </c>
      <c r="E14" s="140">
        <f>'working capital'!E15</f>
        <v>2.2232814716183515</v>
      </c>
      <c r="F14" s="140">
        <f>'working capital'!F15</f>
        <v>3.2177319464103307</v>
      </c>
      <c r="G14" s="140">
        <f>'working capital'!G15</f>
        <v>4.4371355411440829</v>
      </c>
    </row>
    <row r="15" spans="1:7" x14ac:dyDescent="0.25">
      <c r="A15" s="103" t="str">
        <f>'working capital'!A16</f>
        <v>Food</v>
      </c>
      <c r="E15" s="140">
        <f>'working capital'!E16</f>
        <v>6.1140240469504681</v>
      </c>
      <c r="F15" s="140">
        <f>'working capital'!F16</f>
        <v>8.8487628526284094</v>
      </c>
      <c r="G15" s="140">
        <f>'working capital'!G16</f>
        <v>12.202122738146228</v>
      </c>
    </row>
    <row r="16" spans="1:7" x14ac:dyDescent="0.25">
      <c r="A16" s="103"/>
      <c r="E16" s="140"/>
      <c r="F16" s="140"/>
      <c r="G16" s="140"/>
    </row>
    <row r="17" spans="1:7" s="86" customFormat="1" x14ac:dyDescent="0.25">
      <c r="A17" s="108" t="s">
        <v>167</v>
      </c>
      <c r="B17" s="109"/>
      <c r="C17" s="109"/>
      <c r="D17" s="109"/>
      <c r="E17" s="141">
        <f>SUM(E11:E15)</f>
        <v>26.374434844157442</v>
      </c>
      <c r="F17" s="141">
        <f t="shared" ref="F17:G17" si="1">SUM(F11:F15)</f>
        <v>36.448998476801705</v>
      </c>
      <c r="G17" s="141">
        <f t="shared" si="1"/>
        <v>48.670755723580115</v>
      </c>
    </row>
    <row r="18" spans="1:7" s="86" customFormat="1" x14ac:dyDescent="0.25">
      <c r="A18" s="107"/>
      <c r="E18" s="142"/>
      <c r="F18" s="142"/>
      <c r="G18" s="142"/>
    </row>
    <row r="19" spans="1:7" s="86" customFormat="1" x14ac:dyDescent="0.25">
      <c r="A19" s="136" t="s">
        <v>168</v>
      </c>
      <c r="B19" s="125"/>
      <c r="C19" s="125"/>
      <c r="D19" s="125"/>
      <c r="E19" s="143">
        <f>E8+E17</f>
        <v>254.89835277290285</v>
      </c>
      <c r="F19" s="143">
        <f t="shared" ref="F19:G19" si="2">F8+F17</f>
        <v>324.7068364002406</v>
      </c>
      <c r="G19" s="143">
        <f t="shared" si="2"/>
        <v>487.54481919660037</v>
      </c>
    </row>
    <row r="21" spans="1:7" x14ac:dyDescent="0.25">
      <c r="A21" s="96" t="s">
        <v>162</v>
      </c>
    </row>
    <row r="22" spans="1:7" x14ac:dyDescent="0.25">
      <c r="A22" s="107" t="s">
        <v>169</v>
      </c>
    </row>
    <row r="23" spans="1:7" x14ac:dyDescent="0.25">
      <c r="A23" s="103" t="str">
        <f>'fixed asset schedule'!A4</f>
        <v>Kitchen Equipments and cutlery</v>
      </c>
      <c r="E23" s="117">
        <f>'fixed asset schedule'!E9</f>
        <v>26.634246575342466</v>
      </c>
      <c r="F23" s="117">
        <f>'fixed asset schedule'!F9</f>
        <v>22.639109589041094</v>
      </c>
      <c r="G23" s="117">
        <f>'fixed asset schedule'!G9</f>
        <v>19.243243150684933</v>
      </c>
    </row>
    <row r="24" spans="1:7" x14ac:dyDescent="0.25">
      <c r="A24" s="103" t="str">
        <f>'fixed asset schedule'!A13</f>
        <v>Refrigeration Equipments</v>
      </c>
      <c r="E24" s="117">
        <f>'fixed asset schedule'!E18</f>
        <v>44.390410958904113</v>
      </c>
      <c r="F24" s="117">
        <f>'fixed asset schedule'!F18</f>
        <v>37.731849315068494</v>
      </c>
      <c r="G24" s="117">
        <f>'fixed asset schedule'!G18</f>
        <v>32.072071917808223</v>
      </c>
    </row>
    <row r="25" spans="1:7" x14ac:dyDescent="0.25">
      <c r="A25" s="103" t="str">
        <f>'fixed asset schedule'!A21</f>
        <v>Furniture &amp; Fixtures</v>
      </c>
      <c r="E25" s="117">
        <f>'fixed asset schedule'!E26</f>
        <v>47.185479452054793</v>
      </c>
      <c r="F25" s="117">
        <f>'fixed asset schedule'!F26</f>
        <v>42.466931506849313</v>
      </c>
      <c r="G25" s="117">
        <f>'fixed asset schedule'!G26</f>
        <v>38.22023835616438</v>
      </c>
    </row>
    <row r="26" spans="1:7" x14ac:dyDescent="0.25">
      <c r="A26" s="103" t="str">
        <f>'fixed asset schedule'!A31</f>
        <v>Restaurants Décor</v>
      </c>
      <c r="E26" s="117">
        <f>'fixed asset schedule'!E36</f>
        <v>55.512328767123286</v>
      </c>
      <c r="F26" s="117">
        <f>'fixed asset schedule'!F36</f>
        <v>49.961095890410959</v>
      </c>
      <c r="G26" s="117">
        <f>'fixed asset schedule'!G36</f>
        <v>44.964986301369862</v>
      </c>
    </row>
    <row r="28" spans="1:7" x14ac:dyDescent="0.25">
      <c r="A28" t="s">
        <v>170</v>
      </c>
      <c r="E28" s="117">
        <f>'capital structure'!C11</f>
        <v>10</v>
      </c>
      <c r="F28" s="117">
        <f>E28</f>
        <v>10</v>
      </c>
      <c r="G28" s="117">
        <f>F28</f>
        <v>10</v>
      </c>
    </row>
    <row r="29" spans="1:7" x14ac:dyDescent="0.25">
      <c r="A29" s="86" t="str">
        <f>'working capital'!A4</f>
        <v>Current assets</v>
      </c>
    </row>
    <row r="30" spans="1:7" x14ac:dyDescent="0.25">
      <c r="A30" s="103" t="str">
        <f>'working capital'!A5</f>
        <v>Inventory</v>
      </c>
      <c r="E30" s="140">
        <f>'working capital'!E5</f>
        <v>0</v>
      </c>
      <c r="F30" s="140">
        <f>'working capital'!F5</f>
        <v>0</v>
      </c>
      <c r="G30" s="140">
        <f>'working capital'!G5</f>
        <v>0</v>
      </c>
    </row>
    <row r="31" spans="1:7" x14ac:dyDescent="0.25">
      <c r="A31" s="103" t="str">
        <f>'working capital'!A6</f>
        <v>Alcoholic Beverages</v>
      </c>
      <c r="E31" s="140">
        <f>'working capital'!E6</f>
        <v>5.1829745525314426</v>
      </c>
      <c r="F31" s="140">
        <f>'working capital'!F6</f>
        <v>7.6517756000614909</v>
      </c>
      <c r="G31" s="140">
        <f>'working capital'!G6</f>
        <v>10.633521729835834</v>
      </c>
    </row>
    <row r="32" spans="1:7" x14ac:dyDescent="0.25">
      <c r="A32" s="103" t="str">
        <f>'working capital'!A7</f>
        <v>Non Alcoholic Beverages</v>
      </c>
      <c r="E32" s="140">
        <f>'working capital'!E7</f>
        <v>2.2232814716183515</v>
      </c>
      <c r="F32" s="140">
        <f>'working capital'!F7</f>
        <v>3.2177319464103307</v>
      </c>
      <c r="G32" s="140">
        <f>'working capital'!G7</f>
        <v>4.4371355411440829</v>
      </c>
    </row>
    <row r="33" spans="1:7" x14ac:dyDescent="0.25">
      <c r="A33" s="103" t="str">
        <f>'working capital'!A8</f>
        <v>Food</v>
      </c>
      <c r="E33" s="140">
        <f>'working capital'!E8</f>
        <v>6.1140240469504681</v>
      </c>
      <c r="F33" s="140">
        <f>'working capital'!F8</f>
        <v>8.8487628526284094</v>
      </c>
      <c r="G33" s="140">
        <f>'working capital'!G8</f>
        <v>12.202122738146228</v>
      </c>
    </row>
    <row r="34" spans="1:7" x14ac:dyDescent="0.25">
      <c r="A34" t="s">
        <v>171</v>
      </c>
      <c r="E34" s="117">
        <f>'CashFlow statement'!E23</f>
        <v>57.655606948377937</v>
      </c>
      <c r="F34" s="117">
        <f>'CashFlow statement'!F23</f>
        <v>142.18957969977055</v>
      </c>
      <c r="G34" s="117">
        <f>'CashFlow statement'!G23</f>
        <v>315.77149946144687</v>
      </c>
    </row>
    <row r="36" spans="1:7" s="86" customFormat="1" x14ac:dyDescent="0.25">
      <c r="A36" s="125" t="s">
        <v>172</v>
      </c>
      <c r="B36" s="125"/>
      <c r="C36" s="125"/>
      <c r="D36" s="125"/>
      <c r="E36" s="135">
        <f>SUM(E23:E26,E28,E30:E34)</f>
        <v>254.89835277290288</v>
      </c>
      <c r="F36" s="135">
        <f>SUM(F23:F26,F28,F30:F34)</f>
        <v>324.7068364002406</v>
      </c>
      <c r="G36" s="135">
        <f>SUM(G23:G26,G28,G30:G34)</f>
        <v>487.54481919660037</v>
      </c>
    </row>
    <row r="38" spans="1:7" s="114" customFormat="1" x14ac:dyDescent="0.25">
      <c r="A38" s="11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assumptions</vt:lpstr>
      <vt:lpstr>Converter</vt:lpstr>
      <vt:lpstr>Monthly revenue</vt:lpstr>
      <vt:lpstr>monthly pL</vt:lpstr>
      <vt:lpstr>capital structure</vt:lpstr>
      <vt:lpstr>fixed asset schedule</vt:lpstr>
      <vt:lpstr>working capital</vt:lpstr>
      <vt:lpstr>Annual pL</vt:lpstr>
      <vt:lpstr>balance sheet</vt:lpstr>
      <vt:lpstr>CashFlow statement</vt:lpstr>
      <vt:lpstr>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ZAID</cp:lastModifiedBy>
  <dcterms:created xsi:type="dcterms:W3CDTF">2025-01-22T09:45:52Z</dcterms:created>
  <dcterms:modified xsi:type="dcterms:W3CDTF">2025-01-30T09:51:29Z</dcterms:modified>
</cp:coreProperties>
</file>