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defaultThemeVersion="166925"/>
  <mc:AlternateContent xmlns:mc="http://schemas.openxmlformats.org/markup-compatibility/2006">
    <mc:Choice Requires="x15">
      <x15ac:absPath xmlns:x15ac="http://schemas.microsoft.com/office/spreadsheetml/2010/11/ac" url="https://tud365-my.sharepoint.com/personal/wenzhou_tudelft_nl/Documents/Shared/Geothermica/DEEP_Guideline/"/>
    </mc:Choice>
  </mc:AlternateContent>
  <xr:revisionPtr revIDLastSave="1873" documentId="8_{89EEA365-E012-8643-8CBD-54FD011F6F6D}" xr6:coauthVersionLast="47" xr6:coauthVersionMax="47" xr10:uidLastSave="{3799FB0C-F692-D148-AAAB-0E1EB6E788B3}"/>
  <bookViews>
    <workbookView xWindow="0" yWindow="500" windowWidth="28800" windowHeight="16340" activeTab="6" xr2:uid="{6C03FCD2-15D6-1E4C-B475-C730028EB327}"/>
  </bookViews>
  <sheets>
    <sheet name="Pohang" sheetId="21" r:id="rId1"/>
    <sheet name="FORGE" sheetId="25" r:id="rId2"/>
    <sheet name="Riehen" sheetId="24" r:id="rId3"/>
    <sheet name="SoultzP1" sheetId="23" r:id="rId4"/>
    <sheet name="StGallen" sheetId="22" r:id="rId5"/>
    <sheet name="Basel" sheetId="20" r:id="rId6"/>
    <sheet name="HauteSorne" sheetId="27" r:id="rId7"/>
    <sheet name="Summary" sheetId="1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7" i="27" l="1"/>
  <c r="I91" i="27"/>
  <c r="F91" i="27"/>
  <c r="F59" i="21"/>
  <c r="L97" i="27"/>
  <c r="F97" i="27"/>
  <c r="C97" i="27"/>
  <c r="L91" i="27"/>
  <c r="C91" i="27"/>
  <c r="I65" i="21"/>
  <c r="I59" i="21"/>
  <c r="G24" i="21" s="1"/>
  <c r="I96" i="25"/>
  <c r="I90" i="25"/>
  <c r="F65" i="21"/>
  <c r="C65" i="21"/>
  <c r="C96" i="25"/>
  <c r="C90" i="25"/>
  <c r="F90" i="25"/>
  <c r="F96" i="25"/>
  <c r="L96" i="25"/>
  <c r="L90" i="25"/>
  <c r="G22" i="21"/>
  <c r="B22" i="21"/>
  <c r="C59" i="21"/>
  <c r="G23" i="21"/>
  <c r="C58" i="27"/>
  <c r="G22" i="27" s="1"/>
  <c r="A6" i="17"/>
  <c r="C66" i="25"/>
  <c r="C64" i="24"/>
  <c r="C64" i="23"/>
  <c r="C64" i="22"/>
  <c r="C64" i="20"/>
  <c r="C66" i="27"/>
  <c r="T78" i="27"/>
  <c r="O66" i="27"/>
  <c r="I66" i="27"/>
  <c r="O58" i="27"/>
  <c r="G24" i="27" s="1"/>
  <c r="I58" i="27"/>
  <c r="G23" i="27" s="1"/>
  <c r="L48" i="27"/>
  <c r="L46" i="27"/>
  <c r="G19" i="27" s="1"/>
  <c r="I46" i="27" a="1"/>
  <c r="I46" i="27" s="1"/>
  <c r="G18" i="27" s="1"/>
  <c r="F46" i="27" a="1"/>
  <c r="F46" i="27" s="1"/>
  <c r="G17" i="27" s="1"/>
  <c r="C46" i="27"/>
  <c r="S36" i="27" a="1"/>
  <c r="S36" i="27" s="1"/>
  <c r="G12" i="27" s="1"/>
  <c r="O36" i="27" a="1"/>
  <c r="O36" i="27" s="1"/>
  <c r="G11" i="27" s="1"/>
  <c r="I36" i="27"/>
  <c r="G10" i="27" s="1"/>
  <c r="F36" i="27"/>
  <c r="G9" i="27" s="1"/>
  <c r="C36" i="27"/>
  <c r="G30" i="27"/>
  <c r="B30" i="27"/>
  <c r="G29" i="27"/>
  <c r="B29" i="27"/>
  <c r="G28" i="27"/>
  <c r="B28" i="27"/>
  <c r="G27" i="27"/>
  <c r="B27" i="27"/>
  <c r="B26" i="27"/>
  <c r="B24" i="27"/>
  <c r="B23" i="27"/>
  <c r="B22" i="27"/>
  <c r="B21" i="27"/>
  <c r="H19" i="27"/>
  <c r="B19" i="27"/>
  <c r="H18" i="27"/>
  <c r="B18" i="27"/>
  <c r="H17" i="27"/>
  <c r="B17" i="27"/>
  <c r="H16" i="27"/>
  <c r="G16" i="27"/>
  <c r="B16" i="27"/>
  <c r="B15" i="27"/>
  <c r="H13" i="27"/>
  <c r="G13" i="27"/>
  <c r="B13" i="27"/>
  <c r="B12" i="27"/>
  <c r="H11" i="27"/>
  <c r="B11" i="27"/>
  <c r="H10" i="27"/>
  <c r="B10" i="27"/>
  <c r="H9" i="27"/>
  <c r="B9" i="27"/>
  <c r="H8" i="27"/>
  <c r="B8" i="27"/>
  <c r="B7" i="27"/>
  <c r="I58" i="25"/>
  <c r="G23" i="25" s="1"/>
  <c r="I58" i="24"/>
  <c r="I58" i="23"/>
  <c r="G23" i="23" s="1"/>
  <c r="I58" i="22"/>
  <c r="I58" i="20"/>
  <c r="G23" i="20" s="1"/>
  <c r="I66" i="25"/>
  <c r="I64" i="24"/>
  <c r="I64" i="23"/>
  <c r="I64" i="22"/>
  <c r="I64" i="20"/>
  <c r="B10" i="21"/>
  <c r="S36" i="20" a="1"/>
  <c r="S36" i="20" s="1"/>
  <c r="G12" i="20" s="1"/>
  <c r="S36" i="22" a="1"/>
  <c r="S36" i="22" s="1"/>
  <c r="G12" i="22" s="1"/>
  <c r="O36" i="23" a="1"/>
  <c r="O36" i="23" s="1"/>
  <c r="G11" i="23" s="1"/>
  <c r="S37" i="21" a="1"/>
  <c r="S37" i="21" s="1"/>
  <c r="G12" i="21" s="1"/>
  <c r="O36" i="25" a="1"/>
  <c r="O36" i="25" s="1"/>
  <c r="G11" i="25" s="1"/>
  <c r="S36" i="25" a="1"/>
  <c r="S36" i="25" s="1"/>
  <c r="G12" i="25" s="1"/>
  <c r="S36" i="24" a="1"/>
  <c r="S36" i="24" s="1"/>
  <c r="G12" i="24" s="1"/>
  <c r="O36" i="24" a="1"/>
  <c r="O36" i="24" s="1"/>
  <c r="G11" i="24" s="1"/>
  <c r="S36" i="23" a="1"/>
  <c r="S36" i="23" s="1"/>
  <c r="G12" i="23" s="1"/>
  <c r="O36" i="22" a="1"/>
  <c r="O36" i="22" s="1"/>
  <c r="G11" i="22" s="1"/>
  <c r="O36" i="20" a="1"/>
  <c r="O36" i="20" s="1"/>
  <c r="G11" i="20" s="1"/>
  <c r="O37" i="21" a="1"/>
  <c r="O37" i="21" s="1"/>
  <c r="G11" i="21" s="1"/>
  <c r="F37" i="21"/>
  <c r="G9" i="21" s="1"/>
  <c r="A5" i="17"/>
  <c r="T78" i="25"/>
  <c r="O66" i="25"/>
  <c r="O58" i="25"/>
  <c r="G24" i="25" s="1"/>
  <c r="C58" i="25"/>
  <c r="G22" i="25" s="1"/>
  <c r="L48" i="25"/>
  <c r="L46" i="25"/>
  <c r="G19" i="25" s="1"/>
  <c r="I46" i="25" a="1"/>
  <c r="I46" i="25" s="1"/>
  <c r="G18" i="25" s="1"/>
  <c r="F46" i="25" a="1"/>
  <c r="F46" i="25" s="1"/>
  <c r="G17" i="25" s="1"/>
  <c r="C46" i="25"/>
  <c r="I36" i="25"/>
  <c r="G10" i="25" s="1"/>
  <c r="F36" i="25"/>
  <c r="G9" i="25" s="1"/>
  <c r="C36" i="25"/>
  <c r="G30" i="25"/>
  <c r="B30" i="25"/>
  <c r="G29" i="25"/>
  <c r="B29" i="25"/>
  <c r="G28" i="25"/>
  <c r="B28" i="25"/>
  <c r="G27" i="25"/>
  <c r="B27" i="25"/>
  <c r="B26" i="25"/>
  <c r="B24" i="25"/>
  <c r="B23" i="25"/>
  <c r="B22" i="25"/>
  <c r="B21" i="25"/>
  <c r="H19" i="25"/>
  <c r="B19" i="25"/>
  <c r="H18" i="25"/>
  <c r="B18" i="25"/>
  <c r="H17" i="25"/>
  <c r="B17" i="25"/>
  <c r="H16" i="25"/>
  <c r="B16" i="25"/>
  <c r="B15" i="25"/>
  <c r="H13" i="25"/>
  <c r="G13" i="25"/>
  <c r="B13" i="25"/>
  <c r="B12" i="25"/>
  <c r="H11" i="25"/>
  <c r="B11" i="25"/>
  <c r="H10" i="25"/>
  <c r="B10" i="25"/>
  <c r="H9" i="25"/>
  <c r="B9" i="25"/>
  <c r="H8" i="25"/>
  <c r="B8" i="25"/>
  <c r="B7" i="25"/>
  <c r="A8" i="17"/>
  <c r="C58" i="24"/>
  <c r="C58" i="23"/>
  <c r="C58" i="22"/>
  <c r="G22" i="22" s="1"/>
  <c r="C58" i="20"/>
  <c r="G22" i="20" s="1"/>
  <c r="T74" i="24"/>
  <c r="O64" i="24"/>
  <c r="O58" i="24"/>
  <c r="G24" i="24" s="1"/>
  <c r="G22" i="24"/>
  <c r="L48" i="24"/>
  <c r="L46" i="24"/>
  <c r="G19" i="24" s="1"/>
  <c r="I46" i="24" a="1"/>
  <c r="I46" i="24" s="1"/>
  <c r="G18" i="24" s="1"/>
  <c r="F46" i="24" a="1"/>
  <c r="F46" i="24" s="1"/>
  <c r="G17" i="24" s="1"/>
  <c r="C46" i="24"/>
  <c r="I36" i="24"/>
  <c r="G10" i="24" s="1"/>
  <c r="F36" i="24"/>
  <c r="G9" i="24" s="1"/>
  <c r="C36" i="24"/>
  <c r="G30" i="24"/>
  <c r="B30" i="24"/>
  <c r="G29" i="24"/>
  <c r="B29" i="24"/>
  <c r="G28" i="24"/>
  <c r="B28" i="24"/>
  <c r="G27" i="24"/>
  <c r="B27" i="24"/>
  <c r="B26" i="24"/>
  <c r="B24" i="24"/>
  <c r="G23" i="24"/>
  <c r="B23" i="24"/>
  <c r="B22" i="24"/>
  <c r="B21" i="24"/>
  <c r="H19" i="24"/>
  <c r="B19" i="24"/>
  <c r="H18" i="24"/>
  <c r="B18" i="24"/>
  <c r="H17" i="24"/>
  <c r="B17" i="24"/>
  <c r="H16" i="24"/>
  <c r="B16" i="24"/>
  <c r="B15" i="24"/>
  <c r="H13" i="24"/>
  <c r="G13" i="24"/>
  <c r="B13" i="24"/>
  <c r="B12" i="24"/>
  <c r="H11" i="24"/>
  <c r="B11" i="24"/>
  <c r="H10" i="24"/>
  <c r="B10" i="24"/>
  <c r="H9" i="24"/>
  <c r="B9" i="24"/>
  <c r="H8" i="24"/>
  <c r="G8" i="24"/>
  <c r="B8" i="24"/>
  <c r="B7" i="24"/>
  <c r="A4" i="17"/>
  <c r="T74" i="23"/>
  <c r="O64" i="23"/>
  <c r="O58" i="23"/>
  <c r="G24" i="23" s="1"/>
  <c r="G22" i="23"/>
  <c r="L48" i="23"/>
  <c r="L46" i="23"/>
  <c r="G19" i="23" s="1"/>
  <c r="I46" i="23" a="1"/>
  <c r="I46" i="23" s="1"/>
  <c r="G18" i="23" s="1"/>
  <c r="F46" i="23" a="1"/>
  <c r="F46" i="23" s="1"/>
  <c r="G17" i="23" s="1"/>
  <c r="C46" i="23"/>
  <c r="I36" i="23"/>
  <c r="G10" i="23" s="1"/>
  <c r="F36" i="23"/>
  <c r="G9" i="23" s="1"/>
  <c r="C36" i="23"/>
  <c r="G30" i="23"/>
  <c r="B30" i="23"/>
  <c r="G29" i="23"/>
  <c r="B29" i="23"/>
  <c r="G28" i="23"/>
  <c r="B28" i="23"/>
  <c r="G27" i="23"/>
  <c r="B27" i="23"/>
  <c r="B26" i="23"/>
  <c r="B24" i="23"/>
  <c r="B23" i="23"/>
  <c r="B22" i="23"/>
  <c r="B21" i="23"/>
  <c r="H19" i="23"/>
  <c r="B19" i="23"/>
  <c r="H18" i="23"/>
  <c r="B18" i="23"/>
  <c r="H17" i="23"/>
  <c r="B17" i="23"/>
  <c r="H16" i="23"/>
  <c r="B16" i="23"/>
  <c r="B15" i="23"/>
  <c r="H13" i="23"/>
  <c r="G13" i="23"/>
  <c r="B13" i="23"/>
  <c r="B12" i="23"/>
  <c r="H11" i="23"/>
  <c r="B11" i="23"/>
  <c r="H10" i="23"/>
  <c r="B10" i="23"/>
  <c r="H9" i="23"/>
  <c r="B9" i="23"/>
  <c r="H8" i="23"/>
  <c r="B8" i="23"/>
  <c r="B7" i="23"/>
  <c r="A7" i="17"/>
  <c r="T74" i="22"/>
  <c r="O64" i="22"/>
  <c r="O58" i="22"/>
  <c r="G24" i="22" s="1"/>
  <c r="L48" i="22"/>
  <c r="L46" i="22"/>
  <c r="G19" i="22" s="1"/>
  <c r="I46" i="22" a="1"/>
  <c r="I46" i="22" s="1"/>
  <c r="G18" i="22" s="1"/>
  <c r="F46" i="22" a="1"/>
  <c r="F46" i="22" s="1"/>
  <c r="G17" i="22" s="1"/>
  <c r="C46" i="22"/>
  <c r="I36" i="22"/>
  <c r="F36" i="22"/>
  <c r="G9" i="22" s="1"/>
  <c r="C36" i="22"/>
  <c r="G8" i="22" s="1"/>
  <c r="G30" i="22"/>
  <c r="B30" i="22"/>
  <c r="G29" i="22"/>
  <c r="B29" i="22"/>
  <c r="G28" i="22"/>
  <c r="B28" i="22"/>
  <c r="G27" i="22"/>
  <c r="B27" i="22"/>
  <c r="B26" i="22"/>
  <c r="B24" i="22"/>
  <c r="G23" i="22"/>
  <c r="B23" i="22"/>
  <c r="B22" i="22"/>
  <c r="B21" i="22"/>
  <c r="H19" i="22"/>
  <c r="B19" i="22"/>
  <c r="H18" i="22"/>
  <c r="B18" i="22"/>
  <c r="H17" i="22"/>
  <c r="B17" i="22"/>
  <c r="H16" i="22"/>
  <c r="B16" i="22"/>
  <c r="B15" i="22"/>
  <c r="H13" i="22"/>
  <c r="G13" i="22"/>
  <c r="B13" i="22"/>
  <c r="B12" i="22"/>
  <c r="H11" i="22"/>
  <c r="B11" i="22"/>
  <c r="H10" i="22"/>
  <c r="G10" i="22"/>
  <c r="B10" i="22"/>
  <c r="H9" i="22"/>
  <c r="B9" i="22"/>
  <c r="H8" i="22"/>
  <c r="B8" i="22"/>
  <c r="B7" i="22"/>
  <c r="A2" i="17"/>
  <c r="H12" i="21"/>
  <c r="F1" i="17"/>
  <c r="T75" i="21"/>
  <c r="L65" i="21"/>
  <c r="L59" i="21"/>
  <c r="G25" i="21" s="1"/>
  <c r="L49" i="21"/>
  <c r="L47" i="21"/>
  <c r="G19" i="21" s="1"/>
  <c r="I47" i="21" a="1"/>
  <c r="I47" i="21" s="1"/>
  <c r="G18" i="21" s="1"/>
  <c r="F47" i="21" a="1"/>
  <c r="F47" i="21" s="1"/>
  <c r="G17" i="21" s="1"/>
  <c r="C47" i="21"/>
  <c r="I37" i="21"/>
  <c r="G10" i="21" s="1"/>
  <c r="C37" i="21"/>
  <c r="G8" i="21" s="1"/>
  <c r="G31" i="21"/>
  <c r="B31" i="21"/>
  <c r="G30" i="21"/>
  <c r="B30" i="21"/>
  <c r="G29" i="21"/>
  <c r="B29" i="21"/>
  <c r="G28" i="21"/>
  <c r="B28" i="21"/>
  <c r="B27" i="21"/>
  <c r="B25" i="21"/>
  <c r="B24" i="21"/>
  <c r="B23" i="21"/>
  <c r="B21" i="21"/>
  <c r="H19" i="21"/>
  <c r="B19" i="21"/>
  <c r="H18" i="21"/>
  <c r="B18" i="21"/>
  <c r="H17" i="21"/>
  <c r="B17" i="21"/>
  <c r="H16" i="21"/>
  <c r="B16" i="21"/>
  <c r="B15" i="21"/>
  <c r="H13" i="21"/>
  <c r="G13" i="21"/>
  <c r="B13" i="21"/>
  <c r="B12" i="21"/>
  <c r="H11" i="21"/>
  <c r="B11" i="21"/>
  <c r="H10" i="21"/>
  <c r="H9" i="21"/>
  <c r="B9" i="21"/>
  <c r="H8" i="21"/>
  <c r="B8" i="21"/>
  <c r="B7" i="21"/>
  <c r="A3" i="17"/>
  <c r="L48" i="20"/>
  <c r="L46" i="20"/>
  <c r="G19" i="20" s="1"/>
  <c r="F36" i="20"/>
  <c r="G9" i="20" s="1"/>
  <c r="T74" i="20"/>
  <c r="O64" i="20"/>
  <c r="B24" i="20"/>
  <c r="B23" i="20"/>
  <c r="B22" i="20"/>
  <c r="B21" i="20"/>
  <c r="D1" i="17" s="1"/>
  <c r="O58" i="20"/>
  <c r="G24" i="20" s="1"/>
  <c r="C46" i="20"/>
  <c r="G16" i="20" s="1"/>
  <c r="I46" i="20" a="1"/>
  <c r="I46" i="20" s="1"/>
  <c r="G18" i="20" s="1"/>
  <c r="F46" i="20" a="1"/>
  <c r="F46" i="20" s="1"/>
  <c r="I36" i="20"/>
  <c r="G10" i="20" s="1"/>
  <c r="C36" i="20"/>
  <c r="G8" i="20" s="1"/>
  <c r="G30" i="20"/>
  <c r="B30" i="20"/>
  <c r="G29" i="20"/>
  <c r="B29" i="20"/>
  <c r="G28" i="20"/>
  <c r="B28" i="20"/>
  <c r="G27" i="20"/>
  <c r="B27" i="20"/>
  <c r="B26" i="20"/>
  <c r="E1" i="17" s="1"/>
  <c r="H19" i="20"/>
  <c r="B19" i="20"/>
  <c r="H18" i="20"/>
  <c r="B18" i="20"/>
  <c r="H17" i="20"/>
  <c r="B17" i="20"/>
  <c r="H16" i="20"/>
  <c r="B16" i="20"/>
  <c r="B15" i="20"/>
  <c r="C1" i="17" s="1"/>
  <c r="H13" i="20"/>
  <c r="G13" i="20"/>
  <c r="B13" i="20"/>
  <c r="B12" i="20"/>
  <c r="H11" i="20"/>
  <c r="B11" i="20"/>
  <c r="H10" i="20"/>
  <c r="B10" i="20"/>
  <c r="H9" i="20"/>
  <c r="B9" i="20"/>
  <c r="H8" i="20"/>
  <c r="B8" i="20"/>
  <c r="B7" i="20"/>
  <c r="B1" i="17" s="1"/>
  <c r="S89" i="27" l="1"/>
  <c r="S88" i="25"/>
  <c r="G26" i="27"/>
  <c r="E6" i="17" s="1"/>
  <c r="R46" i="27"/>
  <c r="G15" i="27" s="1"/>
  <c r="C6" i="17" s="1"/>
  <c r="W36" i="27"/>
  <c r="G7" i="27" s="1"/>
  <c r="B6" i="17" s="1"/>
  <c r="V56" i="27"/>
  <c r="G21" i="27" s="1"/>
  <c r="D6" i="17" s="1"/>
  <c r="G8" i="27"/>
  <c r="G26" i="22"/>
  <c r="E7" i="17" s="1"/>
  <c r="G26" i="23"/>
  <c r="E4" i="17" s="1"/>
  <c r="G26" i="25"/>
  <c r="E5" i="17" s="1"/>
  <c r="G27" i="21"/>
  <c r="E2" i="17" s="1"/>
  <c r="R47" i="21"/>
  <c r="G15" i="21" s="1"/>
  <c r="C2" i="17" s="1"/>
  <c r="V56" i="25"/>
  <c r="G21" i="25" s="1"/>
  <c r="D5" i="17" s="1"/>
  <c r="R46" i="25"/>
  <c r="G15" i="25" s="1"/>
  <c r="C5" i="17" s="1"/>
  <c r="W36" i="25"/>
  <c r="G7" i="25" s="1"/>
  <c r="B5" i="17" s="1"/>
  <c r="G16" i="25"/>
  <c r="G8" i="25"/>
  <c r="G26" i="24"/>
  <c r="E8" i="17" s="1"/>
  <c r="R46" i="24"/>
  <c r="G15" i="24" s="1"/>
  <c r="C8" i="17" s="1"/>
  <c r="W36" i="24"/>
  <c r="G7" i="24" s="1"/>
  <c r="B8" i="17" s="1"/>
  <c r="V56" i="24"/>
  <c r="G21" i="24" s="1"/>
  <c r="D8" i="17" s="1"/>
  <c r="G16" i="24"/>
  <c r="V56" i="23"/>
  <c r="G21" i="23" s="1"/>
  <c r="D4" i="17" s="1"/>
  <c r="R46" i="23"/>
  <c r="G15" i="23" s="1"/>
  <c r="C4" i="17" s="1"/>
  <c r="W36" i="23"/>
  <c r="G7" i="23" s="1"/>
  <c r="B4" i="17" s="1"/>
  <c r="G8" i="23"/>
  <c r="G16" i="23"/>
  <c r="R46" i="22"/>
  <c r="G15" i="22" s="1"/>
  <c r="C7" i="17" s="1"/>
  <c r="W36" i="22"/>
  <c r="G7" i="22" s="1"/>
  <c r="V56" i="22"/>
  <c r="G21" i="22" s="1"/>
  <c r="D7" i="17" s="1"/>
  <c r="G16" i="22"/>
  <c r="W37" i="21"/>
  <c r="G7" i="21" s="1"/>
  <c r="B2" i="17" s="1"/>
  <c r="G16" i="21"/>
  <c r="W36" i="20"/>
  <c r="R46" i="20"/>
  <c r="G15" i="20" s="1"/>
  <c r="C3" i="17" s="1"/>
  <c r="V56" i="20"/>
  <c r="G21" i="20" s="1"/>
  <c r="D3" i="17" s="1"/>
  <c r="G26" i="20"/>
  <c r="E3" i="17" s="1"/>
  <c r="G17" i="20"/>
  <c r="G31" i="27" l="1"/>
  <c r="F6" i="17" s="1"/>
  <c r="I29" i="27"/>
  <c r="B7" i="17"/>
  <c r="G31" i="22"/>
  <c r="F7" i="17" s="1"/>
  <c r="I29" i="25"/>
  <c r="G31" i="25"/>
  <c r="F5" i="17" s="1"/>
  <c r="G31" i="24"/>
  <c r="F8" i="17" s="1"/>
  <c r="I29" i="24"/>
  <c r="I29" i="23"/>
  <c r="G31" i="23"/>
  <c r="F4" i="17" s="1"/>
  <c r="I29" i="22"/>
  <c r="G7" i="20" l="1"/>
  <c r="I29" i="20" l="1"/>
  <c r="B3" i="17"/>
  <c r="G31" i="20"/>
  <c r="F3" i="17" s="1"/>
  <c r="S57" i="21"/>
  <c r="G21" i="21" s="1"/>
  <c r="D2" i="17" l="1"/>
  <c r="I30" i="21"/>
  <c r="G32" i="21"/>
  <c r="F2" i="1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2" authorId="0" shapeId="0" xr:uid="{CA53EF0A-86A6-B245-BF55-0FF63EF14EC4}">
      <text>
        <r>
          <rPr>
            <b/>
            <sz val="10"/>
            <color rgb="FF000000"/>
            <rFont val="Tahoma"/>
            <family val="2"/>
          </rPr>
          <t>Wen Zhou:</t>
        </r>
        <r>
          <rPr>
            <sz val="10"/>
            <color rgb="FF000000"/>
            <rFont val="Tahoma"/>
            <family val="2"/>
          </rPr>
          <t xml:space="preserve">
</t>
        </r>
        <r>
          <rPr>
            <sz val="10"/>
            <color rgb="FF000000"/>
            <rFont val="Cambria Math"/>
            <family val="1"/>
          </rPr>
          <t>𝑅</t>
        </r>
        <r>
          <rPr>
            <sz val="10"/>
            <color rgb="FF000000"/>
            <rFont val="Calibri"/>
            <family val="2"/>
          </rPr>
          <t>= 1/2*(G + O)*E + (1 −</t>
        </r>
        <r>
          <rPr>
            <sz val="10"/>
            <color rgb="FF000000"/>
            <rFont val="Cambria Math"/>
            <family val="1"/>
          </rPr>
          <t>𝑃</t>
        </r>
        <r>
          <rPr>
            <sz val="10"/>
            <color rgb="FF000000"/>
            <rFont val="Calibri"/>
            <family val="2"/>
          </rPr>
          <t xml:space="preserve">)
</t>
        </r>
      </text>
    </comment>
    <comment ref="F38" authorId="0" shapeId="0" xr:uid="{B850960D-C066-3742-8670-85DB1AEE627E}">
      <text>
        <r>
          <rPr>
            <b/>
            <sz val="10"/>
            <color rgb="FF000000"/>
            <rFont val="Tahoma"/>
            <family val="2"/>
          </rPr>
          <t>Wen:</t>
        </r>
        <r>
          <rPr>
            <sz val="10"/>
            <color rgb="FF000000"/>
            <rFont val="Tahoma"/>
            <family val="2"/>
          </rPr>
          <t xml:space="preserve">
</t>
        </r>
        <r>
          <rPr>
            <sz val="10"/>
            <color rgb="FF000000"/>
            <rFont val="Tahoma"/>
            <family val="2"/>
          </rPr>
          <t>Distance</t>
        </r>
      </text>
    </comment>
    <comment ref="H38" authorId="0" shapeId="0" xr:uid="{1EE90313-2A14-1E42-A11E-6EF1169460A8}">
      <text>
        <r>
          <rPr>
            <b/>
            <sz val="10"/>
            <color rgb="FF000000"/>
            <rFont val="Tahoma"/>
            <family val="2"/>
          </rPr>
          <t xml:space="preserve">Wen:
</t>
        </r>
        <r>
          <rPr>
            <b/>
            <sz val="10"/>
            <color rgb="FF000000"/>
            <rFont val="Tahoma"/>
            <family val="2"/>
          </rPr>
          <t>Magnitude</t>
        </r>
        <r>
          <rPr>
            <sz val="10"/>
            <color rgb="FF000000"/>
            <rFont val="Tahoma"/>
            <family val="2"/>
          </rPr>
          <t xml:space="preserve">
</t>
        </r>
      </text>
    </comment>
    <comment ref="L48" authorId="0" shapeId="0" xr:uid="{2266D915-FB03-8C4C-938E-A9A7495AFC15}">
      <text>
        <r>
          <rPr>
            <b/>
            <sz val="10"/>
            <color rgb="FF000000"/>
            <rFont val="Tahoma"/>
            <family val="2"/>
          </rPr>
          <t>Wen:</t>
        </r>
        <r>
          <rPr>
            <sz val="10"/>
            <color rgb="FF000000"/>
            <rFont val="Tahoma"/>
            <family val="2"/>
          </rPr>
          <t xml:space="preserve">
</t>
        </r>
        <r>
          <rPr>
            <sz val="10"/>
            <color rgb="FF000000"/>
            <rFont val="Tahoma"/>
            <family val="2"/>
          </rPr>
          <t>Net injection volume per 100 m, unit m3</t>
        </r>
      </text>
    </comment>
    <comment ref="O48" authorId="0" shapeId="0" xr:uid="{0B778E7E-1155-CD4D-971C-DD964E2E341A}">
      <text>
        <r>
          <rPr>
            <b/>
            <sz val="10"/>
            <color rgb="FF000000"/>
            <rFont val="Tahoma"/>
            <family val="2"/>
          </rPr>
          <t>Wen:</t>
        </r>
        <r>
          <rPr>
            <sz val="10"/>
            <color rgb="FF000000"/>
            <rFont val="Tahoma"/>
            <family val="2"/>
          </rPr>
          <t xml:space="preserve">
</t>
        </r>
        <r>
          <rPr>
            <sz val="10"/>
            <color rgb="FF000000"/>
            <rFont val="Tahoma"/>
            <family val="2"/>
          </rPr>
          <t>Fluid injection (wellhead) pressure, unit MPa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1" authorId="0" shapeId="0" xr:uid="{7A1478E5-80A4-0F46-90F6-45094DA75663}">
      <text>
        <r>
          <rPr>
            <b/>
            <sz val="10"/>
            <color rgb="FF000000"/>
            <rFont val="Tahoma"/>
            <family val="2"/>
          </rPr>
          <t xml:space="preserve">Wen Zhou:
</t>
        </r>
        <r>
          <rPr>
            <b/>
            <sz val="10"/>
            <color rgb="FF000000"/>
            <rFont val="Cambria Math"/>
            <family val="2"/>
          </rPr>
          <t>𝑅</t>
        </r>
        <r>
          <rPr>
            <b/>
            <sz val="10"/>
            <color rgb="FF000000"/>
            <rFont val="Tahoma"/>
            <family val="2"/>
          </rPr>
          <t>= 1/2*(G + O)*E + (1 −</t>
        </r>
        <r>
          <rPr>
            <b/>
            <sz val="10"/>
            <color rgb="FF000000"/>
            <rFont val="Cambria Math"/>
            <family val="2"/>
          </rPr>
          <t>𝑃</t>
        </r>
        <r>
          <rPr>
            <b/>
            <sz val="10"/>
            <color rgb="FF000000"/>
            <rFont val="Tahoma"/>
            <family val="2"/>
          </rPr>
          <t>)</t>
        </r>
      </text>
    </comment>
    <comment ref="F37" authorId="0" shapeId="0" xr:uid="{C0FE9577-C5A4-6243-8AFC-8D7A7620E188}">
      <text>
        <r>
          <rPr>
            <b/>
            <sz val="10"/>
            <color rgb="FF000000"/>
            <rFont val="Tahoma"/>
            <family val="2"/>
          </rPr>
          <t>Wen:</t>
        </r>
        <r>
          <rPr>
            <sz val="10"/>
            <color rgb="FF000000"/>
            <rFont val="Tahoma"/>
            <family val="2"/>
          </rPr>
          <t xml:space="preserve">
</t>
        </r>
        <r>
          <rPr>
            <sz val="10"/>
            <color rgb="FF000000"/>
            <rFont val="Tahoma"/>
            <family val="2"/>
          </rPr>
          <t>Distance</t>
        </r>
      </text>
    </comment>
    <comment ref="H37" authorId="0" shapeId="0" xr:uid="{912F9B42-20EF-D845-B245-89EF2833B197}">
      <text>
        <r>
          <rPr>
            <b/>
            <sz val="10"/>
            <color rgb="FF000000"/>
            <rFont val="Tahoma"/>
            <family val="2"/>
          </rPr>
          <t xml:space="preserve">Wen:
</t>
        </r>
        <r>
          <rPr>
            <b/>
            <sz val="10"/>
            <color rgb="FF000000"/>
            <rFont val="Tahoma"/>
            <family val="2"/>
          </rPr>
          <t>Magnitude</t>
        </r>
        <r>
          <rPr>
            <sz val="10"/>
            <color rgb="FF000000"/>
            <rFont val="Tahoma"/>
            <family val="2"/>
          </rPr>
          <t xml:space="preserve">
</t>
        </r>
      </text>
    </comment>
    <comment ref="L47" authorId="0" shapeId="0" xr:uid="{1056674A-8406-474A-9104-EB8A7CA8D728}">
      <text>
        <r>
          <rPr>
            <b/>
            <sz val="10"/>
            <color rgb="FF000000"/>
            <rFont val="Tahoma"/>
            <family val="2"/>
          </rPr>
          <t>Wen:</t>
        </r>
        <r>
          <rPr>
            <sz val="10"/>
            <color rgb="FF000000"/>
            <rFont val="Tahoma"/>
            <family val="2"/>
          </rPr>
          <t xml:space="preserve">
</t>
        </r>
        <r>
          <rPr>
            <sz val="10"/>
            <color rgb="FF000000"/>
            <rFont val="Tahoma"/>
            <family val="2"/>
          </rPr>
          <t>Net injection volume per 100 m, unit m3</t>
        </r>
      </text>
    </comment>
    <comment ref="O47" authorId="0" shapeId="0" xr:uid="{C2D317FD-E056-9547-9E1A-C70541AAEFA3}">
      <text>
        <r>
          <rPr>
            <b/>
            <sz val="10"/>
            <color rgb="FF000000"/>
            <rFont val="Tahoma"/>
            <family val="2"/>
          </rPr>
          <t>Wen:</t>
        </r>
        <r>
          <rPr>
            <sz val="10"/>
            <color rgb="FF000000"/>
            <rFont val="Tahoma"/>
            <family val="2"/>
          </rPr>
          <t xml:space="preserve">
</t>
        </r>
        <r>
          <rPr>
            <sz val="10"/>
            <color rgb="FF000000"/>
            <rFont val="Tahoma"/>
            <family val="2"/>
          </rPr>
          <t>Fluid injection (wellhead) pressure, unit MPa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1" authorId="0" shapeId="0" xr:uid="{E9A5D1F2-2F84-A949-B415-1481F20EECC5}">
      <text>
        <r>
          <rPr>
            <b/>
            <sz val="10"/>
            <color rgb="FF000000"/>
            <rFont val="Tahoma"/>
            <family val="34"/>
          </rPr>
          <t>Wen Zhou:</t>
        </r>
        <r>
          <rPr>
            <sz val="10"/>
            <color rgb="FF000000"/>
            <rFont val="Calibri"/>
            <family val="2"/>
            <scheme val="minor"/>
          </rPr>
          <t xml:space="preserve">
</t>
        </r>
        <r>
          <rPr>
            <sz val="10"/>
            <color rgb="FF000000"/>
            <rFont val="Cambria Math"/>
            <family val="1"/>
          </rPr>
          <t>𝑅</t>
        </r>
        <r>
          <rPr>
            <sz val="10"/>
            <color rgb="FF000000"/>
            <rFont val="Calibri"/>
            <family val="2"/>
            <scheme val="minor"/>
          </rPr>
          <t>=</t>
        </r>
        <r>
          <rPr>
            <sz val="10"/>
            <color rgb="FF000000"/>
            <rFont val="Calibri"/>
            <family val="2"/>
            <scheme val="minor"/>
          </rPr>
          <t xml:space="preserve"> </t>
        </r>
        <r>
          <rPr>
            <sz val="10"/>
            <color rgb="FF000000"/>
            <rFont val="Calibri"/>
            <family val="2"/>
            <scheme val="minor"/>
          </rPr>
          <t>1/2*</t>
        </r>
        <r>
          <rPr>
            <sz val="10"/>
            <color rgb="FF000000"/>
            <rFont val="Calibri"/>
            <family val="2"/>
            <scheme val="minor"/>
          </rPr>
          <t>(G + O)*E</t>
        </r>
        <r>
          <rPr>
            <sz val="10"/>
            <color rgb="FF000000"/>
            <rFont val="Calibri"/>
            <family val="2"/>
            <scheme val="minor"/>
          </rPr>
          <t xml:space="preserve"> + </t>
        </r>
        <r>
          <rPr>
            <sz val="10"/>
            <color rgb="FF000000"/>
            <rFont val="Calibri"/>
            <family val="2"/>
            <scheme val="minor"/>
          </rPr>
          <t>(1 −</t>
        </r>
        <r>
          <rPr>
            <sz val="10"/>
            <color rgb="FF000000"/>
            <rFont val="Cambria Math"/>
            <family val="1"/>
          </rPr>
          <t>𝑃</t>
        </r>
        <r>
          <rPr>
            <sz val="10"/>
            <color rgb="FF000000"/>
            <rFont val="Calibri"/>
            <family val="2"/>
            <scheme val="minor"/>
          </rPr>
          <t>)</t>
        </r>
        <r>
          <rPr>
            <sz val="10"/>
            <color rgb="FF000000"/>
            <rFont val="Calibri"/>
            <family val="2"/>
            <scheme val="minor"/>
          </rPr>
          <t xml:space="preserve">
</t>
        </r>
      </text>
    </comment>
    <comment ref="F37" authorId="0" shapeId="0" xr:uid="{DC24E20F-5075-684E-83FC-CA55B0242357}">
      <text>
        <r>
          <rPr>
            <b/>
            <sz val="10"/>
            <color rgb="FF000000"/>
            <rFont val="Tahoma"/>
            <family val="2"/>
          </rPr>
          <t>Wen:</t>
        </r>
        <r>
          <rPr>
            <sz val="10"/>
            <color rgb="FF000000"/>
            <rFont val="Tahoma"/>
            <family val="2"/>
          </rPr>
          <t xml:space="preserve">
</t>
        </r>
        <r>
          <rPr>
            <sz val="10"/>
            <color rgb="FF000000"/>
            <rFont val="Tahoma"/>
            <family val="2"/>
          </rPr>
          <t>Distance</t>
        </r>
      </text>
    </comment>
    <comment ref="H37" authorId="0" shapeId="0" xr:uid="{359F711B-567A-2143-8E52-4FC5BCEA2DDD}">
      <text>
        <r>
          <rPr>
            <b/>
            <sz val="10"/>
            <color rgb="FF000000"/>
            <rFont val="Tahoma"/>
            <family val="2"/>
          </rPr>
          <t xml:space="preserve">Wen:
</t>
        </r>
        <r>
          <rPr>
            <b/>
            <sz val="10"/>
            <color rgb="FF000000"/>
            <rFont val="Tahoma"/>
            <family val="2"/>
          </rPr>
          <t>Magnitude</t>
        </r>
        <r>
          <rPr>
            <sz val="10"/>
            <color rgb="FF000000"/>
            <rFont val="Tahoma"/>
            <family val="2"/>
          </rPr>
          <t xml:space="preserve">
</t>
        </r>
      </text>
    </comment>
    <comment ref="L47" authorId="0" shapeId="0" xr:uid="{24DE2EAE-2DA1-AD4F-B959-8E27BD7555C6}">
      <text>
        <r>
          <rPr>
            <b/>
            <sz val="10"/>
            <color rgb="FF000000"/>
            <rFont val="Tahoma"/>
            <family val="2"/>
          </rPr>
          <t>Wen:</t>
        </r>
        <r>
          <rPr>
            <sz val="10"/>
            <color rgb="FF000000"/>
            <rFont val="Tahoma"/>
            <family val="2"/>
          </rPr>
          <t xml:space="preserve">
</t>
        </r>
        <r>
          <rPr>
            <sz val="10"/>
            <color rgb="FF000000"/>
            <rFont val="Tahoma"/>
            <family val="2"/>
          </rPr>
          <t>Net injection volume per 100 m, unit m3</t>
        </r>
      </text>
    </comment>
    <comment ref="O47" authorId="0" shapeId="0" xr:uid="{E71AB917-7974-FC43-9E03-A2F6AD3A235C}">
      <text>
        <r>
          <rPr>
            <b/>
            <sz val="10"/>
            <color rgb="FF000000"/>
            <rFont val="Tahoma"/>
            <family val="2"/>
          </rPr>
          <t>Wen:</t>
        </r>
        <r>
          <rPr>
            <sz val="10"/>
            <color rgb="FF000000"/>
            <rFont val="Tahoma"/>
            <family val="2"/>
          </rPr>
          <t xml:space="preserve">
</t>
        </r>
        <r>
          <rPr>
            <sz val="10"/>
            <color rgb="FF000000"/>
            <rFont val="Tahoma"/>
            <family val="2"/>
          </rPr>
          <t>Fluid injection (wellhead) pressure, unit MPa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1" authorId="0" shapeId="0" xr:uid="{BE7D0726-DBD5-D045-A688-1AB33EAA073C}">
      <text>
        <r>
          <rPr>
            <b/>
            <sz val="10"/>
            <color rgb="FF000000"/>
            <rFont val="Tahoma"/>
            <family val="34"/>
          </rPr>
          <t>Wen Zhou:</t>
        </r>
        <r>
          <rPr>
            <sz val="10"/>
            <color rgb="FF000000"/>
            <rFont val="Calibri"/>
            <family val="2"/>
            <scheme val="minor"/>
          </rPr>
          <t xml:space="preserve">
</t>
        </r>
        <r>
          <rPr>
            <sz val="10"/>
            <color rgb="FF000000"/>
            <rFont val="Cambria Math"/>
            <family val="1"/>
          </rPr>
          <t>𝑅</t>
        </r>
        <r>
          <rPr>
            <sz val="10"/>
            <color rgb="FF000000"/>
            <rFont val="Calibri"/>
            <family val="2"/>
            <scheme val="minor"/>
          </rPr>
          <t>=</t>
        </r>
        <r>
          <rPr>
            <sz val="10"/>
            <color rgb="FF000000"/>
            <rFont val="Calibri"/>
            <family val="2"/>
            <scheme val="minor"/>
          </rPr>
          <t xml:space="preserve"> </t>
        </r>
        <r>
          <rPr>
            <sz val="10"/>
            <color rgb="FF000000"/>
            <rFont val="Calibri"/>
            <family val="2"/>
            <scheme val="minor"/>
          </rPr>
          <t>1/2*</t>
        </r>
        <r>
          <rPr>
            <sz val="10"/>
            <color rgb="FF000000"/>
            <rFont val="Calibri"/>
            <family val="2"/>
            <scheme val="minor"/>
          </rPr>
          <t>(G + O)*E</t>
        </r>
        <r>
          <rPr>
            <sz val="10"/>
            <color rgb="FF000000"/>
            <rFont val="Calibri"/>
            <family val="2"/>
            <scheme val="minor"/>
          </rPr>
          <t xml:space="preserve"> + </t>
        </r>
        <r>
          <rPr>
            <sz val="10"/>
            <color rgb="FF000000"/>
            <rFont val="Calibri"/>
            <family val="2"/>
            <scheme val="minor"/>
          </rPr>
          <t>(1 −</t>
        </r>
        <r>
          <rPr>
            <sz val="10"/>
            <color rgb="FF000000"/>
            <rFont val="Cambria Math"/>
            <family val="1"/>
          </rPr>
          <t>𝑃</t>
        </r>
        <r>
          <rPr>
            <sz val="10"/>
            <color rgb="FF000000"/>
            <rFont val="Calibri"/>
            <family val="2"/>
            <scheme val="minor"/>
          </rPr>
          <t>)</t>
        </r>
        <r>
          <rPr>
            <sz val="10"/>
            <color rgb="FF000000"/>
            <rFont val="Calibri"/>
            <family val="2"/>
            <scheme val="minor"/>
          </rPr>
          <t xml:space="preserve">
</t>
        </r>
      </text>
    </comment>
    <comment ref="F37" authorId="0" shapeId="0" xr:uid="{F5D58B95-2684-8143-845C-08F199F49E29}">
      <text>
        <r>
          <rPr>
            <b/>
            <sz val="10"/>
            <color rgb="FF000000"/>
            <rFont val="Tahoma"/>
            <family val="2"/>
          </rPr>
          <t>Wen:</t>
        </r>
        <r>
          <rPr>
            <sz val="10"/>
            <color rgb="FF000000"/>
            <rFont val="Tahoma"/>
            <family val="2"/>
          </rPr>
          <t xml:space="preserve">
</t>
        </r>
        <r>
          <rPr>
            <sz val="10"/>
            <color rgb="FF000000"/>
            <rFont val="Tahoma"/>
            <family val="2"/>
          </rPr>
          <t>Distance</t>
        </r>
      </text>
    </comment>
    <comment ref="H37" authorId="0" shapeId="0" xr:uid="{5F882DFB-D18E-8A44-9F37-529AF905DDB9}">
      <text>
        <r>
          <rPr>
            <b/>
            <sz val="10"/>
            <color rgb="FF000000"/>
            <rFont val="Tahoma"/>
            <family val="2"/>
          </rPr>
          <t xml:space="preserve">Wen:
</t>
        </r>
        <r>
          <rPr>
            <b/>
            <sz val="10"/>
            <color rgb="FF000000"/>
            <rFont val="Tahoma"/>
            <family val="2"/>
          </rPr>
          <t>Magnitude</t>
        </r>
        <r>
          <rPr>
            <sz val="10"/>
            <color rgb="FF000000"/>
            <rFont val="Tahoma"/>
            <family val="2"/>
          </rPr>
          <t xml:space="preserve">
</t>
        </r>
      </text>
    </comment>
    <comment ref="L47" authorId="0" shapeId="0" xr:uid="{C337670E-03AD-324C-A5F7-428C55976983}">
      <text>
        <r>
          <rPr>
            <b/>
            <sz val="10"/>
            <color rgb="FF000000"/>
            <rFont val="Tahoma"/>
            <family val="2"/>
          </rPr>
          <t>Wen:</t>
        </r>
        <r>
          <rPr>
            <sz val="10"/>
            <color rgb="FF000000"/>
            <rFont val="Tahoma"/>
            <family val="2"/>
          </rPr>
          <t xml:space="preserve">
</t>
        </r>
        <r>
          <rPr>
            <sz val="10"/>
            <color rgb="FF000000"/>
            <rFont val="Tahoma"/>
            <family val="2"/>
          </rPr>
          <t>Net injection volume per 100 m, unit m3</t>
        </r>
      </text>
    </comment>
    <comment ref="O47" authorId="0" shapeId="0" xr:uid="{176FEBC5-0E6F-D24B-89C2-D70BC40C6B70}">
      <text>
        <r>
          <rPr>
            <b/>
            <sz val="10"/>
            <color rgb="FF000000"/>
            <rFont val="Tahoma"/>
            <family val="2"/>
          </rPr>
          <t>Wen:</t>
        </r>
        <r>
          <rPr>
            <sz val="10"/>
            <color rgb="FF000000"/>
            <rFont val="Tahoma"/>
            <family val="2"/>
          </rPr>
          <t xml:space="preserve">
</t>
        </r>
        <r>
          <rPr>
            <sz val="10"/>
            <color rgb="FF000000"/>
            <rFont val="Tahoma"/>
            <family val="2"/>
          </rPr>
          <t>Fluid injection (wellhead) pressure, unit MPa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1" authorId="0" shapeId="0" xr:uid="{1D64036C-FFCA-694C-9EAA-215322E8A2B4}">
      <text>
        <r>
          <rPr>
            <b/>
            <sz val="10"/>
            <color rgb="FF000000"/>
            <rFont val="Tahoma"/>
            <family val="34"/>
          </rPr>
          <t>Wen Zhou:</t>
        </r>
        <r>
          <rPr>
            <sz val="10"/>
            <color rgb="FF000000"/>
            <rFont val="Calibri"/>
            <family val="2"/>
          </rPr>
          <t xml:space="preserve">
</t>
        </r>
        <r>
          <rPr>
            <sz val="10"/>
            <color rgb="FF000000"/>
            <rFont val="Cambria Math"/>
            <family val="1"/>
          </rPr>
          <t>𝑅</t>
        </r>
        <r>
          <rPr>
            <sz val="10"/>
            <color rgb="FF000000"/>
            <rFont val="Calibri"/>
            <family val="2"/>
          </rPr>
          <t>= 1/2*(G + O)*E + (1 −</t>
        </r>
        <r>
          <rPr>
            <sz val="10"/>
            <color rgb="FF000000"/>
            <rFont val="Cambria Math"/>
            <family val="1"/>
          </rPr>
          <t>𝑃</t>
        </r>
        <r>
          <rPr>
            <sz val="10"/>
            <color rgb="FF000000"/>
            <rFont val="Calibri"/>
            <family val="2"/>
          </rPr>
          <t xml:space="preserve">)
</t>
        </r>
      </text>
    </comment>
    <comment ref="F37" authorId="0" shapeId="0" xr:uid="{F97852AC-C74D-FC47-A65F-A4F1864BCFC7}">
      <text>
        <r>
          <rPr>
            <b/>
            <sz val="10"/>
            <color rgb="FF000000"/>
            <rFont val="Tahoma"/>
            <family val="2"/>
          </rPr>
          <t>Wen:</t>
        </r>
        <r>
          <rPr>
            <sz val="10"/>
            <color rgb="FF000000"/>
            <rFont val="Tahoma"/>
            <family val="2"/>
          </rPr>
          <t xml:space="preserve">
</t>
        </r>
        <r>
          <rPr>
            <sz val="10"/>
            <color rgb="FF000000"/>
            <rFont val="Tahoma"/>
            <family val="2"/>
          </rPr>
          <t>Distance</t>
        </r>
      </text>
    </comment>
    <comment ref="H37" authorId="0" shapeId="0" xr:uid="{41D30907-86A3-9448-9A69-3965EE59BDD3}">
      <text>
        <r>
          <rPr>
            <b/>
            <sz val="10"/>
            <color rgb="FF000000"/>
            <rFont val="Tahoma"/>
            <family val="2"/>
          </rPr>
          <t xml:space="preserve">Wen:
</t>
        </r>
        <r>
          <rPr>
            <b/>
            <sz val="10"/>
            <color rgb="FF000000"/>
            <rFont val="Tahoma"/>
            <family val="2"/>
          </rPr>
          <t>Magnitude</t>
        </r>
        <r>
          <rPr>
            <sz val="10"/>
            <color rgb="FF000000"/>
            <rFont val="Tahoma"/>
            <family val="2"/>
          </rPr>
          <t xml:space="preserve">
</t>
        </r>
      </text>
    </comment>
    <comment ref="L47" authorId="0" shapeId="0" xr:uid="{0EC96AC0-0E9B-1644-A1E7-C5F76999D5CF}">
      <text>
        <r>
          <rPr>
            <b/>
            <sz val="10"/>
            <color rgb="FF000000"/>
            <rFont val="Tahoma"/>
            <family val="2"/>
          </rPr>
          <t>Wen:</t>
        </r>
        <r>
          <rPr>
            <sz val="10"/>
            <color rgb="FF000000"/>
            <rFont val="Tahoma"/>
            <family val="2"/>
          </rPr>
          <t xml:space="preserve">
</t>
        </r>
        <r>
          <rPr>
            <sz val="10"/>
            <color rgb="FF000000"/>
            <rFont val="Tahoma"/>
            <family val="2"/>
          </rPr>
          <t>Net injection volume per 100 m, unit m3</t>
        </r>
      </text>
    </comment>
    <comment ref="O47" authorId="0" shapeId="0" xr:uid="{004C03EF-15FC-3F40-85FC-9020EAFA262E}">
      <text>
        <r>
          <rPr>
            <b/>
            <sz val="10"/>
            <color rgb="FF000000"/>
            <rFont val="Tahoma"/>
            <family val="2"/>
          </rPr>
          <t>Wen:</t>
        </r>
        <r>
          <rPr>
            <sz val="10"/>
            <color rgb="FF000000"/>
            <rFont val="Tahoma"/>
            <family val="2"/>
          </rPr>
          <t xml:space="preserve">
</t>
        </r>
        <r>
          <rPr>
            <sz val="10"/>
            <color rgb="FF000000"/>
            <rFont val="Tahoma"/>
            <family val="2"/>
          </rPr>
          <t>Fluid injection (wellhead) pressure, unit MPa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1" authorId="0" shapeId="0" xr:uid="{80727423-A32C-6942-BA64-D0FC82D3E96B}">
      <text>
        <r>
          <rPr>
            <b/>
            <sz val="10"/>
            <color rgb="FF000000"/>
            <rFont val="Tahoma"/>
            <family val="34"/>
          </rPr>
          <t>Wen Zhou:</t>
        </r>
        <r>
          <rPr>
            <sz val="10"/>
            <color rgb="FF000000"/>
            <rFont val="Calibri"/>
            <family val="2"/>
            <scheme val="minor"/>
          </rPr>
          <t xml:space="preserve">
</t>
        </r>
        <r>
          <rPr>
            <b/>
            <sz val="10"/>
            <color rgb="FF000000"/>
            <rFont val="Cambria Math"/>
            <family val="18"/>
          </rPr>
          <t>𝑅</t>
        </r>
        <r>
          <rPr>
            <b/>
            <sz val="10"/>
            <color rgb="FF000000"/>
            <rFont val="Tahoma"/>
            <family val="34"/>
          </rPr>
          <t>= 1/2*(G + O)*E + (1 −</t>
        </r>
        <r>
          <rPr>
            <b/>
            <sz val="10"/>
            <color rgb="FF000000"/>
            <rFont val="Cambria Math"/>
            <family val="18"/>
          </rPr>
          <t>𝑃</t>
        </r>
        <r>
          <rPr>
            <b/>
            <sz val="10"/>
            <color rgb="FF000000"/>
            <rFont val="Tahoma"/>
            <family val="34"/>
          </rPr>
          <t>)</t>
        </r>
      </text>
    </comment>
    <comment ref="F37" authorId="0" shapeId="0" xr:uid="{644775E2-A058-E343-9C09-BC57F44C520F}">
      <text>
        <r>
          <rPr>
            <b/>
            <sz val="10"/>
            <color rgb="FF000000"/>
            <rFont val="Tahoma"/>
            <family val="2"/>
          </rPr>
          <t>Wen:</t>
        </r>
        <r>
          <rPr>
            <sz val="10"/>
            <color rgb="FF000000"/>
            <rFont val="Tahoma"/>
            <family val="2"/>
          </rPr>
          <t xml:space="preserve">
</t>
        </r>
        <r>
          <rPr>
            <sz val="10"/>
            <color rgb="FF000000"/>
            <rFont val="Tahoma"/>
            <family val="2"/>
          </rPr>
          <t>Distance</t>
        </r>
      </text>
    </comment>
    <comment ref="H37" authorId="0" shapeId="0" xr:uid="{216FBE81-B7E8-9C49-94C7-540BDFF9DD1D}">
      <text>
        <r>
          <rPr>
            <b/>
            <sz val="10"/>
            <color rgb="FF000000"/>
            <rFont val="Tahoma"/>
            <family val="2"/>
          </rPr>
          <t xml:space="preserve">Wen:
</t>
        </r>
        <r>
          <rPr>
            <b/>
            <sz val="10"/>
            <color rgb="FF000000"/>
            <rFont val="Tahoma"/>
            <family val="2"/>
          </rPr>
          <t>Magnitude</t>
        </r>
        <r>
          <rPr>
            <sz val="10"/>
            <color rgb="FF000000"/>
            <rFont val="Tahoma"/>
            <family val="2"/>
          </rPr>
          <t xml:space="preserve">
</t>
        </r>
      </text>
    </comment>
    <comment ref="L47" authorId="0" shapeId="0" xr:uid="{DBB01423-4713-4A4E-A761-C232CD5FFA5A}">
      <text>
        <r>
          <rPr>
            <b/>
            <sz val="10"/>
            <color rgb="FF000000"/>
            <rFont val="Tahoma"/>
            <family val="2"/>
          </rPr>
          <t>Wen:</t>
        </r>
        <r>
          <rPr>
            <sz val="10"/>
            <color rgb="FF000000"/>
            <rFont val="Tahoma"/>
            <family val="2"/>
          </rPr>
          <t xml:space="preserve">
</t>
        </r>
        <r>
          <rPr>
            <sz val="10"/>
            <color rgb="FF000000"/>
            <rFont val="Tahoma"/>
            <family val="2"/>
          </rPr>
          <t>Net injection volume per 100 m, unit m3</t>
        </r>
      </text>
    </comment>
    <comment ref="O47" authorId="0" shapeId="0" xr:uid="{27CED50E-5D04-8B4A-95A7-50525BAE6EE2}">
      <text>
        <r>
          <rPr>
            <b/>
            <sz val="10"/>
            <color rgb="FF000000"/>
            <rFont val="Tahoma"/>
            <family val="2"/>
          </rPr>
          <t>Wen:</t>
        </r>
        <r>
          <rPr>
            <sz val="10"/>
            <color rgb="FF000000"/>
            <rFont val="Tahoma"/>
            <family val="2"/>
          </rPr>
          <t xml:space="preserve">
</t>
        </r>
        <r>
          <rPr>
            <sz val="10"/>
            <color rgb="FF000000"/>
            <rFont val="Tahoma"/>
            <family val="2"/>
          </rPr>
          <t>Fluid injection (wellhead) pressure, unit MPa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1" authorId="0" shapeId="0" xr:uid="{7CCA1AE1-44A3-0D40-85ED-D34330FE771E}">
      <text>
        <r>
          <rPr>
            <b/>
            <sz val="10"/>
            <color rgb="FF000000"/>
            <rFont val="Tahoma"/>
            <family val="34"/>
          </rPr>
          <t>Wen Zhou:</t>
        </r>
        <r>
          <rPr>
            <sz val="10"/>
            <color rgb="FF000000"/>
            <rFont val="Calibri"/>
            <family val="2"/>
            <scheme val="minor"/>
          </rPr>
          <t xml:space="preserve">
</t>
        </r>
        <r>
          <rPr>
            <b/>
            <sz val="10"/>
            <color rgb="FF000000"/>
            <rFont val="Cambria Math"/>
            <family val="18"/>
          </rPr>
          <t>𝑅</t>
        </r>
        <r>
          <rPr>
            <b/>
            <sz val="10"/>
            <color rgb="FF000000"/>
            <rFont val="Tahoma"/>
            <family val="34"/>
          </rPr>
          <t>= 1/2*(G + O)*E + (1 −</t>
        </r>
        <r>
          <rPr>
            <b/>
            <sz val="10"/>
            <color rgb="FF000000"/>
            <rFont val="Cambria Math"/>
            <family val="18"/>
          </rPr>
          <t>𝑃</t>
        </r>
        <r>
          <rPr>
            <b/>
            <sz val="10"/>
            <color rgb="FF000000"/>
            <rFont val="Tahoma"/>
            <family val="34"/>
          </rPr>
          <t>)</t>
        </r>
      </text>
    </comment>
    <comment ref="F37" authorId="0" shapeId="0" xr:uid="{37C26AA2-2567-9244-893D-77FE59179C45}">
      <text>
        <r>
          <rPr>
            <b/>
            <sz val="10"/>
            <color rgb="FF000000"/>
            <rFont val="Tahoma"/>
            <family val="2"/>
          </rPr>
          <t>Wen:</t>
        </r>
        <r>
          <rPr>
            <sz val="10"/>
            <color rgb="FF000000"/>
            <rFont val="Tahoma"/>
            <family val="2"/>
          </rPr>
          <t xml:space="preserve">
</t>
        </r>
        <r>
          <rPr>
            <sz val="10"/>
            <color rgb="FF000000"/>
            <rFont val="Tahoma"/>
            <family val="2"/>
          </rPr>
          <t>Distance</t>
        </r>
      </text>
    </comment>
    <comment ref="H37" authorId="0" shapeId="0" xr:uid="{6A1B2EB8-D51E-7447-BD3E-14E9A8633623}">
      <text>
        <r>
          <rPr>
            <b/>
            <sz val="10"/>
            <color rgb="FF000000"/>
            <rFont val="Tahoma"/>
            <family val="2"/>
          </rPr>
          <t xml:space="preserve">Wen:
</t>
        </r>
        <r>
          <rPr>
            <b/>
            <sz val="10"/>
            <color rgb="FF000000"/>
            <rFont val="Tahoma"/>
            <family val="2"/>
          </rPr>
          <t>Magnitude</t>
        </r>
        <r>
          <rPr>
            <sz val="10"/>
            <color rgb="FF000000"/>
            <rFont val="Tahoma"/>
            <family val="2"/>
          </rPr>
          <t xml:space="preserve">
</t>
        </r>
      </text>
    </comment>
    <comment ref="L47" authorId="0" shapeId="0" xr:uid="{E097BB1A-12EC-9743-B356-4344C82A298D}">
      <text>
        <r>
          <rPr>
            <b/>
            <sz val="10"/>
            <color rgb="FF000000"/>
            <rFont val="Tahoma"/>
            <family val="2"/>
          </rPr>
          <t>Wen:</t>
        </r>
        <r>
          <rPr>
            <sz val="10"/>
            <color rgb="FF000000"/>
            <rFont val="Tahoma"/>
            <family val="2"/>
          </rPr>
          <t xml:space="preserve">
</t>
        </r>
        <r>
          <rPr>
            <sz val="10"/>
            <color rgb="FF000000"/>
            <rFont val="Tahoma"/>
            <family val="2"/>
          </rPr>
          <t>Net injection volume per 100 m, unit m3</t>
        </r>
      </text>
    </comment>
    <comment ref="O47" authorId="0" shapeId="0" xr:uid="{9071B838-A013-C043-A830-B9210A59FEBC}">
      <text>
        <r>
          <rPr>
            <b/>
            <sz val="10"/>
            <color rgb="FF000000"/>
            <rFont val="Tahoma"/>
            <family val="2"/>
          </rPr>
          <t>Wen:</t>
        </r>
        <r>
          <rPr>
            <sz val="10"/>
            <color rgb="FF000000"/>
            <rFont val="Tahoma"/>
            <family val="2"/>
          </rPr>
          <t xml:space="preserve">
</t>
        </r>
        <r>
          <rPr>
            <sz val="10"/>
            <color rgb="FF000000"/>
            <rFont val="Tahoma"/>
            <family val="2"/>
          </rPr>
          <t>Fluid injection (wellhead) pressure, unit MPa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<sst xmlns="http://schemas.openxmlformats.org/spreadsheetml/2006/main" count="1215" uniqueCount="135">
  <si>
    <t>3D high resolution cover entire site</t>
  </si>
  <si>
    <t>No seismic survey</t>
  </si>
  <si>
    <t>No stress data</t>
  </si>
  <si>
    <t>Data and quality: (1) Resolution of geological settings, 2D or 3D seismic imaging, seismic velocity model, and fault maps. (2) seismic completeness of historical earthquakes. (3) Geomechanical state (stress field)</t>
  </si>
  <si>
    <t>few 2D seismic lines</t>
  </si>
  <si>
    <t>stress field (3)</t>
  </si>
  <si>
    <t>Seismic images (6)</t>
  </si>
  <si>
    <t>Sediment</t>
  </si>
  <si>
    <t xml:space="preserve">&lt; 1,000 m3 </t>
  </si>
  <si>
    <t xml:space="preserve">≤ 10,000 m3 </t>
  </si>
  <si>
    <t>&gt; 10,000 m3</t>
  </si>
  <si>
    <t>high</t>
  </si>
  <si>
    <t>-</t>
  </si>
  <si>
    <t>In total</t>
  </si>
  <si>
    <t>Scores</t>
  </si>
  <si>
    <t>fracture dominated, low permeability</t>
  </si>
  <si>
    <t>low</t>
  </si>
  <si>
    <t>Geology maps (3)</t>
  </si>
  <si>
    <t>No data</t>
  </si>
  <si>
    <t>Uncertainty</t>
  </si>
  <si>
    <t>Parameters</t>
  </si>
  <si>
    <t>uncertainty</t>
  </si>
  <si>
    <t>Risk score (R)</t>
  </si>
  <si>
    <t>Score</t>
  </si>
  <si>
    <t>Economic exposure (ee)</t>
  </si>
  <si>
    <t>Critical infrastructure exposure (ce)</t>
  </si>
  <si>
    <t>Values</t>
  </si>
  <si>
    <t>medium</t>
  </si>
  <si>
    <t>Faults are evident in the basement, NOT in the target-reservoir, but the two might be hydraulically connected (no sealing layer in between) (0.9)</t>
  </si>
  <si>
    <t>Faults are evident in the basement, NOT in the target-reservoir, and there is evidence for a sealing formation in between that prevents hydraulic connection (0.5)</t>
  </si>
  <si>
    <t>No faults evident in the basement or in the target-reservoir, and there is a sealing layer between the reservoir and the basement (0.2)</t>
  </si>
  <si>
    <t>High</t>
  </si>
  <si>
    <t xml:space="preserve">Rock type </t>
  </si>
  <si>
    <t>Historical seismicity (3)</t>
  </si>
  <si>
    <t>values</t>
  </si>
  <si>
    <t>Description</t>
  </si>
  <si>
    <t>fracture dominated, high permeability</t>
  </si>
  <si>
    <t>&gt; 20 Mpa</t>
  </si>
  <si>
    <t>&lt; 1 Mpa</t>
  </si>
  <si>
    <t>1 - 20 Mpa</t>
  </si>
  <si>
    <t>Risk Parameters</t>
  </si>
  <si>
    <t>Penalty Parameters</t>
  </si>
  <si>
    <t>L (0 - 0.3)</t>
  </si>
  <si>
    <t>M (0.3 - 0.6)</t>
  </si>
  <si>
    <t>hard sediment</t>
  </si>
  <si>
    <t>Faults are not connected nor oriented in the same direction with other faults that have hosted or are close to (within 10 km) any known earthquake (0.5).</t>
  </si>
  <si>
    <t>Faults are evident within the target-reservoir with root to the basement (1)</t>
  </si>
  <si>
    <t>Project:</t>
  </si>
  <si>
    <t>Soult GKP1 stimulation</t>
  </si>
  <si>
    <t>DEEP</t>
  </si>
  <si>
    <t>Assessment experts</t>
  </si>
  <si>
    <t>Note: Only cells with blue color requires input</t>
  </si>
  <si>
    <t>Riehen hydrothermal</t>
  </si>
  <si>
    <t>Basel EGS</t>
  </si>
  <si>
    <r>
      <rPr>
        <b/>
        <u/>
        <sz val="16"/>
        <color theme="1"/>
        <rFont val="Calibri (Body)"/>
      </rPr>
      <t>E</t>
    </r>
    <r>
      <rPr>
        <b/>
        <sz val="16"/>
        <color theme="1"/>
        <rFont val="Calibri"/>
        <family val="2"/>
        <scheme val="minor"/>
      </rPr>
      <t xml:space="preserve">nhanced </t>
    </r>
    <r>
      <rPr>
        <b/>
        <u/>
        <sz val="16"/>
        <color theme="1"/>
        <rFont val="Calibri (Body)"/>
      </rPr>
      <t>G</t>
    </r>
    <r>
      <rPr>
        <b/>
        <sz val="16"/>
        <color theme="1"/>
        <rFont val="Calibri"/>
        <family val="2"/>
        <scheme val="minor"/>
      </rPr>
      <t xml:space="preserve">eothermal Seismic </t>
    </r>
    <r>
      <rPr>
        <b/>
        <u/>
        <sz val="16"/>
        <color theme="1"/>
        <rFont val="Calibri (Body)"/>
      </rPr>
      <t>R</t>
    </r>
    <r>
      <rPr>
        <b/>
        <sz val="16"/>
        <color theme="1"/>
        <rFont val="Calibri"/>
        <family val="2"/>
        <scheme val="minor"/>
      </rPr>
      <t xml:space="preserve">isk </t>
    </r>
    <r>
      <rPr>
        <b/>
        <u/>
        <sz val="16"/>
        <color theme="1"/>
        <rFont val="Calibri (Body)"/>
      </rPr>
      <t>S</t>
    </r>
    <r>
      <rPr>
        <b/>
        <sz val="16"/>
        <color theme="1"/>
        <rFont val="Calibri"/>
        <family val="2"/>
        <scheme val="minor"/>
      </rPr>
      <t>creening chart (EGRS)</t>
    </r>
  </si>
  <si>
    <t>Project</t>
  </si>
  <si>
    <t>Assessment organization</t>
  </si>
  <si>
    <t>Pohang EGS</t>
  </si>
  <si>
    <t>Geological factors (G)</t>
  </si>
  <si>
    <t>Seismic Exposure factors (E)</t>
  </si>
  <si>
    <t>Value</t>
  </si>
  <si>
    <t>Population exposure</t>
  </si>
  <si>
    <t>Linear increase from 0.5 to 1.   0.5 refer to no EVS, and 1 refer to 100 EVS</t>
  </si>
  <si>
    <t>Log scale increase from 0 to a maximal number of population. Without calibration, we assume the maximal number of population to be 1000</t>
  </si>
  <si>
    <t>EVS</t>
  </si>
  <si>
    <t>set to be 1, if ≥1 (historical site, hospital, scientific reaserch facilities, power generation stations, buildings hosting toxic gas or explosive materials, etc)</t>
  </si>
  <si>
    <t>High importance infr. (hi)</t>
  </si>
  <si>
    <t>Infr. with environmental risk (er)</t>
  </si>
  <si>
    <t xml:space="preserve">Infr. susceptible to secondary hazards (sh) </t>
  </si>
  <si>
    <t>set to be 1, if ≥1 (Unclear facilities, biological labs, buildings hosting toxic gas or explosive materials, etc)</t>
  </si>
  <si>
    <t>0.5 Moderate (scientific reaserch facilities, power generation stations, etc)</t>
  </si>
  <si>
    <t>1              High (hospital, buildings hosting toxic gas or explosive materials, etc)</t>
  </si>
  <si>
    <t>0                Very low</t>
  </si>
  <si>
    <t>EVS (%)</t>
  </si>
  <si>
    <t>Exposed population</t>
  </si>
  <si>
    <t>In average</t>
  </si>
  <si>
    <t>Log scale increase from 0 to a maximal number of population. Without calibration, we assume the maximal number of population to be 100</t>
  </si>
  <si>
    <t>Linear increase from 0.5 to 1.   0.5 refer to no EVS, and 1 refer to 10 EVS</t>
  </si>
  <si>
    <t>Data Quality penalty (Q)</t>
  </si>
  <si>
    <t>*Note: higher scores indicate better data quality</t>
  </si>
  <si>
    <t>Example of earthquake vulnerable structure (EVS): Cemented bricks, prefabricated panels without shear load design, clay bricks</t>
  </si>
  <si>
    <t>Briefly estimate business value from Low (e.g., &lt; 0.1 million euro) to  High (e.g., &gt; 10 million euro), which might be influenced by earthquake vibration</t>
  </si>
  <si>
    <t>In average  Stimulation</t>
  </si>
  <si>
    <t>Briefly estimate business value which might be influenced by earthquake vibration,  from Low (e.g., &lt; 0.1 million euro) to  High (e.g., &gt; 1000 million euro)</t>
  </si>
  <si>
    <t>Granite/crystalline</t>
  </si>
  <si>
    <t>Porous rock high permeability</t>
  </si>
  <si>
    <t>Descriptions</t>
  </si>
  <si>
    <t>set to be 1, if ≥1 (historical site, hospital, scientific research facilities, power generation stations, buildings hosting toxic gas or explosive materials, etc)</t>
  </si>
  <si>
    <t>0.5 Moderate (scientific research facilities, power generation stations, etc)</t>
  </si>
  <si>
    <t>Example of earthquake resistent structure (ERS): wood structure, concrete</t>
  </si>
  <si>
    <t>Faults are unlikely to slip, as indicated by the stress field measurements (0.3)</t>
  </si>
  <si>
    <t>Faults are positively stressed, as indicated by the stress field measurements, or are connected or oriented in the same direction with other faults that have hosted or are close to known earthquakes. If Mw &gt; 3, within 5 km, (0.8)</t>
  </si>
  <si>
    <t>Faults are positively stressed, as indicated by the stress field measurements, or are connected or oriented in the same direction with other faults that have hosted or are close to known earthquakes. If earthquake Mw &gt;= 5, within 10 km</t>
  </si>
  <si>
    <t>Smallest distance to geologically known active or potentially-active faults [km]</t>
  </si>
  <si>
    <t>Earthquake activities</t>
  </si>
  <si>
    <t>Smallest distance to any mapped inactive fault [km]</t>
  </si>
  <si>
    <t>Longest mapped fault length in the project facility[km]</t>
  </si>
  <si>
    <t>mapped faults’ triggering potential (orientation with active faults)</t>
  </si>
  <si>
    <t>Fault or mapped fault plane and reservoir intersection</t>
  </si>
  <si>
    <t xml:space="preserve"> (Low)No active faults within 5 km; (Medium) Active faults within 5 km; (High)Within the vicinity of a active fault system</t>
  </si>
  <si>
    <t xml:space="preserve">(Low) No M &gt; 5, within 50 km; (Medium) M &gt; 3, within 30 km; (high) within 2 km </t>
  </si>
  <si>
    <t>(low) &lt; 1 km, (medium) 1- 3 km; (high) &gt; 3 km</t>
  </si>
  <si>
    <t>Stimulation factors (O)</t>
  </si>
  <si>
    <t xml:space="preserve">Depth of stimulation </t>
  </si>
  <si>
    <t>Host reservoir original porosity</t>
  </si>
  <si>
    <t>Net injection volume per 100 m times Fluid injection (wellhead) pressure</t>
  </si>
  <si>
    <t>H (&gt; 0.6)</t>
  </si>
  <si>
    <t>Insitu measurments (Leakoff + minifrac + Extended leakoff)</t>
  </si>
  <si>
    <t>Regional measurements [earthquake fault mechanism or borehole measurement at 10 km away from the injection point]</t>
  </si>
  <si>
    <t>No geology map</t>
  </si>
  <si>
    <t>Local high resolution geology maps with detailed local faults</t>
  </si>
  <si>
    <t>Low resolution maps with only large scale tectonic faults</t>
  </si>
  <si>
    <t>Instrumental and macro  earthquakes catalog back to  100 years and paeloseismology studies for faults</t>
  </si>
  <si>
    <t>Instrumental or macro  earthquakes catalog back to  10 years</t>
  </si>
  <si>
    <t>Wen Zhou</t>
  </si>
  <si>
    <t>within the area of  10 cm/s**2 &lt; PGA &lt; 100 cm/s**2 in the predicted worse scenario shakemap or within 10 km range from project site</t>
  </si>
  <si>
    <t>within the area of PGA &gt; 100 cm/s**2 in the predicted worse scenario shakemap or within 5 km range from project site</t>
  </si>
  <si>
    <t>StGallen</t>
  </si>
  <si>
    <t>EVS(%)</t>
  </si>
  <si>
    <t>FORGE EGS</t>
  </si>
  <si>
    <t>Notes</t>
  </si>
  <si>
    <t>Yangshan Fault (near N-S) is around 10 km west of the project site [Han-Saem Kim et al. 2018]</t>
  </si>
  <si>
    <t>Gyeongju 2016 ML 5.8 [Han-Saem Kim et al. 2018]</t>
  </si>
  <si>
    <t>[Sehyeok Park 2017]</t>
  </si>
  <si>
    <t xml:space="preserve">Industrial or commercial activity ($) </t>
  </si>
  <si>
    <t>Haute Sorne EGS</t>
  </si>
  <si>
    <t>Nuisance</t>
  </si>
  <si>
    <t>Safty</t>
  </si>
  <si>
    <t>Buildings value</t>
  </si>
  <si>
    <t>Total building value</t>
  </si>
  <si>
    <t>percentage of EVS</t>
  </si>
  <si>
    <t>Damage</t>
  </si>
  <si>
    <t xml:space="preserve"> Within 5 to 10 km range from project site</t>
  </si>
  <si>
    <t>within 5 km range from project site</t>
  </si>
  <si>
    <t>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</si>
</sst>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Mag=&quot;\ 0.0"/>
    <numFmt numFmtId="165" formatCode="&quot;Dist=&quot;\ 0\ &quot;km&quot;"/>
    <numFmt numFmtId="166" formatCode="0\ &quot;m^3&quot;"/>
    <numFmt numFmtId="167" formatCode="0\ &quot;MPa&quot;"/>
  </numFmts>
  <fonts count="25" x14ac:knownFonts="1">
    <font>
      <sz val="12"/>
      <color theme="1"/>
      <name val="Calibri"/>
      <family val="2"/>
      <scheme val="minor"/>
    </font>
    <font>
      <sz val="12"/>
      <color rgb="FFFF0000"/>
      <name val="Calibri"/>
      <family val="2"/>
      <scheme val="minor"/>
    </font>
    <font>
      <b/>
      <sz val="12"/>
      <color theme="1"/>
      <name val="Calibri"/>
      <family val="2"/>
      <scheme val="minor"/>
    </font>
    <font>
      <sz val="12"/>
      <color theme="9"/>
      <name val="Calibri"/>
      <family val="2"/>
      <scheme val="minor"/>
    </font>
    <font>
      <sz val="12"/>
      <color rgb="FFFFC000"/>
      <name val="Calibri"/>
      <family val="2"/>
      <scheme val="minor"/>
    </font>
    <font>
      <b/>
      <sz val="16"/>
      <color theme="1"/>
      <name val="Calibri"/>
      <family val="2"/>
      <scheme val="minor"/>
    </font>
    <font>
      <b/>
      <sz val="12"/>
      <color rgb="FF000000"/>
      <name val="Calibri"/>
      <family val="2"/>
      <scheme val="minor"/>
    </font>
    <font>
      <sz val="12"/>
      <color rgb="FF000000"/>
      <name val="Calibri"/>
      <family val="2"/>
      <scheme val="minor"/>
    </font>
    <font>
      <sz val="12"/>
      <color rgb="FF92D050"/>
      <name val="Calibri"/>
      <family val="2"/>
      <scheme val="minor"/>
    </font>
    <font>
      <b/>
      <sz val="14"/>
      <color theme="1"/>
      <name val="Calibri"/>
      <family val="2"/>
      <scheme val="minor"/>
    </font>
    <font>
      <sz val="12"/>
      <name val="Calibri"/>
      <family val="2"/>
      <scheme val="minor"/>
    </font>
    <font>
      <sz val="11"/>
      <color rgb="FF000000"/>
      <name val="Cambria Math"/>
      <family val="1"/>
    </font>
    <font>
      <sz val="10"/>
      <color rgb="FF000000"/>
      <name val="Tahoma"/>
      <family val="2"/>
    </font>
    <font>
      <b/>
      <sz val="10"/>
      <color rgb="FF000000"/>
      <name val="Tahoma"/>
      <family val="2"/>
    </font>
    <font>
      <sz val="12"/>
      <color theme="5"/>
      <name val="Calibri"/>
      <family val="2"/>
      <scheme val="minor"/>
    </font>
    <font>
      <sz val="16"/>
      <color theme="1"/>
      <name val="Calibri"/>
      <family val="2"/>
      <scheme val="minor"/>
    </font>
    <font>
      <b/>
      <u/>
      <sz val="16"/>
      <color theme="1"/>
      <name val="Calibri (Body)"/>
    </font>
    <font>
      <sz val="14"/>
      <color theme="1"/>
      <name val="Calibri"/>
      <family val="2"/>
      <scheme val="minor"/>
    </font>
    <font>
      <sz val="12"/>
      <color theme="1"/>
      <name val="Calibri (Body)"/>
    </font>
    <font>
      <sz val="10"/>
      <color rgb="FF000000"/>
      <name val="Cambria Math"/>
      <family val="1"/>
    </font>
    <font>
      <sz val="10"/>
      <color rgb="FF000000"/>
      <name val="Calibri"/>
      <family val="2"/>
      <scheme val="minor"/>
    </font>
    <font>
      <b/>
      <sz val="10"/>
      <color rgb="FF000000"/>
      <name val="Cambria Math"/>
      <family val="2"/>
    </font>
    <font>
      <b/>
      <sz val="10"/>
      <color rgb="FF000000"/>
      <name val="Tahoma"/>
      <family val="34"/>
    </font>
    <font>
      <sz val="10"/>
      <color rgb="FF000000"/>
      <name val="Calibri"/>
      <family val="2"/>
    </font>
    <font>
      <b/>
      <sz val="10"/>
      <color rgb="FF000000"/>
      <name val="Cambria Math"/>
      <family val="18"/>
    </font>
  </fonts>
  <fills count="8">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4" tint="0.79998168889431442"/>
        <bgColor indexed="64"/>
      </patternFill>
    </fill>
  </fills>
  <borders count="16">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6">
    <xf numFmtId="0" fontId="0" fillId="0" borderId="0" xfId="0"/>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wrapText="1"/>
    </xf>
    <xf numFmtId="0" fontId="7" fillId="0" borderId="0" xfId="0" applyFont="1" applyAlignment="1">
      <alignment vertical="center" wrapText="1"/>
    </xf>
    <xf numFmtId="0" fontId="0" fillId="0" borderId="0" xfId="0" applyAlignment="1">
      <alignment horizontal="center" vertical="center" wrapText="1"/>
    </xf>
    <xf numFmtId="2" fontId="0" fillId="0" borderId="9" xfId="0" applyNumberFormat="1" applyBorder="1" applyAlignment="1">
      <alignment horizontal="center" vertical="center" wrapText="1"/>
    </xf>
    <xf numFmtId="2" fontId="2" fillId="2" borderId="9" xfId="0" applyNumberFormat="1" applyFont="1" applyFill="1" applyBorder="1" applyAlignment="1">
      <alignment horizontal="center" vertical="center" wrapText="1"/>
    </xf>
    <xf numFmtId="2" fontId="0" fillId="0" borderId="0" xfId="0" applyNumberFormat="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1" fillId="0" borderId="1" xfId="0" applyFont="1" applyBorder="1" applyAlignment="1">
      <alignment vertical="center" wrapText="1"/>
    </xf>
    <xf numFmtId="0" fontId="4" fillId="0" borderId="0" xfId="0" applyFont="1" applyAlignment="1">
      <alignment horizontal="center" vertical="center" wrapText="1"/>
    </xf>
    <xf numFmtId="0" fontId="8" fillId="0" borderId="0" xfId="0" applyFont="1" applyAlignment="1">
      <alignment horizontal="center" vertical="center" wrapText="1"/>
    </xf>
    <xf numFmtId="0" fontId="1" fillId="0" borderId="0" xfId="0" applyFont="1" applyAlignment="1">
      <alignment horizontal="center" vertical="center" wrapText="1"/>
    </xf>
    <xf numFmtId="2" fontId="10" fillId="0" borderId="9" xfId="0" applyNumberFormat="1" applyFont="1" applyBorder="1" applyAlignment="1">
      <alignment horizontal="center" vertical="center" wrapText="1"/>
    </xf>
    <xf numFmtId="0" fontId="11" fillId="0" borderId="0" xfId="0" applyFont="1"/>
    <xf numFmtId="0" fontId="2" fillId="0" borderId="0" xfId="0" applyFont="1" applyAlignment="1">
      <alignment horizontal="center" vertic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xf>
    <xf numFmtId="0" fontId="5" fillId="4" borderId="0" xfId="0" applyFont="1" applyFill="1" applyAlignment="1">
      <alignment vertical="center"/>
    </xf>
    <xf numFmtId="2" fontId="2" fillId="0" borderId="9" xfId="0" applyNumberFormat="1" applyFont="1" applyBorder="1" applyAlignment="1">
      <alignment horizontal="center" vertical="center"/>
    </xf>
    <xf numFmtId="0" fontId="2" fillId="2" borderId="9" xfId="0" applyFont="1" applyFill="1" applyBorder="1" applyAlignment="1">
      <alignment vertical="center"/>
    </xf>
    <xf numFmtId="0" fontId="3" fillId="0" borderId="9" xfId="0" applyFont="1" applyBorder="1" applyAlignment="1">
      <alignment horizontal="center" vertical="center"/>
    </xf>
    <xf numFmtId="0" fontId="4" fillId="0" borderId="9"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wrapText="1"/>
    </xf>
    <xf numFmtId="0" fontId="14" fillId="0" borderId="0" xfId="0" applyFont="1" applyAlignment="1">
      <alignment vertical="center" wrapText="1"/>
    </xf>
    <xf numFmtId="164" fontId="7" fillId="5" borderId="0" xfId="0" applyNumberFormat="1" applyFont="1" applyFill="1" applyAlignment="1">
      <alignment horizontal="center" vertical="center"/>
    </xf>
    <xf numFmtId="165" fontId="7" fillId="5" borderId="0" xfId="0" applyNumberFormat="1" applyFont="1" applyFill="1" applyAlignment="1">
      <alignment horizontal="center" vertical="center"/>
    </xf>
    <xf numFmtId="2" fontId="0" fillId="6" borderId="9" xfId="0" applyNumberFormat="1" applyFill="1" applyBorder="1" applyAlignment="1">
      <alignment horizontal="center" vertical="center" wrapText="1"/>
    </xf>
    <xf numFmtId="0" fontId="0" fillId="6" borderId="9" xfId="0" applyFill="1" applyBorder="1" applyAlignment="1">
      <alignment horizontal="center" vertical="center" wrapText="1"/>
    </xf>
    <xf numFmtId="2"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5" borderId="2" xfId="0" applyFill="1" applyBorder="1" applyAlignment="1">
      <alignment horizontal="center" vertical="center"/>
    </xf>
    <xf numFmtId="0" fontId="0" fillId="5" borderId="8" xfId="0" applyFill="1" applyBorder="1" applyAlignment="1">
      <alignment horizontal="center" vertical="center"/>
    </xf>
    <xf numFmtId="0" fontId="15" fillId="5" borderId="1" xfId="0" applyFont="1" applyFill="1" applyBorder="1" applyAlignment="1">
      <alignment horizontal="center" vertical="center"/>
    </xf>
    <xf numFmtId="0" fontId="15" fillId="5" borderId="6" xfId="0" applyFont="1" applyFill="1" applyBorder="1" applyAlignment="1">
      <alignment horizontal="center" vertical="center"/>
    </xf>
    <xf numFmtId="0" fontId="5" fillId="4" borderId="3" xfId="0" applyFont="1" applyFill="1" applyBorder="1" applyAlignment="1">
      <alignment vertical="center"/>
    </xf>
    <xf numFmtId="0" fontId="0" fillId="0" borderId="3" xfId="0" applyBorder="1" applyAlignment="1">
      <alignment horizontal="center" vertical="center" wrapText="1"/>
    </xf>
    <xf numFmtId="0" fontId="6" fillId="0" borderId="0" xfId="0" applyFont="1" applyAlignment="1">
      <alignment vertical="center" wrapText="1"/>
    </xf>
    <xf numFmtId="0" fontId="3" fillId="0" borderId="1" xfId="0" applyFont="1" applyBorder="1" applyAlignment="1">
      <alignment vertical="center" wrapText="1"/>
    </xf>
    <xf numFmtId="0" fontId="7" fillId="0" borderId="0" xfId="0" applyFont="1" applyAlignment="1">
      <alignment horizontal="lef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3" xfId="0" applyBorder="1" applyAlignment="1">
      <alignment vertical="center"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2" fillId="0" borderId="4" xfId="0" applyFont="1" applyBorder="1" applyAlignment="1">
      <alignment horizontal="center" vertical="center" wrapText="1"/>
    </xf>
    <xf numFmtId="0" fontId="0" fillId="0" borderId="3" xfId="0" applyBorder="1"/>
    <xf numFmtId="0" fontId="0" fillId="0" borderId="3" xfId="0" applyBorder="1" applyAlignment="1">
      <alignment horizontal="left" vertical="center"/>
    </xf>
    <xf numFmtId="0" fontId="0" fillId="0" borderId="4" xfId="0" applyBorder="1" applyAlignment="1">
      <alignment horizontal="center" vertical="top" wrapText="1"/>
    </xf>
    <xf numFmtId="0" fontId="0" fillId="0" borderId="3" xfId="0" applyBorder="1" applyAlignment="1">
      <alignment horizontal="center"/>
    </xf>
    <xf numFmtId="0" fontId="0" fillId="0" borderId="4" xfId="0" applyBorder="1"/>
    <xf numFmtId="0" fontId="0" fillId="0" borderId="4" xfId="0" applyBorder="1" applyAlignment="1">
      <alignment wrapText="1"/>
    </xf>
    <xf numFmtId="0" fontId="0" fillId="0" borderId="1" xfId="0" applyBorder="1" applyAlignment="1">
      <alignment wrapText="1"/>
    </xf>
    <xf numFmtId="0" fontId="0" fillId="0" borderId="6" xfId="0" applyBorder="1" applyAlignment="1">
      <alignment wrapText="1"/>
    </xf>
    <xf numFmtId="0" fontId="2" fillId="0" borderId="8" xfId="0" applyFont="1" applyBorder="1" applyAlignment="1">
      <alignment horizontal="center" vertical="center" wrapText="1"/>
    </xf>
    <xf numFmtId="0" fontId="0" fillId="0" borderId="3" xfId="0" applyBorder="1" applyAlignment="1">
      <alignment wrapText="1"/>
    </xf>
    <xf numFmtId="0" fontId="0" fillId="0" borderId="3" xfId="0" applyBorder="1" applyAlignment="1">
      <alignment horizontal="center" wrapText="1"/>
    </xf>
    <xf numFmtId="0" fontId="0" fillId="0" borderId="1" xfId="0" applyBorder="1" applyAlignment="1">
      <alignment horizontal="center" vertical="center" wrapText="1"/>
    </xf>
    <xf numFmtId="0" fontId="0" fillId="0" borderId="5" xfId="0" applyBorder="1" applyAlignment="1">
      <alignment horizontal="left" vertical="center"/>
    </xf>
    <xf numFmtId="16" fontId="4" fillId="0" borderId="1" xfId="0" applyNumberFormat="1" applyFont="1" applyBorder="1" applyAlignment="1">
      <alignment vertical="center" wrapText="1"/>
    </xf>
    <xf numFmtId="0" fontId="2" fillId="0" borderId="3" xfId="0" applyFont="1" applyBorder="1" applyAlignment="1">
      <alignment horizontal="center" vertical="center"/>
    </xf>
    <xf numFmtId="0" fontId="6" fillId="0" borderId="4" xfId="0" applyFont="1" applyBorder="1" applyAlignment="1">
      <alignment horizontal="center" vertical="center" wrapText="1"/>
    </xf>
    <xf numFmtId="0" fontId="2" fillId="0" borderId="3" xfId="0" applyFont="1" applyBorder="1"/>
    <xf numFmtId="0" fontId="7" fillId="0" borderId="4" xfId="0" applyFont="1" applyBorder="1" applyAlignment="1">
      <alignment vertical="center" wrapText="1"/>
    </xf>
    <xf numFmtId="2" fontId="2" fillId="0" borderId="4"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xf>
    <xf numFmtId="2" fontId="7" fillId="0" borderId="0" xfId="0" applyNumberFormat="1" applyFont="1" applyAlignment="1">
      <alignment vertical="center" wrapText="1"/>
    </xf>
    <xf numFmtId="0" fontId="0" fillId="0" borderId="9" xfId="0" applyBorder="1" applyAlignment="1">
      <alignment horizontal="left" vertical="center"/>
    </xf>
    <xf numFmtId="0" fontId="0" fillId="0" borderId="0" xfId="0" applyAlignment="1">
      <alignment horizontal="center"/>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7" fillId="7" borderId="0" xfId="0" applyFont="1" applyFill="1" applyAlignment="1">
      <alignment horizontal="left" vertical="top" wrapText="1"/>
    </xf>
    <xf numFmtId="0" fontId="7" fillId="7" borderId="1" xfId="0" applyFont="1" applyFill="1" applyBorder="1" applyAlignment="1">
      <alignment horizontal="left" vertical="top" wrapText="1"/>
    </xf>
    <xf numFmtId="0" fontId="7" fillId="7" borderId="0" xfId="0" applyFont="1" applyFill="1" applyAlignment="1">
      <alignment horizontal="left" vertical="top"/>
    </xf>
    <xf numFmtId="0" fontId="7" fillId="7" borderId="1" xfId="0" applyFont="1" applyFill="1" applyBorder="1" applyAlignment="1">
      <alignment horizontal="left" vertical="top"/>
    </xf>
    <xf numFmtId="0" fontId="7" fillId="7" borderId="0" xfId="0" applyFont="1" applyFill="1" applyAlignment="1">
      <alignment horizontal="center" vertical="center" wrapText="1"/>
    </xf>
    <xf numFmtId="0" fontId="7" fillId="7" borderId="1" xfId="0" applyFont="1" applyFill="1" applyBorder="1" applyAlignment="1">
      <alignment horizontal="center" vertical="center" wrapText="1"/>
    </xf>
    <xf numFmtId="0" fontId="0" fillId="5" borderId="0" xfId="0" applyFill="1" applyAlignment="1">
      <alignment horizontal="center" vertic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9" fillId="3" borderId="7"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8" xfId="0" applyFont="1" applyFill="1" applyBorder="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top" wrapText="1"/>
    </xf>
    <xf numFmtId="0" fontId="1" fillId="0" borderId="2" xfId="0" applyFont="1" applyBorder="1" applyAlignment="1">
      <alignment horizontal="center" vertical="top" wrapText="1"/>
    </xf>
    <xf numFmtId="0" fontId="0" fillId="7" borderId="0" xfId="0" applyFill="1" applyAlignment="1">
      <alignment horizontal="center" vertical="center"/>
    </xf>
    <xf numFmtId="0" fontId="0" fillId="7" borderId="1" xfId="0" applyFill="1" applyBorder="1" applyAlignment="1">
      <alignment horizontal="center" vertical="center"/>
    </xf>
    <xf numFmtId="0" fontId="0" fillId="5" borderId="9" xfId="0" applyFill="1" applyBorder="1" applyAlignment="1">
      <alignment horizontal="center" vertical="center" wrapText="1"/>
    </xf>
    <xf numFmtId="0" fontId="17" fillId="3" borderId="3" xfId="0" applyFont="1" applyFill="1" applyBorder="1" applyAlignment="1">
      <alignment horizontal="center" vertical="center" wrapText="1"/>
    </xf>
    <xf numFmtId="0" fontId="17" fillId="3" borderId="0" xfId="0" applyFont="1" applyFill="1" applyAlignment="1">
      <alignment horizontal="center" vertical="center" wrapText="1"/>
    </xf>
    <xf numFmtId="2" fontId="2" fillId="0" borderId="13" xfId="0" applyNumberFormat="1" applyFont="1" applyBorder="1" applyAlignment="1">
      <alignment horizontal="center" vertical="center"/>
    </xf>
    <xf numFmtId="2" fontId="2" fillId="0" borderId="12" xfId="0" applyNumberFormat="1" applyFont="1" applyBorder="1" applyAlignment="1">
      <alignment horizontal="center" vertical="center"/>
    </xf>
    <xf numFmtId="2" fontId="2" fillId="0" borderId="14" xfId="0" applyNumberFormat="1" applyFont="1" applyBorder="1" applyAlignment="1">
      <alignment horizontal="center" vertical="center"/>
    </xf>
    <xf numFmtId="0" fontId="0" fillId="0" borderId="12" xfId="0" applyBorder="1" applyAlignment="1">
      <alignment horizontal="center" vertical="top" wrapText="1"/>
    </xf>
    <xf numFmtId="0" fontId="1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9" fillId="3" borderId="7" xfId="0" applyFont="1" applyFill="1" applyBorder="1" applyAlignment="1">
      <alignment vertical="center" wrapText="1"/>
    </xf>
    <xf numFmtId="0" fontId="9" fillId="3" borderId="2" xfId="0" applyFont="1" applyFill="1" applyBorder="1" applyAlignment="1">
      <alignment vertical="center" wrapText="1"/>
    </xf>
    <xf numFmtId="0" fontId="17" fillId="3" borderId="4" xfId="0" applyFont="1" applyFill="1" applyBorder="1" applyAlignment="1">
      <alignment horizontal="center" vertical="center" wrapText="1"/>
    </xf>
    <xf numFmtId="0" fontId="0" fillId="0" borderId="7" xfId="0" applyBorder="1" applyAlignment="1">
      <alignment horizontal="center" vertical="center"/>
    </xf>
    <xf numFmtId="0" fontId="0" fillId="0" borderId="3" xfId="0" applyBorder="1" applyAlignment="1">
      <alignment horizontal="center" vertical="center"/>
    </xf>
    <xf numFmtId="166" fontId="0" fillId="5" borderId="2" xfId="0" applyNumberFormat="1" applyFill="1" applyBorder="1" applyAlignment="1">
      <alignment horizontal="center" vertical="center" wrapText="1"/>
    </xf>
    <xf numFmtId="167" fontId="0" fillId="5" borderId="2" xfId="0" applyNumberFormat="1" applyFill="1" applyBorder="1" applyAlignment="1">
      <alignment horizontal="center" vertical="center" wrapText="1"/>
    </xf>
    <xf numFmtId="2" fontId="0" fillId="0" borderId="13" xfId="0" applyNumberFormat="1" applyBorder="1" applyAlignment="1">
      <alignment horizontal="center" vertical="center"/>
    </xf>
    <xf numFmtId="2" fontId="0" fillId="0" borderId="12" xfId="0" applyNumberFormat="1" applyBorder="1" applyAlignment="1">
      <alignment horizontal="center" vertical="center"/>
    </xf>
    <xf numFmtId="2" fontId="0" fillId="0" borderId="14" xfId="0" applyNumberFormat="1" applyBorder="1" applyAlignment="1">
      <alignment horizontal="center" vertical="center"/>
    </xf>
    <xf numFmtId="0" fontId="7" fillId="0" borderId="0" xfId="0" applyFont="1" applyAlignment="1">
      <alignment horizontal="center" vertical="center" wrapText="1"/>
    </xf>
    <xf numFmtId="0" fontId="2" fillId="0" borderId="10" xfId="0" applyFont="1" applyBorder="1" applyAlignment="1">
      <alignment horizontal="center" vertical="center" wrapText="1"/>
    </xf>
    <xf numFmtId="0" fontId="2" fillId="0" borderId="15" xfId="0" applyFont="1"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left" vertical="center"/>
    </xf>
    <xf numFmtId="0" fontId="0" fillId="0" borderId="5" xfId="0" applyBorder="1" applyAlignment="1">
      <alignment horizontal="left" vertical="center"/>
    </xf>
    <xf numFmtId="0" fontId="7" fillId="5" borderId="0" xfId="0" applyFont="1" applyFill="1" applyAlignment="1">
      <alignment horizontal="center" vertical="center"/>
    </xf>
    <xf numFmtId="0" fontId="7" fillId="5" borderId="0" xfId="0" applyFont="1" applyFill="1" applyAlignment="1">
      <alignment horizontal="left" vertical="center"/>
    </xf>
    <xf numFmtId="0" fontId="0" fillId="0" borderId="9" xfId="0" applyBorder="1" applyAlignment="1">
      <alignment horizontal="left" vertical="center" wrapText="1" indent="2"/>
    </xf>
    <xf numFmtId="0" fontId="5" fillId="6" borderId="13" xfId="0" applyFont="1" applyFill="1" applyBorder="1" applyAlignment="1">
      <alignment horizontal="left" vertical="center"/>
    </xf>
    <xf numFmtId="0" fontId="5" fillId="6" borderId="14" xfId="0" applyFont="1" applyFill="1" applyBorder="1" applyAlignment="1">
      <alignment horizontal="left" vertical="center"/>
    </xf>
    <xf numFmtId="0" fontId="2" fillId="2" borderId="9" xfId="0" applyFont="1" applyFill="1" applyBorder="1" applyAlignment="1">
      <alignment horizontal="left" vertical="center" wrapText="1"/>
    </xf>
    <xf numFmtId="0" fontId="0" fillId="0" borderId="9" xfId="0" applyBorder="1" applyAlignment="1">
      <alignment horizontal="left" vertical="center" indent="2"/>
    </xf>
    <xf numFmtId="0" fontId="2" fillId="2" borderId="9" xfId="0" applyFont="1" applyFill="1" applyBorder="1" applyAlignment="1">
      <alignment horizontal="left"/>
    </xf>
    <xf numFmtId="0" fontId="5" fillId="4" borderId="13"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14"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4" xfId="0" applyFont="1" applyFill="1" applyBorder="1" applyAlignment="1">
      <alignment horizontal="center" vertical="center"/>
    </xf>
    <xf numFmtId="0" fontId="6" fillId="5" borderId="3" xfId="0" applyFont="1" applyFill="1" applyBorder="1" applyAlignment="1">
      <alignment horizontal="center" vertical="center" wrapText="1"/>
    </xf>
    <xf numFmtId="0" fontId="6" fillId="5" borderId="0" xfId="0" applyFont="1" applyFill="1" applyAlignment="1">
      <alignment horizontal="center" vertical="center" wrapText="1"/>
    </xf>
    <xf numFmtId="0" fontId="2" fillId="2" borderId="13" xfId="0" applyFont="1" applyFill="1" applyBorder="1" applyAlignment="1">
      <alignment horizontal="left" vertical="center"/>
    </xf>
    <xf numFmtId="0" fontId="2" fillId="2" borderId="12" xfId="0" applyFont="1" applyFill="1" applyBorder="1" applyAlignment="1">
      <alignment horizontal="left" vertical="center"/>
    </xf>
    <xf numFmtId="0" fontId="2" fillId="2" borderId="14" xfId="0" applyFont="1" applyFill="1" applyBorder="1" applyAlignment="1">
      <alignment horizontal="left" vertical="center"/>
    </xf>
    <xf numFmtId="0" fontId="2" fillId="5" borderId="9" xfId="0" applyFont="1" applyFill="1" applyBorder="1" applyAlignment="1">
      <alignment horizontal="center" vertical="center"/>
    </xf>
    <xf numFmtId="0" fontId="2" fillId="2" borderId="13"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15" fillId="5" borderId="13" xfId="0" applyFont="1" applyFill="1" applyBorder="1" applyAlignment="1">
      <alignment horizontal="left" vertical="center"/>
    </xf>
    <xf numFmtId="0" fontId="15" fillId="5" borderId="12" xfId="0" applyFont="1" applyFill="1" applyBorder="1" applyAlignment="1">
      <alignment horizontal="left" vertical="center"/>
    </xf>
    <xf numFmtId="0" fontId="5" fillId="6" borderId="11" xfId="0" applyFont="1" applyFill="1" applyBorder="1" applyAlignment="1">
      <alignment horizontal="left" vertical="center" wrapText="1"/>
    </xf>
    <xf numFmtId="0" fontId="0" fillId="0" borderId="9" xfId="0" applyBorder="1" applyAlignment="1">
      <alignment horizontal="left" vertical="center"/>
    </xf>
    <xf numFmtId="0" fontId="5" fillId="6" borderId="9" xfId="0" applyFont="1" applyFill="1" applyBorder="1" applyAlignment="1">
      <alignment horizontal="left" vertical="center" wrapText="1"/>
    </xf>
    <xf numFmtId="0" fontId="9" fillId="3" borderId="9" xfId="0" applyFont="1" applyFill="1" applyBorder="1" applyAlignment="1">
      <alignment horizontal="center" vertical="center"/>
    </xf>
    <xf numFmtId="0" fontId="0" fillId="0" borderId="9" xfId="0" applyBorder="1" applyAlignment="1">
      <alignment vertical="center" wrapText="1"/>
    </xf>
    <xf numFmtId="0" fontId="0" fillId="0" borderId="9" xfId="0" applyBorder="1" applyAlignment="1">
      <alignment horizontal="center" vertical="center" wrapText="1"/>
    </xf>
    <xf numFmtId="0" fontId="2" fillId="0" borderId="9" xfId="0" applyFont="1" applyBorder="1" applyAlignment="1">
      <alignment horizontal="center" vertical="center" wrapText="1"/>
    </xf>
    <xf numFmtId="0" fontId="2" fillId="0" borderId="9" xfId="0" applyFont="1" applyBorder="1"/>
    <xf numFmtId="0" fontId="3" fillId="0" borderId="9" xfId="0" applyFont="1" applyBorder="1" applyAlignment="1">
      <alignment horizontal="center" vertical="top" wrapText="1"/>
    </xf>
    <xf numFmtId="0" fontId="4" fillId="0" borderId="9" xfId="0" applyFont="1" applyBorder="1" applyAlignment="1">
      <alignment horizontal="center" vertical="top" wrapText="1"/>
    </xf>
    <xf numFmtId="0" fontId="1" fillId="0" borderId="9" xfId="0" applyFont="1" applyBorder="1" applyAlignment="1">
      <alignment horizontal="center" vertical="top" wrapText="1"/>
    </xf>
    <xf numFmtId="0" fontId="3" fillId="0" borderId="9" xfId="0" applyFont="1" applyBorder="1" applyAlignment="1">
      <alignment horizontal="center" vertical="top" wrapText="1"/>
    </xf>
    <xf numFmtId="0" fontId="4" fillId="0" borderId="9" xfId="0" applyFont="1" applyBorder="1" applyAlignment="1">
      <alignment horizontal="center" vertical="top" wrapText="1"/>
    </xf>
    <xf numFmtId="0" fontId="0" fillId="0" borderId="9" xfId="0" applyBorder="1" applyAlignment="1">
      <alignment horizontal="center" vertical="top" wrapText="1"/>
    </xf>
    <xf numFmtId="0" fontId="0" fillId="0" borderId="9" xfId="0" applyBorder="1" applyAlignment="1">
      <alignment horizontal="center"/>
    </xf>
    <xf numFmtId="0" fontId="0" fillId="0" borderId="9" xfId="0" applyBorder="1" applyAlignment="1">
      <alignment horizontal="center"/>
    </xf>
    <xf numFmtId="0" fontId="0" fillId="0" borderId="9" xfId="0" applyBorder="1"/>
    <xf numFmtId="0" fontId="0" fillId="0" borderId="9" xfId="0" applyBorder="1" applyAlignment="1">
      <alignment horizontal="center" vertical="center"/>
    </xf>
    <xf numFmtId="0" fontId="7" fillId="7" borderId="9" xfId="0" applyFont="1" applyFill="1" applyBorder="1" applyAlignment="1">
      <alignment horizontal="center" vertical="center" wrapText="1"/>
    </xf>
    <xf numFmtId="0" fontId="0" fillId="0" borderId="9" xfId="0" applyBorder="1" applyAlignment="1">
      <alignment horizontal="left" vertical="center" wrapText="1"/>
    </xf>
    <xf numFmtId="0" fontId="9" fillId="3" borderId="9" xfId="0" applyFont="1" applyFill="1" applyBorder="1" applyAlignment="1">
      <alignment vertical="center" wrapText="1"/>
    </xf>
    <xf numFmtId="0" fontId="17" fillId="3" borderId="9" xfId="0" applyFont="1" applyFill="1" applyBorder="1" applyAlignment="1">
      <alignment horizontal="center" vertical="center" wrapText="1"/>
    </xf>
    <xf numFmtId="2" fontId="2" fillId="0" borderId="9" xfId="0" applyNumberFormat="1" applyFont="1" applyBorder="1" applyAlignment="1">
      <alignment horizontal="center" vertical="center"/>
    </xf>
    <xf numFmtId="0" fontId="0" fillId="0" borderId="9" xfId="0" applyBorder="1" applyAlignment="1">
      <alignment horizontal="center" wrapText="1"/>
    </xf>
    <xf numFmtId="0" fontId="0" fillId="0" borderId="9" xfId="0" applyBorder="1" applyAlignment="1">
      <alignment horizontal="center" vertical="top" wrapText="1"/>
    </xf>
    <xf numFmtId="0" fontId="1" fillId="0" borderId="9" xfId="0" applyFont="1" applyBorder="1" applyAlignment="1">
      <alignment horizontal="center" vertical="top" wrapText="1"/>
    </xf>
    <xf numFmtId="0" fontId="3" fillId="0" borderId="9" xfId="0" applyFont="1" applyBorder="1" applyAlignment="1">
      <alignment vertical="top" wrapText="1"/>
    </xf>
    <xf numFmtId="0" fontId="4" fillId="0" borderId="9" xfId="0" applyFont="1" applyBorder="1" applyAlignment="1">
      <alignment vertical="top" wrapText="1"/>
    </xf>
    <xf numFmtId="0" fontId="1" fillId="0" borderId="9" xfId="0" applyFont="1" applyBorder="1" applyAlignment="1">
      <alignment vertical="top" wrapText="1"/>
    </xf>
    <xf numFmtId="0" fontId="0" fillId="0" borderId="9" xfId="0" applyBorder="1" applyAlignment="1">
      <alignment horizontal="left" vertical="top" wrapText="1"/>
    </xf>
    <xf numFmtId="0" fontId="0" fillId="0" borderId="9" xfId="0" applyBorder="1" applyAlignment="1">
      <alignment horizontal="center" vertical="center" wrapText="1"/>
    </xf>
    <xf numFmtId="0" fontId="2" fillId="0" borderId="9" xfId="0" applyFont="1" applyBorder="1" applyAlignment="1">
      <alignment horizontal="center" vertical="center" wrapText="1"/>
    </xf>
    <xf numFmtId="2" fontId="0" fillId="0" borderId="9" xfId="0" applyNumberFormat="1" applyBorder="1" applyAlignment="1">
      <alignment horizontal="center" vertical="center"/>
    </xf>
    <xf numFmtId="166" fontId="0" fillId="5" borderId="9" xfId="0" applyNumberFormat="1" applyFill="1" applyBorder="1" applyAlignment="1">
      <alignment horizontal="center" vertical="center" wrapText="1"/>
    </xf>
    <xf numFmtId="167" fontId="0" fillId="5" borderId="9" xfId="0" applyNumberFormat="1" applyFill="1" applyBorder="1" applyAlignment="1">
      <alignment horizontal="center" vertical="center" wrapText="1"/>
    </xf>
    <xf numFmtId="0" fontId="18" fillId="0" borderId="9" xfId="0" applyFont="1" applyBorder="1" applyAlignment="1">
      <alignment horizontal="center" vertical="center" wrapText="1"/>
    </xf>
    <xf numFmtId="0" fontId="3" fillId="0" borderId="9" xfId="0" applyFont="1" applyBorder="1" applyAlignment="1">
      <alignment horizontal="center" vertical="center" wrapText="1"/>
    </xf>
    <xf numFmtId="0" fontId="3" fillId="0" borderId="9" xfId="0" applyFont="1" applyBorder="1" applyAlignment="1">
      <alignment vertical="center" wrapText="1"/>
    </xf>
    <xf numFmtId="0" fontId="4" fillId="0" borderId="9" xfId="0" applyFont="1" applyBorder="1" applyAlignment="1">
      <alignment vertical="center" wrapText="1"/>
    </xf>
    <xf numFmtId="0" fontId="1" fillId="0" borderId="9" xfId="0" applyFont="1" applyBorder="1" applyAlignment="1">
      <alignment vertical="center" wrapText="1"/>
    </xf>
    <xf numFmtId="16" fontId="4" fillId="0" borderId="9" xfId="0" applyNumberFormat="1" applyFont="1" applyBorder="1" applyAlignment="1">
      <alignment vertical="center" wrapText="1"/>
    </xf>
    <xf numFmtId="0" fontId="2" fillId="0" borderId="9" xfId="0" applyFont="1" applyBorder="1" applyAlignment="1">
      <alignment horizontal="center" vertical="center"/>
    </xf>
    <xf numFmtId="0" fontId="7" fillId="0" borderId="9" xfId="0" applyFont="1" applyBorder="1" applyAlignment="1">
      <alignment horizontal="center" vertical="center" wrapText="1"/>
    </xf>
    <xf numFmtId="0" fontId="6" fillId="0" borderId="9" xfId="0" applyFont="1" applyBorder="1" applyAlignment="1">
      <alignment horizontal="center" vertical="center" wrapText="1"/>
    </xf>
    <xf numFmtId="0" fontId="7" fillId="5" borderId="9" xfId="0" applyFont="1" applyFill="1" applyBorder="1" applyAlignment="1">
      <alignment horizontal="center" vertical="center"/>
    </xf>
    <xf numFmtId="165" fontId="7" fillId="5" borderId="9" xfId="0" applyNumberFormat="1" applyFont="1" applyFill="1" applyBorder="1" applyAlignment="1">
      <alignment horizontal="center" vertical="center"/>
    </xf>
    <xf numFmtId="164" fontId="7" fillId="5" borderId="9" xfId="0" applyNumberFormat="1" applyFont="1" applyFill="1" applyBorder="1" applyAlignment="1">
      <alignment horizontal="center" vertical="center"/>
    </xf>
    <xf numFmtId="0" fontId="7" fillId="5" borderId="9" xfId="0" applyFont="1" applyFill="1" applyBorder="1" applyAlignment="1">
      <alignment horizontal="left" vertical="center"/>
    </xf>
    <xf numFmtId="0" fontId="7" fillId="0" borderId="9" xfId="0" applyFont="1" applyBorder="1" applyAlignment="1">
      <alignment vertical="center" wrapText="1"/>
    </xf>
    <xf numFmtId="0" fontId="8" fillId="0" borderId="9" xfId="0" applyFont="1" applyBorder="1" applyAlignment="1">
      <alignment horizontal="center" vertical="center" wrapText="1"/>
    </xf>
    <xf numFmtId="0" fontId="4" fillId="0" borderId="9" xfId="0" applyFont="1" applyBorder="1" applyAlignment="1">
      <alignment horizontal="center" vertical="center" wrapText="1"/>
    </xf>
    <xf numFmtId="0" fontId="1" fillId="0" borderId="9" xfId="0" applyFont="1" applyBorder="1" applyAlignment="1">
      <alignment horizontal="center" vertical="center" wrapText="1"/>
    </xf>
    <xf numFmtId="0" fontId="14" fillId="0" borderId="9" xfId="0" applyFont="1" applyBorder="1" applyAlignment="1">
      <alignment vertical="center" wrapText="1"/>
    </xf>
    <xf numFmtId="0" fontId="7" fillId="7" borderId="9" xfId="0" applyFont="1" applyFill="1" applyBorder="1" applyAlignment="1">
      <alignment horizontal="left" vertical="top" wrapText="1"/>
    </xf>
    <xf numFmtId="0" fontId="7" fillId="7" borderId="9" xfId="0" applyFont="1" applyFill="1" applyBorder="1" applyAlignment="1">
      <alignment horizontal="left" vertical="top"/>
    </xf>
    <xf numFmtId="0" fontId="0" fillId="7" borderId="9" xfId="0" applyFill="1" applyBorder="1" applyAlignment="1">
      <alignment horizontal="center" vertical="center"/>
    </xf>
    <xf numFmtId="0" fontId="7" fillId="7" borderId="7"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2" fillId="0" borderId="0" xfId="0" applyFont="1"/>
    <xf numFmtId="2" fontId="2" fillId="0" borderId="0" xfId="0" applyNumberFormat="1" applyFont="1"/>
    <xf numFmtId="0" fontId="9" fillId="3" borderId="7"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17" fillId="3"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22</xdr:col>
      <xdr:colOff>317500</xdr:colOff>
      <xdr:row>65</xdr:row>
      <xdr:rowOff>127000</xdr:rowOff>
    </xdr:from>
    <xdr:to>
      <xdr:col>26</xdr:col>
      <xdr:colOff>781119</xdr:colOff>
      <xdr:row>73</xdr:row>
      <xdr:rowOff>175054</xdr:rowOff>
    </xdr:to>
    <mc:AlternateContent xmlns:mc="http://schemas.openxmlformats.org/markup-compatibility/2006" xmlns:a14="http://schemas.microsoft.com/office/drawing/2010/main">
      <mc:Choice Requires="a14">
        <xdr:sp macro="" textlink="">
          <xdr:nvSpPr>
            <xdr:cNvPr id="3" name="TextBox 9">
              <a:extLst>
                <a:ext uri="{FF2B5EF4-FFF2-40B4-BE49-F238E27FC236}">
                  <a16:creationId xmlns:a16="http://schemas.microsoft.com/office/drawing/2014/main" id="{64638FB2-C924-9E4B-882E-E629CDEFD43D}"/>
                </a:ext>
              </a:extLst>
            </xdr:cNvPr>
            <xdr:cNvSpPr txBox="1"/>
          </xdr:nvSpPr>
          <xdr:spPr>
            <a:xfrm>
              <a:off x="17919700" y="18364200"/>
              <a:ext cx="3956119" cy="26261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i="1">
                        <a:latin typeface="Cambria Math" panose="02040503050406030204" pitchFamily="18" charset="0"/>
                      </a:rPr>
                      <m:t>=</m:t>
                    </m:r>
                    <m:r>
                      <a:rPr lang="en-GB" b="0" i="1">
                        <a:latin typeface="Cambria Math" panose="02040503050406030204" pitchFamily="18" charset="0"/>
                      </a:rPr>
                      <m:t>𝑝𝑛</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i="1">
                        <a:latin typeface="Cambria Math" panose="02040503050406030204" pitchFamily="18" charset="0"/>
                      </a:rPr>
                      <m:t>=</m:t>
                    </m:r>
                    <m:r>
                      <a:rPr lang="en-GB" b="0" i="1">
                        <a:latin typeface="Cambria Math" panose="02040503050406030204" pitchFamily="18" charset="0"/>
                      </a:rPr>
                      <m:t>𝑐𝑎</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𝑆𝐸𝐼</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i="0">
                            <a:latin typeface="Cambria Math" panose="02040503050406030204" pitchFamily="18" charset="0"/>
                          </a:rPr>
                          <m:t>max</m:t>
                        </m:r>
                      </m:fName>
                      <m:e>
                        <m:d>
                          <m:dPr>
                            <m:ctrlPr>
                              <a:rPr lang="en-GB" b="0" i="1">
                                <a:latin typeface="Cambria Math" panose="02040503050406030204" pitchFamily="18" charset="0"/>
                              </a:rPr>
                            </m:ctrlPr>
                          </m:dPr>
                          <m:e>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b="0" i="1">
                                <a:latin typeface="Cambria Math" panose="02040503050406030204" pitchFamily="18" charset="0"/>
                              </a:rPr>
                              <m:t>, </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b="0" i="1">
                                <a:latin typeface="Cambria Math" panose="02040503050406030204" pitchFamily="18" charset="0"/>
                              </a:rPr>
                              <m:t>,</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e>
                        </m:d>
                      </m:e>
                    </m:func>
                  </m:oMath>
                </m:oMathPara>
              </a14:m>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b="0" i="0">
                          <a:latin typeface="Cambria Math" panose="02040503050406030204" pitchFamily="18" charset="0"/>
                        </a:rPr>
                        <m:t>max</m:t>
                      </m:r>
                    </m:fName>
                    <m:e>
                      <m:d>
                        <m:dPr>
                          <m:ctrlPr>
                            <a:rPr lang="en-GB" b="0" i="1">
                              <a:latin typeface="Cambria Math" panose="02040503050406030204" pitchFamily="18" charset="0"/>
                            </a:rPr>
                          </m:ctrlPr>
                        </m:dPr>
                        <m:e>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𝑒𝑟</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𝑠h</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∗0.5</m:t>
                          </m:r>
                        </m:e>
                      </m:d>
                    </m:e>
                  </m:func>
                </m:oMath>
              </a14:m>
              <a:r>
                <a:rPr lang="en-GB"/>
                <a:t>  </a:t>
              </a:r>
            </a:p>
            <a:p>
              <a:endParaRPr lang="en-GB"/>
            </a:p>
            <a:p>
              <a:endParaRPr lang="en-GB"/>
            </a:p>
            <a:p>
              <a:endParaRPr lang="en-GB"/>
            </a:p>
          </xdr:txBody>
        </xdr:sp>
      </mc:Choice>
      <mc:Fallback xmlns="">
        <xdr:sp macro="" textlink="">
          <xdr:nvSpPr>
            <xdr:cNvPr id="3" name="TextBox 9">
              <a:extLst>
                <a:ext uri="{FF2B5EF4-FFF2-40B4-BE49-F238E27FC236}">
                  <a16:creationId xmlns:a16="http://schemas.microsoft.com/office/drawing/2014/main" id="{64638FB2-C924-9E4B-882E-E629CDEFD43D}"/>
                </a:ext>
              </a:extLst>
            </xdr:cNvPr>
            <xdr:cNvSpPr txBox="1"/>
          </xdr:nvSpPr>
          <xdr:spPr>
            <a:xfrm>
              <a:off x="17919700" y="18364200"/>
              <a:ext cx="3956119" cy="26261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𝑅_𝑝𝑒</a:t>
              </a:r>
              <a:r>
                <a:rPr lang="en-GB" i="0">
                  <a:latin typeface="Cambria Math" panose="02040503050406030204" pitchFamily="18" charset="0"/>
                </a:rPr>
                <a:t>=</a:t>
              </a:r>
              <a:r>
                <a:rPr lang="en-GB" b="0" i="0">
                  <a:latin typeface="Cambria Math" panose="02040503050406030204" pitchFamily="18" charset="0"/>
                </a:rPr>
                <a:t>𝑝𝑛</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𝑅_𝑒𝑒</a:t>
              </a:r>
              <a:r>
                <a:rPr lang="en-GB" i="0">
                  <a:latin typeface="Cambria Math" panose="02040503050406030204" pitchFamily="18" charset="0"/>
                </a:rPr>
                <a:t>=</a:t>
              </a:r>
              <a:r>
                <a:rPr lang="en-GB" b="0" i="0">
                  <a:latin typeface="Cambria Math" panose="02040503050406030204" pitchFamily="18" charset="0"/>
                </a:rPr>
                <a:t>𝑐𝑎</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𝑅_𝑆𝐸𝐼</a:t>
              </a:r>
              <a:r>
                <a:rPr lang="en-GB" i="0">
                  <a:latin typeface="Cambria Math" panose="02040503050406030204" pitchFamily="18" charset="0"/>
                </a:rPr>
                <a:t>=max</a:t>
              </a:r>
              <a:r>
                <a:rPr lang="en-GB" b="0" i="0">
                  <a:latin typeface="Cambria Math" panose="02040503050406030204" pitchFamily="18" charset="0"/>
                </a:rPr>
                <a:t>⁡(𝑅_𝑝𝑒, 𝑅_𝑒𝑒,𝑅_𝑐𝑒 )</a:t>
              </a:r>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𝑅_𝑐𝑒</a:t>
              </a:r>
              <a:r>
                <a:rPr lang="en-GB" i="0">
                  <a:latin typeface="Cambria Math" panose="02040503050406030204" pitchFamily="18" charset="0"/>
                </a:rPr>
                <a:t>=</a:t>
              </a:r>
              <a:r>
                <a:rPr lang="en-GB" b="0" i="0">
                  <a:latin typeface="Cambria Math" panose="02040503050406030204" pitchFamily="18" charset="0"/>
                </a:rPr>
                <a:t>max⁡(ℎ𝑖∗𝑒𝑟,  ℎ𝑖∗𝑠ℎ,  ℎ𝑖∗0.5)</a:t>
              </a:r>
              <a:r>
                <a:rPr lang="en-GB"/>
                <a:t>  </a:t>
              </a:r>
            </a:p>
            <a:p>
              <a:endParaRPr lang="en-GB"/>
            </a:p>
            <a:p>
              <a:endParaRPr lang="en-GB"/>
            </a:p>
            <a:p>
              <a:endParaRPr lang="en-GB"/>
            </a:p>
          </xdr:txBody>
        </xdr:sp>
      </mc:Fallback>
    </mc:AlternateContent>
    <xdr:clientData/>
  </xdr:twoCellAnchor>
  <xdr:twoCellAnchor>
    <xdr:from>
      <xdr:col>1</xdr:col>
      <xdr:colOff>339512</xdr:colOff>
      <xdr:row>86</xdr:row>
      <xdr:rowOff>194153</xdr:rowOff>
    </xdr:from>
    <xdr:to>
      <xdr:col>3</xdr:col>
      <xdr:colOff>769490</xdr:colOff>
      <xdr:row>88</xdr:row>
      <xdr:rowOff>108428</xdr:rowOff>
    </xdr:to>
    <xdr:sp macro="" textlink="">
      <xdr:nvSpPr>
        <xdr:cNvPr id="4" name="TextBox 9">
          <a:extLst>
            <a:ext uri="{FF2B5EF4-FFF2-40B4-BE49-F238E27FC236}">
              <a16:creationId xmlns:a16="http://schemas.microsoft.com/office/drawing/2014/main" id="{B0CDDE52-838C-F74B-B25F-586EBEEF7242}"/>
            </a:ext>
          </a:extLst>
        </xdr:cNvPr>
        <xdr:cNvSpPr txBox="1"/>
      </xdr:nvSpPr>
      <xdr:spPr>
        <a:xfrm>
          <a:off x="606212" y="24895653"/>
          <a:ext cx="2080978" cy="371475"/>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1</xdr:col>
      <xdr:colOff>377612</xdr:colOff>
      <xdr:row>88</xdr:row>
      <xdr:rowOff>162403</xdr:rowOff>
    </xdr:from>
    <xdr:to>
      <xdr:col>3</xdr:col>
      <xdr:colOff>733212</xdr:colOff>
      <xdr:row>90</xdr:row>
      <xdr:rowOff>63978</xdr:rowOff>
    </xdr:to>
    <xdr:sp macro="" textlink="">
      <xdr:nvSpPr>
        <xdr:cNvPr id="5" name="TextBox 9">
          <a:extLst>
            <a:ext uri="{FF2B5EF4-FFF2-40B4-BE49-F238E27FC236}">
              <a16:creationId xmlns:a16="http://schemas.microsoft.com/office/drawing/2014/main" id="{8CAADE23-99DC-8242-BDE2-618C40ACA1B0}"/>
            </a:ext>
          </a:extLst>
        </xdr:cNvPr>
        <xdr:cNvSpPr txBox="1"/>
      </xdr:nvSpPr>
      <xdr:spPr>
        <a:xfrm>
          <a:off x="644312" y="25321103"/>
          <a:ext cx="2006600" cy="358775"/>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317500</xdr:colOff>
      <xdr:row>66</xdr:row>
      <xdr:rowOff>127000</xdr:rowOff>
    </xdr:from>
    <xdr:to>
      <xdr:col>26</xdr:col>
      <xdr:colOff>781119</xdr:colOff>
      <xdr:row>76</xdr:row>
      <xdr:rowOff>175054</xdr:rowOff>
    </xdr:to>
    <mc:AlternateContent xmlns:mc="http://schemas.openxmlformats.org/markup-compatibility/2006" xmlns:a14="http://schemas.microsoft.com/office/drawing/2010/main">
      <mc:Choice Requires="a14">
        <xdr:sp macro="" textlink="">
          <xdr:nvSpPr>
            <xdr:cNvPr id="3" name="TextBox 9">
              <a:extLst>
                <a:ext uri="{FF2B5EF4-FFF2-40B4-BE49-F238E27FC236}">
                  <a16:creationId xmlns:a16="http://schemas.microsoft.com/office/drawing/2014/main" id="{D326D0C2-A2AA-CD42-B929-7D345BE9C6B4}"/>
                </a:ext>
              </a:extLst>
            </xdr:cNvPr>
            <xdr:cNvSpPr txBox="1"/>
          </xdr:nvSpPr>
          <xdr:spPr>
            <a:xfrm>
              <a:off x="17919700" y="18364200"/>
              <a:ext cx="3956119" cy="26261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i="1">
                        <a:latin typeface="Cambria Math" panose="02040503050406030204" pitchFamily="18" charset="0"/>
                      </a:rPr>
                      <m:t>=</m:t>
                    </m:r>
                    <m:r>
                      <a:rPr lang="en-GB" b="0" i="1">
                        <a:latin typeface="Cambria Math" panose="02040503050406030204" pitchFamily="18" charset="0"/>
                      </a:rPr>
                      <m:t>𝑝𝑛</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i="1">
                        <a:latin typeface="Cambria Math" panose="02040503050406030204" pitchFamily="18" charset="0"/>
                      </a:rPr>
                      <m:t>=</m:t>
                    </m:r>
                    <m:r>
                      <a:rPr lang="en-GB" b="0" i="1">
                        <a:latin typeface="Cambria Math" panose="02040503050406030204" pitchFamily="18" charset="0"/>
                      </a:rPr>
                      <m:t>𝑐𝑎</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𝑆𝐸𝐼</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i="0">
                            <a:latin typeface="Cambria Math" panose="02040503050406030204" pitchFamily="18" charset="0"/>
                          </a:rPr>
                          <m:t>max</m:t>
                        </m:r>
                      </m:fName>
                      <m:e>
                        <m:d>
                          <m:dPr>
                            <m:ctrlPr>
                              <a:rPr lang="en-GB" b="0" i="1">
                                <a:latin typeface="Cambria Math" panose="02040503050406030204" pitchFamily="18" charset="0"/>
                              </a:rPr>
                            </m:ctrlPr>
                          </m:dPr>
                          <m:e>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b="0" i="1">
                                <a:latin typeface="Cambria Math" panose="02040503050406030204" pitchFamily="18" charset="0"/>
                              </a:rPr>
                              <m:t>, </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b="0" i="1">
                                <a:latin typeface="Cambria Math" panose="02040503050406030204" pitchFamily="18" charset="0"/>
                              </a:rPr>
                              <m:t>,</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e>
                        </m:d>
                      </m:e>
                    </m:func>
                  </m:oMath>
                </m:oMathPara>
              </a14:m>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b="0" i="0">
                          <a:latin typeface="Cambria Math" panose="02040503050406030204" pitchFamily="18" charset="0"/>
                        </a:rPr>
                        <m:t>max</m:t>
                      </m:r>
                    </m:fName>
                    <m:e>
                      <m:d>
                        <m:dPr>
                          <m:ctrlPr>
                            <a:rPr lang="en-GB" b="0" i="1">
                              <a:latin typeface="Cambria Math" panose="02040503050406030204" pitchFamily="18" charset="0"/>
                            </a:rPr>
                          </m:ctrlPr>
                        </m:dPr>
                        <m:e>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𝑒𝑟</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𝑠h</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∗0.5</m:t>
                          </m:r>
                        </m:e>
                      </m:d>
                    </m:e>
                  </m:func>
                </m:oMath>
              </a14:m>
              <a:r>
                <a:rPr lang="en-GB"/>
                <a:t>  </a:t>
              </a:r>
            </a:p>
            <a:p>
              <a:endParaRPr lang="en-GB"/>
            </a:p>
            <a:p>
              <a:endParaRPr lang="en-GB"/>
            </a:p>
            <a:p>
              <a:endParaRPr lang="en-GB"/>
            </a:p>
          </xdr:txBody>
        </xdr:sp>
      </mc:Choice>
      <mc:Fallback xmlns="">
        <xdr:sp macro="" textlink="">
          <xdr:nvSpPr>
            <xdr:cNvPr id="3" name="TextBox 9">
              <a:extLst>
                <a:ext uri="{FF2B5EF4-FFF2-40B4-BE49-F238E27FC236}">
                  <a16:creationId xmlns:a16="http://schemas.microsoft.com/office/drawing/2014/main" id="{D326D0C2-A2AA-CD42-B929-7D345BE9C6B4}"/>
                </a:ext>
              </a:extLst>
            </xdr:cNvPr>
            <xdr:cNvSpPr txBox="1"/>
          </xdr:nvSpPr>
          <xdr:spPr>
            <a:xfrm>
              <a:off x="17919700" y="18364200"/>
              <a:ext cx="3956119" cy="26261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𝑅_𝑝𝑒</a:t>
              </a:r>
              <a:r>
                <a:rPr lang="en-GB" i="0">
                  <a:latin typeface="Cambria Math" panose="02040503050406030204" pitchFamily="18" charset="0"/>
                </a:rPr>
                <a:t>=</a:t>
              </a:r>
              <a:r>
                <a:rPr lang="en-GB" b="0" i="0">
                  <a:latin typeface="Cambria Math" panose="02040503050406030204" pitchFamily="18" charset="0"/>
                </a:rPr>
                <a:t>𝑝𝑛</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𝑅_𝑒𝑒</a:t>
              </a:r>
              <a:r>
                <a:rPr lang="en-GB" i="0">
                  <a:latin typeface="Cambria Math" panose="02040503050406030204" pitchFamily="18" charset="0"/>
                </a:rPr>
                <a:t>=</a:t>
              </a:r>
              <a:r>
                <a:rPr lang="en-GB" b="0" i="0">
                  <a:latin typeface="Cambria Math" panose="02040503050406030204" pitchFamily="18" charset="0"/>
                </a:rPr>
                <a:t>𝑐𝑎</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𝑅_𝑆𝐸𝐼</a:t>
              </a:r>
              <a:r>
                <a:rPr lang="en-GB" i="0">
                  <a:latin typeface="Cambria Math" panose="02040503050406030204" pitchFamily="18" charset="0"/>
                </a:rPr>
                <a:t>=max</a:t>
              </a:r>
              <a:r>
                <a:rPr lang="en-GB" b="0" i="0">
                  <a:latin typeface="Cambria Math" panose="02040503050406030204" pitchFamily="18" charset="0"/>
                </a:rPr>
                <a:t>⁡(𝑅_𝑝𝑒, 𝑅_𝑒𝑒,𝑅_𝑐𝑒 )</a:t>
              </a:r>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𝑅_𝑐𝑒</a:t>
              </a:r>
              <a:r>
                <a:rPr lang="en-GB" i="0">
                  <a:latin typeface="Cambria Math" panose="02040503050406030204" pitchFamily="18" charset="0"/>
                </a:rPr>
                <a:t>=</a:t>
              </a:r>
              <a:r>
                <a:rPr lang="en-GB" b="0" i="0">
                  <a:latin typeface="Cambria Math" panose="02040503050406030204" pitchFamily="18" charset="0"/>
                </a:rPr>
                <a:t>max⁡(ℎ𝑖∗𝑒𝑟,  ℎ𝑖∗𝑠ℎ,  ℎ𝑖∗0.5)</a:t>
              </a:r>
              <a:r>
                <a:rPr lang="en-GB"/>
                <a:t>  </a:t>
              </a:r>
            </a:p>
            <a:p>
              <a:endParaRPr lang="en-GB"/>
            </a:p>
            <a:p>
              <a:endParaRPr lang="en-GB"/>
            </a:p>
            <a:p>
              <a:endParaRPr lang="en-GB"/>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189471</xdr:colOff>
      <xdr:row>30</xdr:row>
      <xdr:rowOff>12927</xdr:rowOff>
    </xdr:from>
    <xdr:to>
      <xdr:col>11</xdr:col>
      <xdr:colOff>368300</xdr:colOff>
      <xdr:row>31</xdr:row>
      <xdr:rowOff>24136</xdr:rowOff>
    </xdr:to>
    <mc:AlternateContent xmlns:mc="http://schemas.openxmlformats.org/markup-compatibility/2006" xmlns:a14="http://schemas.microsoft.com/office/drawing/2010/main">
      <mc:Choice Requires="a14">
        <xdr:sp macro="" textlink="">
          <xdr:nvSpPr>
            <xdr:cNvPr id="2" name="TextBox 9">
              <a:extLst>
                <a:ext uri="{FF2B5EF4-FFF2-40B4-BE49-F238E27FC236}">
                  <a16:creationId xmlns:a16="http://schemas.microsoft.com/office/drawing/2014/main" id="{BC0CD800-53FA-D04F-9B24-2D58FAD44EDC}"/>
                </a:ext>
              </a:extLst>
            </xdr:cNvPr>
            <xdr:cNvSpPr txBox="1"/>
          </xdr:nvSpPr>
          <xdr:spPr>
            <a:xfrm>
              <a:off x="6234671" y="7328127"/>
              <a:ext cx="2655329" cy="239809"/>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14:m>
                <m:oMath xmlns:m="http://schemas.openxmlformats.org/officeDocument/2006/math">
                  <m:r>
                    <a:rPr lang="en-GB" sz="1100" b="0" i="1">
                      <a:latin typeface="Cambria Math" panose="02040503050406030204" pitchFamily="18" charset="0"/>
                    </a:rPr>
                    <m:t>𝑅</m:t>
                  </m:r>
                  <m:r>
                    <a:rPr lang="en-GB" sz="1100" i="1">
                      <a:latin typeface="Cambria Math" panose="02040503050406030204" pitchFamily="18" charset="0"/>
                    </a:rPr>
                    <m:t>=</m:t>
                  </m:r>
                  <m:f>
                    <m:fPr>
                      <m:ctrlPr>
                        <a:rPr lang="en-GB" sz="1100" b="0" i="1">
                          <a:latin typeface="Cambria Math" panose="02040503050406030204" pitchFamily="18" charset="0"/>
                        </a:rPr>
                      </m:ctrlPr>
                    </m:fPr>
                    <m:num>
                      <m:r>
                        <a:rPr lang="en-GB" sz="1100" b="0" i="1">
                          <a:latin typeface="Cambria Math" panose="02040503050406030204" pitchFamily="18" charset="0"/>
                        </a:rPr>
                        <m:t>1</m:t>
                      </m:r>
                    </m:num>
                    <m:den>
                      <m:r>
                        <a:rPr lang="en-GB" sz="1100" b="0" i="1">
                          <a:latin typeface="Cambria Math" panose="02040503050406030204" pitchFamily="18" charset="0"/>
                        </a:rPr>
                        <m:t>2</m:t>
                      </m:r>
                    </m:den>
                  </m:f>
                  <m:r>
                    <a:rPr lang="en-GB" sz="1100" b="0" i="1">
                      <a:latin typeface="Cambria Math" panose="02040503050406030204" pitchFamily="18" charset="0"/>
                    </a:rPr>
                    <m:t>(</m:t>
                  </m:r>
                  <m:func>
                    <m:funcPr>
                      <m:ctrlPr>
                        <a:rPr lang="en-GB" sz="1100" b="0" i="1">
                          <a:latin typeface="Cambria Math" panose="02040503050406030204" pitchFamily="18" charset="0"/>
                        </a:rPr>
                      </m:ctrlPr>
                    </m:funcPr>
                    <m:fName>
                      <m:r>
                        <m:rPr>
                          <m:sty m:val="p"/>
                        </m:rPr>
                        <a:rPr lang="en-GB" sz="1100" b="0" i="0">
                          <a:latin typeface="Cambria Math" panose="02040503050406030204" pitchFamily="18" charset="0"/>
                        </a:rPr>
                        <m:t>min</m:t>
                      </m:r>
                    </m:fName>
                    <m:e>
                      <m:d>
                        <m:dPr>
                          <m:ctrlPr>
                            <a:rPr lang="en-GB" sz="1100" b="0" i="1">
                              <a:latin typeface="Cambria Math" panose="02040503050406030204" pitchFamily="18" charset="0"/>
                            </a:rPr>
                          </m:ctrlPr>
                        </m:dPr>
                        <m:e>
                          <m:r>
                            <a:rPr lang="en-GB" sz="1100" b="0" i="1">
                              <a:latin typeface="Cambria Math" panose="02040503050406030204" pitchFamily="18" charset="0"/>
                            </a:rPr>
                            <m:t>𝑟</m:t>
                          </m:r>
                        </m:e>
                      </m:d>
                    </m:e>
                  </m:func>
                  <m:r>
                    <a:rPr lang="en-GB" sz="1100" b="0" i="1">
                      <a:latin typeface="Cambria Math" panose="02040503050406030204" pitchFamily="18" charset="0"/>
                    </a:rPr>
                    <m:t>+</m:t>
                  </m:r>
                  <m:f>
                    <m:fPr>
                      <m:ctrlPr>
                        <a:rPr lang="en-GB" sz="1100" b="0" i="1">
                          <a:latin typeface="Cambria Math" panose="02040503050406030204" pitchFamily="18" charset="0"/>
                        </a:rPr>
                      </m:ctrlPr>
                    </m:fPr>
                    <m:num>
                      <m:r>
                        <a:rPr lang="en-GB" sz="1100" b="0" i="1">
                          <a:latin typeface="Cambria Math" panose="02040503050406030204" pitchFamily="18" charset="0"/>
                        </a:rPr>
                        <m:t>1</m:t>
                      </m:r>
                    </m:num>
                    <m:den>
                      <m:r>
                        <a:rPr lang="en-GB" sz="1100" b="0" i="1">
                          <a:latin typeface="Cambria Math" panose="02040503050406030204" pitchFamily="18" charset="0"/>
                        </a:rPr>
                        <m:t>3</m:t>
                      </m:r>
                    </m:den>
                  </m:f>
                  <m:nary>
                    <m:naryPr>
                      <m:chr m:val="∑"/>
                      <m:subHide m:val="on"/>
                      <m:supHide m:val="on"/>
                      <m:ctrlPr>
                        <a:rPr lang="en-GB" sz="1100" b="0" i="1">
                          <a:latin typeface="Cambria Math" panose="02040503050406030204" pitchFamily="18" charset="0"/>
                        </a:rPr>
                      </m:ctrlPr>
                    </m:naryPr>
                    <m:sub/>
                    <m:sup/>
                    <m:e>
                      <m:r>
                        <a:rPr lang="en-GB" sz="1100" b="0" i="1">
                          <a:latin typeface="Cambria Math" panose="02040503050406030204" pitchFamily="18" charset="0"/>
                        </a:rPr>
                        <m:t>𝑟</m:t>
                      </m:r>
                      <m:r>
                        <a:rPr lang="en-GB" sz="1100" b="0" i="1">
                          <a:latin typeface="Cambria Math" panose="02040503050406030204" pitchFamily="18" charset="0"/>
                        </a:rPr>
                        <m:t>)</m:t>
                      </m:r>
                    </m:e>
                  </m:nary>
                </m:oMath>
              </a14:m>
              <a:r>
                <a:rPr lang="en-GB" sz="1100"/>
                <a:t> + </a:t>
              </a:r>
              <a14:m>
                <m:oMath xmlns:m="http://schemas.openxmlformats.org/officeDocument/2006/math">
                  <m:r>
                    <a:rPr lang="en-GB" sz="1100" b="0" i="1">
                      <a:latin typeface="Cambria Math" panose="02040503050406030204" pitchFamily="18" charset="0"/>
                    </a:rPr>
                    <m:t>(1 −</m:t>
                  </m:r>
                  <m:r>
                    <a:rPr lang="en-GB" sz="1100" b="0" i="1">
                      <a:latin typeface="Cambria Math" panose="02040503050406030204" pitchFamily="18" charset="0"/>
                    </a:rPr>
                    <m:t>𝑃</m:t>
                  </m:r>
                  <m:r>
                    <a:rPr lang="en-GB" sz="1100" b="0" i="1">
                      <a:latin typeface="Cambria Math" panose="02040503050406030204" pitchFamily="18" charset="0"/>
                    </a:rPr>
                    <m:t>)</m:t>
                  </m:r>
                </m:oMath>
              </a14:m>
              <a:endParaRPr lang="en-GB" sz="1100"/>
            </a:p>
          </xdr:txBody>
        </xdr:sp>
      </mc:Choice>
      <mc:Fallback xmlns="">
        <xdr:sp macro="" textlink="">
          <xdr:nvSpPr>
            <xdr:cNvPr id="2" name="TextBox 9">
              <a:extLst>
                <a:ext uri="{FF2B5EF4-FFF2-40B4-BE49-F238E27FC236}">
                  <a16:creationId xmlns:a16="http://schemas.microsoft.com/office/drawing/2014/main" id="{BC0CD800-53FA-D04F-9B24-2D58FAD44EDC}"/>
                </a:ext>
              </a:extLst>
            </xdr:cNvPr>
            <xdr:cNvSpPr txBox="1"/>
          </xdr:nvSpPr>
          <xdr:spPr>
            <a:xfrm>
              <a:off x="6234671" y="7328127"/>
              <a:ext cx="2655329" cy="239809"/>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100" b="0" i="0">
                  <a:latin typeface="Cambria Math" panose="02040503050406030204" pitchFamily="18" charset="0"/>
                </a:rPr>
                <a:t>𝑅</a:t>
              </a:r>
              <a:r>
                <a:rPr lang="en-GB" sz="1100" i="0">
                  <a:latin typeface="Cambria Math" panose="02040503050406030204" pitchFamily="18" charset="0"/>
                </a:rPr>
                <a:t>=</a:t>
              </a:r>
              <a:r>
                <a:rPr lang="en-GB" sz="1100" b="0" i="0">
                  <a:latin typeface="Cambria Math" panose="02040503050406030204" pitchFamily="18" charset="0"/>
                </a:rPr>
                <a:t>1/2(min⁡(𝑟)+1/3 ∑▒〖𝑟)〗</a:t>
              </a:r>
              <a:r>
                <a:rPr lang="en-GB" sz="1100"/>
                <a:t> + </a:t>
              </a:r>
              <a:r>
                <a:rPr lang="en-GB" sz="1100" b="0" i="0">
                  <a:latin typeface="Cambria Math" panose="02040503050406030204" pitchFamily="18" charset="0"/>
                </a:rPr>
                <a:t>(1 −𝑃)</a:t>
              </a:r>
              <a:endParaRPr lang="en-GB" sz="1100"/>
            </a:p>
          </xdr:txBody>
        </xdr:sp>
      </mc:Fallback>
    </mc:AlternateContent>
    <xdr:clientData/>
  </xdr:twoCellAnchor>
  <xdr:twoCellAnchor>
    <xdr:from>
      <xdr:col>22</xdr:col>
      <xdr:colOff>317500</xdr:colOff>
      <xdr:row>64</xdr:row>
      <xdr:rowOff>127000</xdr:rowOff>
    </xdr:from>
    <xdr:to>
      <xdr:col>26</xdr:col>
      <xdr:colOff>781119</xdr:colOff>
      <xdr:row>72</xdr:row>
      <xdr:rowOff>175054</xdr:rowOff>
    </xdr:to>
    <mc:AlternateContent xmlns:mc="http://schemas.openxmlformats.org/markup-compatibility/2006" xmlns:a14="http://schemas.microsoft.com/office/drawing/2010/main">
      <mc:Choice Requires="a14">
        <xdr:sp macro="" textlink="">
          <xdr:nvSpPr>
            <xdr:cNvPr id="3" name="TextBox 9">
              <a:extLst>
                <a:ext uri="{FF2B5EF4-FFF2-40B4-BE49-F238E27FC236}">
                  <a16:creationId xmlns:a16="http://schemas.microsoft.com/office/drawing/2014/main" id="{F4F54183-BDB7-A44D-9FFD-6844EFC88E85}"/>
                </a:ext>
              </a:extLst>
            </xdr:cNvPr>
            <xdr:cNvSpPr txBox="1"/>
          </xdr:nvSpPr>
          <xdr:spPr>
            <a:xfrm>
              <a:off x="17919700" y="18364200"/>
              <a:ext cx="3956119" cy="26261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i="1">
                        <a:latin typeface="Cambria Math" panose="02040503050406030204" pitchFamily="18" charset="0"/>
                      </a:rPr>
                      <m:t>=</m:t>
                    </m:r>
                    <m:r>
                      <a:rPr lang="en-GB" b="0" i="1">
                        <a:latin typeface="Cambria Math" panose="02040503050406030204" pitchFamily="18" charset="0"/>
                      </a:rPr>
                      <m:t>𝑝𝑛</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i="1">
                        <a:latin typeface="Cambria Math" panose="02040503050406030204" pitchFamily="18" charset="0"/>
                      </a:rPr>
                      <m:t>=</m:t>
                    </m:r>
                    <m:r>
                      <a:rPr lang="en-GB" b="0" i="1">
                        <a:latin typeface="Cambria Math" panose="02040503050406030204" pitchFamily="18" charset="0"/>
                      </a:rPr>
                      <m:t>𝑐𝑎</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𝑆𝐸𝐼</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i="0">
                            <a:latin typeface="Cambria Math" panose="02040503050406030204" pitchFamily="18" charset="0"/>
                          </a:rPr>
                          <m:t>max</m:t>
                        </m:r>
                      </m:fName>
                      <m:e>
                        <m:d>
                          <m:dPr>
                            <m:ctrlPr>
                              <a:rPr lang="en-GB" b="0" i="1">
                                <a:latin typeface="Cambria Math" panose="02040503050406030204" pitchFamily="18" charset="0"/>
                              </a:rPr>
                            </m:ctrlPr>
                          </m:dPr>
                          <m:e>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b="0" i="1">
                                <a:latin typeface="Cambria Math" panose="02040503050406030204" pitchFamily="18" charset="0"/>
                              </a:rPr>
                              <m:t>, </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b="0" i="1">
                                <a:latin typeface="Cambria Math" panose="02040503050406030204" pitchFamily="18" charset="0"/>
                              </a:rPr>
                              <m:t>,</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e>
                        </m:d>
                      </m:e>
                    </m:func>
                  </m:oMath>
                </m:oMathPara>
              </a14:m>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b="0" i="0">
                          <a:latin typeface="Cambria Math" panose="02040503050406030204" pitchFamily="18" charset="0"/>
                        </a:rPr>
                        <m:t>max</m:t>
                      </m:r>
                    </m:fName>
                    <m:e>
                      <m:d>
                        <m:dPr>
                          <m:ctrlPr>
                            <a:rPr lang="en-GB" b="0" i="1">
                              <a:latin typeface="Cambria Math" panose="02040503050406030204" pitchFamily="18" charset="0"/>
                            </a:rPr>
                          </m:ctrlPr>
                        </m:dPr>
                        <m:e>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𝑒𝑟</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𝑠h</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∗0.5</m:t>
                          </m:r>
                        </m:e>
                      </m:d>
                    </m:e>
                  </m:func>
                </m:oMath>
              </a14:m>
              <a:r>
                <a:rPr lang="en-GB"/>
                <a:t>  </a:t>
              </a:r>
            </a:p>
            <a:p>
              <a:endParaRPr lang="en-GB"/>
            </a:p>
            <a:p>
              <a:endParaRPr lang="en-GB"/>
            </a:p>
            <a:p>
              <a:endParaRPr lang="en-GB"/>
            </a:p>
          </xdr:txBody>
        </xdr:sp>
      </mc:Choice>
      <mc:Fallback xmlns="">
        <xdr:sp macro="" textlink="">
          <xdr:nvSpPr>
            <xdr:cNvPr id="3" name="TextBox 9">
              <a:extLst>
                <a:ext uri="{FF2B5EF4-FFF2-40B4-BE49-F238E27FC236}">
                  <a16:creationId xmlns:a16="http://schemas.microsoft.com/office/drawing/2014/main" id="{F4F54183-BDB7-A44D-9FFD-6844EFC88E85}"/>
                </a:ext>
              </a:extLst>
            </xdr:cNvPr>
            <xdr:cNvSpPr txBox="1"/>
          </xdr:nvSpPr>
          <xdr:spPr>
            <a:xfrm>
              <a:off x="17919700" y="18364200"/>
              <a:ext cx="3956119" cy="26261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𝑅_𝑝𝑒</a:t>
              </a:r>
              <a:r>
                <a:rPr lang="en-GB" i="0">
                  <a:latin typeface="Cambria Math" panose="02040503050406030204" pitchFamily="18" charset="0"/>
                </a:rPr>
                <a:t>=</a:t>
              </a:r>
              <a:r>
                <a:rPr lang="en-GB" b="0" i="0">
                  <a:latin typeface="Cambria Math" panose="02040503050406030204" pitchFamily="18" charset="0"/>
                </a:rPr>
                <a:t>𝑝𝑛</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𝑅_𝑒𝑒</a:t>
              </a:r>
              <a:r>
                <a:rPr lang="en-GB" i="0">
                  <a:latin typeface="Cambria Math" panose="02040503050406030204" pitchFamily="18" charset="0"/>
                </a:rPr>
                <a:t>=</a:t>
              </a:r>
              <a:r>
                <a:rPr lang="en-GB" b="0" i="0">
                  <a:latin typeface="Cambria Math" panose="02040503050406030204" pitchFamily="18" charset="0"/>
                </a:rPr>
                <a:t>𝑐𝑎</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𝑅_𝑆𝐸𝐼</a:t>
              </a:r>
              <a:r>
                <a:rPr lang="en-GB" i="0">
                  <a:latin typeface="Cambria Math" panose="02040503050406030204" pitchFamily="18" charset="0"/>
                </a:rPr>
                <a:t>=max</a:t>
              </a:r>
              <a:r>
                <a:rPr lang="en-GB" b="0" i="0">
                  <a:latin typeface="Cambria Math" panose="02040503050406030204" pitchFamily="18" charset="0"/>
                </a:rPr>
                <a:t>⁡(𝑅_𝑝𝑒, 𝑅_𝑒𝑒,𝑅_𝑐𝑒 )</a:t>
              </a:r>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𝑅_𝑐𝑒</a:t>
              </a:r>
              <a:r>
                <a:rPr lang="en-GB" i="0">
                  <a:latin typeface="Cambria Math" panose="02040503050406030204" pitchFamily="18" charset="0"/>
                </a:rPr>
                <a:t>=</a:t>
              </a:r>
              <a:r>
                <a:rPr lang="en-GB" b="0" i="0">
                  <a:latin typeface="Cambria Math" panose="02040503050406030204" pitchFamily="18" charset="0"/>
                </a:rPr>
                <a:t>max⁡(ℎ𝑖∗𝑒𝑟,  ℎ𝑖∗𝑠ℎ,  ℎ𝑖∗0.5)</a:t>
              </a:r>
              <a:r>
                <a:rPr lang="en-GB"/>
                <a:t>  </a:t>
              </a:r>
            </a:p>
            <a:p>
              <a:endParaRPr lang="en-GB"/>
            </a:p>
            <a:p>
              <a:endParaRPr lang="en-GB"/>
            </a:p>
            <a:p>
              <a:endParaRPr lang="en-GB"/>
            </a:p>
          </xdr:txBody>
        </xdr:sp>
      </mc:Fallback>
    </mc:AlternateContent>
    <xdr:clientData/>
  </xdr:twoCellAnchor>
  <xdr:twoCellAnchor>
    <xdr:from>
      <xdr:col>1</xdr:col>
      <xdr:colOff>339512</xdr:colOff>
      <xdr:row>85</xdr:row>
      <xdr:rowOff>194153</xdr:rowOff>
    </xdr:from>
    <xdr:to>
      <xdr:col>3</xdr:col>
      <xdr:colOff>769490</xdr:colOff>
      <xdr:row>87</xdr:row>
      <xdr:rowOff>108428</xdr:rowOff>
    </xdr:to>
    <xdr:sp macro="" textlink="">
      <xdr:nvSpPr>
        <xdr:cNvPr id="4" name="TextBox 9">
          <a:extLst>
            <a:ext uri="{FF2B5EF4-FFF2-40B4-BE49-F238E27FC236}">
              <a16:creationId xmlns:a16="http://schemas.microsoft.com/office/drawing/2014/main" id="{F89AAA32-91D8-0F4F-ADA1-8737D3CF87E7}"/>
            </a:ext>
          </a:extLst>
        </xdr:cNvPr>
        <xdr:cNvSpPr txBox="1"/>
      </xdr:nvSpPr>
      <xdr:spPr>
        <a:xfrm>
          <a:off x="606212" y="24895653"/>
          <a:ext cx="2080978" cy="371475"/>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1</xdr:col>
      <xdr:colOff>377612</xdr:colOff>
      <xdr:row>87</xdr:row>
      <xdr:rowOff>162403</xdr:rowOff>
    </xdr:from>
    <xdr:to>
      <xdr:col>3</xdr:col>
      <xdr:colOff>733212</xdr:colOff>
      <xdr:row>89</xdr:row>
      <xdr:rowOff>63978</xdr:rowOff>
    </xdr:to>
    <xdr:sp macro="" textlink="">
      <xdr:nvSpPr>
        <xdr:cNvPr id="5" name="TextBox 9">
          <a:extLst>
            <a:ext uri="{FF2B5EF4-FFF2-40B4-BE49-F238E27FC236}">
              <a16:creationId xmlns:a16="http://schemas.microsoft.com/office/drawing/2014/main" id="{761D5F97-55A9-234F-BAC4-A820CE32FFE0}"/>
            </a:ext>
          </a:extLst>
        </xdr:cNvPr>
        <xdr:cNvSpPr txBox="1"/>
      </xdr:nvSpPr>
      <xdr:spPr>
        <a:xfrm>
          <a:off x="644312" y="25321103"/>
          <a:ext cx="2006600" cy="358775"/>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189471</xdr:colOff>
      <xdr:row>30</xdr:row>
      <xdr:rowOff>12927</xdr:rowOff>
    </xdr:from>
    <xdr:to>
      <xdr:col>11</xdr:col>
      <xdr:colOff>368300</xdr:colOff>
      <xdr:row>31</xdr:row>
      <xdr:rowOff>24136</xdr:rowOff>
    </xdr:to>
    <mc:AlternateContent xmlns:mc="http://schemas.openxmlformats.org/markup-compatibility/2006" xmlns:a14="http://schemas.microsoft.com/office/drawing/2010/main">
      <mc:Choice Requires="a14">
        <xdr:sp macro="" textlink="">
          <xdr:nvSpPr>
            <xdr:cNvPr id="2" name="TextBox 9">
              <a:extLst>
                <a:ext uri="{FF2B5EF4-FFF2-40B4-BE49-F238E27FC236}">
                  <a16:creationId xmlns:a16="http://schemas.microsoft.com/office/drawing/2014/main" id="{7B6AA5F3-B376-C544-8452-0EA068C769D5}"/>
                </a:ext>
              </a:extLst>
            </xdr:cNvPr>
            <xdr:cNvSpPr txBox="1"/>
          </xdr:nvSpPr>
          <xdr:spPr>
            <a:xfrm>
              <a:off x="6234671" y="7328127"/>
              <a:ext cx="2655329" cy="239809"/>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14:m>
                <m:oMath xmlns:m="http://schemas.openxmlformats.org/officeDocument/2006/math">
                  <m:r>
                    <a:rPr lang="en-GB" sz="1100" b="0" i="1">
                      <a:latin typeface="Cambria Math" panose="02040503050406030204" pitchFamily="18" charset="0"/>
                    </a:rPr>
                    <m:t>𝑅</m:t>
                  </m:r>
                  <m:r>
                    <a:rPr lang="en-GB" sz="1100" i="1">
                      <a:latin typeface="Cambria Math" panose="02040503050406030204" pitchFamily="18" charset="0"/>
                    </a:rPr>
                    <m:t>=</m:t>
                  </m:r>
                  <m:f>
                    <m:fPr>
                      <m:ctrlPr>
                        <a:rPr lang="en-GB" sz="1100" b="0" i="1">
                          <a:latin typeface="Cambria Math" panose="02040503050406030204" pitchFamily="18" charset="0"/>
                        </a:rPr>
                      </m:ctrlPr>
                    </m:fPr>
                    <m:num>
                      <m:r>
                        <a:rPr lang="en-GB" sz="1100" b="0" i="1">
                          <a:latin typeface="Cambria Math" panose="02040503050406030204" pitchFamily="18" charset="0"/>
                        </a:rPr>
                        <m:t>1</m:t>
                      </m:r>
                    </m:num>
                    <m:den>
                      <m:r>
                        <a:rPr lang="en-GB" sz="1100" b="0" i="1">
                          <a:latin typeface="Cambria Math" panose="02040503050406030204" pitchFamily="18" charset="0"/>
                        </a:rPr>
                        <m:t>2</m:t>
                      </m:r>
                    </m:den>
                  </m:f>
                  <m:r>
                    <a:rPr lang="en-GB" sz="1100" b="0" i="1">
                      <a:latin typeface="Cambria Math" panose="02040503050406030204" pitchFamily="18" charset="0"/>
                    </a:rPr>
                    <m:t>(</m:t>
                  </m:r>
                  <m:func>
                    <m:funcPr>
                      <m:ctrlPr>
                        <a:rPr lang="en-GB" sz="1100" b="0" i="1">
                          <a:latin typeface="Cambria Math" panose="02040503050406030204" pitchFamily="18" charset="0"/>
                        </a:rPr>
                      </m:ctrlPr>
                    </m:funcPr>
                    <m:fName>
                      <m:r>
                        <m:rPr>
                          <m:sty m:val="p"/>
                        </m:rPr>
                        <a:rPr lang="en-GB" sz="1100" b="0" i="0">
                          <a:latin typeface="Cambria Math" panose="02040503050406030204" pitchFamily="18" charset="0"/>
                        </a:rPr>
                        <m:t>min</m:t>
                      </m:r>
                    </m:fName>
                    <m:e>
                      <m:d>
                        <m:dPr>
                          <m:ctrlPr>
                            <a:rPr lang="en-GB" sz="1100" b="0" i="1">
                              <a:latin typeface="Cambria Math" panose="02040503050406030204" pitchFamily="18" charset="0"/>
                            </a:rPr>
                          </m:ctrlPr>
                        </m:dPr>
                        <m:e>
                          <m:r>
                            <a:rPr lang="en-GB" sz="1100" b="0" i="1">
                              <a:latin typeface="Cambria Math" panose="02040503050406030204" pitchFamily="18" charset="0"/>
                            </a:rPr>
                            <m:t>𝑟</m:t>
                          </m:r>
                        </m:e>
                      </m:d>
                    </m:e>
                  </m:func>
                  <m:r>
                    <a:rPr lang="en-GB" sz="1100" b="0" i="1">
                      <a:latin typeface="Cambria Math" panose="02040503050406030204" pitchFamily="18" charset="0"/>
                    </a:rPr>
                    <m:t>+</m:t>
                  </m:r>
                  <m:f>
                    <m:fPr>
                      <m:ctrlPr>
                        <a:rPr lang="en-GB" sz="1100" b="0" i="1">
                          <a:latin typeface="Cambria Math" panose="02040503050406030204" pitchFamily="18" charset="0"/>
                        </a:rPr>
                      </m:ctrlPr>
                    </m:fPr>
                    <m:num>
                      <m:r>
                        <a:rPr lang="en-GB" sz="1100" b="0" i="1">
                          <a:latin typeface="Cambria Math" panose="02040503050406030204" pitchFamily="18" charset="0"/>
                        </a:rPr>
                        <m:t>1</m:t>
                      </m:r>
                    </m:num>
                    <m:den>
                      <m:r>
                        <a:rPr lang="en-GB" sz="1100" b="0" i="1">
                          <a:latin typeface="Cambria Math" panose="02040503050406030204" pitchFamily="18" charset="0"/>
                        </a:rPr>
                        <m:t>3</m:t>
                      </m:r>
                    </m:den>
                  </m:f>
                  <m:nary>
                    <m:naryPr>
                      <m:chr m:val="∑"/>
                      <m:subHide m:val="on"/>
                      <m:supHide m:val="on"/>
                      <m:ctrlPr>
                        <a:rPr lang="en-GB" sz="1100" b="0" i="1">
                          <a:latin typeface="Cambria Math" panose="02040503050406030204" pitchFamily="18" charset="0"/>
                        </a:rPr>
                      </m:ctrlPr>
                    </m:naryPr>
                    <m:sub/>
                    <m:sup/>
                    <m:e>
                      <m:r>
                        <a:rPr lang="en-GB" sz="1100" b="0" i="1">
                          <a:latin typeface="Cambria Math" panose="02040503050406030204" pitchFamily="18" charset="0"/>
                        </a:rPr>
                        <m:t>𝑟</m:t>
                      </m:r>
                      <m:r>
                        <a:rPr lang="en-GB" sz="1100" b="0" i="1">
                          <a:latin typeface="Cambria Math" panose="02040503050406030204" pitchFamily="18" charset="0"/>
                        </a:rPr>
                        <m:t>)</m:t>
                      </m:r>
                    </m:e>
                  </m:nary>
                </m:oMath>
              </a14:m>
              <a:r>
                <a:rPr lang="en-GB" sz="1100"/>
                <a:t> + </a:t>
              </a:r>
              <a14:m>
                <m:oMath xmlns:m="http://schemas.openxmlformats.org/officeDocument/2006/math">
                  <m:r>
                    <a:rPr lang="en-GB" sz="1100" b="0" i="1">
                      <a:latin typeface="Cambria Math" panose="02040503050406030204" pitchFamily="18" charset="0"/>
                    </a:rPr>
                    <m:t>(1 −</m:t>
                  </m:r>
                  <m:r>
                    <a:rPr lang="en-GB" sz="1100" b="0" i="1">
                      <a:latin typeface="Cambria Math" panose="02040503050406030204" pitchFamily="18" charset="0"/>
                    </a:rPr>
                    <m:t>𝑃</m:t>
                  </m:r>
                  <m:r>
                    <a:rPr lang="en-GB" sz="1100" b="0" i="1">
                      <a:latin typeface="Cambria Math" panose="02040503050406030204" pitchFamily="18" charset="0"/>
                    </a:rPr>
                    <m:t>)</m:t>
                  </m:r>
                </m:oMath>
              </a14:m>
              <a:endParaRPr lang="en-GB" sz="1100"/>
            </a:p>
          </xdr:txBody>
        </xdr:sp>
      </mc:Choice>
      <mc:Fallback xmlns="">
        <xdr:sp macro="" textlink="">
          <xdr:nvSpPr>
            <xdr:cNvPr id="2" name="TextBox 9">
              <a:extLst>
                <a:ext uri="{FF2B5EF4-FFF2-40B4-BE49-F238E27FC236}">
                  <a16:creationId xmlns:a16="http://schemas.microsoft.com/office/drawing/2014/main" id="{7B6AA5F3-B376-C544-8452-0EA068C769D5}"/>
                </a:ext>
              </a:extLst>
            </xdr:cNvPr>
            <xdr:cNvSpPr txBox="1"/>
          </xdr:nvSpPr>
          <xdr:spPr>
            <a:xfrm>
              <a:off x="6234671" y="7328127"/>
              <a:ext cx="2655329" cy="239809"/>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100" b="0" i="0">
                  <a:latin typeface="Cambria Math" panose="02040503050406030204" pitchFamily="18" charset="0"/>
                </a:rPr>
                <a:t>𝑅</a:t>
              </a:r>
              <a:r>
                <a:rPr lang="en-GB" sz="1100" i="0">
                  <a:latin typeface="Cambria Math" panose="02040503050406030204" pitchFamily="18" charset="0"/>
                </a:rPr>
                <a:t>=</a:t>
              </a:r>
              <a:r>
                <a:rPr lang="en-GB" sz="1100" b="0" i="0">
                  <a:latin typeface="Cambria Math" panose="02040503050406030204" pitchFamily="18" charset="0"/>
                </a:rPr>
                <a:t>1/2(min⁡(𝑟)+1/3 ∑▒〖𝑟)〗</a:t>
              </a:r>
              <a:r>
                <a:rPr lang="en-GB" sz="1100"/>
                <a:t> + </a:t>
              </a:r>
              <a:r>
                <a:rPr lang="en-GB" sz="1100" b="0" i="0">
                  <a:latin typeface="Cambria Math" panose="02040503050406030204" pitchFamily="18" charset="0"/>
                </a:rPr>
                <a:t>(1 −𝑃)</a:t>
              </a:r>
              <a:endParaRPr lang="en-GB" sz="1100"/>
            </a:p>
          </xdr:txBody>
        </xdr:sp>
      </mc:Fallback>
    </mc:AlternateContent>
    <xdr:clientData/>
  </xdr:twoCellAnchor>
  <xdr:twoCellAnchor>
    <xdr:from>
      <xdr:col>22</xdr:col>
      <xdr:colOff>317500</xdr:colOff>
      <xdr:row>64</xdr:row>
      <xdr:rowOff>127000</xdr:rowOff>
    </xdr:from>
    <xdr:to>
      <xdr:col>26</xdr:col>
      <xdr:colOff>781119</xdr:colOff>
      <xdr:row>72</xdr:row>
      <xdr:rowOff>175054</xdr:rowOff>
    </xdr:to>
    <mc:AlternateContent xmlns:mc="http://schemas.openxmlformats.org/markup-compatibility/2006" xmlns:a14="http://schemas.microsoft.com/office/drawing/2010/main">
      <mc:Choice Requires="a14">
        <xdr:sp macro="" textlink="">
          <xdr:nvSpPr>
            <xdr:cNvPr id="3" name="TextBox 9">
              <a:extLst>
                <a:ext uri="{FF2B5EF4-FFF2-40B4-BE49-F238E27FC236}">
                  <a16:creationId xmlns:a16="http://schemas.microsoft.com/office/drawing/2014/main" id="{0206A1A2-8882-494D-9B5F-0165B218BCFA}"/>
                </a:ext>
              </a:extLst>
            </xdr:cNvPr>
            <xdr:cNvSpPr txBox="1"/>
          </xdr:nvSpPr>
          <xdr:spPr>
            <a:xfrm>
              <a:off x="17919700" y="18364200"/>
              <a:ext cx="3956119" cy="26261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i="1">
                        <a:latin typeface="Cambria Math" panose="02040503050406030204" pitchFamily="18" charset="0"/>
                      </a:rPr>
                      <m:t>=</m:t>
                    </m:r>
                    <m:r>
                      <a:rPr lang="en-GB" b="0" i="1">
                        <a:latin typeface="Cambria Math" panose="02040503050406030204" pitchFamily="18" charset="0"/>
                      </a:rPr>
                      <m:t>𝑝𝑛</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i="1">
                        <a:latin typeface="Cambria Math" panose="02040503050406030204" pitchFamily="18" charset="0"/>
                      </a:rPr>
                      <m:t>=</m:t>
                    </m:r>
                    <m:r>
                      <a:rPr lang="en-GB" b="0" i="1">
                        <a:latin typeface="Cambria Math" panose="02040503050406030204" pitchFamily="18" charset="0"/>
                      </a:rPr>
                      <m:t>𝑐𝑎</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𝑆𝐸𝐼</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i="0">
                            <a:latin typeface="Cambria Math" panose="02040503050406030204" pitchFamily="18" charset="0"/>
                          </a:rPr>
                          <m:t>max</m:t>
                        </m:r>
                      </m:fName>
                      <m:e>
                        <m:d>
                          <m:dPr>
                            <m:ctrlPr>
                              <a:rPr lang="en-GB" b="0" i="1">
                                <a:latin typeface="Cambria Math" panose="02040503050406030204" pitchFamily="18" charset="0"/>
                              </a:rPr>
                            </m:ctrlPr>
                          </m:dPr>
                          <m:e>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b="0" i="1">
                                <a:latin typeface="Cambria Math" panose="02040503050406030204" pitchFamily="18" charset="0"/>
                              </a:rPr>
                              <m:t>, </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b="0" i="1">
                                <a:latin typeface="Cambria Math" panose="02040503050406030204" pitchFamily="18" charset="0"/>
                              </a:rPr>
                              <m:t>,</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e>
                        </m:d>
                      </m:e>
                    </m:func>
                  </m:oMath>
                </m:oMathPara>
              </a14:m>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b="0" i="0">
                          <a:latin typeface="Cambria Math" panose="02040503050406030204" pitchFamily="18" charset="0"/>
                        </a:rPr>
                        <m:t>max</m:t>
                      </m:r>
                    </m:fName>
                    <m:e>
                      <m:d>
                        <m:dPr>
                          <m:ctrlPr>
                            <a:rPr lang="en-GB" b="0" i="1">
                              <a:latin typeface="Cambria Math" panose="02040503050406030204" pitchFamily="18" charset="0"/>
                            </a:rPr>
                          </m:ctrlPr>
                        </m:dPr>
                        <m:e>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𝑒𝑟</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𝑠h</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∗0.5</m:t>
                          </m:r>
                        </m:e>
                      </m:d>
                    </m:e>
                  </m:func>
                </m:oMath>
              </a14:m>
              <a:r>
                <a:rPr lang="en-GB"/>
                <a:t>  </a:t>
              </a:r>
            </a:p>
            <a:p>
              <a:endParaRPr lang="en-GB"/>
            </a:p>
            <a:p>
              <a:endParaRPr lang="en-GB"/>
            </a:p>
            <a:p>
              <a:endParaRPr lang="en-GB"/>
            </a:p>
          </xdr:txBody>
        </xdr:sp>
      </mc:Choice>
      <mc:Fallback xmlns="">
        <xdr:sp macro="" textlink="">
          <xdr:nvSpPr>
            <xdr:cNvPr id="3" name="TextBox 9">
              <a:extLst>
                <a:ext uri="{FF2B5EF4-FFF2-40B4-BE49-F238E27FC236}">
                  <a16:creationId xmlns:a16="http://schemas.microsoft.com/office/drawing/2014/main" id="{0206A1A2-8882-494D-9B5F-0165B218BCFA}"/>
                </a:ext>
              </a:extLst>
            </xdr:cNvPr>
            <xdr:cNvSpPr txBox="1"/>
          </xdr:nvSpPr>
          <xdr:spPr>
            <a:xfrm>
              <a:off x="17919700" y="18364200"/>
              <a:ext cx="3956119" cy="26261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𝑅_𝑝𝑒</a:t>
              </a:r>
              <a:r>
                <a:rPr lang="en-GB" i="0">
                  <a:latin typeface="Cambria Math" panose="02040503050406030204" pitchFamily="18" charset="0"/>
                </a:rPr>
                <a:t>=</a:t>
              </a:r>
              <a:r>
                <a:rPr lang="en-GB" b="0" i="0">
                  <a:latin typeface="Cambria Math" panose="02040503050406030204" pitchFamily="18" charset="0"/>
                </a:rPr>
                <a:t>𝑝𝑛</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𝑅_𝑒𝑒</a:t>
              </a:r>
              <a:r>
                <a:rPr lang="en-GB" i="0">
                  <a:latin typeface="Cambria Math" panose="02040503050406030204" pitchFamily="18" charset="0"/>
                </a:rPr>
                <a:t>=</a:t>
              </a:r>
              <a:r>
                <a:rPr lang="en-GB" b="0" i="0">
                  <a:latin typeface="Cambria Math" panose="02040503050406030204" pitchFamily="18" charset="0"/>
                </a:rPr>
                <a:t>𝑐𝑎</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𝑅_𝑆𝐸𝐼</a:t>
              </a:r>
              <a:r>
                <a:rPr lang="en-GB" i="0">
                  <a:latin typeface="Cambria Math" panose="02040503050406030204" pitchFamily="18" charset="0"/>
                </a:rPr>
                <a:t>=max</a:t>
              </a:r>
              <a:r>
                <a:rPr lang="en-GB" b="0" i="0">
                  <a:latin typeface="Cambria Math" panose="02040503050406030204" pitchFamily="18" charset="0"/>
                </a:rPr>
                <a:t>⁡(𝑅_𝑝𝑒, 𝑅_𝑒𝑒,𝑅_𝑐𝑒 )</a:t>
              </a:r>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𝑅_𝑐𝑒</a:t>
              </a:r>
              <a:r>
                <a:rPr lang="en-GB" i="0">
                  <a:latin typeface="Cambria Math" panose="02040503050406030204" pitchFamily="18" charset="0"/>
                </a:rPr>
                <a:t>=</a:t>
              </a:r>
              <a:r>
                <a:rPr lang="en-GB" b="0" i="0">
                  <a:latin typeface="Cambria Math" panose="02040503050406030204" pitchFamily="18" charset="0"/>
                </a:rPr>
                <a:t>max⁡(ℎ𝑖∗𝑒𝑟,  ℎ𝑖∗𝑠ℎ,  ℎ𝑖∗0.5)</a:t>
              </a:r>
              <a:r>
                <a:rPr lang="en-GB"/>
                <a:t>  </a:t>
              </a:r>
            </a:p>
            <a:p>
              <a:endParaRPr lang="en-GB"/>
            </a:p>
            <a:p>
              <a:endParaRPr lang="en-GB"/>
            </a:p>
            <a:p>
              <a:endParaRPr lang="en-GB"/>
            </a:p>
          </xdr:txBody>
        </xdr:sp>
      </mc:Fallback>
    </mc:AlternateContent>
    <xdr:clientData/>
  </xdr:twoCellAnchor>
  <xdr:twoCellAnchor>
    <xdr:from>
      <xdr:col>1</xdr:col>
      <xdr:colOff>339512</xdr:colOff>
      <xdr:row>85</xdr:row>
      <xdr:rowOff>194153</xdr:rowOff>
    </xdr:from>
    <xdr:to>
      <xdr:col>3</xdr:col>
      <xdr:colOff>769490</xdr:colOff>
      <xdr:row>87</xdr:row>
      <xdr:rowOff>108428</xdr:rowOff>
    </xdr:to>
    <xdr:sp macro="" textlink="">
      <xdr:nvSpPr>
        <xdr:cNvPr id="4" name="TextBox 9">
          <a:extLst>
            <a:ext uri="{FF2B5EF4-FFF2-40B4-BE49-F238E27FC236}">
              <a16:creationId xmlns:a16="http://schemas.microsoft.com/office/drawing/2014/main" id="{7261EA55-680E-1547-8814-1A4F63F3B120}"/>
            </a:ext>
          </a:extLst>
        </xdr:cNvPr>
        <xdr:cNvSpPr txBox="1"/>
      </xdr:nvSpPr>
      <xdr:spPr>
        <a:xfrm>
          <a:off x="606212" y="24895653"/>
          <a:ext cx="2080978" cy="371475"/>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1</xdr:col>
      <xdr:colOff>377612</xdr:colOff>
      <xdr:row>87</xdr:row>
      <xdr:rowOff>162403</xdr:rowOff>
    </xdr:from>
    <xdr:to>
      <xdr:col>3</xdr:col>
      <xdr:colOff>733212</xdr:colOff>
      <xdr:row>89</xdr:row>
      <xdr:rowOff>63978</xdr:rowOff>
    </xdr:to>
    <xdr:sp macro="" textlink="">
      <xdr:nvSpPr>
        <xdr:cNvPr id="5" name="TextBox 9">
          <a:extLst>
            <a:ext uri="{FF2B5EF4-FFF2-40B4-BE49-F238E27FC236}">
              <a16:creationId xmlns:a16="http://schemas.microsoft.com/office/drawing/2014/main" id="{C551900E-6F83-BC4A-A996-91640D9F6989}"/>
            </a:ext>
          </a:extLst>
        </xdr:cNvPr>
        <xdr:cNvSpPr txBox="1"/>
      </xdr:nvSpPr>
      <xdr:spPr>
        <a:xfrm>
          <a:off x="644312" y="25321103"/>
          <a:ext cx="2006600" cy="358775"/>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22</xdr:col>
      <xdr:colOff>317500</xdr:colOff>
      <xdr:row>64</xdr:row>
      <xdr:rowOff>127000</xdr:rowOff>
    </xdr:from>
    <xdr:to>
      <xdr:col>26</xdr:col>
      <xdr:colOff>781119</xdr:colOff>
      <xdr:row>72</xdr:row>
      <xdr:rowOff>175054</xdr:rowOff>
    </xdr:to>
    <mc:AlternateContent xmlns:mc="http://schemas.openxmlformats.org/markup-compatibility/2006" xmlns:a14="http://schemas.microsoft.com/office/drawing/2010/main">
      <mc:Choice Requires="a14">
        <xdr:sp macro="" textlink="">
          <xdr:nvSpPr>
            <xdr:cNvPr id="3" name="TextBox 9">
              <a:extLst>
                <a:ext uri="{FF2B5EF4-FFF2-40B4-BE49-F238E27FC236}">
                  <a16:creationId xmlns:a16="http://schemas.microsoft.com/office/drawing/2014/main" id="{8653A2F8-36DB-1D48-9B9E-46AEECB9C552}"/>
                </a:ext>
              </a:extLst>
            </xdr:cNvPr>
            <xdr:cNvSpPr txBox="1"/>
          </xdr:nvSpPr>
          <xdr:spPr>
            <a:xfrm>
              <a:off x="17919700" y="18364200"/>
              <a:ext cx="3956119" cy="26261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i="1">
                        <a:latin typeface="Cambria Math" panose="02040503050406030204" pitchFamily="18" charset="0"/>
                      </a:rPr>
                      <m:t>=</m:t>
                    </m:r>
                    <m:r>
                      <a:rPr lang="en-GB" b="0" i="1">
                        <a:latin typeface="Cambria Math" panose="02040503050406030204" pitchFamily="18" charset="0"/>
                      </a:rPr>
                      <m:t>𝑝𝑛</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i="1">
                        <a:latin typeface="Cambria Math" panose="02040503050406030204" pitchFamily="18" charset="0"/>
                      </a:rPr>
                      <m:t>=</m:t>
                    </m:r>
                    <m:r>
                      <a:rPr lang="en-GB" b="0" i="1">
                        <a:latin typeface="Cambria Math" panose="02040503050406030204" pitchFamily="18" charset="0"/>
                      </a:rPr>
                      <m:t>𝑐𝑎</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𝑆𝐸𝐼</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i="0">
                            <a:latin typeface="Cambria Math" panose="02040503050406030204" pitchFamily="18" charset="0"/>
                          </a:rPr>
                          <m:t>max</m:t>
                        </m:r>
                      </m:fName>
                      <m:e>
                        <m:d>
                          <m:dPr>
                            <m:ctrlPr>
                              <a:rPr lang="en-GB" b="0" i="1">
                                <a:latin typeface="Cambria Math" panose="02040503050406030204" pitchFamily="18" charset="0"/>
                              </a:rPr>
                            </m:ctrlPr>
                          </m:dPr>
                          <m:e>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b="0" i="1">
                                <a:latin typeface="Cambria Math" panose="02040503050406030204" pitchFamily="18" charset="0"/>
                              </a:rPr>
                              <m:t>, </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b="0" i="1">
                                <a:latin typeface="Cambria Math" panose="02040503050406030204" pitchFamily="18" charset="0"/>
                              </a:rPr>
                              <m:t>,</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e>
                        </m:d>
                      </m:e>
                    </m:func>
                  </m:oMath>
                </m:oMathPara>
              </a14:m>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b="0" i="0">
                          <a:latin typeface="Cambria Math" panose="02040503050406030204" pitchFamily="18" charset="0"/>
                        </a:rPr>
                        <m:t>max</m:t>
                      </m:r>
                    </m:fName>
                    <m:e>
                      <m:d>
                        <m:dPr>
                          <m:ctrlPr>
                            <a:rPr lang="en-GB" b="0" i="1">
                              <a:latin typeface="Cambria Math" panose="02040503050406030204" pitchFamily="18" charset="0"/>
                            </a:rPr>
                          </m:ctrlPr>
                        </m:dPr>
                        <m:e>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𝑒𝑟</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𝑠h</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∗0.5</m:t>
                          </m:r>
                        </m:e>
                      </m:d>
                    </m:e>
                  </m:func>
                </m:oMath>
              </a14:m>
              <a:r>
                <a:rPr lang="en-GB"/>
                <a:t>  </a:t>
              </a:r>
            </a:p>
            <a:p>
              <a:endParaRPr lang="en-GB"/>
            </a:p>
            <a:p>
              <a:endParaRPr lang="en-GB"/>
            </a:p>
            <a:p>
              <a:endParaRPr lang="en-GB"/>
            </a:p>
          </xdr:txBody>
        </xdr:sp>
      </mc:Choice>
      <mc:Fallback xmlns="">
        <xdr:sp macro="" textlink="">
          <xdr:nvSpPr>
            <xdr:cNvPr id="3" name="TextBox 9">
              <a:extLst>
                <a:ext uri="{FF2B5EF4-FFF2-40B4-BE49-F238E27FC236}">
                  <a16:creationId xmlns:a16="http://schemas.microsoft.com/office/drawing/2014/main" id="{8653A2F8-36DB-1D48-9B9E-46AEECB9C552}"/>
                </a:ext>
              </a:extLst>
            </xdr:cNvPr>
            <xdr:cNvSpPr txBox="1"/>
          </xdr:nvSpPr>
          <xdr:spPr>
            <a:xfrm>
              <a:off x="17919700" y="18364200"/>
              <a:ext cx="3956119" cy="26261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𝑅_𝑝𝑒</a:t>
              </a:r>
              <a:r>
                <a:rPr lang="en-GB" i="0">
                  <a:latin typeface="Cambria Math" panose="02040503050406030204" pitchFamily="18" charset="0"/>
                </a:rPr>
                <a:t>=</a:t>
              </a:r>
              <a:r>
                <a:rPr lang="en-GB" b="0" i="0">
                  <a:latin typeface="Cambria Math" panose="02040503050406030204" pitchFamily="18" charset="0"/>
                </a:rPr>
                <a:t>𝑝𝑛</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𝑅_𝑒𝑒</a:t>
              </a:r>
              <a:r>
                <a:rPr lang="en-GB" i="0">
                  <a:latin typeface="Cambria Math" panose="02040503050406030204" pitchFamily="18" charset="0"/>
                </a:rPr>
                <a:t>=</a:t>
              </a:r>
              <a:r>
                <a:rPr lang="en-GB" b="0" i="0">
                  <a:latin typeface="Cambria Math" panose="02040503050406030204" pitchFamily="18" charset="0"/>
                </a:rPr>
                <a:t>𝑐𝑎</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𝑅_𝑆𝐸𝐼</a:t>
              </a:r>
              <a:r>
                <a:rPr lang="en-GB" i="0">
                  <a:latin typeface="Cambria Math" panose="02040503050406030204" pitchFamily="18" charset="0"/>
                </a:rPr>
                <a:t>=max</a:t>
              </a:r>
              <a:r>
                <a:rPr lang="en-GB" b="0" i="0">
                  <a:latin typeface="Cambria Math" panose="02040503050406030204" pitchFamily="18" charset="0"/>
                </a:rPr>
                <a:t>⁡(𝑅_𝑝𝑒, 𝑅_𝑒𝑒,𝑅_𝑐𝑒 )</a:t>
              </a:r>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𝑅_𝑐𝑒</a:t>
              </a:r>
              <a:r>
                <a:rPr lang="en-GB" i="0">
                  <a:latin typeface="Cambria Math" panose="02040503050406030204" pitchFamily="18" charset="0"/>
                </a:rPr>
                <a:t>=</a:t>
              </a:r>
              <a:r>
                <a:rPr lang="en-GB" b="0" i="0">
                  <a:latin typeface="Cambria Math" panose="02040503050406030204" pitchFamily="18" charset="0"/>
                </a:rPr>
                <a:t>max⁡(ℎ𝑖∗𝑒𝑟,  ℎ𝑖∗𝑠ℎ,  ℎ𝑖∗0.5)</a:t>
              </a:r>
              <a:r>
                <a:rPr lang="en-GB"/>
                <a:t>  </a:t>
              </a:r>
            </a:p>
            <a:p>
              <a:endParaRPr lang="en-GB"/>
            </a:p>
            <a:p>
              <a:endParaRPr lang="en-GB"/>
            </a:p>
            <a:p>
              <a:endParaRPr lang="en-GB"/>
            </a:p>
          </xdr:txBody>
        </xdr:sp>
      </mc:Fallback>
    </mc:AlternateContent>
    <xdr:clientData/>
  </xdr:twoCellAnchor>
  <xdr:twoCellAnchor>
    <xdr:from>
      <xdr:col>1</xdr:col>
      <xdr:colOff>339512</xdr:colOff>
      <xdr:row>85</xdr:row>
      <xdr:rowOff>194153</xdr:rowOff>
    </xdr:from>
    <xdr:to>
      <xdr:col>3</xdr:col>
      <xdr:colOff>769490</xdr:colOff>
      <xdr:row>87</xdr:row>
      <xdr:rowOff>108428</xdr:rowOff>
    </xdr:to>
    <xdr:sp macro="" textlink="">
      <xdr:nvSpPr>
        <xdr:cNvPr id="4" name="TextBox 9">
          <a:extLst>
            <a:ext uri="{FF2B5EF4-FFF2-40B4-BE49-F238E27FC236}">
              <a16:creationId xmlns:a16="http://schemas.microsoft.com/office/drawing/2014/main" id="{38A6DB9E-ADA1-DA4D-B4CA-6EC717955AC0}"/>
            </a:ext>
          </a:extLst>
        </xdr:cNvPr>
        <xdr:cNvSpPr txBox="1"/>
      </xdr:nvSpPr>
      <xdr:spPr>
        <a:xfrm>
          <a:off x="606212" y="24895653"/>
          <a:ext cx="2080978" cy="371475"/>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1</xdr:col>
      <xdr:colOff>377612</xdr:colOff>
      <xdr:row>87</xdr:row>
      <xdr:rowOff>162403</xdr:rowOff>
    </xdr:from>
    <xdr:to>
      <xdr:col>3</xdr:col>
      <xdr:colOff>733212</xdr:colOff>
      <xdr:row>89</xdr:row>
      <xdr:rowOff>63978</xdr:rowOff>
    </xdr:to>
    <xdr:sp macro="" textlink="">
      <xdr:nvSpPr>
        <xdr:cNvPr id="5" name="TextBox 9">
          <a:extLst>
            <a:ext uri="{FF2B5EF4-FFF2-40B4-BE49-F238E27FC236}">
              <a16:creationId xmlns:a16="http://schemas.microsoft.com/office/drawing/2014/main" id="{593213FF-DD64-B940-8A89-F9127B376CA9}"/>
            </a:ext>
          </a:extLst>
        </xdr:cNvPr>
        <xdr:cNvSpPr txBox="1"/>
      </xdr:nvSpPr>
      <xdr:spPr>
        <a:xfrm>
          <a:off x="644312" y="25321103"/>
          <a:ext cx="2006600" cy="358775"/>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22</xdr:col>
      <xdr:colOff>317500</xdr:colOff>
      <xdr:row>64</xdr:row>
      <xdr:rowOff>127000</xdr:rowOff>
    </xdr:from>
    <xdr:to>
      <xdr:col>26</xdr:col>
      <xdr:colOff>781119</xdr:colOff>
      <xdr:row>72</xdr:row>
      <xdr:rowOff>175054</xdr:rowOff>
    </xdr:to>
    <mc:AlternateContent xmlns:mc="http://schemas.openxmlformats.org/markup-compatibility/2006" xmlns:a14="http://schemas.microsoft.com/office/drawing/2010/main">
      <mc:Choice Requires="a14">
        <xdr:sp macro="" textlink="">
          <xdr:nvSpPr>
            <xdr:cNvPr id="11" name="TextBox 9">
              <a:extLst>
                <a:ext uri="{FF2B5EF4-FFF2-40B4-BE49-F238E27FC236}">
                  <a16:creationId xmlns:a16="http://schemas.microsoft.com/office/drawing/2014/main" id="{C99D25D5-4661-754C-8CBE-33B056F87718}"/>
                </a:ext>
              </a:extLst>
            </xdr:cNvPr>
            <xdr:cNvSpPr txBox="1"/>
          </xdr:nvSpPr>
          <xdr:spPr>
            <a:xfrm>
              <a:off x="17653000" y="18716625"/>
              <a:ext cx="3956119" cy="25880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i="1">
                        <a:latin typeface="Cambria Math" panose="02040503050406030204" pitchFamily="18" charset="0"/>
                      </a:rPr>
                      <m:t>=</m:t>
                    </m:r>
                    <m:r>
                      <a:rPr lang="en-GB" b="0" i="1">
                        <a:latin typeface="Cambria Math" panose="02040503050406030204" pitchFamily="18" charset="0"/>
                      </a:rPr>
                      <m:t>𝑝𝑛</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i="1">
                        <a:latin typeface="Cambria Math" panose="02040503050406030204" pitchFamily="18" charset="0"/>
                      </a:rPr>
                      <m:t>=</m:t>
                    </m:r>
                    <m:r>
                      <a:rPr lang="en-GB" b="0" i="1">
                        <a:latin typeface="Cambria Math" panose="02040503050406030204" pitchFamily="18" charset="0"/>
                      </a:rPr>
                      <m:t>𝑐𝑎</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𝑆𝐸𝐼</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i="0">
                            <a:latin typeface="Cambria Math" panose="02040503050406030204" pitchFamily="18" charset="0"/>
                          </a:rPr>
                          <m:t>max</m:t>
                        </m:r>
                      </m:fName>
                      <m:e>
                        <m:d>
                          <m:dPr>
                            <m:ctrlPr>
                              <a:rPr lang="en-GB" b="0" i="1">
                                <a:latin typeface="Cambria Math" panose="02040503050406030204" pitchFamily="18" charset="0"/>
                              </a:rPr>
                            </m:ctrlPr>
                          </m:dPr>
                          <m:e>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b="0" i="1">
                                <a:latin typeface="Cambria Math" panose="02040503050406030204" pitchFamily="18" charset="0"/>
                              </a:rPr>
                              <m:t>, </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b="0" i="1">
                                <a:latin typeface="Cambria Math" panose="02040503050406030204" pitchFamily="18" charset="0"/>
                              </a:rPr>
                              <m:t>,</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e>
                        </m:d>
                      </m:e>
                    </m:func>
                  </m:oMath>
                </m:oMathPara>
              </a14:m>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b="0" i="0">
                          <a:latin typeface="Cambria Math" panose="02040503050406030204" pitchFamily="18" charset="0"/>
                        </a:rPr>
                        <m:t>max</m:t>
                      </m:r>
                    </m:fName>
                    <m:e>
                      <m:d>
                        <m:dPr>
                          <m:ctrlPr>
                            <a:rPr lang="en-GB" b="0" i="1">
                              <a:latin typeface="Cambria Math" panose="02040503050406030204" pitchFamily="18" charset="0"/>
                            </a:rPr>
                          </m:ctrlPr>
                        </m:dPr>
                        <m:e>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𝑒𝑟</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𝑠h</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∗0.5</m:t>
                          </m:r>
                        </m:e>
                      </m:d>
                    </m:e>
                  </m:func>
                </m:oMath>
              </a14:m>
              <a:r>
                <a:rPr lang="en-GB"/>
                <a:t>  </a:t>
              </a:r>
            </a:p>
            <a:p>
              <a:endParaRPr lang="en-GB"/>
            </a:p>
            <a:p>
              <a:endParaRPr lang="en-GB"/>
            </a:p>
            <a:p>
              <a:endParaRPr lang="en-GB"/>
            </a:p>
          </xdr:txBody>
        </xdr:sp>
      </mc:Choice>
      <mc:Fallback xmlns="">
        <xdr:sp macro="" textlink="">
          <xdr:nvSpPr>
            <xdr:cNvPr id="11" name="TextBox 9">
              <a:extLst>
                <a:ext uri="{FF2B5EF4-FFF2-40B4-BE49-F238E27FC236}">
                  <a16:creationId xmlns:a16="http://schemas.microsoft.com/office/drawing/2014/main" id="{C99D25D5-4661-754C-8CBE-33B056F87718}"/>
                </a:ext>
              </a:extLst>
            </xdr:cNvPr>
            <xdr:cNvSpPr txBox="1"/>
          </xdr:nvSpPr>
          <xdr:spPr>
            <a:xfrm>
              <a:off x="17653000" y="18716625"/>
              <a:ext cx="3956119" cy="25880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𝑅_𝑝𝑒</a:t>
              </a:r>
              <a:r>
                <a:rPr lang="en-GB" i="0">
                  <a:latin typeface="Cambria Math" panose="02040503050406030204" pitchFamily="18" charset="0"/>
                </a:rPr>
                <a:t>=</a:t>
              </a:r>
              <a:r>
                <a:rPr lang="en-GB" b="0" i="0">
                  <a:latin typeface="Cambria Math" panose="02040503050406030204" pitchFamily="18" charset="0"/>
                </a:rPr>
                <a:t>𝑝𝑛</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𝑅_𝑒𝑒</a:t>
              </a:r>
              <a:r>
                <a:rPr lang="en-GB" i="0">
                  <a:latin typeface="Cambria Math" panose="02040503050406030204" pitchFamily="18" charset="0"/>
                </a:rPr>
                <a:t>=</a:t>
              </a:r>
              <a:r>
                <a:rPr lang="en-GB" b="0" i="0">
                  <a:latin typeface="Cambria Math" panose="02040503050406030204" pitchFamily="18" charset="0"/>
                </a:rPr>
                <a:t>𝑐𝑎</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𝑅_𝑆𝐸𝐼</a:t>
              </a:r>
              <a:r>
                <a:rPr lang="en-GB" i="0">
                  <a:latin typeface="Cambria Math" panose="02040503050406030204" pitchFamily="18" charset="0"/>
                </a:rPr>
                <a:t>=max</a:t>
              </a:r>
              <a:r>
                <a:rPr lang="en-GB" b="0" i="0">
                  <a:latin typeface="Cambria Math" panose="02040503050406030204" pitchFamily="18" charset="0"/>
                </a:rPr>
                <a:t>⁡(𝑅_𝑝𝑒, 𝑅_𝑒𝑒,𝑅_𝑐𝑒 )</a:t>
              </a:r>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𝑅_𝑐𝑒</a:t>
              </a:r>
              <a:r>
                <a:rPr lang="en-GB" i="0">
                  <a:latin typeface="Cambria Math" panose="02040503050406030204" pitchFamily="18" charset="0"/>
                </a:rPr>
                <a:t>=</a:t>
              </a:r>
              <a:r>
                <a:rPr lang="en-GB" b="0" i="0">
                  <a:latin typeface="Cambria Math" panose="02040503050406030204" pitchFamily="18" charset="0"/>
                </a:rPr>
                <a:t>max⁡(ℎ𝑖∗𝑒𝑟,  ℎ𝑖∗𝑠ℎ,  ℎ𝑖∗0.5)</a:t>
              </a:r>
              <a:r>
                <a:rPr lang="en-GB"/>
                <a:t>  </a:t>
              </a:r>
            </a:p>
            <a:p>
              <a:pPr/>
              <a:endParaRPr lang="en-GB"/>
            </a:p>
            <a:p>
              <a:pPr/>
              <a:endParaRPr lang="en-GB"/>
            </a:p>
            <a:p>
              <a:pPr/>
              <a:endParaRPr lang="en-GB"/>
            </a:p>
          </xdr:txBody>
        </xdr:sp>
      </mc:Fallback>
    </mc:AlternateContent>
    <xdr:clientData/>
  </xdr:twoCellAnchor>
  <xdr:twoCellAnchor>
    <xdr:from>
      <xdr:col>1</xdr:col>
      <xdr:colOff>339512</xdr:colOff>
      <xdr:row>85</xdr:row>
      <xdr:rowOff>194153</xdr:rowOff>
    </xdr:from>
    <xdr:to>
      <xdr:col>3</xdr:col>
      <xdr:colOff>769490</xdr:colOff>
      <xdr:row>87</xdr:row>
      <xdr:rowOff>108428</xdr:rowOff>
    </xdr:to>
    <xdr:sp macro="" textlink="">
      <xdr:nvSpPr>
        <xdr:cNvPr id="12" name="TextBox 9">
          <a:extLst>
            <a:ext uri="{FF2B5EF4-FFF2-40B4-BE49-F238E27FC236}">
              <a16:creationId xmlns:a16="http://schemas.microsoft.com/office/drawing/2014/main" id="{51F7084C-41F4-0C4C-BF53-8D8867E1A0D7}"/>
            </a:ext>
          </a:extLst>
        </xdr:cNvPr>
        <xdr:cNvSpPr txBox="1"/>
      </xdr:nvSpPr>
      <xdr:spPr>
        <a:xfrm>
          <a:off x="339512" y="26594278"/>
          <a:ext cx="2080978" cy="358775"/>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1</xdr:col>
      <xdr:colOff>377612</xdr:colOff>
      <xdr:row>87</xdr:row>
      <xdr:rowOff>162403</xdr:rowOff>
    </xdr:from>
    <xdr:to>
      <xdr:col>3</xdr:col>
      <xdr:colOff>733212</xdr:colOff>
      <xdr:row>89</xdr:row>
      <xdr:rowOff>63978</xdr:rowOff>
    </xdr:to>
    <xdr:sp macro="" textlink="">
      <xdr:nvSpPr>
        <xdr:cNvPr id="13" name="TextBox 9">
          <a:extLst>
            <a:ext uri="{FF2B5EF4-FFF2-40B4-BE49-F238E27FC236}">
              <a16:creationId xmlns:a16="http://schemas.microsoft.com/office/drawing/2014/main" id="{983AAFB2-0F06-C44B-B2A7-E64CFCD9BF26}"/>
            </a:ext>
          </a:extLst>
        </xdr:cNvPr>
        <xdr:cNvSpPr txBox="1"/>
      </xdr:nvSpPr>
      <xdr:spPr>
        <a:xfrm>
          <a:off x="377612" y="27007028"/>
          <a:ext cx="2006600" cy="346075"/>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22</xdr:col>
      <xdr:colOff>317500</xdr:colOff>
      <xdr:row>66</xdr:row>
      <xdr:rowOff>127000</xdr:rowOff>
    </xdr:from>
    <xdr:to>
      <xdr:col>26</xdr:col>
      <xdr:colOff>781119</xdr:colOff>
      <xdr:row>76</xdr:row>
      <xdr:rowOff>175054</xdr:rowOff>
    </xdr:to>
    <mc:AlternateContent xmlns:mc="http://schemas.openxmlformats.org/markup-compatibility/2006" xmlns:a14="http://schemas.microsoft.com/office/drawing/2010/main">
      <mc:Choice Requires="a14">
        <xdr:sp macro="" textlink="">
          <xdr:nvSpPr>
            <xdr:cNvPr id="3" name="TextBox 9">
              <a:extLst>
                <a:ext uri="{FF2B5EF4-FFF2-40B4-BE49-F238E27FC236}">
                  <a16:creationId xmlns:a16="http://schemas.microsoft.com/office/drawing/2014/main" id="{979C1504-997A-1E49-809E-C98F897C8131}"/>
                </a:ext>
              </a:extLst>
            </xdr:cNvPr>
            <xdr:cNvSpPr txBox="1"/>
          </xdr:nvSpPr>
          <xdr:spPr>
            <a:xfrm>
              <a:off x="17919700" y="18796000"/>
              <a:ext cx="3956119" cy="26261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i="1">
                        <a:latin typeface="Cambria Math" panose="02040503050406030204" pitchFamily="18" charset="0"/>
                      </a:rPr>
                      <m:t>=</m:t>
                    </m:r>
                    <m:r>
                      <a:rPr lang="en-GB" b="0" i="1">
                        <a:latin typeface="Cambria Math" panose="02040503050406030204" pitchFamily="18" charset="0"/>
                      </a:rPr>
                      <m:t>𝑝𝑛</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i="1">
                        <a:latin typeface="Cambria Math" panose="02040503050406030204" pitchFamily="18" charset="0"/>
                      </a:rPr>
                      <m:t>=</m:t>
                    </m:r>
                    <m:r>
                      <a:rPr lang="en-GB" b="0" i="1">
                        <a:latin typeface="Cambria Math" panose="02040503050406030204" pitchFamily="18" charset="0"/>
                      </a:rPr>
                      <m:t>𝑐𝑎</m:t>
                    </m:r>
                    <m:r>
                      <a:rPr lang="en-GB" b="0" i="1">
                        <a:latin typeface="Cambria Math" panose="02040503050406030204" pitchFamily="18" charset="0"/>
                        <a:ea typeface="Cambria Math" panose="02040503050406030204" pitchFamily="18" charset="0"/>
                      </a:rPr>
                      <m:t>∙</m:t>
                    </m:r>
                    <m:r>
                      <a:rPr lang="en-GB" b="0" i="1">
                        <a:latin typeface="Cambria Math" panose="02040503050406030204" pitchFamily="18" charset="0"/>
                        <a:ea typeface="Cambria Math" panose="02040503050406030204" pitchFamily="18" charset="0"/>
                      </a:rPr>
                      <m:t>𝑏𝑠</m:t>
                    </m:r>
                  </m:oMath>
                </m:oMathPara>
              </a14:m>
              <a:endParaRPr lang="en-GB"/>
            </a:p>
            <a:p>
              <a:pPr marL="0" marR="0" lvl="0" indent="0" algn="l"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𝑆𝐸𝐼</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i="0">
                            <a:latin typeface="Cambria Math" panose="02040503050406030204" pitchFamily="18" charset="0"/>
                          </a:rPr>
                          <m:t>max</m:t>
                        </m:r>
                      </m:fName>
                      <m:e>
                        <m:d>
                          <m:dPr>
                            <m:ctrlPr>
                              <a:rPr lang="en-GB" b="0" i="1">
                                <a:latin typeface="Cambria Math" panose="02040503050406030204" pitchFamily="18" charset="0"/>
                              </a:rPr>
                            </m:ctrlPr>
                          </m:dPr>
                          <m:e>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𝑝𝑒</m:t>
                                </m:r>
                              </m:sub>
                            </m:sSub>
                            <m:r>
                              <a:rPr lang="en-GB" b="0" i="1">
                                <a:latin typeface="Cambria Math" panose="02040503050406030204" pitchFamily="18" charset="0"/>
                              </a:rPr>
                              <m:t>, </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𝑒𝑒</m:t>
                                </m:r>
                              </m:sub>
                            </m:sSub>
                            <m:r>
                              <a:rPr lang="en-GB" b="0" i="1">
                                <a:latin typeface="Cambria Math" panose="02040503050406030204" pitchFamily="18" charset="0"/>
                              </a:rPr>
                              <m:t>,</m:t>
                            </m:r>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e>
                        </m:d>
                      </m:e>
                    </m:func>
                  </m:oMath>
                </m:oMathPara>
              </a14:m>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GB" b="0" i="1">
                          <a:latin typeface="Cambria Math" panose="02040503050406030204" pitchFamily="18" charset="0"/>
                        </a:rPr>
                      </m:ctrlPr>
                    </m:sSubPr>
                    <m:e>
                      <m:r>
                        <a:rPr lang="en-GB" b="0" i="1">
                          <a:latin typeface="Cambria Math" panose="02040503050406030204" pitchFamily="18" charset="0"/>
                        </a:rPr>
                        <m:t>𝑅</m:t>
                      </m:r>
                    </m:e>
                    <m:sub>
                      <m:r>
                        <a:rPr lang="en-GB" b="0" i="1">
                          <a:latin typeface="Cambria Math" panose="02040503050406030204" pitchFamily="18" charset="0"/>
                        </a:rPr>
                        <m:t>𝑐𝑒</m:t>
                      </m:r>
                    </m:sub>
                  </m:sSub>
                  <m:r>
                    <a:rPr lang="en-GB" i="1">
                      <a:latin typeface="Cambria Math" panose="02040503050406030204" pitchFamily="18" charset="0"/>
                    </a:rPr>
                    <m:t>=</m:t>
                  </m:r>
                  <m:func>
                    <m:funcPr>
                      <m:ctrlPr>
                        <a:rPr lang="en-GB" b="0" i="1">
                          <a:latin typeface="Cambria Math" panose="02040503050406030204" pitchFamily="18" charset="0"/>
                        </a:rPr>
                      </m:ctrlPr>
                    </m:funcPr>
                    <m:fName>
                      <m:r>
                        <m:rPr>
                          <m:sty m:val="p"/>
                        </m:rPr>
                        <a:rPr lang="en-GB" b="0" i="0">
                          <a:latin typeface="Cambria Math" panose="02040503050406030204" pitchFamily="18" charset="0"/>
                        </a:rPr>
                        <m:t>max</m:t>
                      </m:r>
                    </m:fName>
                    <m:e>
                      <m:d>
                        <m:dPr>
                          <m:ctrlPr>
                            <a:rPr lang="en-GB" b="0" i="1">
                              <a:latin typeface="Cambria Math" panose="02040503050406030204" pitchFamily="18" charset="0"/>
                            </a:rPr>
                          </m:ctrlPr>
                        </m:dPr>
                        <m:e>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𝑒𝑟</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m:t>
                          </m:r>
                          <m:r>
                            <a:rPr lang="en-GB" b="0" i="1">
                              <a:latin typeface="Cambria Math" panose="02040503050406030204" pitchFamily="18" charset="0"/>
                            </a:rPr>
                            <m:t>𝑠h</m:t>
                          </m:r>
                          <m:r>
                            <a:rPr lang="en-GB" b="0" i="1">
                              <a:latin typeface="Cambria Math" panose="02040503050406030204" pitchFamily="18" charset="0"/>
                            </a:rPr>
                            <m:t>,  </m:t>
                          </m:r>
                          <m:r>
                            <a:rPr lang="en-GB" b="0" i="1">
                              <a:latin typeface="Cambria Math" panose="02040503050406030204" pitchFamily="18" charset="0"/>
                            </a:rPr>
                            <m:t>h𝑖</m:t>
                          </m:r>
                          <m:r>
                            <a:rPr lang="en-GB" b="0" i="1">
                              <a:latin typeface="Cambria Math" panose="02040503050406030204" pitchFamily="18" charset="0"/>
                            </a:rPr>
                            <m:t>∗0.5</m:t>
                          </m:r>
                        </m:e>
                      </m:d>
                    </m:e>
                  </m:func>
                </m:oMath>
              </a14:m>
              <a:r>
                <a:rPr lang="en-GB"/>
                <a:t>  </a:t>
              </a:r>
            </a:p>
            <a:p>
              <a:endParaRPr lang="en-GB"/>
            </a:p>
            <a:p>
              <a:endParaRPr lang="en-GB"/>
            </a:p>
            <a:p>
              <a:endParaRPr lang="en-GB"/>
            </a:p>
          </xdr:txBody>
        </xdr:sp>
      </mc:Choice>
      <mc:Fallback xmlns="">
        <xdr:sp macro="" textlink="">
          <xdr:nvSpPr>
            <xdr:cNvPr id="3" name="TextBox 9">
              <a:extLst>
                <a:ext uri="{FF2B5EF4-FFF2-40B4-BE49-F238E27FC236}">
                  <a16:creationId xmlns:a16="http://schemas.microsoft.com/office/drawing/2014/main" id="{979C1504-997A-1E49-809E-C98F897C8131}"/>
                </a:ext>
              </a:extLst>
            </xdr:cNvPr>
            <xdr:cNvSpPr txBox="1"/>
          </xdr:nvSpPr>
          <xdr:spPr>
            <a:xfrm>
              <a:off x="17919700" y="18796000"/>
              <a:ext cx="3956119" cy="2626154"/>
            </a:xfrm>
            <a:prstGeom prst="rect">
              <a:avLst/>
            </a:prstGeom>
            <a:noFill/>
          </xdr:spPr>
          <xdr:txBody>
            <a:bodyPr wrap="square" lIns="0" tIns="0" rIns="0" bIns="0"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𝑅_𝑝𝑒</a:t>
              </a:r>
              <a:r>
                <a:rPr lang="en-GB" i="0">
                  <a:latin typeface="Cambria Math" panose="02040503050406030204" pitchFamily="18" charset="0"/>
                </a:rPr>
                <a:t>=</a:t>
              </a:r>
              <a:r>
                <a:rPr lang="en-GB" b="0" i="0">
                  <a:latin typeface="Cambria Math" panose="02040503050406030204" pitchFamily="18" charset="0"/>
                </a:rPr>
                <a:t>𝑝𝑛</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𝑅_𝑒𝑒</a:t>
              </a:r>
              <a:r>
                <a:rPr lang="en-GB" i="0">
                  <a:latin typeface="Cambria Math" panose="02040503050406030204" pitchFamily="18" charset="0"/>
                </a:rPr>
                <a:t>=</a:t>
              </a:r>
              <a:r>
                <a:rPr lang="en-GB" b="0" i="0">
                  <a:latin typeface="Cambria Math" panose="02040503050406030204" pitchFamily="18" charset="0"/>
                </a:rPr>
                <a:t>𝑐𝑎</a:t>
              </a:r>
              <a:r>
                <a:rPr lang="en-GB" b="0" i="0">
                  <a:latin typeface="Cambria Math" panose="02040503050406030204" pitchFamily="18" charset="0"/>
                  <a:ea typeface="Cambria Math" panose="02040503050406030204" pitchFamily="18" charset="0"/>
                </a:rPr>
                <a:t>∙𝑏𝑠</a:t>
              </a:r>
              <a:endParaRPr lang="en-GB"/>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𝑅_𝑆𝐸𝐼</a:t>
              </a:r>
              <a:r>
                <a:rPr lang="en-GB" i="0">
                  <a:latin typeface="Cambria Math" panose="02040503050406030204" pitchFamily="18" charset="0"/>
                </a:rPr>
                <a:t>=max</a:t>
              </a:r>
              <a:r>
                <a:rPr lang="en-GB" b="0" i="0">
                  <a:latin typeface="Cambria Math" panose="02040503050406030204" pitchFamily="18" charset="0"/>
                </a:rPr>
                <a:t>⁡(𝑅_𝑝𝑒, 𝑅_𝑒𝑒,𝑅_𝑐𝑒 )</a:t>
              </a:r>
              <a:endParaRPr lang="en-GB" b="0" i="1">
                <a:latin typeface="Cambria Math" panose="02040503050406030204" pitchFamily="18"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GB" b="0" i="0">
                  <a:latin typeface="Cambria Math" panose="02040503050406030204" pitchFamily="18" charset="0"/>
                </a:rPr>
                <a:t>𝑅_𝑐𝑒</a:t>
              </a:r>
              <a:r>
                <a:rPr lang="en-GB" i="0">
                  <a:latin typeface="Cambria Math" panose="02040503050406030204" pitchFamily="18" charset="0"/>
                </a:rPr>
                <a:t>=</a:t>
              </a:r>
              <a:r>
                <a:rPr lang="en-GB" b="0" i="0">
                  <a:latin typeface="Cambria Math" panose="02040503050406030204" pitchFamily="18" charset="0"/>
                </a:rPr>
                <a:t>max⁡(ℎ𝑖∗𝑒𝑟,  ℎ𝑖∗𝑠ℎ,  ℎ𝑖∗0.5)</a:t>
              </a:r>
              <a:r>
                <a:rPr lang="en-GB"/>
                <a:t>  </a:t>
              </a:r>
            </a:p>
            <a:p>
              <a:endParaRPr lang="en-GB"/>
            </a:p>
            <a:p>
              <a:endParaRPr lang="en-GB"/>
            </a:p>
            <a:p>
              <a:endParaRPr lang="en-GB"/>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4D3A3-39BE-3048-A962-11358089D770}">
  <sheetPr>
    <tabColor theme="1"/>
  </sheetPr>
  <dimension ref="B1:AL86"/>
  <sheetViews>
    <sheetView topLeftCell="A51" zoomScaleNormal="100" workbookViewId="0">
      <selection activeCell="F61" sqref="F61:H61"/>
    </sheetView>
  </sheetViews>
  <sheetFormatPr baseColWidth="10" defaultRowHeight="18" customHeight="1" x14ac:dyDescent="0.2"/>
  <cols>
    <col min="1" max="1" width="3.5" style="5" customWidth="1"/>
    <col min="2" max="2" width="10.83203125" style="7" customWidth="1"/>
    <col min="3" max="3" width="10.83203125" style="1" customWidth="1"/>
    <col min="4" max="4" width="10.83203125" style="3" customWidth="1"/>
    <col min="5" max="5" width="10.83203125" style="4" customWidth="1"/>
    <col min="6" max="6" width="10.83203125" style="2" customWidth="1"/>
    <col min="7" max="11" width="10.83203125" style="1" customWidth="1"/>
    <col min="12" max="12" width="10.83203125" style="12" customWidth="1"/>
    <col min="13" max="13" width="10.83203125" style="9" customWidth="1"/>
    <col min="14" max="18" width="10.83203125" style="1" customWidth="1"/>
    <col min="19" max="22" width="10.83203125" style="5" customWidth="1"/>
    <col min="23" max="23" width="12.5" style="5" bestFit="1" customWidth="1"/>
    <col min="24" max="24" width="11.6640625" style="5" bestFit="1" customWidth="1"/>
    <col min="25" max="25" width="10.83203125" style="5"/>
    <col min="26" max="32" width="10.83203125" style="5" customWidth="1"/>
    <col min="33" max="16384" width="10.83203125" style="5"/>
  </cols>
  <sheetData>
    <row r="1" spans="2:38" ht="37" customHeight="1" x14ac:dyDescent="0.2">
      <c r="B1" s="143" t="s">
        <v>54</v>
      </c>
      <c r="C1" s="144"/>
      <c r="D1" s="144"/>
      <c r="E1" s="144"/>
      <c r="F1" s="144"/>
      <c r="G1" s="144"/>
      <c r="H1" s="145"/>
      <c r="I1" s="44"/>
      <c r="J1" s="26"/>
      <c r="K1" s="26"/>
      <c r="L1" s="26"/>
      <c r="M1" s="26"/>
    </row>
    <row r="2" spans="2:38" ht="23" customHeight="1" x14ac:dyDescent="0.2">
      <c r="B2" s="28" t="s">
        <v>47</v>
      </c>
      <c r="C2" s="146" t="s">
        <v>57</v>
      </c>
      <c r="D2" s="147"/>
      <c r="E2" s="147"/>
      <c r="F2" s="147"/>
      <c r="G2" s="147"/>
      <c r="H2" s="148"/>
      <c r="I2" s="149" t="s">
        <v>51</v>
      </c>
      <c r="J2" s="150"/>
      <c r="K2" s="150"/>
      <c r="L2" s="150"/>
    </row>
    <row r="3" spans="2:38" ht="21" customHeight="1" x14ac:dyDescent="0.2">
      <c r="B3" s="151" t="s">
        <v>56</v>
      </c>
      <c r="C3" s="152"/>
      <c r="D3" s="153"/>
      <c r="E3" s="154" t="s">
        <v>49</v>
      </c>
      <c r="F3" s="154"/>
      <c r="G3" s="154"/>
      <c r="H3" s="154"/>
      <c r="I3" s="26"/>
      <c r="J3" s="26"/>
      <c r="K3" s="26"/>
      <c r="L3" s="26"/>
    </row>
    <row r="4" spans="2:38" ht="21" customHeight="1" x14ac:dyDescent="0.2">
      <c r="B4" s="151" t="s">
        <v>50</v>
      </c>
      <c r="C4" s="152"/>
      <c r="D4" s="153"/>
      <c r="E4" s="40" t="s">
        <v>114</v>
      </c>
      <c r="F4" s="40"/>
      <c r="G4" s="40"/>
      <c r="H4" s="41"/>
      <c r="I4" s="26"/>
      <c r="J4" s="26"/>
      <c r="K4" s="26"/>
      <c r="L4" s="26"/>
    </row>
    <row r="5" spans="2:38" ht="21" customHeight="1" x14ac:dyDescent="0.2">
      <c r="B5" s="158"/>
      <c r="C5" s="159"/>
      <c r="D5" s="159"/>
      <c r="E5" s="42"/>
      <c r="F5" s="42"/>
      <c r="G5" s="42"/>
      <c r="H5" s="43"/>
      <c r="I5" s="26"/>
      <c r="J5" s="26"/>
      <c r="K5" s="26"/>
      <c r="L5" s="26"/>
    </row>
    <row r="6" spans="2:38" ht="21" x14ac:dyDescent="0.2">
      <c r="B6" s="160" t="s">
        <v>40</v>
      </c>
      <c r="C6" s="160"/>
      <c r="D6" s="160"/>
      <c r="E6" s="160"/>
      <c r="F6" s="160"/>
      <c r="G6" s="38" t="s">
        <v>23</v>
      </c>
      <c r="H6" s="39" t="s">
        <v>19</v>
      </c>
      <c r="I6" s="5"/>
      <c r="J6" s="5"/>
      <c r="K6" s="12"/>
      <c r="P6" s="76"/>
    </row>
    <row r="7" spans="2:38" ht="18" customHeight="1" x14ac:dyDescent="0.2">
      <c r="B7" s="140" t="str">
        <f>B35</f>
        <v>Geological factors (G)</v>
      </c>
      <c r="C7" s="140"/>
      <c r="D7" s="140"/>
      <c r="E7" s="140"/>
      <c r="F7" s="140"/>
      <c r="G7" s="27">
        <f>Pohang!W37</f>
        <v>0.88888888888888884</v>
      </c>
      <c r="H7" s="11"/>
      <c r="I7" s="5"/>
      <c r="P7" s="77"/>
    </row>
    <row r="8" spans="2:38" ht="18" customHeight="1" x14ac:dyDescent="0.2">
      <c r="B8" s="161" t="str">
        <f>Pohang!C36</f>
        <v>Smallest distance to geologically known active or potentially-active faults [km]</v>
      </c>
      <c r="C8" s="161"/>
      <c r="D8" s="161"/>
      <c r="E8" s="161"/>
      <c r="F8" s="161"/>
      <c r="G8" s="19">
        <f>Pohang!C37</f>
        <v>0.88888888888888884</v>
      </c>
      <c r="H8" s="10" t="str">
        <f>Pohang!C39</f>
        <v>low</v>
      </c>
      <c r="I8" s="5"/>
      <c r="J8" s="5"/>
      <c r="K8" s="5"/>
      <c r="L8" s="5"/>
      <c r="P8" s="78"/>
    </row>
    <row r="9" spans="2:38" ht="18" customHeight="1" x14ac:dyDescent="0.2">
      <c r="B9" s="137" t="str">
        <f>Pohang!F36</f>
        <v>Earthquake activities</v>
      </c>
      <c r="C9" s="137"/>
      <c r="D9" s="137"/>
      <c r="E9" s="137"/>
      <c r="F9" s="137"/>
      <c r="G9" s="19">
        <f>Pohang!F37</f>
        <v>0.49712643678160917</v>
      </c>
      <c r="H9" s="10" t="str">
        <f>Pohang!F39</f>
        <v>medium</v>
      </c>
      <c r="I9" s="5"/>
      <c r="J9" s="5"/>
      <c r="P9" s="78"/>
    </row>
    <row r="10" spans="2:38" ht="18" customHeight="1" x14ac:dyDescent="0.2">
      <c r="B10" s="137" t="str">
        <f>Pohang!I36</f>
        <v>Smallest distance to any mapped inactive fault [km]</v>
      </c>
      <c r="C10" s="137"/>
      <c r="D10" s="137"/>
      <c r="E10" s="137"/>
      <c r="F10" s="137"/>
      <c r="G10" s="19">
        <f>Pohang!I37</f>
        <v>1</v>
      </c>
      <c r="H10" s="10" t="str">
        <f>Pohang!I39</f>
        <v>High</v>
      </c>
      <c r="I10" s="5"/>
      <c r="J10" s="5"/>
    </row>
    <row r="11" spans="2:38" ht="18" customHeight="1" x14ac:dyDescent="0.2">
      <c r="B11" s="141" t="str">
        <f>Pohang!O36</f>
        <v>mapped faults’ triggering potential (orientation with active faults)</v>
      </c>
      <c r="C11" s="141"/>
      <c r="D11" s="141"/>
      <c r="E11" s="141"/>
      <c r="F11" s="141"/>
      <c r="G11" s="10">
        <f>Pohang!O37</f>
        <v>0.5</v>
      </c>
      <c r="H11" s="10" t="str">
        <f>Pohang!O39</f>
        <v>low</v>
      </c>
      <c r="I11" s="5"/>
      <c r="J11" s="5"/>
    </row>
    <row r="12" spans="2:38" ht="18" customHeight="1" x14ac:dyDescent="0.2">
      <c r="B12" s="137" t="str">
        <f>Pohang!S36</f>
        <v>Fault or mapped fault plane and reservoir intersection</v>
      </c>
      <c r="C12" s="137"/>
      <c r="D12" s="137"/>
      <c r="E12" s="137"/>
      <c r="F12" s="137"/>
      <c r="G12" s="10">
        <f>Pohang!S37</f>
        <v>1</v>
      </c>
      <c r="H12" s="10" t="str">
        <f>S39</f>
        <v>High</v>
      </c>
      <c r="I12" s="5"/>
      <c r="J12" s="5"/>
      <c r="AA12"/>
      <c r="AB12"/>
      <c r="AC12"/>
      <c r="AD12"/>
      <c r="AE12"/>
      <c r="AF12"/>
      <c r="AG12"/>
      <c r="AH12"/>
      <c r="AI12"/>
      <c r="AJ12"/>
      <c r="AK12"/>
      <c r="AL12"/>
    </row>
    <row r="13" spans="2:38" ht="18" customHeight="1" x14ac:dyDescent="0.2">
      <c r="B13" s="141" t="str">
        <f>Pohang!L36</f>
        <v>Longest mapped fault length in the project facility[km]</v>
      </c>
      <c r="C13" s="141"/>
      <c r="D13" s="141"/>
      <c r="E13" s="141"/>
      <c r="F13" s="141"/>
      <c r="G13" s="10">
        <f>Pohang!L37</f>
        <v>1</v>
      </c>
      <c r="H13" s="10" t="str">
        <f>Pohang!L39</f>
        <v>High</v>
      </c>
      <c r="I13" s="5"/>
      <c r="J13" s="5"/>
      <c r="AB13"/>
      <c r="AC13"/>
      <c r="AD13"/>
      <c r="AE13"/>
      <c r="AF13"/>
      <c r="AG13"/>
      <c r="AH13"/>
      <c r="AI13"/>
      <c r="AJ13"/>
      <c r="AK13"/>
      <c r="AL13"/>
    </row>
    <row r="14" spans="2:38" ht="18" customHeight="1" x14ac:dyDescent="0.2">
      <c r="B14" s="141"/>
      <c r="C14" s="141"/>
      <c r="D14" s="141"/>
      <c r="E14" s="141"/>
      <c r="F14" s="141"/>
      <c r="G14" s="10"/>
      <c r="H14" s="10"/>
      <c r="I14" s="5"/>
      <c r="J14" s="5"/>
      <c r="AA14"/>
      <c r="AB14"/>
      <c r="AC14"/>
      <c r="AD14"/>
      <c r="AE14"/>
      <c r="AF14"/>
      <c r="AG14"/>
      <c r="AH14"/>
      <c r="AI14"/>
      <c r="AJ14"/>
      <c r="AK14"/>
      <c r="AL14"/>
    </row>
    <row r="15" spans="2:38" ht="18" customHeight="1" x14ac:dyDescent="0.2">
      <c r="B15" s="155" t="str">
        <f>B45</f>
        <v>Stimulation factors (O)</v>
      </c>
      <c r="C15" s="156"/>
      <c r="D15" s="156"/>
      <c r="E15" s="156"/>
      <c r="F15" s="157"/>
      <c r="G15" s="27">
        <f>Pohang!R47</f>
        <v>1</v>
      </c>
      <c r="H15" s="11"/>
      <c r="I15" s="5"/>
      <c r="J15" s="5"/>
    </row>
    <row r="16" spans="2:38" ht="18" customHeight="1" x14ac:dyDescent="0.2">
      <c r="B16" s="141" t="str">
        <f>Pohang!C46</f>
        <v xml:space="preserve">Depth of stimulation </v>
      </c>
      <c r="C16" s="141"/>
      <c r="D16" s="141"/>
      <c r="E16" s="141"/>
      <c r="F16" s="141"/>
      <c r="G16" s="19">
        <f>Pohang!C47</f>
        <v>1</v>
      </c>
      <c r="H16" s="10" t="str">
        <f>Pohang!C50</f>
        <v>low</v>
      </c>
      <c r="I16" s="5"/>
      <c r="J16" s="5"/>
    </row>
    <row r="17" spans="2:10" ht="18" customHeight="1" x14ac:dyDescent="0.2">
      <c r="B17" s="141" t="str">
        <f>Pohang!F46</f>
        <v xml:space="preserve">Rock type </v>
      </c>
      <c r="C17" s="141"/>
      <c r="D17" s="141"/>
      <c r="E17" s="141"/>
      <c r="F17" s="141"/>
      <c r="G17" s="19">
        <f>Pohang!F47</f>
        <v>1</v>
      </c>
      <c r="H17" s="10" t="str">
        <f>Pohang!F50</f>
        <v>low</v>
      </c>
      <c r="I17" s="5"/>
      <c r="J17" s="5"/>
    </row>
    <row r="18" spans="2:10" ht="18" customHeight="1" x14ac:dyDescent="0.2">
      <c r="B18" s="141" t="str">
        <f>Pohang!I46</f>
        <v>Host reservoir original porosity</v>
      </c>
      <c r="C18" s="141"/>
      <c r="D18" s="141"/>
      <c r="E18" s="141"/>
      <c r="F18" s="141"/>
      <c r="G18" s="19">
        <f>Pohang!I47</f>
        <v>1</v>
      </c>
      <c r="H18" s="10" t="str">
        <f>Pohang!I50</f>
        <v>low</v>
      </c>
      <c r="I18" s="5"/>
      <c r="J18" s="5"/>
    </row>
    <row r="19" spans="2:10" ht="18" customHeight="1" x14ac:dyDescent="0.2">
      <c r="B19" s="141" t="str">
        <f>Pohang!L46</f>
        <v>Net injection volume per 100 m times Fluid injection (wellhead) pressure</v>
      </c>
      <c r="C19" s="141"/>
      <c r="D19" s="141"/>
      <c r="E19" s="141"/>
      <c r="F19" s="141"/>
      <c r="G19" s="19">
        <f>Pohang!L47</f>
        <v>1</v>
      </c>
      <c r="H19" s="10" t="str">
        <f>Pohang!L50</f>
        <v>low</v>
      </c>
      <c r="I19" s="5"/>
      <c r="J19" s="5"/>
    </row>
    <row r="20" spans="2:10" ht="18" customHeight="1" x14ac:dyDescent="0.2">
      <c r="B20" s="141"/>
      <c r="C20" s="141"/>
      <c r="D20" s="141"/>
      <c r="E20" s="141"/>
      <c r="F20" s="141"/>
      <c r="G20" s="19"/>
      <c r="H20" s="10"/>
      <c r="I20" s="5"/>
      <c r="J20" s="5"/>
    </row>
    <row r="21" spans="2:10" s="6" customFormat="1" ht="18" customHeight="1" x14ac:dyDescent="0.2">
      <c r="B21" s="142" t="str">
        <f>B56</f>
        <v>Seismic Exposure factors (E)</v>
      </c>
      <c r="C21" s="142"/>
      <c r="D21" s="142"/>
      <c r="E21" s="142"/>
      <c r="F21" s="142"/>
      <c r="G21" s="27">
        <f>S57</f>
        <v>1</v>
      </c>
      <c r="H21" s="11"/>
    </row>
    <row r="22" spans="2:10" s="6" customFormat="1" ht="18" customHeight="1" x14ac:dyDescent="0.2">
      <c r="B22" s="137" t="str">
        <f>C58</f>
        <v>Nuisance</v>
      </c>
      <c r="C22" s="137"/>
      <c r="D22" s="137"/>
      <c r="E22" s="137"/>
      <c r="F22" s="137"/>
      <c r="G22" s="10">
        <f>C59</f>
        <v>1</v>
      </c>
      <c r="H22" s="10"/>
    </row>
    <row r="23" spans="2:10" ht="18" customHeight="1" x14ac:dyDescent="0.2">
      <c r="B23" s="137" t="str">
        <f>F58</f>
        <v>Safty</v>
      </c>
      <c r="C23" s="137"/>
      <c r="D23" s="137"/>
      <c r="E23" s="137"/>
      <c r="F23" s="137"/>
      <c r="G23" s="10">
        <f>F59</f>
        <v>0.92476421363691697</v>
      </c>
      <c r="H23" s="10" t="s">
        <v>12</v>
      </c>
      <c r="I23" s="5"/>
      <c r="J23" s="5"/>
    </row>
    <row r="24" spans="2:10" ht="18" customHeight="1" x14ac:dyDescent="0.2">
      <c r="B24" s="137" t="str">
        <f>I58</f>
        <v>Damage</v>
      </c>
      <c r="C24" s="137"/>
      <c r="D24" s="137"/>
      <c r="E24" s="137"/>
      <c r="F24" s="137"/>
      <c r="G24" s="10">
        <f>I59</f>
        <v>1</v>
      </c>
      <c r="H24" s="10" t="s">
        <v>12</v>
      </c>
      <c r="I24" s="5"/>
      <c r="J24" s="5"/>
    </row>
    <row r="25" spans="2:10" ht="18" customHeight="1" x14ac:dyDescent="0.2">
      <c r="B25" s="137" t="str">
        <f>L58</f>
        <v>Critical infrastructure exposure (ce)</v>
      </c>
      <c r="C25" s="137"/>
      <c r="D25" s="137"/>
      <c r="E25" s="137"/>
      <c r="F25" s="137"/>
      <c r="G25" s="10">
        <f>L59</f>
        <v>0.5</v>
      </c>
      <c r="H25" s="10" t="s">
        <v>12</v>
      </c>
      <c r="I25" s="5"/>
      <c r="J25" s="5"/>
    </row>
    <row r="26" spans="2:10" ht="18" customHeight="1" x14ac:dyDescent="0.2">
      <c r="B26" s="162" t="s">
        <v>41</v>
      </c>
      <c r="C26" s="162"/>
      <c r="D26" s="162"/>
      <c r="E26" s="162"/>
      <c r="F26" s="162"/>
      <c r="G26" s="36" t="s">
        <v>23</v>
      </c>
      <c r="H26" s="37"/>
      <c r="I26" s="5"/>
      <c r="J26" s="20"/>
    </row>
    <row r="27" spans="2:10" ht="18" customHeight="1" x14ac:dyDescent="0.2">
      <c r="B27" s="140" t="str">
        <f>B73</f>
        <v>Data Quality penalty (Q)</v>
      </c>
      <c r="C27" s="140"/>
      <c r="D27" s="140"/>
      <c r="E27" s="140"/>
      <c r="F27" s="140"/>
      <c r="G27" s="27">
        <f>SUM(G28:G31)/15</f>
        <v>0.8</v>
      </c>
      <c r="H27" s="11" t="s">
        <v>12</v>
      </c>
      <c r="I27" s="5"/>
      <c r="J27" s="5"/>
    </row>
    <row r="28" spans="2:10" ht="18" customHeight="1" x14ac:dyDescent="0.2">
      <c r="B28" s="137" t="str">
        <f>Pohang!C74</f>
        <v>Seismic images (6)</v>
      </c>
      <c r="C28" s="137"/>
      <c r="D28" s="137"/>
      <c r="E28" s="137"/>
      <c r="F28" s="137"/>
      <c r="G28" s="10">
        <f>Pohang!C75</f>
        <v>3</v>
      </c>
      <c r="H28" s="10" t="s">
        <v>12</v>
      </c>
      <c r="I28" s="5"/>
      <c r="J28" s="5"/>
    </row>
    <row r="29" spans="2:10" ht="18" customHeight="1" x14ac:dyDescent="0.2">
      <c r="B29" s="137" t="str">
        <f>Pohang!F74</f>
        <v>stress field (3)</v>
      </c>
      <c r="C29" s="137"/>
      <c r="D29" s="137"/>
      <c r="E29" s="137"/>
      <c r="F29" s="137"/>
      <c r="G29" s="10">
        <f>Pohang!F75</f>
        <v>3</v>
      </c>
      <c r="H29" s="10" t="s">
        <v>12</v>
      </c>
      <c r="I29" s="5"/>
      <c r="J29" s="5"/>
    </row>
    <row r="30" spans="2:10" ht="18" customHeight="1" x14ac:dyDescent="0.2">
      <c r="B30" s="137" t="str">
        <f>Pohang!K74</f>
        <v>Geology maps (3)</v>
      </c>
      <c r="C30" s="137"/>
      <c r="D30" s="137"/>
      <c r="E30" s="137"/>
      <c r="F30" s="137"/>
      <c r="G30" s="10">
        <f>Pohang!K75</f>
        <v>3</v>
      </c>
      <c r="H30" s="10" t="s">
        <v>12</v>
      </c>
      <c r="I30" s="5">
        <f>( (G7+G15+G21)/3 + MIN(G15,G7,G21))/2 + 1-(G27 + 0.0000001)</f>
        <v>1.1259258259259259</v>
      </c>
      <c r="J30" s="5"/>
    </row>
    <row r="31" spans="2:10" ht="18" customHeight="1" x14ac:dyDescent="0.2">
      <c r="B31" s="137" t="str">
        <f>Pohang!O74</f>
        <v>Historical seismicity (3)</v>
      </c>
      <c r="C31" s="137"/>
      <c r="D31" s="137"/>
      <c r="E31" s="137"/>
      <c r="F31" s="137"/>
      <c r="G31" s="10">
        <f>Pohang!O75</f>
        <v>3</v>
      </c>
      <c r="H31" s="10" t="s">
        <v>12</v>
      </c>
      <c r="I31" s="5"/>
      <c r="J31" s="5"/>
    </row>
    <row r="32" spans="2:10" ht="18" customHeight="1" x14ac:dyDescent="0.2">
      <c r="B32" s="138" t="s">
        <v>22</v>
      </c>
      <c r="C32" s="139"/>
      <c r="D32" s="29" t="s">
        <v>42</v>
      </c>
      <c r="E32" s="30" t="s">
        <v>43</v>
      </c>
      <c r="F32" s="31" t="s">
        <v>106</v>
      </c>
      <c r="G32" s="27">
        <f>AVERAGE(G15,G7)*G21+ 1-G27</f>
        <v>1.1444444444444444</v>
      </c>
      <c r="H32" s="32"/>
      <c r="I32" s="5"/>
      <c r="J32" s="5"/>
    </row>
    <row r="33" spans="2:34" ht="18" customHeight="1" x14ac:dyDescent="0.2">
      <c r="B33" s="9"/>
      <c r="D33" s="1"/>
      <c r="E33" s="1"/>
      <c r="F33" s="1"/>
      <c r="H33" s="5"/>
      <c r="I33"/>
      <c r="J33" s="5"/>
    </row>
    <row r="34" spans="2:34" ht="18" customHeight="1" x14ac:dyDescent="0.2">
      <c r="B34" s="9"/>
      <c r="D34" s="1"/>
      <c r="E34" s="1"/>
      <c r="F34" s="1"/>
      <c r="H34"/>
      <c r="I34"/>
      <c r="J34" s="5"/>
    </row>
    <row r="35" spans="2:34" ht="18" customHeight="1" x14ac:dyDescent="0.2">
      <c r="B35" s="101" t="s">
        <v>58</v>
      </c>
      <c r="C35" s="102"/>
      <c r="D35" s="102"/>
      <c r="E35" s="102"/>
      <c r="F35" s="102"/>
      <c r="G35" s="102"/>
      <c r="H35" s="102"/>
      <c r="I35" s="102"/>
      <c r="J35" s="102"/>
      <c r="K35" s="102"/>
      <c r="L35" s="102"/>
      <c r="M35" s="102"/>
      <c r="N35" s="102"/>
      <c r="O35" s="102"/>
      <c r="P35" s="102"/>
      <c r="Q35" s="102"/>
      <c r="R35" s="102"/>
      <c r="S35" s="102"/>
      <c r="T35" s="102"/>
      <c r="U35" s="102"/>
      <c r="V35" s="102"/>
      <c r="W35" s="103"/>
    </row>
    <row r="36" spans="2:34" s="21" customFormat="1" ht="67" customHeight="1" x14ac:dyDescent="0.2">
      <c r="B36" s="71" t="s">
        <v>20</v>
      </c>
      <c r="C36" s="128" t="s">
        <v>93</v>
      </c>
      <c r="D36" s="128"/>
      <c r="E36" s="128"/>
      <c r="F36" s="128" t="s">
        <v>94</v>
      </c>
      <c r="G36" s="128"/>
      <c r="H36" s="128"/>
      <c r="I36" s="128" t="s">
        <v>95</v>
      </c>
      <c r="J36" s="128"/>
      <c r="K36" s="128"/>
      <c r="L36" s="128" t="s">
        <v>96</v>
      </c>
      <c r="M36" s="128"/>
      <c r="N36" s="128"/>
      <c r="O36" s="128" t="s">
        <v>97</v>
      </c>
      <c r="P36" s="128"/>
      <c r="Q36" s="128"/>
      <c r="R36" s="128"/>
      <c r="S36" s="128" t="s">
        <v>98</v>
      </c>
      <c r="T36" s="128"/>
      <c r="U36" s="128"/>
      <c r="V36" s="128"/>
      <c r="W36" s="72" t="s">
        <v>75</v>
      </c>
      <c r="X36" s="46"/>
      <c r="Y36" s="46"/>
      <c r="Z36" s="46"/>
      <c r="AA36" s="46"/>
    </row>
    <row r="37" spans="2:34" ht="18" customHeight="1" x14ac:dyDescent="0.2">
      <c r="B37" s="73" t="s">
        <v>14</v>
      </c>
      <c r="C37" s="125">
        <f>MIN(1, 1- MAX(0, (C38-5)/(50-5)))</f>
        <v>0.88888888888888884</v>
      </c>
      <c r="D37" s="126"/>
      <c r="E37" s="127"/>
      <c r="F37" s="125">
        <f>MIN(1, 1- MAX(0, (F38-2)*5/((50-2)*H38)))</f>
        <v>0.49712643678160917</v>
      </c>
      <c r="G37" s="126"/>
      <c r="H37" s="127"/>
      <c r="I37" s="125">
        <f>MAX(MIN(1, 1- MAX(0, (I38-0.1)/(1.5-0.1))),0)</f>
        <v>1</v>
      </c>
      <c r="J37" s="126"/>
      <c r="K37" s="127"/>
      <c r="L37" s="125">
        <v>1</v>
      </c>
      <c r="M37" s="126"/>
      <c r="N37" s="127"/>
      <c r="O37" s="125" cm="1">
        <f t="array" ref="O37">_xlfn.IFS(O38=R40,1,O38=Q40,0.8,O38=P40,0.5,O38=O40,0.2)</f>
        <v>0.5</v>
      </c>
      <c r="P37" s="126"/>
      <c r="Q37" s="126"/>
      <c r="R37" s="127"/>
      <c r="S37" s="125" cm="1">
        <f t="array" ref="S37">_xlfn.IFS(S38=V40,1,S38=U40,0.8,S38=T40,0.5,S38=S40,0.2)</f>
        <v>1</v>
      </c>
      <c r="T37" s="126"/>
      <c r="U37" s="126"/>
      <c r="V37" s="127"/>
      <c r="W37" s="27">
        <f>MAX(MAX(C37:H37),AVERAGE(I37:V37))</f>
        <v>0.88888888888888884</v>
      </c>
      <c r="X37" s="79"/>
      <c r="Y37" s="8"/>
      <c r="Z37" s="8"/>
      <c r="AA37" s="8"/>
    </row>
    <row r="38" spans="2:34" customFormat="1" ht="18" customHeight="1" x14ac:dyDescent="0.2">
      <c r="B38" s="73" t="s">
        <v>26</v>
      </c>
      <c r="C38" s="135">
        <v>10</v>
      </c>
      <c r="D38" s="135"/>
      <c r="E38" s="135"/>
      <c r="F38" s="35">
        <v>30</v>
      </c>
      <c r="H38" s="34">
        <v>5.8</v>
      </c>
      <c r="I38" s="135">
        <v>0</v>
      </c>
      <c r="J38" s="135"/>
      <c r="K38" s="135"/>
      <c r="L38" s="135">
        <v>10</v>
      </c>
      <c r="M38" s="135"/>
      <c r="N38" s="135"/>
      <c r="O38" s="136" t="s">
        <v>45</v>
      </c>
      <c r="P38" s="136"/>
      <c r="Q38" s="136"/>
      <c r="R38" s="136"/>
      <c r="S38" s="136" t="s">
        <v>46</v>
      </c>
      <c r="T38" s="136"/>
      <c r="U38" s="136"/>
      <c r="V38" s="136"/>
      <c r="W38" s="62"/>
      <c r="X38" s="5"/>
      <c r="Y38" s="5"/>
      <c r="Z38" s="5"/>
      <c r="AA38" s="5"/>
      <c r="AB38" s="5"/>
    </row>
    <row r="39" spans="2:34" ht="18" customHeight="1" x14ac:dyDescent="0.2">
      <c r="B39" s="73" t="s">
        <v>19</v>
      </c>
      <c r="C39" s="128" t="s">
        <v>16</v>
      </c>
      <c r="D39" s="128"/>
      <c r="E39" s="128"/>
      <c r="F39" s="128" t="s">
        <v>27</v>
      </c>
      <c r="G39" s="128"/>
      <c r="H39" s="128"/>
      <c r="I39" s="128" t="s">
        <v>31</v>
      </c>
      <c r="J39" s="128"/>
      <c r="K39" s="128"/>
      <c r="L39" s="128" t="s">
        <v>31</v>
      </c>
      <c r="M39" s="128"/>
      <c r="N39" s="128"/>
      <c r="O39" s="128" t="s">
        <v>16</v>
      </c>
      <c r="P39" s="128"/>
      <c r="Q39" s="128"/>
      <c r="R39" s="128"/>
      <c r="S39" s="128" t="s">
        <v>31</v>
      </c>
      <c r="T39" s="128"/>
      <c r="U39" s="128"/>
      <c r="V39" s="128"/>
      <c r="W39" s="74"/>
      <c r="X39" s="8"/>
      <c r="Y39" s="8"/>
      <c r="Z39" s="8"/>
      <c r="AA39" s="8"/>
    </row>
    <row r="40" spans="2:34" ht="95" customHeight="1" x14ac:dyDescent="0.2">
      <c r="B40" s="45" t="s">
        <v>86</v>
      </c>
      <c r="C40" s="104" t="s">
        <v>99</v>
      </c>
      <c r="D40" s="104"/>
      <c r="E40" s="104"/>
      <c r="F40" s="104" t="s">
        <v>100</v>
      </c>
      <c r="G40" s="104"/>
      <c r="H40" s="104"/>
      <c r="I40" s="17"/>
      <c r="J40" s="16"/>
      <c r="K40" s="18"/>
      <c r="L40" s="17"/>
      <c r="M40" s="16"/>
      <c r="N40" s="18"/>
      <c r="O40" s="3" t="s">
        <v>90</v>
      </c>
      <c r="P40" s="4" t="s">
        <v>45</v>
      </c>
      <c r="Q40" s="33" t="s">
        <v>91</v>
      </c>
      <c r="R40" s="2" t="s">
        <v>92</v>
      </c>
      <c r="S40" s="3" t="s">
        <v>30</v>
      </c>
      <c r="T40" s="4" t="s">
        <v>29</v>
      </c>
      <c r="U40" s="33" t="s">
        <v>28</v>
      </c>
      <c r="V40" s="2" t="s">
        <v>46</v>
      </c>
      <c r="W40" s="62"/>
    </row>
    <row r="41" spans="2:34" ht="18" customHeight="1" x14ac:dyDescent="0.2">
      <c r="B41" s="133" t="s">
        <v>120</v>
      </c>
      <c r="C41" s="88" t="s">
        <v>121</v>
      </c>
      <c r="D41" s="88"/>
      <c r="E41" s="88"/>
      <c r="F41" s="90" t="s">
        <v>122</v>
      </c>
      <c r="G41" s="90"/>
      <c r="H41" s="90"/>
      <c r="I41" s="92" t="s">
        <v>123</v>
      </c>
      <c r="J41" s="92"/>
      <c r="K41" s="92"/>
      <c r="L41" s="92" t="s">
        <v>123</v>
      </c>
      <c r="M41" s="92"/>
      <c r="N41" s="92"/>
      <c r="O41" s="107" t="s">
        <v>123</v>
      </c>
      <c r="P41" s="107"/>
      <c r="Q41" s="107"/>
      <c r="R41" s="107"/>
      <c r="S41" s="107" t="s">
        <v>123</v>
      </c>
      <c r="T41" s="107"/>
      <c r="U41" s="107"/>
      <c r="V41" s="107"/>
      <c r="W41" s="62"/>
    </row>
    <row r="42" spans="2:34" ht="18" customHeight="1" x14ac:dyDescent="0.2">
      <c r="B42" s="134"/>
      <c r="C42" s="89"/>
      <c r="D42" s="89"/>
      <c r="E42" s="89"/>
      <c r="F42" s="91"/>
      <c r="G42" s="91"/>
      <c r="H42" s="91"/>
      <c r="I42" s="93"/>
      <c r="J42" s="93"/>
      <c r="K42" s="93"/>
      <c r="L42" s="93"/>
      <c r="M42" s="93"/>
      <c r="N42" s="93"/>
      <c r="O42" s="108"/>
      <c r="P42" s="108"/>
      <c r="Q42" s="108"/>
      <c r="R42" s="108"/>
      <c r="S42" s="108"/>
      <c r="T42" s="108"/>
      <c r="U42" s="108"/>
      <c r="V42" s="108"/>
      <c r="W42" s="64"/>
    </row>
    <row r="43" spans="2:34" ht="18" customHeight="1" x14ac:dyDescent="0.2">
      <c r="B43"/>
      <c r="C43" s="48"/>
      <c r="D43" s="48"/>
      <c r="E43" s="48"/>
      <c r="F43" s="48"/>
      <c r="G43" s="48"/>
      <c r="H43"/>
      <c r="I43"/>
      <c r="J43"/>
      <c r="K43"/>
      <c r="L43"/>
      <c r="M43"/>
      <c r="N43"/>
      <c r="O43" s="20"/>
      <c r="P43"/>
      <c r="Q43"/>
      <c r="R43"/>
      <c r="S43"/>
      <c r="T43"/>
    </row>
    <row r="45" spans="2:34" ht="19" customHeight="1" x14ac:dyDescent="0.2">
      <c r="B45" s="101" t="s">
        <v>102</v>
      </c>
      <c r="C45" s="102"/>
      <c r="D45" s="102"/>
      <c r="E45" s="102"/>
      <c r="F45" s="102"/>
      <c r="G45" s="102"/>
      <c r="H45" s="102"/>
      <c r="I45" s="102"/>
      <c r="J45" s="102"/>
      <c r="K45" s="102"/>
      <c r="L45" s="102"/>
      <c r="M45" s="102"/>
      <c r="N45" s="102"/>
      <c r="O45" s="102"/>
      <c r="P45" s="102"/>
      <c r="Q45" s="103"/>
      <c r="R45" s="129" t="s">
        <v>82</v>
      </c>
    </row>
    <row r="46" spans="2:34" ht="16" customHeight="1" x14ac:dyDescent="0.2">
      <c r="B46" s="51"/>
      <c r="C46" s="104" t="s">
        <v>103</v>
      </c>
      <c r="D46" s="104"/>
      <c r="E46" s="104"/>
      <c r="F46" s="104" t="s">
        <v>32</v>
      </c>
      <c r="G46" s="104"/>
      <c r="H46" s="104"/>
      <c r="I46" s="104" t="s">
        <v>104</v>
      </c>
      <c r="J46" s="104"/>
      <c r="K46" s="104"/>
      <c r="L46" s="131" t="s">
        <v>105</v>
      </c>
      <c r="M46" s="131"/>
      <c r="N46" s="131"/>
      <c r="O46" s="131"/>
      <c r="P46" s="131"/>
      <c r="Q46" s="132"/>
      <c r="R46" s="130"/>
      <c r="AB46" s="104"/>
      <c r="AC46" s="104"/>
      <c r="AD46" s="104"/>
      <c r="AE46"/>
      <c r="AF46" s="104"/>
      <c r="AG46" s="104"/>
      <c r="AH46" s="104"/>
    </row>
    <row r="47" spans="2:34" s="1" customFormat="1" ht="16" x14ac:dyDescent="0.2">
      <c r="B47" s="73" t="s">
        <v>14</v>
      </c>
      <c r="C47" s="125">
        <f>(MIN(1, MAX(0, (C48-1)/(3-1))))</f>
        <v>1</v>
      </c>
      <c r="D47" s="126"/>
      <c r="E47" s="127"/>
      <c r="F47" s="125" cm="1">
        <f t="array" ref="F47">_xlfn.IFS(F48=H51,1,F48=G51,0.5,F48=F51,0)</f>
        <v>1</v>
      </c>
      <c r="G47" s="126"/>
      <c r="H47" s="127"/>
      <c r="I47" s="125" cm="1">
        <f t="array" ref="I47">_xlfn.IFS(I48=K51,1,I48=J51,0.5,I48=I51,0)</f>
        <v>1</v>
      </c>
      <c r="J47" s="126"/>
      <c r="K47" s="127"/>
      <c r="L47" s="125">
        <f>MIN(1,  MAX(0, (L48*O48/1000-10)/(200-10)))</f>
        <v>1</v>
      </c>
      <c r="M47" s="126"/>
      <c r="N47" s="126"/>
      <c r="O47" s="126"/>
      <c r="P47" s="126"/>
      <c r="Q47" s="127"/>
      <c r="R47" s="27">
        <f>AVERAGE(C47:Q47)</f>
        <v>1</v>
      </c>
      <c r="AA47" s="5"/>
      <c r="AB47" s="104"/>
      <c r="AC47" s="104"/>
      <c r="AD47" s="104"/>
      <c r="AE47"/>
      <c r="AF47" s="104"/>
      <c r="AG47" s="104"/>
      <c r="AH47" s="104"/>
    </row>
    <row r="48" spans="2:34" s="1" customFormat="1" ht="16" x14ac:dyDescent="0.2">
      <c r="B48" s="57" t="s">
        <v>34</v>
      </c>
      <c r="C48" s="94">
        <v>4.3</v>
      </c>
      <c r="D48" s="94"/>
      <c r="E48" s="94"/>
      <c r="F48" s="94" t="s">
        <v>84</v>
      </c>
      <c r="G48" s="94"/>
      <c r="H48" s="94"/>
      <c r="I48" s="94" t="s">
        <v>15</v>
      </c>
      <c r="J48" s="94"/>
      <c r="K48" s="94"/>
      <c r="L48" s="123">
        <v>600000</v>
      </c>
      <c r="M48" s="123"/>
      <c r="N48" s="123"/>
      <c r="O48" s="124">
        <v>80</v>
      </c>
      <c r="P48" s="124"/>
      <c r="Q48" s="124"/>
      <c r="R48" s="49"/>
      <c r="AA48" s="5"/>
      <c r="AB48" s="104"/>
      <c r="AC48" s="104"/>
      <c r="AD48" s="104"/>
      <c r="AE48"/>
      <c r="AF48" s="104"/>
      <c r="AG48" s="104"/>
      <c r="AH48" s="104"/>
    </row>
    <row r="49" spans="2:34" s="1" customFormat="1" ht="16" x14ac:dyDescent="0.2">
      <c r="B49" s="57"/>
      <c r="C49" s="9"/>
      <c r="D49" s="9"/>
      <c r="E49" s="9"/>
      <c r="F49" s="9"/>
      <c r="G49" s="9"/>
      <c r="H49" s="9"/>
      <c r="I49" s="9"/>
      <c r="J49" s="9"/>
      <c r="K49" s="9"/>
      <c r="L49" s="104">
        <f>L48*O48/1000</f>
        <v>48000</v>
      </c>
      <c r="M49" s="104"/>
      <c r="N49" s="104"/>
      <c r="O49" s="104"/>
      <c r="P49" s="104"/>
      <c r="Q49" s="104"/>
      <c r="R49" s="49"/>
      <c r="AA49" s="5"/>
      <c r="AB49" s="9"/>
      <c r="AC49" s="9"/>
      <c r="AD49" s="9"/>
      <c r="AE49"/>
      <c r="AF49" s="9"/>
      <c r="AG49" s="9"/>
      <c r="AH49" s="9"/>
    </row>
    <row r="50" spans="2:34" s="1" customFormat="1" ht="17" customHeight="1" x14ac:dyDescent="0.2">
      <c r="B50" s="57" t="s">
        <v>21</v>
      </c>
      <c r="C50" s="104" t="s">
        <v>16</v>
      </c>
      <c r="D50" s="104"/>
      <c r="E50" s="104"/>
      <c r="F50" s="104" t="s">
        <v>16</v>
      </c>
      <c r="G50" s="104"/>
      <c r="H50" s="104"/>
      <c r="I50" s="104" t="s">
        <v>16</v>
      </c>
      <c r="J50" s="104"/>
      <c r="K50" s="104"/>
      <c r="L50" s="104" t="s">
        <v>16</v>
      </c>
      <c r="M50" s="104"/>
      <c r="N50" s="104"/>
      <c r="O50" s="104" t="s">
        <v>16</v>
      </c>
      <c r="P50" s="104"/>
      <c r="Q50" s="104"/>
      <c r="R50" s="49"/>
      <c r="AA50" s="5"/>
    </row>
    <row r="51" spans="2:34" s="1" customFormat="1" ht="102" customHeight="1" x14ac:dyDescent="0.2">
      <c r="B51" s="69" t="s">
        <v>35</v>
      </c>
      <c r="C51" s="116" t="s">
        <v>101</v>
      </c>
      <c r="D51" s="117"/>
      <c r="E51" s="117"/>
      <c r="F51" s="47" t="s">
        <v>7</v>
      </c>
      <c r="G51" s="14" t="s">
        <v>44</v>
      </c>
      <c r="H51" s="15" t="s">
        <v>84</v>
      </c>
      <c r="I51" s="47" t="s">
        <v>85</v>
      </c>
      <c r="J51" s="14" t="s">
        <v>36</v>
      </c>
      <c r="K51" s="15" t="s">
        <v>15</v>
      </c>
      <c r="L51" s="47" t="s">
        <v>8</v>
      </c>
      <c r="M51" s="70" t="s">
        <v>9</v>
      </c>
      <c r="N51" s="15" t="s">
        <v>10</v>
      </c>
      <c r="O51" s="47" t="s">
        <v>38</v>
      </c>
      <c r="P51" s="70" t="s">
        <v>39</v>
      </c>
      <c r="Q51" s="15" t="s">
        <v>37</v>
      </c>
      <c r="R51" s="50"/>
    </row>
    <row r="52" spans="2:34" s="1" customFormat="1" ht="17" customHeight="1" x14ac:dyDescent="0.2">
      <c r="B52" s="121" t="s">
        <v>120</v>
      </c>
      <c r="C52" s="92" t="s">
        <v>123</v>
      </c>
      <c r="D52" s="92"/>
      <c r="E52" s="92"/>
      <c r="F52" s="92" t="s">
        <v>123</v>
      </c>
      <c r="G52" s="92"/>
      <c r="H52" s="92"/>
      <c r="I52" s="9"/>
      <c r="J52" s="9"/>
      <c r="K52" s="9"/>
      <c r="L52" s="9"/>
      <c r="M52" s="9"/>
      <c r="N52" s="9"/>
      <c r="O52" s="9"/>
      <c r="P52" s="9"/>
      <c r="Q52" s="9"/>
      <c r="R52" s="49"/>
      <c r="AA52" s="5"/>
    </row>
    <row r="53" spans="2:34" s="1" customFormat="1" ht="17" customHeight="1" x14ac:dyDescent="0.2">
      <c r="B53" s="122"/>
      <c r="C53" s="93"/>
      <c r="D53" s="93"/>
      <c r="E53" s="93"/>
      <c r="F53" s="93"/>
      <c r="G53" s="93"/>
      <c r="H53" s="93"/>
      <c r="I53" s="9"/>
      <c r="J53" s="9"/>
      <c r="K53" s="9"/>
      <c r="L53" s="9"/>
      <c r="M53" s="9"/>
      <c r="N53" s="9"/>
      <c r="O53" s="9"/>
      <c r="P53" s="9"/>
      <c r="Q53" s="9"/>
      <c r="R53" s="49"/>
      <c r="AA53" s="5"/>
    </row>
    <row r="54" spans="2:34" s="1" customFormat="1" ht="18" customHeight="1" x14ac:dyDescent="0.2">
      <c r="B54"/>
      <c r="C54"/>
      <c r="D54"/>
      <c r="E54"/>
      <c r="F54"/>
      <c r="G54"/>
      <c r="H54"/>
      <c r="I54"/>
      <c r="J54"/>
      <c r="K54"/>
      <c r="L54"/>
      <c r="M54"/>
      <c r="N54"/>
      <c r="O54"/>
      <c r="P54"/>
      <c r="Q54"/>
      <c r="S54" s="5"/>
      <c r="T54" s="5"/>
      <c r="U54" s="5"/>
      <c r="V54" s="5"/>
      <c r="W54" s="5"/>
      <c r="X54" s="5"/>
      <c r="Y54" s="5"/>
      <c r="Z54" s="5"/>
      <c r="AA54" s="5"/>
      <c r="AB54" s="5"/>
      <c r="AC54" s="5"/>
      <c r="AD54" s="5"/>
      <c r="AE54" s="5"/>
      <c r="AF54" s="5"/>
      <c r="AG54" s="5"/>
    </row>
    <row r="55" spans="2:34" ht="16" x14ac:dyDescent="0.2">
      <c r="I55" s="2"/>
      <c r="J55" s="2"/>
      <c r="K55" s="2"/>
    </row>
    <row r="56" spans="2:34" ht="18" customHeight="1" x14ac:dyDescent="0.2">
      <c r="B56" s="223" t="s">
        <v>59</v>
      </c>
      <c r="C56" s="224"/>
      <c r="D56" s="224"/>
      <c r="E56" s="224"/>
      <c r="F56" s="224"/>
      <c r="G56" s="224"/>
      <c r="H56" s="224"/>
      <c r="I56" s="224"/>
      <c r="J56" s="224"/>
      <c r="K56" s="224"/>
      <c r="L56" s="224"/>
      <c r="M56" s="224"/>
      <c r="N56" s="224"/>
      <c r="O56" s="224"/>
      <c r="P56" s="224"/>
      <c r="Q56" s="224"/>
      <c r="R56" s="224"/>
      <c r="S56" s="65" t="s">
        <v>13</v>
      </c>
    </row>
    <row r="57" spans="2:34" ht="20" customHeight="1" x14ac:dyDescent="0.2">
      <c r="B57" s="110" t="s">
        <v>132</v>
      </c>
      <c r="C57" s="225"/>
      <c r="D57" s="225"/>
      <c r="E57" s="225"/>
      <c r="F57" s="225"/>
      <c r="G57" s="225"/>
      <c r="H57" s="225"/>
      <c r="I57" s="225"/>
      <c r="J57" s="225"/>
      <c r="K57" s="225"/>
      <c r="L57" s="225"/>
      <c r="M57" s="225"/>
      <c r="N57" s="225"/>
      <c r="O57" s="225"/>
      <c r="P57" s="225"/>
      <c r="Q57" s="225"/>
      <c r="R57" s="120"/>
      <c r="S57" s="27">
        <f>MAX(C59:S59,F65:R65)</f>
        <v>1</v>
      </c>
    </row>
    <row r="58" spans="2:34" ht="20" customHeight="1" x14ac:dyDescent="0.2">
      <c r="B58" s="66"/>
      <c r="C58" s="131" t="s">
        <v>126</v>
      </c>
      <c r="D58" s="131"/>
      <c r="E58" s="131"/>
      <c r="F58" s="131" t="s">
        <v>127</v>
      </c>
      <c r="G58" s="131"/>
      <c r="H58" s="131"/>
      <c r="I58" s="131" t="s">
        <v>131</v>
      </c>
      <c r="J58" s="131"/>
      <c r="K58" s="131"/>
      <c r="L58" s="104" t="s">
        <v>25</v>
      </c>
      <c r="M58" s="104"/>
      <c r="N58" s="104"/>
      <c r="O58" s="104"/>
      <c r="P58" s="104"/>
      <c r="Q58" s="104"/>
      <c r="R58" s="104"/>
      <c r="S58" s="62"/>
    </row>
    <row r="59" spans="2:34" ht="16" customHeight="1" x14ac:dyDescent="0.2">
      <c r="B59" s="73" t="s">
        <v>14</v>
      </c>
      <c r="C59" s="112">
        <f>(MIN(1,LOG10(C61+1)/LOG10(100000)))</f>
        <v>1</v>
      </c>
      <c r="D59" s="113"/>
      <c r="E59" s="113"/>
      <c r="F59" s="112">
        <f>(MIN(1,LOG10(C61*I61/100+1)/LOG10(10000)))</f>
        <v>0.92476421363691697</v>
      </c>
      <c r="G59" s="113"/>
      <c r="H59" s="113"/>
      <c r="I59" s="112">
        <f>(MIN(1, MAX(0, (0.3*I61/100*F61 + 0.1*(1-I61/100)*F61)/100)))</f>
        <v>1</v>
      </c>
      <c r="J59" s="113"/>
      <c r="K59" s="113"/>
      <c r="L59" s="112">
        <f>MAX(L61*N61+L61*P61 + L61*0.5)</f>
        <v>0.5</v>
      </c>
      <c r="M59" s="113"/>
      <c r="N59" s="113"/>
      <c r="O59" s="113"/>
      <c r="P59" s="113"/>
      <c r="Q59" s="113"/>
      <c r="R59" s="114"/>
      <c r="S59" s="62"/>
    </row>
    <row r="60" spans="2:34" ht="16" x14ac:dyDescent="0.2">
      <c r="B60" s="67"/>
      <c r="C60" s="104" t="s">
        <v>74</v>
      </c>
      <c r="D60" s="104"/>
      <c r="E60" s="104"/>
      <c r="F60" s="104" t="s">
        <v>128</v>
      </c>
      <c r="G60" s="104"/>
      <c r="H60" s="104"/>
      <c r="I60" s="104" t="s">
        <v>73</v>
      </c>
      <c r="J60" s="104"/>
      <c r="K60" s="104"/>
      <c r="L60" s="104" t="s">
        <v>66</v>
      </c>
      <c r="M60" s="104"/>
      <c r="N60" s="104" t="s">
        <v>67</v>
      </c>
      <c r="O60" s="104"/>
      <c r="P60" s="104" t="s">
        <v>68</v>
      </c>
      <c r="Q60" s="104"/>
      <c r="R60" s="104"/>
      <c r="S60" s="62"/>
    </row>
    <row r="61" spans="2:34" ht="18" customHeight="1" x14ac:dyDescent="0.2">
      <c r="B61" s="57" t="s">
        <v>60</v>
      </c>
      <c r="C61" s="109">
        <v>100000</v>
      </c>
      <c r="D61" s="109"/>
      <c r="E61" s="109"/>
      <c r="F61" s="109">
        <v>1000</v>
      </c>
      <c r="G61" s="109"/>
      <c r="H61" s="109"/>
      <c r="I61" s="109">
        <v>5</v>
      </c>
      <c r="J61" s="109"/>
      <c r="K61" s="109"/>
      <c r="L61" s="109">
        <v>1</v>
      </c>
      <c r="M61" s="109"/>
      <c r="N61" s="109">
        <v>0</v>
      </c>
      <c r="O61" s="109"/>
      <c r="P61" s="109">
        <v>0</v>
      </c>
      <c r="Q61" s="109"/>
      <c r="R61" s="109"/>
      <c r="S61" s="62"/>
    </row>
    <row r="62" spans="2:34" ht="96" customHeight="1" x14ac:dyDescent="0.2">
      <c r="B62" s="58" t="s">
        <v>35</v>
      </c>
      <c r="C62" s="115" t="s">
        <v>63</v>
      </c>
      <c r="D62" s="115"/>
      <c r="E62" s="115"/>
      <c r="F62" s="115" t="s">
        <v>129</v>
      </c>
      <c r="G62" s="115"/>
      <c r="H62" s="115"/>
      <c r="I62" s="105" t="s">
        <v>130</v>
      </c>
      <c r="J62" s="105"/>
      <c r="K62" s="105"/>
      <c r="L62" s="106" t="s">
        <v>65</v>
      </c>
      <c r="M62" s="106"/>
      <c r="N62" s="106" t="s">
        <v>69</v>
      </c>
      <c r="O62" s="106"/>
      <c r="P62" s="52" t="s">
        <v>72</v>
      </c>
      <c r="Q62" s="53" t="s">
        <v>70</v>
      </c>
      <c r="R62" s="54" t="s">
        <v>71</v>
      </c>
      <c r="S62" s="62"/>
    </row>
    <row r="63" spans="2:34" customFormat="1" ht="24" customHeight="1" x14ac:dyDescent="0.2">
      <c r="B63" s="110" t="s">
        <v>133</v>
      </c>
      <c r="C63" s="225"/>
      <c r="D63" s="225"/>
      <c r="E63" s="225"/>
      <c r="F63" s="225"/>
      <c r="G63" s="225"/>
      <c r="H63" s="225"/>
      <c r="I63" s="225"/>
      <c r="J63" s="225"/>
      <c r="K63" s="225"/>
      <c r="L63" s="225"/>
      <c r="M63" s="225"/>
      <c r="N63" s="225"/>
      <c r="O63" s="225"/>
      <c r="P63" s="225"/>
      <c r="Q63" s="225"/>
      <c r="R63" s="225"/>
      <c r="S63" s="62"/>
      <c r="T63" s="5"/>
      <c r="U63" s="5"/>
      <c r="V63" s="5"/>
      <c r="W63" s="5"/>
      <c r="X63" s="5"/>
      <c r="Y63" s="5"/>
      <c r="Z63" s="5"/>
    </row>
    <row r="64" spans="2:34" ht="18" customHeight="1" x14ac:dyDescent="0.2">
      <c r="B64" s="66"/>
      <c r="C64" s="131" t="s">
        <v>126</v>
      </c>
      <c r="D64" s="131"/>
      <c r="E64" s="131"/>
      <c r="F64" s="131" t="s">
        <v>127</v>
      </c>
      <c r="G64" s="131"/>
      <c r="H64" s="131"/>
      <c r="I64" s="131" t="s">
        <v>131</v>
      </c>
      <c r="J64" s="131"/>
      <c r="K64" s="131"/>
      <c r="L64" s="104" t="s">
        <v>25</v>
      </c>
      <c r="M64" s="104"/>
      <c r="N64" s="104"/>
      <c r="O64" s="104"/>
      <c r="P64" s="104"/>
      <c r="Q64" s="104"/>
      <c r="R64" s="104"/>
      <c r="S64" s="62"/>
    </row>
    <row r="65" spans="2:22" ht="18" customHeight="1" x14ac:dyDescent="0.2">
      <c r="B65" s="73" t="s">
        <v>14</v>
      </c>
      <c r="C65" s="112">
        <f>(MIN(1,LOG10(C67+1)/LOG10(10000)))</f>
        <v>0.7501085193698297</v>
      </c>
      <c r="D65" s="113"/>
      <c r="E65" s="113"/>
      <c r="F65" s="112">
        <f>(MIN(1,LOG10(C67*I67/100+1)/LOG10(1000)))</f>
        <v>0.56919005869931205</v>
      </c>
      <c r="G65" s="113"/>
      <c r="H65" s="113"/>
      <c r="I65" s="112">
        <f>(MIN(1, MAX(0, (0.3*I67/100*F67 + 0.1*(1-I67/100)*F67)/10)))</f>
        <v>1</v>
      </c>
      <c r="J65" s="113"/>
      <c r="K65" s="113"/>
      <c r="L65" s="112">
        <f>MAX(L67*N67+L67*P67 + L67*0.5)</f>
        <v>0.5</v>
      </c>
      <c r="M65" s="113"/>
      <c r="N65" s="113"/>
      <c r="O65" s="113"/>
      <c r="P65" s="113"/>
      <c r="Q65" s="113"/>
      <c r="R65" s="114"/>
      <c r="S65" s="62"/>
    </row>
    <row r="66" spans="2:22" ht="18" customHeight="1" x14ac:dyDescent="0.2">
      <c r="B66" s="67"/>
      <c r="C66" s="104" t="s">
        <v>74</v>
      </c>
      <c r="D66" s="104"/>
      <c r="E66" s="104"/>
      <c r="F66" s="104" t="s">
        <v>128</v>
      </c>
      <c r="G66" s="104"/>
      <c r="H66" s="104"/>
      <c r="I66" s="104" t="s">
        <v>73</v>
      </c>
      <c r="J66" s="104"/>
      <c r="K66" s="104"/>
      <c r="L66" s="104" t="s">
        <v>66</v>
      </c>
      <c r="M66" s="104"/>
      <c r="N66" s="104" t="s">
        <v>67</v>
      </c>
      <c r="O66" s="104"/>
      <c r="P66" s="104" t="s">
        <v>68</v>
      </c>
      <c r="Q66" s="104"/>
      <c r="R66" s="104"/>
      <c r="S66" s="62"/>
    </row>
    <row r="67" spans="2:22" ht="18" customHeight="1" x14ac:dyDescent="0.2">
      <c r="B67" s="57" t="s">
        <v>60</v>
      </c>
      <c r="C67" s="109">
        <v>1000</v>
      </c>
      <c r="D67" s="109"/>
      <c r="E67" s="109"/>
      <c r="F67" s="109">
        <v>200</v>
      </c>
      <c r="G67" s="109"/>
      <c r="H67" s="109"/>
      <c r="I67" s="109">
        <v>5</v>
      </c>
      <c r="J67" s="109"/>
      <c r="K67" s="109"/>
      <c r="L67" s="109">
        <v>1</v>
      </c>
      <c r="M67" s="109"/>
      <c r="N67" s="109">
        <v>0</v>
      </c>
      <c r="O67" s="109"/>
      <c r="P67" s="109">
        <v>0</v>
      </c>
      <c r="Q67" s="109"/>
      <c r="R67" s="109"/>
      <c r="S67" s="62"/>
    </row>
    <row r="68" spans="2:22" ht="77" customHeight="1" x14ac:dyDescent="0.2">
      <c r="B68" s="58" t="s">
        <v>35</v>
      </c>
      <c r="C68" s="105" t="s">
        <v>76</v>
      </c>
      <c r="D68" s="105"/>
      <c r="E68" s="105"/>
      <c r="F68" s="115" t="s">
        <v>129</v>
      </c>
      <c r="G68" s="115"/>
      <c r="H68" s="115"/>
      <c r="I68" s="105" t="s">
        <v>130</v>
      </c>
      <c r="J68" s="105"/>
      <c r="K68" s="105"/>
      <c r="L68" s="106" t="s">
        <v>87</v>
      </c>
      <c r="M68" s="106"/>
      <c r="N68" s="106" t="s">
        <v>69</v>
      </c>
      <c r="O68" s="106"/>
      <c r="P68" s="52" t="s">
        <v>72</v>
      </c>
      <c r="Q68" s="53" t="s">
        <v>88</v>
      </c>
      <c r="R68" s="54" t="s">
        <v>71</v>
      </c>
      <c r="S68" s="62"/>
    </row>
    <row r="69" spans="2:22" ht="18" customHeight="1" x14ac:dyDescent="0.2">
      <c r="B69" s="97" t="s">
        <v>80</v>
      </c>
      <c r="C69" s="98"/>
      <c r="D69" s="98"/>
      <c r="E69" s="98"/>
      <c r="F69" s="98"/>
      <c r="G69" s="98"/>
      <c r="H69" s="98"/>
      <c r="I69" s="98"/>
      <c r="J69" s="98"/>
      <c r="K69" s="98"/>
      <c r="L69" s="98"/>
      <c r="S69" s="62"/>
    </row>
    <row r="70" spans="2:22" ht="18" customHeight="1" x14ac:dyDescent="0.2">
      <c r="B70" s="99" t="s">
        <v>89</v>
      </c>
      <c r="C70" s="100"/>
      <c r="D70" s="100"/>
      <c r="E70" s="100"/>
      <c r="F70" s="100"/>
      <c r="G70" s="100"/>
      <c r="H70" s="100"/>
      <c r="I70" s="100"/>
      <c r="J70" s="100"/>
      <c r="K70" s="100"/>
      <c r="L70" s="100"/>
      <c r="M70" s="68"/>
      <c r="N70" s="13"/>
      <c r="O70" s="13"/>
      <c r="P70" s="13"/>
      <c r="Q70" s="13"/>
      <c r="R70" s="13"/>
      <c r="S70" s="64"/>
    </row>
    <row r="71" spans="2:22" ht="18" customHeight="1" x14ac:dyDescent="0.2">
      <c r="B71" s="55"/>
      <c r="C71" s="55"/>
      <c r="D71" s="55"/>
      <c r="E71" s="55"/>
      <c r="F71" s="55"/>
      <c r="G71" s="55"/>
      <c r="H71" s="55"/>
      <c r="I71" s="55"/>
      <c r="J71" s="55"/>
      <c r="K71" s="55"/>
      <c r="L71" s="55"/>
    </row>
    <row r="72" spans="2:22" ht="18" customHeight="1" x14ac:dyDescent="0.2">
      <c r="B72" s="55"/>
      <c r="C72" s="55"/>
      <c r="D72" s="55"/>
      <c r="E72" s="55"/>
      <c r="F72" s="55"/>
      <c r="G72" s="55"/>
      <c r="H72" s="55"/>
      <c r="I72" s="55"/>
      <c r="J72" s="55"/>
      <c r="K72" s="55"/>
      <c r="L72" s="55"/>
    </row>
    <row r="73" spans="2:22" ht="18" customHeight="1" x14ac:dyDescent="0.2">
      <c r="B73" s="101" t="s">
        <v>78</v>
      </c>
      <c r="C73" s="102"/>
      <c r="D73" s="102"/>
      <c r="E73" s="102"/>
      <c r="F73" s="102"/>
      <c r="G73" s="102"/>
      <c r="H73" s="102"/>
      <c r="I73" s="102"/>
      <c r="J73" s="102"/>
      <c r="K73" s="102"/>
      <c r="L73" s="102"/>
      <c r="M73" s="102"/>
      <c r="N73" s="102"/>
      <c r="O73" s="102"/>
      <c r="P73" s="102"/>
      <c r="Q73" s="102"/>
      <c r="R73" s="102"/>
      <c r="S73" s="102"/>
      <c r="T73" s="103"/>
    </row>
    <row r="74" spans="2:22" ht="17" customHeight="1" x14ac:dyDescent="0.2">
      <c r="B74" s="51"/>
      <c r="C74" s="104" t="s">
        <v>6</v>
      </c>
      <c r="D74" s="104"/>
      <c r="E74" s="104"/>
      <c r="F74" s="104" t="s">
        <v>5</v>
      </c>
      <c r="G74" s="104"/>
      <c r="H74" s="104"/>
      <c r="I74" s="104"/>
      <c r="J74" s="104"/>
      <c r="K74" s="104" t="s">
        <v>17</v>
      </c>
      <c r="L74" s="104"/>
      <c r="M74" s="104"/>
      <c r="N74" s="104"/>
      <c r="O74" s="104" t="s">
        <v>33</v>
      </c>
      <c r="P74" s="104"/>
      <c r="Q74" s="104"/>
      <c r="R74" s="104"/>
      <c r="S74" s="104"/>
      <c r="T74" s="56" t="s">
        <v>75</v>
      </c>
    </row>
    <row r="75" spans="2:22" ht="16" x14ac:dyDescent="0.2">
      <c r="B75" s="73" t="s">
        <v>14</v>
      </c>
      <c r="C75" s="94">
        <v>3</v>
      </c>
      <c r="D75" s="94"/>
      <c r="E75" s="94"/>
      <c r="F75" s="94">
        <v>3</v>
      </c>
      <c r="G75" s="94"/>
      <c r="H75" s="94"/>
      <c r="I75" s="94"/>
      <c r="J75" s="94"/>
      <c r="K75" s="94">
        <v>3</v>
      </c>
      <c r="L75" s="94"/>
      <c r="M75" s="94"/>
      <c r="N75" s="94"/>
      <c r="O75" s="94">
        <v>3</v>
      </c>
      <c r="P75" s="94"/>
      <c r="Q75" s="94"/>
      <c r="R75" s="94"/>
      <c r="S75" s="94"/>
      <c r="T75" s="75">
        <f>SUM(C75:R75)/(6+3+3+3)</f>
        <v>0.8</v>
      </c>
    </row>
    <row r="76" spans="2:22" ht="101" customHeight="1" x14ac:dyDescent="0.2">
      <c r="B76" s="58" t="s">
        <v>35</v>
      </c>
      <c r="C76" s="22" t="s">
        <v>0</v>
      </c>
      <c r="D76" s="23" t="s">
        <v>4</v>
      </c>
      <c r="E76" s="24" t="s">
        <v>1</v>
      </c>
      <c r="F76" s="95" t="s">
        <v>107</v>
      </c>
      <c r="G76" s="95"/>
      <c r="H76" s="96" t="s">
        <v>108</v>
      </c>
      <c r="I76" s="96"/>
      <c r="J76" s="24" t="s">
        <v>2</v>
      </c>
      <c r="K76" s="22" t="s">
        <v>110</v>
      </c>
      <c r="L76" s="96" t="s">
        <v>111</v>
      </c>
      <c r="M76" s="96"/>
      <c r="N76" s="24" t="s">
        <v>109</v>
      </c>
      <c r="O76" s="95" t="s">
        <v>112</v>
      </c>
      <c r="P76" s="95"/>
      <c r="Q76" s="96" t="s">
        <v>113</v>
      </c>
      <c r="R76" s="96"/>
      <c r="S76" s="24" t="s">
        <v>18</v>
      </c>
      <c r="T76" s="59"/>
    </row>
    <row r="77" spans="2:22" ht="16" x14ac:dyDescent="0.2">
      <c r="B77" s="60"/>
      <c r="C77" s="25">
        <v>6</v>
      </c>
      <c r="D77" s="25">
        <v>3</v>
      </c>
      <c r="E77" s="25">
        <v>0</v>
      </c>
      <c r="F77" s="25">
        <v>3</v>
      </c>
      <c r="G77" s="25">
        <v>2</v>
      </c>
      <c r="J77" s="25">
        <v>0</v>
      </c>
      <c r="K77" s="25">
        <v>3</v>
      </c>
      <c r="L77" s="81">
        <v>1</v>
      </c>
      <c r="M77" s="81"/>
      <c r="N77" s="25">
        <v>0</v>
      </c>
      <c r="O77" s="81">
        <v>3</v>
      </c>
      <c r="P77" s="81"/>
      <c r="Q77" s="81">
        <v>1</v>
      </c>
      <c r="R77" s="81"/>
      <c r="S77" s="25">
        <v>0</v>
      </c>
      <c r="T77" s="61"/>
    </row>
    <row r="78" spans="2:22" ht="16" customHeight="1" x14ac:dyDescent="0.2">
      <c r="B78" s="82" t="s">
        <v>3</v>
      </c>
      <c r="C78" s="83"/>
      <c r="D78" s="83"/>
      <c r="E78" s="83"/>
      <c r="F78" s="83"/>
      <c r="G78" s="83"/>
      <c r="H78" s="83"/>
      <c r="I78" s="83"/>
      <c r="J78" s="83"/>
      <c r="K78" s="83"/>
      <c r="L78" s="83"/>
      <c r="M78" s="83"/>
      <c r="N78" s="83"/>
      <c r="O78" s="83"/>
      <c r="P78" s="83"/>
      <c r="Q78" s="83"/>
      <c r="R78" s="83"/>
      <c r="S78" s="83"/>
      <c r="T78" s="84"/>
      <c r="U78" s="1"/>
      <c r="V78" s="1"/>
    </row>
    <row r="79" spans="2:22" ht="16" customHeight="1" x14ac:dyDescent="0.2">
      <c r="B79" s="82" t="s">
        <v>79</v>
      </c>
      <c r="C79" s="83"/>
      <c r="D79" s="83"/>
      <c r="E79" s="83"/>
      <c r="F79" s="83"/>
      <c r="G79" s="83"/>
      <c r="H79" s="83"/>
      <c r="I79" s="83"/>
      <c r="J79" s="83"/>
      <c r="K79" s="83"/>
      <c r="L79" s="83"/>
      <c r="M79" s="83"/>
      <c r="N79" s="83"/>
      <c r="O79" s="83"/>
      <c r="P79" s="83"/>
      <c r="Q79" s="83"/>
      <c r="R79" s="83"/>
      <c r="S79" s="83"/>
      <c r="T79" s="84"/>
    </row>
    <row r="80" spans="2:22" ht="16" x14ac:dyDescent="0.2">
      <c r="B80" s="85"/>
      <c r="C80" s="86"/>
      <c r="D80" s="86"/>
      <c r="E80" s="86"/>
      <c r="F80" s="86"/>
      <c r="G80" s="86"/>
      <c r="H80" s="86"/>
      <c r="I80" s="86"/>
      <c r="J80" s="86"/>
      <c r="K80" s="86"/>
      <c r="L80" s="86"/>
      <c r="M80" s="86"/>
      <c r="N80" s="86"/>
      <c r="O80" s="86"/>
      <c r="P80" s="86"/>
      <c r="Q80" s="86"/>
      <c r="R80" s="86"/>
      <c r="S80" s="86"/>
      <c r="T80" s="87"/>
    </row>
    <row r="84" spans="2:38" s="1" customFormat="1" ht="18" customHeight="1" x14ac:dyDescent="0.2">
      <c r="B84" s="5"/>
      <c r="C84" s="5"/>
      <c r="D84" s="5"/>
      <c r="E84" s="5"/>
      <c r="F84" s="5"/>
      <c r="G84" s="5"/>
      <c r="L84" s="12"/>
      <c r="M84" s="9"/>
      <c r="S84" s="5"/>
      <c r="T84" s="5"/>
      <c r="U84" s="5"/>
      <c r="V84" s="5"/>
      <c r="W84" s="5"/>
      <c r="X84" s="5"/>
      <c r="Y84" s="5"/>
      <c r="Z84" s="5"/>
      <c r="AA84" s="5"/>
      <c r="AB84" s="5"/>
      <c r="AC84" s="5"/>
      <c r="AD84" s="5"/>
      <c r="AE84" s="5"/>
      <c r="AF84" s="5"/>
      <c r="AG84" s="5"/>
      <c r="AH84" s="5"/>
      <c r="AI84" s="5"/>
      <c r="AJ84" s="5"/>
      <c r="AK84" s="5"/>
      <c r="AL84" s="5"/>
    </row>
    <row r="85" spans="2:38" s="1" customFormat="1" ht="18" customHeight="1" x14ac:dyDescent="0.2">
      <c r="B85" s="5"/>
      <c r="C85" s="5"/>
      <c r="D85" s="5"/>
      <c r="E85" s="5"/>
      <c r="F85" s="5"/>
      <c r="G85" s="5"/>
      <c r="L85" s="12"/>
      <c r="M85" s="9"/>
      <c r="S85" s="5"/>
      <c r="T85" s="5"/>
      <c r="U85" s="5"/>
      <c r="V85" s="5"/>
      <c r="W85" s="5"/>
      <c r="X85" s="5"/>
      <c r="Y85" s="5"/>
      <c r="Z85" s="5"/>
      <c r="AA85" s="5"/>
      <c r="AB85" s="5"/>
      <c r="AC85" s="5"/>
      <c r="AD85" s="5"/>
      <c r="AE85" s="5"/>
      <c r="AF85" s="5"/>
      <c r="AG85" s="5"/>
      <c r="AH85" s="5"/>
      <c r="AI85" s="5"/>
      <c r="AJ85" s="5"/>
      <c r="AK85" s="5"/>
      <c r="AL85" s="5"/>
    </row>
    <row r="86" spans="2:38" s="1" customFormat="1" ht="18" customHeight="1" x14ac:dyDescent="0.2">
      <c r="B86" s="5"/>
      <c r="C86" s="5"/>
      <c r="D86" s="5"/>
      <c r="E86" s="5"/>
      <c r="F86" s="5"/>
      <c r="G86" s="5"/>
      <c r="L86" s="12"/>
      <c r="M86" s="9"/>
      <c r="S86" s="5"/>
      <c r="T86" s="5"/>
      <c r="U86" s="5"/>
      <c r="V86" s="5"/>
      <c r="W86" s="5"/>
      <c r="X86" s="5"/>
      <c r="Y86" s="5"/>
      <c r="Z86" s="5"/>
      <c r="AA86" s="5"/>
      <c r="AB86" s="5"/>
      <c r="AC86" s="5"/>
      <c r="AD86" s="5"/>
      <c r="AE86" s="5"/>
      <c r="AF86" s="5"/>
      <c r="AG86" s="5"/>
      <c r="AH86" s="5"/>
      <c r="AI86" s="5"/>
      <c r="AJ86" s="5"/>
      <c r="AK86" s="5"/>
      <c r="AL86" s="5"/>
    </row>
  </sheetData>
  <sheetProtection selectLockedCells="1"/>
  <mergeCells count="172">
    <mergeCell ref="B1:H1"/>
    <mergeCell ref="C2:H2"/>
    <mergeCell ref="I2:L2"/>
    <mergeCell ref="B3:D3"/>
    <mergeCell ref="E3:H3"/>
    <mergeCell ref="B4:D4"/>
    <mergeCell ref="F74:J74"/>
    <mergeCell ref="K74:N74"/>
    <mergeCell ref="O74:S74"/>
    <mergeCell ref="B11:F11"/>
    <mergeCell ref="B12:F12"/>
    <mergeCell ref="B13:F13"/>
    <mergeCell ref="B14:F14"/>
    <mergeCell ref="B15:F15"/>
    <mergeCell ref="B16:F16"/>
    <mergeCell ref="B5:D5"/>
    <mergeCell ref="B6:F6"/>
    <mergeCell ref="B7:F7"/>
    <mergeCell ref="B8:F8"/>
    <mergeCell ref="B9:F9"/>
    <mergeCell ref="B10:F10"/>
    <mergeCell ref="B24:F24"/>
    <mergeCell ref="B25:F25"/>
    <mergeCell ref="B26:F26"/>
    <mergeCell ref="B27:F27"/>
    <mergeCell ref="B28:F28"/>
    <mergeCell ref="B29:F29"/>
    <mergeCell ref="B17:F17"/>
    <mergeCell ref="B18:F18"/>
    <mergeCell ref="B19:F19"/>
    <mergeCell ref="B20:F20"/>
    <mergeCell ref="B21:F21"/>
    <mergeCell ref="B23:F23"/>
    <mergeCell ref="B22:F22"/>
    <mergeCell ref="C37:E37"/>
    <mergeCell ref="F37:H37"/>
    <mergeCell ref="I37:K37"/>
    <mergeCell ref="L37:N37"/>
    <mergeCell ref="O37:R37"/>
    <mergeCell ref="S37:V37"/>
    <mergeCell ref="B30:F30"/>
    <mergeCell ref="B31:F31"/>
    <mergeCell ref="B32:C32"/>
    <mergeCell ref="B35:W35"/>
    <mergeCell ref="C36:E36"/>
    <mergeCell ref="F36:H36"/>
    <mergeCell ref="I36:K36"/>
    <mergeCell ref="L36:N36"/>
    <mergeCell ref="O36:R36"/>
    <mergeCell ref="S36:V36"/>
    <mergeCell ref="C38:E38"/>
    <mergeCell ref="I38:K38"/>
    <mergeCell ref="L38:N38"/>
    <mergeCell ref="O38:R38"/>
    <mergeCell ref="S38:V38"/>
    <mergeCell ref="C39:E39"/>
    <mergeCell ref="F39:H39"/>
    <mergeCell ref="I39:K39"/>
    <mergeCell ref="L39:N39"/>
    <mergeCell ref="O39:R39"/>
    <mergeCell ref="AB46:AD46"/>
    <mergeCell ref="AF46:AH46"/>
    <mergeCell ref="C47:E47"/>
    <mergeCell ref="F47:H47"/>
    <mergeCell ref="I47:K47"/>
    <mergeCell ref="L47:Q47"/>
    <mergeCell ref="AB47:AD47"/>
    <mergeCell ref="AF47:AH47"/>
    <mergeCell ref="S39:V39"/>
    <mergeCell ref="C40:E40"/>
    <mergeCell ref="F40:H40"/>
    <mergeCell ref="B45:Q45"/>
    <mergeCell ref="R45:R46"/>
    <mergeCell ref="C46:E46"/>
    <mergeCell ref="F46:H46"/>
    <mergeCell ref="I46:K46"/>
    <mergeCell ref="L46:Q46"/>
    <mergeCell ref="S41:V42"/>
    <mergeCell ref="B41:B42"/>
    <mergeCell ref="AF48:AH48"/>
    <mergeCell ref="L49:Q49"/>
    <mergeCell ref="C50:E50"/>
    <mergeCell ref="F50:H50"/>
    <mergeCell ref="I50:K50"/>
    <mergeCell ref="L50:N50"/>
    <mergeCell ref="O50:Q50"/>
    <mergeCell ref="C48:E48"/>
    <mergeCell ref="F48:H48"/>
    <mergeCell ref="I48:K48"/>
    <mergeCell ref="L48:N48"/>
    <mergeCell ref="O48:Q48"/>
    <mergeCell ref="AB48:AD48"/>
    <mergeCell ref="C51:E51"/>
    <mergeCell ref="L58:R58"/>
    <mergeCell ref="B52:B53"/>
    <mergeCell ref="C52:E53"/>
    <mergeCell ref="F52:H53"/>
    <mergeCell ref="F58:H58"/>
    <mergeCell ref="C58:E58"/>
    <mergeCell ref="I58:K58"/>
    <mergeCell ref="B56:R56"/>
    <mergeCell ref="B57:R57"/>
    <mergeCell ref="L59:R59"/>
    <mergeCell ref="C60:E60"/>
    <mergeCell ref="F59:H59"/>
    <mergeCell ref="F60:H60"/>
    <mergeCell ref="I60:K60"/>
    <mergeCell ref="L60:M60"/>
    <mergeCell ref="N60:O60"/>
    <mergeCell ref="P60:R60"/>
    <mergeCell ref="C59:E59"/>
    <mergeCell ref="I59:K59"/>
    <mergeCell ref="L65:R65"/>
    <mergeCell ref="P61:R61"/>
    <mergeCell ref="C62:E62"/>
    <mergeCell ref="F62:H62"/>
    <mergeCell ref="I62:K62"/>
    <mergeCell ref="L62:M62"/>
    <mergeCell ref="N62:O62"/>
    <mergeCell ref="C61:E61"/>
    <mergeCell ref="F61:H61"/>
    <mergeCell ref="I61:K61"/>
    <mergeCell ref="L61:M61"/>
    <mergeCell ref="N61:O61"/>
    <mergeCell ref="F64:H64"/>
    <mergeCell ref="F65:H65"/>
    <mergeCell ref="C65:E65"/>
    <mergeCell ref="C64:E64"/>
    <mergeCell ref="I64:K64"/>
    <mergeCell ref="I65:K65"/>
    <mergeCell ref="B63:R63"/>
    <mergeCell ref="I68:K68"/>
    <mergeCell ref="L68:M68"/>
    <mergeCell ref="N68:O68"/>
    <mergeCell ref="L41:N42"/>
    <mergeCell ref="O41:R42"/>
    <mergeCell ref="P66:R66"/>
    <mergeCell ref="C67:E67"/>
    <mergeCell ref="F67:H67"/>
    <mergeCell ref="I67:K67"/>
    <mergeCell ref="L67:M67"/>
    <mergeCell ref="N67:O67"/>
    <mergeCell ref="P67:R67"/>
    <mergeCell ref="C66:E66"/>
    <mergeCell ref="F66:H66"/>
    <mergeCell ref="I66:K66"/>
    <mergeCell ref="L66:M66"/>
    <mergeCell ref="N66:O66"/>
    <mergeCell ref="L64:R64"/>
    <mergeCell ref="L77:M77"/>
    <mergeCell ref="O77:P77"/>
    <mergeCell ref="Q77:R77"/>
    <mergeCell ref="B78:T78"/>
    <mergeCell ref="B79:T80"/>
    <mergeCell ref="C41:E42"/>
    <mergeCell ref="F41:H42"/>
    <mergeCell ref="I41:K42"/>
    <mergeCell ref="C75:E75"/>
    <mergeCell ref="F75:J75"/>
    <mergeCell ref="K75:N75"/>
    <mergeCell ref="O75:S75"/>
    <mergeCell ref="F76:G76"/>
    <mergeCell ref="H76:I76"/>
    <mergeCell ref="L76:M76"/>
    <mergeCell ref="O76:P76"/>
    <mergeCell ref="Q76:R76"/>
    <mergeCell ref="B69:L69"/>
    <mergeCell ref="B70:L70"/>
    <mergeCell ref="B73:T73"/>
    <mergeCell ref="C74:E74"/>
    <mergeCell ref="C68:E68"/>
    <mergeCell ref="F68:H68"/>
  </mergeCells>
  <conditionalFormatting sqref="C37 F37 I37 L37 O37 S37 W37">
    <cfRule type="colorScale" priority="20">
      <colorScale>
        <cfvo type="num" val="0.3"/>
        <cfvo type="num" val="0.5"/>
        <cfvo type="num" val="1"/>
        <color theme="9" tint="-0.249977111117893"/>
        <color rgb="FFFFC000"/>
        <color rgb="FFFF0000"/>
      </colorScale>
    </cfRule>
    <cfRule type="colorScale" priority="21">
      <colorScale>
        <cfvo type="min"/>
        <cfvo type="percentile" val="50"/>
        <cfvo type="max"/>
        <color rgb="FFF8696B"/>
        <color rgb="FFFFEB84"/>
        <color rgb="FF63BE7B"/>
      </colorScale>
    </cfRule>
    <cfRule type="colorScale" priority="22">
      <colorScale>
        <cfvo type="num" val="0"/>
        <cfvo type="num" val="1"/>
        <color theme="9"/>
        <color rgb="FFFF0000"/>
      </colorScale>
    </cfRule>
  </conditionalFormatting>
  <conditionalFormatting sqref="F47 C47 I47 L47 R47">
    <cfRule type="colorScale" priority="39">
      <colorScale>
        <cfvo type="num" val="0.3"/>
        <cfvo type="num" val="0.5"/>
        <cfvo type="num" val="1"/>
        <color theme="9" tint="-0.249977111117893"/>
        <color rgb="FFFFC000"/>
        <color rgb="FFFF0000"/>
      </colorScale>
    </cfRule>
    <cfRule type="colorScale" priority="40">
      <colorScale>
        <cfvo type="min"/>
        <cfvo type="percentile" val="50"/>
        <cfvo type="max"/>
        <color rgb="FFF8696B"/>
        <color rgb="FFFFEB84"/>
        <color rgb="FF63BE7B"/>
      </colorScale>
    </cfRule>
    <cfRule type="colorScale" priority="41">
      <colorScale>
        <cfvo type="num" val="0"/>
        <cfvo type="num" val="1"/>
        <color theme="9"/>
        <color rgb="FFFF0000"/>
      </colorScale>
    </cfRule>
  </conditionalFormatting>
  <conditionalFormatting sqref="G7">
    <cfRule type="colorScale" priority="36">
      <colorScale>
        <cfvo type="num" val="0.3"/>
        <cfvo type="num" val="0.5"/>
        <cfvo type="num" val="1"/>
        <color theme="9" tint="-0.249977111117893"/>
        <color rgb="FFFFC000"/>
        <color rgb="FFFF0000"/>
      </colorScale>
    </cfRule>
    <cfRule type="colorScale" priority="37">
      <colorScale>
        <cfvo type="min"/>
        <cfvo type="percentile" val="50"/>
        <cfvo type="max"/>
        <color rgb="FFF8696B"/>
        <color rgb="FFFFEB84"/>
        <color rgb="FF63BE7B"/>
      </colorScale>
    </cfRule>
    <cfRule type="colorScale" priority="38">
      <colorScale>
        <cfvo type="num" val="0"/>
        <cfvo type="num" val="1"/>
        <color theme="9"/>
        <color rgb="FFFF0000"/>
      </colorScale>
    </cfRule>
  </conditionalFormatting>
  <conditionalFormatting sqref="G15">
    <cfRule type="colorScale" priority="33">
      <colorScale>
        <cfvo type="num" val="0.3"/>
        <cfvo type="num" val="0.5"/>
        <cfvo type="num" val="1"/>
        <color theme="9" tint="-0.249977111117893"/>
        <color rgb="FFFFC000"/>
        <color rgb="FFFF0000"/>
      </colorScale>
    </cfRule>
    <cfRule type="colorScale" priority="34">
      <colorScale>
        <cfvo type="min"/>
        <cfvo type="percentile" val="50"/>
        <cfvo type="max"/>
        <color rgb="FFF8696B"/>
        <color rgb="FFFFEB84"/>
        <color rgb="FF63BE7B"/>
      </colorScale>
    </cfRule>
    <cfRule type="colorScale" priority="35">
      <colorScale>
        <cfvo type="num" val="0"/>
        <cfvo type="num" val="1"/>
        <color theme="9"/>
        <color rgb="FFFF0000"/>
      </colorScale>
    </cfRule>
  </conditionalFormatting>
  <conditionalFormatting sqref="G21">
    <cfRule type="colorScale" priority="30">
      <colorScale>
        <cfvo type="num" val="0.3"/>
        <cfvo type="num" val="0.5"/>
        <cfvo type="num" val="1"/>
        <color theme="9" tint="-0.249977111117893"/>
        <color rgb="FFFFC000"/>
        <color rgb="FFFF0000"/>
      </colorScale>
    </cfRule>
    <cfRule type="colorScale" priority="31">
      <colorScale>
        <cfvo type="min"/>
        <cfvo type="percentile" val="50"/>
        <cfvo type="max"/>
        <color rgb="FFF8696B"/>
        <color rgb="FFFFEB84"/>
        <color rgb="FF63BE7B"/>
      </colorScale>
    </cfRule>
    <cfRule type="colorScale" priority="32">
      <colorScale>
        <cfvo type="num" val="0"/>
        <cfvo type="num" val="1"/>
        <color theme="9"/>
        <color rgb="FFFF0000"/>
      </colorScale>
    </cfRule>
  </conditionalFormatting>
  <conditionalFormatting sqref="G27">
    <cfRule type="colorScale" priority="26">
      <colorScale>
        <cfvo type="num" val="0"/>
        <cfvo type="percentile" val="0.5"/>
        <cfvo type="num" val="1"/>
        <color rgb="FFFF0000"/>
        <color rgb="FFFFEB84"/>
        <color theme="9"/>
      </colorScale>
    </cfRule>
    <cfRule type="colorScale" priority="27">
      <colorScale>
        <cfvo type="num" val="0.3"/>
        <cfvo type="num" val="0.5"/>
        <cfvo type="num" val="1"/>
        <color rgb="FF63BE7B"/>
        <color rgb="FFFFEB84"/>
        <color rgb="FFF8696B"/>
      </colorScale>
    </cfRule>
    <cfRule type="colorScale" priority="28">
      <colorScale>
        <cfvo type="num" val="0"/>
        <cfvo type="percentile" val="0.5"/>
        <cfvo type="num" val="1"/>
        <color rgb="FFF8696B"/>
        <color rgb="FFFFEB84"/>
        <color rgb="FF63BE7B"/>
      </colorScale>
    </cfRule>
    <cfRule type="colorScale" priority="29">
      <colorScale>
        <cfvo type="num" val="0"/>
        <cfvo type="num" val="1"/>
        <color theme="9"/>
        <color rgb="FFFF0000"/>
      </colorScale>
    </cfRule>
  </conditionalFormatting>
  <conditionalFormatting sqref="G32">
    <cfRule type="colorScale" priority="23">
      <colorScale>
        <cfvo type="num" val="0.3"/>
        <cfvo type="num" val="0.5"/>
        <cfvo type="num" val="1"/>
        <color theme="9" tint="-0.249977111117893"/>
        <color rgb="FFFFC000"/>
        <color rgb="FFFF0000"/>
      </colorScale>
    </cfRule>
    <cfRule type="colorScale" priority="24">
      <colorScale>
        <cfvo type="min"/>
        <cfvo type="percentile" val="50"/>
        <cfvo type="max"/>
        <color rgb="FFF8696B"/>
        <color rgb="FFFFEB84"/>
        <color rgb="FF63BE7B"/>
      </colorScale>
    </cfRule>
    <cfRule type="colorScale" priority="25">
      <colorScale>
        <cfvo type="num" val="0"/>
        <cfvo type="num" val="1"/>
        <color theme="9"/>
        <color rgb="FFFF0000"/>
      </colorScale>
    </cfRule>
  </conditionalFormatting>
  <conditionalFormatting sqref="F65 L65 I65">
    <cfRule type="colorScale" priority="14">
      <colorScale>
        <cfvo type="num" val="0.3"/>
        <cfvo type="num" val="0.5"/>
        <cfvo type="num" val="1"/>
        <color theme="9" tint="-0.249977111117893"/>
        <color rgb="FFFFC000"/>
        <color rgb="FFFF0000"/>
      </colorScale>
    </cfRule>
    <cfRule type="colorScale" priority="15">
      <colorScale>
        <cfvo type="min"/>
        <cfvo type="percentile" val="50"/>
        <cfvo type="max"/>
        <color rgb="FFF8696B"/>
        <color rgb="FFFFEB84"/>
        <color rgb="FF63BE7B"/>
      </colorScale>
    </cfRule>
    <cfRule type="colorScale" priority="16">
      <colorScale>
        <cfvo type="num" val="0"/>
        <cfvo type="num" val="1"/>
        <color theme="9"/>
        <color rgb="FFFF0000"/>
      </colorScale>
    </cfRule>
  </conditionalFormatting>
  <conditionalFormatting sqref="T75">
    <cfRule type="colorScale" priority="10">
      <colorScale>
        <cfvo type="num" val="0"/>
        <cfvo type="percentile" val="0.5"/>
        <cfvo type="num" val="1"/>
        <color rgb="FFFF0000"/>
        <color rgb="FFFFEB84"/>
        <color theme="9"/>
      </colorScale>
    </cfRule>
    <cfRule type="colorScale" priority="11">
      <colorScale>
        <cfvo type="num" val="0.3"/>
        <cfvo type="num" val="0.5"/>
        <cfvo type="num" val="1"/>
        <color rgb="FF63BE7B"/>
        <color rgb="FFFFEB84"/>
        <color rgb="FFF8696B"/>
      </colorScale>
    </cfRule>
    <cfRule type="colorScale" priority="12">
      <colorScale>
        <cfvo type="num" val="0"/>
        <cfvo type="percentile" val="0.5"/>
        <cfvo type="num" val="1"/>
        <color rgb="FFF8696B"/>
        <color rgb="FFFFEB84"/>
        <color rgb="FF63BE7B"/>
      </colorScale>
    </cfRule>
    <cfRule type="colorScale" priority="13">
      <colorScale>
        <cfvo type="num" val="0"/>
        <cfvo type="num" val="1"/>
        <color theme="9"/>
        <color rgb="FFFF0000"/>
      </colorScale>
    </cfRule>
  </conditionalFormatting>
  <conditionalFormatting sqref="S57 L59 I59">
    <cfRule type="colorScale" priority="17">
      <colorScale>
        <cfvo type="num" val="0.3"/>
        <cfvo type="num" val="0.5"/>
        <cfvo type="num" val="1"/>
        <color theme="9" tint="-0.249977111117893"/>
        <color rgb="FFFFC000"/>
        <color rgb="FFFF0000"/>
      </colorScale>
    </cfRule>
    <cfRule type="colorScale" priority="18">
      <colorScale>
        <cfvo type="min"/>
        <cfvo type="percentile" val="50"/>
        <cfvo type="max"/>
        <color rgb="FFF8696B"/>
        <color rgb="FFFFEB84"/>
        <color rgb="FF63BE7B"/>
      </colorScale>
    </cfRule>
    <cfRule type="colorScale" priority="19">
      <colorScale>
        <cfvo type="num" val="0"/>
        <cfvo type="num" val="1"/>
        <color theme="9"/>
        <color rgb="FFFF0000"/>
      </colorScale>
    </cfRule>
  </conditionalFormatting>
  <conditionalFormatting sqref="C59">
    <cfRule type="colorScale" priority="7">
      <colorScale>
        <cfvo type="num" val="0.3"/>
        <cfvo type="num" val="0.5"/>
        <cfvo type="num" val="1"/>
        <color theme="9" tint="-0.249977111117893"/>
        <color rgb="FFFFC000"/>
        <color rgb="FFFF0000"/>
      </colorScale>
    </cfRule>
    <cfRule type="colorScale" priority="8">
      <colorScale>
        <cfvo type="min"/>
        <cfvo type="percentile" val="50"/>
        <cfvo type="max"/>
        <color rgb="FFF8696B"/>
        <color rgb="FFFFEB84"/>
        <color rgb="FF63BE7B"/>
      </colorScale>
    </cfRule>
    <cfRule type="colorScale" priority="9">
      <colorScale>
        <cfvo type="num" val="0"/>
        <cfvo type="num" val="1"/>
        <color theme="9"/>
        <color rgb="FFFF0000"/>
      </colorScale>
    </cfRule>
  </conditionalFormatting>
  <conditionalFormatting sqref="C65">
    <cfRule type="colorScale" priority="4">
      <colorScale>
        <cfvo type="num" val="0.3"/>
        <cfvo type="num" val="0.5"/>
        <cfvo type="num" val="1"/>
        <color theme="9" tint="-0.249977111117893"/>
        <color rgb="FFFFC000"/>
        <color rgb="FFFF0000"/>
      </colorScale>
    </cfRule>
    <cfRule type="colorScale" priority="5">
      <colorScale>
        <cfvo type="min"/>
        <cfvo type="percentile" val="50"/>
        <cfvo type="max"/>
        <color rgb="FFF8696B"/>
        <color rgb="FFFFEB84"/>
        <color rgb="FF63BE7B"/>
      </colorScale>
    </cfRule>
    <cfRule type="colorScale" priority="6">
      <colorScale>
        <cfvo type="num" val="0"/>
        <cfvo type="num" val="1"/>
        <color theme="9"/>
        <color rgb="FFFF0000"/>
      </colorScale>
    </cfRule>
  </conditionalFormatting>
  <conditionalFormatting sqref="F59">
    <cfRule type="colorScale" priority="1">
      <colorScale>
        <cfvo type="num" val="0.3"/>
        <cfvo type="num" val="0.5"/>
        <cfvo type="num" val="1"/>
        <color theme="9" tint="-0.249977111117893"/>
        <color rgb="FFFFC000"/>
        <color rgb="FFFF0000"/>
      </colorScale>
    </cfRule>
    <cfRule type="colorScale" priority="2">
      <colorScale>
        <cfvo type="min"/>
        <cfvo type="percentile" val="50"/>
        <cfvo type="max"/>
        <color rgb="FFF8696B"/>
        <color rgb="FFFFEB84"/>
        <color rgb="FF63BE7B"/>
      </colorScale>
    </cfRule>
    <cfRule type="colorScale" priority="3">
      <colorScale>
        <cfvo type="num" val="0"/>
        <cfvo type="num" val="1"/>
        <color theme="9"/>
        <color rgb="FFFF0000"/>
      </colorScale>
    </cfRule>
  </conditionalFormatting>
  <dataValidations count="4">
    <dataValidation type="list" allowBlank="1" showInputMessage="1" showErrorMessage="1" sqref="S38:V38" xr:uid="{B67C3245-0B01-2C41-A64F-B020B3C0E42D}">
      <formula1>$S$40:$V$40</formula1>
    </dataValidation>
    <dataValidation type="list" allowBlank="1" showInputMessage="1" showErrorMessage="1" sqref="O38" xr:uid="{FDC72271-EBD8-7946-BB13-E7BD46DC4312}">
      <formula1>$O$40:$R$40</formula1>
    </dataValidation>
    <dataValidation type="list" allowBlank="1" showInputMessage="1" showErrorMessage="1" sqref="F48:H49" xr:uid="{609FF702-1BA0-8D45-808D-D0A8CADD5DD6}">
      <formula1>$F$51:$H$51</formula1>
    </dataValidation>
    <dataValidation type="list" allowBlank="1" showInputMessage="1" showErrorMessage="1" sqref="I48:I49" xr:uid="{1603FF65-1AD3-AD43-8E18-563D3A9EFE2C}">
      <formula1>$I$51:$K$51</formula1>
    </dataValidation>
  </dataValidations>
  <pageMargins left="0.7" right="0.7" top="0.75" bottom="0.75" header="0.3" footer="0.3"/>
  <pageSetup paperSize="9" orientation="portrait" horizontalDpi="0" verticalDpi="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A5A4D-2000-A24D-B058-9E9AB0DB7285}">
  <sheetPr>
    <tabColor theme="1"/>
  </sheetPr>
  <dimension ref="B1:AL101"/>
  <sheetViews>
    <sheetView topLeftCell="A80" zoomScaleNormal="100" workbookViewId="0">
      <selection activeCell="F90" sqref="F90:H90"/>
    </sheetView>
  </sheetViews>
  <sheetFormatPr baseColWidth="10" defaultRowHeight="18" customHeight="1" x14ac:dyDescent="0.2"/>
  <cols>
    <col min="1" max="1" width="3.5" style="5" customWidth="1"/>
    <col min="2" max="2" width="10.83203125" style="7" customWidth="1"/>
    <col min="3" max="3" width="10.83203125" style="1" customWidth="1"/>
    <col min="4" max="4" width="10.83203125" style="3" customWidth="1"/>
    <col min="5" max="5" width="10.83203125" style="4" customWidth="1"/>
    <col min="6" max="6" width="10.83203125" style="2" customWidth="1"/>
    <col min="7" max="11" width="10.83203125" style="1" customWidth="1"/>
    <col min="12" max="12" width="10.83203125" style="12" customWidth="1"/>
    <col min="13" max="13" width="10.83203125" style="9" customWidth="1"/>
    <col min="14" max="18" width="10.83203125" style="1" customWidth="1"/>
    <col min="19" max="22" width="10.83203125" style="5" customWidth="1"/>
    <col min="23" max="23" width="12.5" style="5" bestFit="1" customWidth="1"/>
    <col min="24" max="24" width="11.6640625" style="5" bestFit="1" customWidth="1"/>
    <col min="25" max="25" width="10.83203125" style="5"/>
    <col min="26" max="32" width="10.83203125" style="5" customWidth="1"/>
    <col min="33" max="16384" width="10.83203125" style="5"/>
  </cols>
  <sheetData>
    <row r="1" spans="2:38" ht="37" customHeight="1" x14ac:dyDescent="0.2">
      <c r="B1" s="143" t="s">
        <v>54</v>
      </c>
      <c r="C1" s="144"/>
      <c r="D1" s="144"/>
      <c r="E1" s="144"/>
      <c r="F1" s="144"/>
      <c r="G1" s="144"/>
      <c r="H1" s="145"/>
      <c r="I1" s="44"/>
      <c r="J1" s="26"/>
      <c r="K1" s="26"/>
      <c r="L1" s="26"/>
      <c r="M1" s="26"/>
    </row>
    <row r="2" spans="2:38" ht="23" customHeight="1" x14ac:dyDescent="0.2">
      <c r="B2" s="28" t="s">
        <v>47</v>
      </c>
      <c r="C2" s="146" t="s">
        <v>119</v>
      </c>
      <c r="D2" s="147"/>
      <c r="E2" s="147"/>
      <c r="F2" s="147"/>
      <c r="G2" s="147"/>
      <c r="H2" s="148"/>
      <c r="I2" s="149" t="s">
        <v>51</v>
      </c>
      <c r="J2" s="150"/>
      <c r="K2" s="150"/>
      <c r="L2" s="150"/>
    </row>
    <row r="3" spans="2:38" ht="21" customHeight="1" x14ac:dyDescent="0.2">
      <c r="B3" s="151" t="s">
        <v>56</v>
      </c>
      <c r="C3" s="152"/>
      <c r="D3" s="153"/>
      <c r="E3" s="154" t="s">
        <v>49</v>
      </c>
      <c r="F3" s="154"/>
      <c r="G3" s="154"/>
      <c r="H3" s="154"/>
      <c r="I3" s="26"/>
      <c r="J3" s="26"/>
      <c r="K3" s="26"/>
      <c r="L3" s="26"/>
    </row>
    <row r="4" spans="2:38" ht="21" customHeight="1" x14ac:dyDescent="0.2">
      <c r="B4" s="151" t="s">
        <v>50</v>
      </c>
      <c r="C4" s="152"/>
      <c r="D4" s="153"/>
      <c r="E4" s="40" t="s">
        <v>114</v>
      </c>
      <c r="F4" s="40"/>
      <c r="G4" s="40"/>
      <c r="H4" s="41"/>
      <c r="I4" s="26"/>
      <c r="J4" s="26"/>
      <c r="K4" s="26"/>
      <c r="L4" s="26"/>
    </row>
    <row r="5" spans="2:38" ht="21" customHeight="1" x14ac:dyDescent="0.2">
      <c r="B5" s="158"/>
      <c r="C5" s="159"/>
      <c r="D5" s="159"/>
      <c r="E5" s="42"/>
      <c r="F5" s="42"/>
      <c r="G5" s="42"/>
      <c r="H5" s="43"/>
      <c r="I5" s="26"/>
      <c r="J5" s="26"/>
      <c r="K5" s="26"/>
      <c r="L5" s="26"/>
    </row>
    <row r="6" spans="2:38" ht="21" x14ac:dyDescent="0.2">
      <c r="B6" s="160" t="s">
        <v>40</v>
      </c>
      <c r="C6" s="160"/>
      <c r="D6" s="160"/>
      <c r="E6" s="160"/>
      <c r="F6" s="160"/>
      <c r="G6" s="38" t="s">
        <v>23</v>
      </c>
      <c r="H6" s="39" t="s">
        <v>19</v>
      </c>
      <c r="I6" s="5"/>
      <c r="J6" s="5"/>
      <c r="K6" s="12"/>
      <c r="P6" s="76"/>
    </row>
    <row r="7" spans="2:38" ht="18" customHeight="1" x14ac:dyDescent="0.2">
      <c r="B7" s="140" t="str">
        <f>B34</f>
        <v>Geological factors (G)</v>
      </c>
      <c r="C7" s="140"/>
      <c r="D7" s="140"/>
      <c r="E7" s="140"/>
      <c r="F7" s="140"/>
      <c r="G7" s="27">
        <f>FORGE!W36</f>
        <v>1</v>
      </c>
      <c r="H7" s="11"/>
      <c r="I7" s="5"/>
      <c r="P7" s="77"/>
    </row>
    <row r="8" spans="2:38" ht="18" customHeight="1" x14ac:dyDescent="0.2">
      <c r="B8" s="137" t="str">
        <f>FORGE!C35</f>
        <v>Smallest distance to geologically known active or potentially-active faults [km]</v>
      </c>
      <c r="C8" s="137"/>
      <c r="D8" s="137"/>
      <c r="E8" s="137"/>
      <c r="F8" s="137"/>
      <c r="G8" s="19">
        <f>FORGE!C36</f>
        <v>1</v>
      </c>
      <c r="H8" s="10" t="str">
        <f>FORGE!C38</f>
        <v>low</v>
      </c>
      <c r="I8" s="5"/>
      <c r="J8" s="5"/>
      <c r="K8" s="5"/>
      <c r="L8" s="5"/>
      <c r="P8" s="78"/>
    </row>
    <row r="9" spans="2:38" ht="18" customHeight="1" x14ac:dyDescent="0.2">
      <c r="B9" s="137" t="str">
        <f>FORGE!F35</f>
        <v>Earthquake activities</v>
      </c>
      <c r="C9" s="137"/>
      <c r="D9" s="137"/>
      <c r="E9" s="137"/>
      <c r="F9" s="137"/>
      <c r="G9" s="19">
        <f>FORGE!F36</f>
        <v>0.94791666666666663</v>
      </c>
      <c r="H9" s="10" t="str">
        <f>FORGE!F38</f>
        <v>medium</v>
      </c>
      <c r="I9" s="5"/>
      <c r="J9" s="5"/>
      <c r="P9" s="78"/>
    </row>
    <row r="10" spans="2:38" ht="18" customHeight="1" x14ac:dyDescent="0.2">
      <c r="B10" s="137" t="str">
        <f>FORGE!I35</f>
        <v>Smallest distance to any mapped inactive fault [km]</v>
      </c>
      <c r="C10" s="137"/>
      <c r="D10" s="137"/>
      <c r="E10" s="137"/>
      <c r="F10" s="137"/>
      <c r="G10" s="19">
        <f>FORGE!I36</f>
        <v>1</v>
      </c>
      <c r="H10" s="10" t="str">
        <f>FORGE!I38</f>
        <v>low</v>
      </c>
      <c r="I10" s="5"/>
      <c r="J10" s="5"/>
    </row>
    <row r="11" spans="2:38" ht="18" customHeight="1" x14ac:dyDescent="0.2">
      <c r="B11" s="141" t="str">
        <f>FORGE!O35</f>
        <v>mapped faults’ triggering potential (orientation with active faults)</v>
      </c>
      <c r="C11" s="141"/>
      <c r="D11" s="141"/>
      <c r="E11" s="141"/>
      <c r="F11" s="141"/>
      <c r="G11" s="10">
        <f>FORGE!O36</f>
        <v>1</v>
      </c>
      <c r="H11" s="10" t="str">
        <f>FORGE!O38</f>
        <v>low</v>
      </c>
      <c r="I11" s="5"/>
      <c r="J11" s="5"/>
    </row>
    <row r="12" spans="2:38" ht="18" customHeight="1" x14ac:dyDescent="0.2">
      <c r="B12" s="137" t="str">
        <f>FORGE!S35</f>
        <v>Fault or mapped fault plane and reservoir intersection</v>
      </c>
      <c r="C12" s="137"/>
      <c r="D12" s="137"/>
      <c r="E12" s="137"/>
      <c r="F12" s="137"/>
      <c r="G12" s="10">
        <f>FORGE!S36</f>
        <v>1</v>
      </c>
      <c r="H12" s="10"/>
      <c r="I12" s="5"/>
      <c r="J12" s="5"/>
      <c r="AA12"/>
      <c r="AB12"/>
      <c r="AC12"/>
      <c r="AD12"/>
      <c r="AE12"/>
      <c r="AF12"/>
      <c r="AG12"/>
      <c r="AH12"/>
      <c r="AI12"/>
      <c r="AJ12"/>
      <c r="AK12"/>
      <c r="AL12"/>
    </row>
    <row r="13" spans="2:38" ht="18" customHeight="1" x14ac:dyDescent="0.2">
      <c r="B13" s="141" t="str">
        <f>FORGE!L35</f>
        <v>Longest mapped fault length in the project facility[km]</v>
      </c>
      <c r="C13" s="141"/>
      <c r="D13" s="141"/>
      <c r="E13" s="141"/>
      <c r="F13" s="141"/>
      <c r="G13" s="10">
        <f>FORGE!L36</f>
        <v>1</v>
      </c>
      <c r="H13" s="10" t="str">
        <f>FORGE!L38</f>
        <v>High</v>
      </c>
      <c r="I13" s="5"/>
      <c r="J13" s="5"/>
      <c r="AB13"/>
      <c r="AC13"/>
      <c r="AD13"/>
      <c r="AE13"/>
      <c r="AF13"/>
      <c r="AG13"/>
      <c r="AH13"/>
      <c r="AI13"/>
      <c r="AJ13"/>
      <c r="AK13"/>
      <c r="AL13"/>
    </row>
    <row r="14" spans="2:38" ht="18" customHeight="1" x14ac:dyDescent="0.2">
      <c r="B14" s="141"/>
      <c r="C14" s="141"/>
      <c r="D14" s="141"/>
      <c r="E14" s="141"/>
      <c r="F14" s="141"/>
      <c r="G14" s="10"/>
      <c r="H14" s="10"/>
      <c r="I14" s="5"/>
      <c r="J14" s="5"/>
      <c r="AA14"/>
      <c r="AB14"/>
      <c r="AC14"/>
      <c r="AD14"/>
      <c r="AE14"/>
      <c r="AF14"/>
      <c r="AG14"/>
      <c r="AH14"/>
      <c r="AI14"/>
      <c r="AJ14"/>
      <c r="AK14"/>
      <c r="AL14"/>
    </row>
    <row r="15" spans="2:38" ht="18" customHeight="1" x14ac:dyDescent="0.2">
      <c r="B15" s="155" t="str">
        <f>B44</f>
        <v>Stimulation factors (O)</v>
      </c>
      <c r="C15" s="156"/>
      <c r="D15" s="156"/>
      <c r="E15" s="156"/>
      <c r="F15" s="157"/>
      <c r="G15" s="27">
        <f>FORGE!R46</f>
        <v>0.71381578947368418</v>
      </c>
      <c r="H15" s="11"/>
      <c r="I15" s="5"/>
      <c r="J15" s="5"/>
    </row>
    <row r="16" spans="2:38" ht="18" customHeight="1" x14ac:dyDescent="0.2">
      <c r="B16" s="141" t="str">
        <f>FORGE!C45</f>
        <v xml:space="preserve">Depth of stimulation </v>
      </c>
      <c r="C16" s="141"/>
      <c r="D16" s="141"/>
      <c r="E16" s="141"/>
      <c r="F16" s="141"/>
      <c r="G16" s="19">
        <f>FORGE!C46</f>
        <v>0.75</v>
      </c>
      <c r="H16" s="10" t="str">
        <f>FORGE!C49</f>
        <v>low</v>
      </c>
      <c r="I16" s="5"/>
      <c r="J16" s="5"/>
    </row>
    <row r="17" spans="2:10" ht="18" customHeight="1" x14ac:dyDescent="0.2">
      <c r="B17" s="141" t="str">
        <f>FORGE!F45</f>
        <v xml:space="preserve">Rock type </v>
      </c>
      <c r="C17" s="141"/>
      <c r="D17" s="141"/>
      <c r="E17" s="141"/>
      <c r="F17" s="141"/>
      <c r="G17" s="19">
        <f>FORGE!F46</f>
        <v>1</v>
      </c>
      <c r="H17" s="10" t="str">
        <f>FORGE!F49</f>
        <v>low</v>
      </c>
      <c r="I17" s="5"/>
      <c r="J17" s="5"/>
    </row>
    <row r="18" spans="2:10" ht="18" customHeight="1" x14ac:dyDescent="0.2">
      <c r="B18" s="141" t="str">
        <f>FORGE!I45</f>
        <v>Host reservoir original porosity</v>
      </c>
      <c r="C18" s="141"/>
      <c r="D18" s="141"/>
      <c r="E18" s="141"/>
      <c r="F18" s="141"/>
      <c r="G18" s="19">
        <f>FORGE!I46</f>
        <v>1</v>
      </c>
      <c r="H18" s="10" t="str">
        <f>FORGE!I49</f>
        <v>low</v>
      </c>
      <c r="I18" s="5"/>
      <c r="J18" s="5"/>
    </row>
    <row r="19" spans="2:10" ht="18" customHeight="1" x14ac:dyDescent="0.2">
      <c r="B19" s="141" t="str">
        <f>FORGE!L45</f>
        <v>Net injection volume per 100 m times Fluid injection (wellhead) pressure</v>
      </c>
      <c r="C19" s="141"/>
      <c r="D19" s="141"/>
      <c r="E19" s="141"/>
      <c r="F19" s="141"/>
      <c r="G19" s="19">
        <f>FORGE!L46</f>
        <v>0.10526315789473684</v>
      </c>
      <c r="H19" s="10" t="str">
        <f>FORGE!L49</f>
        <v>low</v>
      </c>
      <c r="I19" s="5"/>
      <c r="J19" s="5"/>
    </row>
    <row r="20" spans="2:10" ht="18" customHeight="1" x14ac:dyDescent="0.2">
      <c r="B20" s="141"/>
      <c r="C20" s="141"/>
      <c r="D20" s="141"/>
      <c r="E20" s="141"/>
      <c r="F20" s="141"/>
      <c r="G20" s="19"/>
      <c r="H20" s="10"/>
      <c r="I20" s="5"/>
      <c r="J20" s="5"/>
    </row>
    <row r="21" spans="2:10" s="6" customFormat="1" ht="18" customHeight="1" x14ac:dyDescent="0.2">
      <c r="B21" s="142" t="str">
        <f>B55</f>
        <v>Seismic Exposure factors (E)</v>
      </c>
      <c r="C21" s="142"/>
      <c r="D21" s="142"/>
      <c r="E21" s="142"/>
      <c r="F21" s="142"/>
      <c r="G21" s="27">
        <f>V56</f>
        <v>0.5</v>
      </c>
      <c r="H21" s="11"/>
    </row>
    <row r="22" spans="2:10" ht="18" customHeight="1" x14ac:dyDescent="0.2">
      <c r="B22" s="137" t="str">
        <f>C57</f>
        <v>Population exposure</v>
      </c>
      <c r="C22" s="137"/>
      <c r="D22" s="137"/>
      <c r="E22" s="137"/>
      <c r="F22" s="137"/>
      <c r="G22" s="10">
        <f>C58</f>
        <v>0.38133326690796132</v>
      </c>
      <c r="H22" s="10" t="s">
        <v>12</v>
      </c>
      <c r="I22" s="5"/>
      <c r="J22" s="5"/>
    </row>
    <row r="23" spans="2:10" ht="18" customHeight="1" x14ac:dyDescent="0.2">
      <c r="B23" s="137" t="str">
        <f>I57</f>
        <v>Economic exposure (ee)</v>
      </c>
      <c r="C23" s="137"/>
      <c r="D23" s="137"/>
      <c r="E23" s="137"/>
      <c r="F23" s="137"/>
      <c r="G23" s="10">
        <f>I58</f>
        <v>0</v>
      </c>
      <c r="H23" s="10" t="s">
        <v>12</v>
      </c>
      <c r="I23" s="5"/>
      <c r="J23" s="5"/>
    </row>
    <row r="24" spans="2:10" ht="18" customHeight="1" x14ac:dyDescent="0.2">
      <c r="B24" s="137" t="str">
        <f>O57</f>
        <v>Critical infrastructure exposure (ce)</v>
      </c>
      <c r="C24" s="137"/>
      <c r="D24" s="137"/>
      <c r="E24" s="137"/>
      <c r="F24" s="137"/>
      <c r="G24" s="10">
        <f>O58</f>
        <v>0.5</v>
      </c>
      <c r="H24" s="10" t="s">
        <v>12</v>
      </c>
      <c r="I24" s="5"/>
      <c r="J24" s="5"/>
    </row>
    <row r="25" spans="2:10" ht="18" customHeight="1" x14ac:dyDescent="0.2">
      <c r="B25" s="162" t="s">
        <v>41</v>
      </c>
      <c r="C25" s="162"/>
      <c r="D25" s="162"/>
      <c r="E25" s="162"/>
      <c r="F25" s="162"/>
      <c r="G25" s="36" t="s">
        <v>23</v>
      </c>
      <c r="H25" s="37"/>
      <c r="I25" s="5"/>
      <c r="J25" s="20"/>
    </row>
    <row r="26" spans="2:10" ht="18" customHeight="1" x14ac:dyDescent="0.2">
      <c r="B26" s="140" t="str">
        <f>B76</f>
        <v>Data Quality penalty (Q)</v>
      </c>
      <c r="C26" s="140"/>
      <c r="D26" s="140"/>
      <c r="E26" s="140"/>
      <c r="F26" s="140"/>
      <c r="G26" s="27">
        <f>SUM(G27:G30)/15</f>
        <v>1</v>
      </c>
      <c r="H26" s="11" t="s">
        <v>12</v>
      </c>
      <c r="I26" s="5"/>
      <c r="J26" s="5"/>
    </row>
    <row r="27" spans="2:10" ht="18" customHeight="1" x14ac:dyDescent="0.2">
      <c r="B27" s="137" t="str">
        <f>FORGE!C77</f>
        <v>Seismic images (6)</v>
      </c>
      <c r="C27" s="137"/>
      <c r="D27" s="137"/>
      <c r="E27" s="137"/>
      <c r="F27" s="137"/>
      <c r="G27" s="10">
        <f>FORGE!C78</f>
        <v>6</v>
      </c>
      <c r="H27" s="10" t="s">
        <v>12</v>
      </c>
      <c r="I27" s="5"/>
      <c r="J27" s="5"/>
    </row>
    <row r="28" spans="2:10" ht="18" customHeight="1" x14ac:dyDescent="0.2">
      <c r="B28" s="137" t="str">
        <f>FORGE!F77</f>
        <v>stress field (3)</v>
      </c>
      <c r="C28" s="137"/>
      <c r="D28" s="137"/>
      <c r="E28" s="137"/>
      <c r="F28" s="137"/>
      <c r="G28" s="10">
        <f>FORGE!F78</f>
        <v>3</v>
      </c>
      <c r="H28" s="10" t="s">
        <v>12</v>
      </c>
      <c r="I28" s="5"/>
      <c r="J28" s="5"/>
    </row>
    <row r="29" spans="2:10" ht="18" customHeight="1" x14ac:dyDescent="0.2">
      <c r="B29" s="137" t="str">
        <f>FORGE!K77</f>
        <v>Geology maps (3)</v>
      </c>
      <c r="C29" s="137"/>
      <c r="D29" s="137"/>
      <c r="E29" s="137"/>
      <c r="F29" s="137"/>
      <c r="G29" s="10">
        <f>FORGE!K78</f>
        <v>3</v>
      </c>
      <c r="H29" s="10" t="s">
        <v>12</v>
      </c>
      <c r="I29" s="5">
        <f>( (G7+G15+G21)/3 + MIN(G15,G7,G21))/2 + 1-(G26 + 0.0000001)</f>
        <v>0.61896919824561403</v>
      </c>
      <c r="J29" s="5"/>
    </row>
    <row r="30" spans="2:10" ht="18" customHeight="1" x14ac:dyDescent="0.2">
      <c r="B30" s="137" t="str">
        <f>FORGE!O77</f>
        <v>Historical seismicity (3)</v>
      </c>
      <c r="C30" s="137"/>
      <c r="D30" s="137"/>
      <c r="E30" s="137"/>
      <c r="F30" s="137"/>
      <c r="G30" s="10">
        <f>FORGE!O78</f>
        <v>3</v>
      </c>
      <c r="H30" s="10" t="s">
        <v>12</v>
      </c>
      <c r="I30" s="5"/>
      <c r="J30" s="5"/>
    </row>
    <row r="31" spans="2:10" ht="18" customHeight="1" x14ac:dyDescent="0.2">
      <c r="B31" s="138" t="s">
        <v>22</v>
      </c>
      <c r="C31" s="139"/>
      <c r="D31" s="29" t="s">
        <v>42</v>
      </c>
      <c r="E31" s="30" t="s">
        <v>43</v>
      </c>
      <c r="F31" s="31" t="s">
        <v>106</v>
      </c>
      <c r="G31" s="27">
        <f>AVERAGE(G15,G7)*G21+ 1-G26</f>
        <v>0.42845394736842102</v>
      </c>
      <c r="H31" s="32"/>
      <c r="I31" s="5"/>
      <c r="J31" s="5"/>
    </row>
    <row r="32" spans="2:10" ht="18" customHeight="1" x14ac:dyDescent="0.2">
      <c r="B32" s="9"/>
      <c r="D32" s="1"/>
      <c r="E32" s="1"/>
      <c r="F32" s="1"/>
      <c r="H32" s="5"/>
      <c r="I32"/>
      <c r="J32" s="5"/>
    </row>
    <row r="33" spans="2:34" ht="18" customHeight="1" x14ac:dyDescent="0.2">
      <c r="B33" s="9"/>
      <c r="D33" s="1"/>
      <c r="E33" s="1"/>
      <c r="F33" s="1"/>
      <c r="H33"/>
      <c r="I33"/>
      <c r="J33" s="5"/>
    </row>
    <row r="34" spans="2:34" ht="18" customHeight="1" x14ac:dyDescent="0.2">
      <c r="B34" s="163" t="s">
        <v>58</v>
      </c>
      <c r="C34" s="163"/>
      <c r="D34" s="163"/>
      <c r="E34" s="163"/>
      <c r="F34" s="163"/>
      <c r="G34" s="163"/>
      <c r="H34" s="163"/>
      <c r="I34" s="163"/>
      <c r="J34" s="163"/>
      <c r="K34" s="163"/>
      <c r="L34" s="163"/>
      <c r="M34" s="163"/>
      <c r="N34" s="163"/>
      <c r="O34" s="163"/>
      <c r="P34" s="163"/>
      <c r="Q34" s="163"/>
      <c r="R34" s="163"/>
      <c r="S34" s="163"/>
      <c r="T34" s="163"/>
      <c r="U34" s="163"/>
      <c r="V34" s="163"/>
      <c r="W34" s="163"/>
    </row>
    <row r="35" spans="2:34" s="21" customFormat="1" ht="67" customHeight="1" x14ac:dyDescent="0.2">
      <c r="B35" s="201" t="s">
        <v>20</v>
      </c>
      <c r="C35" s="202" t="s">
        <v>93</v>
      </c>
      <c r="D35" s="202"/>
      <c r="E35" s="202"/>
      <c r="F35" s="202" t="s">
        <v>94</v>
      </c>
      <c r="G35" s="202"/>
      <c r="H35" s="202"/>
      <c r="I35" s="202" t="s">
        <v>95</v>
      </c>
      <c r="J35" s="202"/>
      <c r="K35" s="202"/>
      <c r="L35" s="202" t="s">
        <v>96</v>
      </c>
      <c r="M35" s="202"/>
      <c r="N35" s="202"/>
      <c r="O35" s="202" t="s">
        <v>97</v>
      </c>
      <c r="P35" s="202"/>
      <c r="Q35" s="202"/>
      <c r="R35" s="202"/>
      <c r="S35" s="202" t="s">
        <v>98</v>
      </c>
      <c r="T35" s="202"/>
      <c r="U35" s="202"/>
      <c r="V35" s="202"/>
      <c r="W35" s="203" t="s">
        <v>75</v>
      </c>
      <c r="X35" s="46"/>
      <c r="Y35" s="46"/>
      <c r="Z35" s="46"/>
      <c r="AA35" s="46"/>
    </row>
    <row r="36" spans="2:34" ht="18" customHeight="1" x14ac:dyDescent="0.2">
      <c r="B36" s="167" t="s">
        <v>14</v>
      </c>
      <c r="C36" s="192">
        <f>MIN(1, 1- MAX(0, (C37-5)/(50-5)))</f>
        <v>1</v>
      </c>
      <c r="D36" s="192"/>
      <c r="E36" s="192"/>
      <c r="F36" s="192">
        <f>MIN(1, 1- MAX(0, (F37-2)*5/((50-2)*H37)))</f>
        <v>0.94791666666666663</v>
      </c>
      <c r="G36" s="192"/>
      <c r="H36" s="192"/>
      <c r="I36" s="192">
        <f>MAX(MIN(1, 1- MAX(0, (I37-0.1)/(1.5-0.1))),0)</f>
        <v>1</v>
      </c>
      <c r="J36" s="192"/>
      <c r="K36" s="192"/>
      <c r="L36" s="192">
        <v>1</v>
      </c>
      <c r="M36" s="192"/>
      <c r="N36" s="192"/>
      <c r="O36" s="192" cm="1">
        <f t="array" ref="O36">_xlfn.IFS(O37=R39,1,O37=Q39,0.8,O37=P39,0.5,O37=O39,0.2)</f>
        <v>1</v>
      </c>
      <c r="P36" s="192"/>
      <c r="Q36" s="192"/>
      <c r="R36" s="192"/>
      <c r="S36" s="192" cm="1">
        <f t="array" ref="S36">_xlfn.IFS(S37=V39,1,S37=U39,0.8,S37=T39,0.5,S37=S39,0.2)</f>
        <v>1</v>
      </c>
      <c r="T36" s="192"/>
      <c r="U36" s="192"/>
      <c r="V36" s="192"/>
      <c r="W36" s="27">
        <f>MAX(MAX(C36:H36),AVERAGE(I36:V36))</f>
        <v>1</v>
      </c>
      <c r="X36" s="79"/>
      <c r="Y36" s="8"/>
      <c r="Z36" s="8"/>
      <c r="AA36" s="8"/>
    </row>
    <row r="37" spans="2:34" customFormat="1" ht="18" customHeight="1" x14ac:dyDescent="0.2">
      <c r="B37" s="167" t="s">
        <v>26</v>
      </c>
      <c r="C37" s="204">
        <v>2</v>
      </c>
      <c r="D37" s="204"/>
      <c r="E37" s="204"/>
      <c r="F37" s="205">
        <v>3</v>
      </c>
      <c r="G37" s="176"/>
      <c r="H37" s="206">
        <v>2</v>
      </c>
      <c r="I37" s="204">
        <v>0</v>
      </c>
      <c r="J37" s="204"/>
      <c r="K37" s="204"/>
      <c r="L37" s="204">
        <v>15</v>
      </c>
      <c r="M37" s="204"/>
      <c r="N37" s="204"/>
      <c r="O37" s="207" t="s">
        <v>92</v>
      </c>
      <c r="P37" s="207"/>
      <c r="Q37" s="207"/>
      <c r="R37" s="207"/>
      <c r="S37" s="207" t="s">
        <v>46</v>
      </c>
      <c r="T37" s="207"/>
      <c r="U37" s="207"/>
      <c r="V37" s="207"/>
      <c r="W37" s="32"/>
      <c r="X37" s="5"/>
      <c r="Y37" s="5"/>
      <c r="Z37" s="5"/>
      <c r="AA37" s="5"/>
      <c r="AB37" s="5"/>
    </row>
    <row r="38" spans="2:34" ht="18" customHeight="1" x14ac:dyDescent="0.2">
      <c r="B38" s="167" t="s">
        <v>19</v>
      </c>
      <c r="C38" s="202" t="s">
        <v>16</v>
      </c>
      <c r="D38" s="202"/>
      <c r="E38" s="202"/>
      <c r="F38" s="202" t="s">
        <v>27</v>
      </c>
      <c r="G38" s="202"/>
      <c r="H38" s="202"/>
      <c r="I38" s="202" t="s">
        <v>16</v>
      </c>
      <c r="J38" s="202"/>
      <c r="K38" s="202"/>
      <c r="L38" s="202" t="s">
        <v>31</v>
      </c>
      <c r="M38" s="202"/>
      <c r="N38" s="202"/>
      <c r="O38" s="202" t="s">
        <v>16</v>
      </c>
      <c r="P38" s="202"/>
      <c r="Q38" s="202"/>
      <c r="R38" s="202"/>
      <c r="S38" s="202" t="s">
        <v>11</v>
      </c>
      <c r="T38" s="202"/>
      <c r="U38" s="202"/>
      <c r="V38" s="202"/>
      <c r="W38" s="208"/>
      <c r="X38" s="8"/>
      <c r="Y38" s="8"/>
      <c r="Z38" s="8"/>
      <c r="AA38" s="8"/>
    </row>
    <row r="39" spans="2:34" ht="95" customHeight="1" x14ac:dyDescent="0.2">
      <c r="B39" s="190" t="s">
        <v>86</v>
      </c>
      <c r="C39" s="165" t="s">
        <v>99</v>
      </c>
      <c r="D39" s="165"/>
      <c r="E39" s="165"/>
      <c r="F39" s="165" t="s">
        <v>100</v>
      </c>
      <c r="G39" s="165"/>
      <c r="H39" s="165"/>
      <c r="I39" s="209"/>
      <c r="J39" s="210"/>
      <c r="K39" s="211"/>
      <c r="L39" s="209"/>
      <c r="M39" s="210"/>
      <c r="N39" s="211"/>
      <c r="O39" s="197" t="s">
        <v>90</v>
      </c>
      <c r="P39" s="198" t="s">
        <v>45</v>
      </c>
      <c r="Q39" s="212" t="s">
        <v>91</v>
      </c>
      <c r="R39" s="199" t="s">
        <v>92</v>
      </c>
      <c r="S39" s="197" t="s">
        <v>30</v>
      </c>
      <c r="T39" s="198" t="s">
        <v>29</v>
      </c>
      <c r="U39" s="212" t="s">
        <v>28</v>
      </c>
      <c r="V39" s="199" t="s">
        <v>46</v>
      </c>
      <c r="W39" s="32"/>
    </row>
    <row r="40" spans="2:34" ht="18" customHeight="1" x14ac:dyDescent="0.2">
      <c r="B40" s="161" t="s">
        <v>120</v>
      </c>
      <c r="C40" s="213"/>
      <c r="D40" s="213"/>
      <c r="E40" s="213"/>
      <c r="F40" s="214"/>
      <c r="G40" s="214"/>
      <c r="H40" s="214"/>
      <c r="I40" s="178"/>
      <c r="J40" s="178"/>
      <c r="K40" s="178"/>
      <c r="L40" s="178"/>
      <c r="M40" s="178"/>
      <c r="N40" s="178"/>
      <c r="O40" s="215"/>
      <c r="P40" s="215"/>
      <c r="Q40" s="215"/>
      <c r="R40" s="215"/>
      <c r="S40" s="215"/>
      <c r="T40" s="215"/>
      <c r="U40" s="215"/>
      <c r="V40" s="215"/>
      <c r="W40" s="32"/>
    </row>
    <row r="41" spans="2:34" ht="18" customHeight="1" x14ac:dyDescent="0.2">
      <c r="B41" s="161"/>
      <c r="C41" s="213"/>
      <c r="D41" s="213"/>
      <c r="E41" s="213"/>
      <c r="F41" s="214"/>
      <c r="G41" s="214"/>
      <c r="H41" s="214"/>
      <c r="I41" s="178"/>
      <c r="J41" s="178"/>
      <c r="K41" s="178"/>
      <c r="L41" s="178"/>
      <c r="M41" s="178"/>
      <c r="N41" s="178"/>
      <c r="O41" s="215"/>
      <c r="P41" s="215"/>
      <c r="Q41" s="215"/>
      <c r="R41" s="215"/>
      <c r="S41" s="215"/>
      <c r="T41" s="215"/>
      <c r="U41" s="215"/>
      <c r="V41" s="215"/>
      <c r="W41" s="32"/>
    </row>
    <row r="42" spans="2:34" ht="18" customHeight="1" x14ac:dyDescent="0.2">
      <c r="B42"/>
      <c r="C42" s="48"/>
      <c r="D42" s="48"/>
      <c r="E42" s="48"/>
      <c r="F42" s="48"/>
      <c r="G42" s="48"/>
      <c r="H42"/>
      <c r="I42"/>
      <c r="J42"/>
      <c r="K42"/>
      <c r="L42"/>
      <c r="M42"/>
      <c r="N42"/>
      <c r="O42" s="20"/>
      <c r="P42"/>
      <c r="Q42"/>
      <c r="R42"/>
      <c r="S42"/>
      <c r="T42"/>
    </row>
    <row r="44" spans="2:34" ht="19" customHeight="1" x14ac:dyDescent="0.2">
      <c r="B44" s="163" t="s">
        <v>102</v>
      </c>
      <c r="C44" s="163"/>
      <c r="D44" s="163"/>
      <c r="E44" s="163"/>
      <c r="F44" s="163"/>
      <c r="G44" s="163"/>
      <c r="H44" s="163"/>
      <c r="I44" s="163"/>
      <c r="J44" s="163"/>
      <c r="K44" s="163"/>
      <c r="L44" s="163"/>
      <c r="M44" s="163"/>
      <c r="N44" s="163"/>
      <c r="O44" s="163"/>
      <c r="P44" s="163"/>
      <c r="Q44" s="163"/>
      <c r="R44" s="191" t="s">
        <v>82</v>
      </c>
    </row>
    <row r="45" spans="2:34" ht="16" customHeight="1" x14ac:dyDescent="0.2">
      <c r="B45" s="164"/>
      <c r="C45" s="165" t="s">
        <v>103</v>
      </c>
      <c r="D45" s="165"/>
      <c r="E45" s="165"/>
      <c r="F45" s="165" t="s">
        <v>32</v>
      </c>
      <c r="G45" s="165"/>
      <c r="H45" s="165"/>
      <c r="I45" s="165" t="s">
        <v>104</v>
      </c>
      <c r="J45" s="165"/>
      <c r="K45" s="165"/>
      <c r="L45" s="165" t="s">
        <v>105</v>
      </c>
      <c r="M45" s="165"/>
      <c r="N45" s="165"/>
      <c r="O45" s="165"/>
      <c r="P45" s="165"/>
      <c r="Q45" s="165"/>
      <c r="R45" s="191"/>
      <c r="AB45" s="104"/>
      <c r="AC45" s="104"/>
      <c r="AD45" s="104"/>
      <c r="AE45"/>
      <c r="AF45" s="104"/>
      <c r="AG45" s="104"/>
      <c r="AH45" s="104"/>
    </row>
    <row r="46" spans="2:34" s="1" customFormat="1" ht="16" x14ac:dyDescent="0.2">
      <c r="B46" s="167" t="s">
        <v>14</v>
      </c>
      <c r="C46" s="192">
        <f>(MIN(1, MAX(0, (C47-1)/(3-1))))</f>
        <v>0.75</v>
      </c>
      <c r="D46" s="192"/>
      <c r="E46" s="192"/>
      <c r="F46" s="192" cm="1">
        <f t="array" ref="F46">_xlfn.IFS(F47=H50,1,F47=G50,0.5,F47=F50,0)</f>
        <v>1</v>
      </c>
      <c r="G46" s="192"/>
      <c r="H46" s="192"/>
      <c r="I46" s="192" cm="1">
        <f t="array" ref="I46">_xlfn.IFS(I47=K50,1,I47=J50,0.5,I47=I50,0)</f>
        <v>1</v>
      </c>
      <c r="J46" s="192"/>
      <c r="K46" s="192"/>
      <c r="L46" s="192">
        <f>MIN(1,  MAX(0, (L47*O47/1000-10)/(200-10)))</f>
        <v>0.10526315789473684</v>
      </c>
      <c r="M46" s="192"/>
      <c r="N46" s="192"/>
      <c r="O46" s="192"/>
      <c r="P46" s="192"/>
      <c r="Q46" s="192"/>
      <c r="R46" s="27">
        <f>AVERAGE(C46:Q46)</f>
        <v>0.71381578947368418</v>
      </c>
      <c r="AA46" s="5"/>
      <c r="AB46" s="104"/>
      <c r="AC46" s="104"/>
      <c r="AD46" s="104"/>
      <c r="AE46"/>
      <c r="AF46" s="104"/>
      <c r="AG46" s="104"/>
      <c r="AH46" s="104"/>
    </row>
    <row r="47" spans="2:34" s="1" customFormat="1" ht="16" x14ac:dyDescent="0.2">
      <c r="B47" s="176" t="s">
        <v>34</v>
      </c>
      <c r="C47" s="109">
        <v>2.5</v>
      </c>
      <c r="D47" s="109"/>
      <c r="E47" s="109"/>
      <c r="F47" s="109" t="s">
        <v>84</v>
      </c>
      <c r="G47" s="109"/>
      <c r="H47" s="109"/>
      <c r="I47" s="109" t="s">
        <v>15</v>
      </c>
      <c r="J47" s="109"/>
      <c r="K47" s="109"/>
      <c r="L47" s="193">
        <v>1000</v>
      </c>
      <c r="M47" s="193"/>
      <c r="N47" s="193"/>
      <c r="O47" s="194">
        <v>30</v>
      </c>
      <c r="P47" s="194"/>
      <c r="Q47" s="194"/>
      <c r="R47" s="164"/>
      <c r="AA47" s="5"/>
      <c r="AB47" s="104"/>
      <c r="AC47" s="104"/>
      <c r="AD47" s="104"/>
      <c r="AE47"/>
      <c r="AF47" s="104"/>
      <c r="AG47" s="104"/>
      <c r="AH47" s="104"/>
    </row>
    <row r="48" spans="2:34" s="1" customFormat="1" ht="16" x14ac:dyDescent="0.2">
      <c r="B48" s="176"/>
      <c r="C48" s="190"/>
      <c r="D48" s="190"/>
      <c r="E48" s="190"/>
      <c r="F48" s="190"/>
      <c r="G48" s="190"/>
      <c r="H48" s="190"/>
      <c r="I48" s="190"/>
      <c r="J48" s="190"/>
      <c r="K48" s="190"/>
      <c r="L48" s="165">
        <f>L47*O47/1000</f>
        <v>30</v>
      </c>
      <c r="M48" s="165"/>
      <c r="N48" s="165"/>
      <c r="O48" s="165"/>
      <c r="P48" s="165"/>
      <c r="Q48" s="165"/>
      <c r="R48" s="164"/>
      <c r="AA48" s="5"/>
      <c r="AB48" s="9"/>
      <c r="AC48" s="9"/>
      <c r="AD48" s="9"/>
      <c r="AE48"/>
      <c r="AF48" s="9"/>
      <c r="AG48" s="9"/>
      <c r="AH48" s="9"/>
    </row>
    <row r="49" spans="2:33" s="1" customFormat="1" ht="17" customHeight="1" x14ac:dyDescent="0.2">
      <c r="B49" s="176" t="s">
        <v>21</v>
      </c>
      <c r="C49" s="165" t="s">
        <v>16</v>
      </c>
      <c r="D49" s="165"/>
      <c r="E49" s="165"/>
      <c r="F49" s="165" t="s">
        <v>16</v>
      </c>
      <c r="G49" s="165"/>
      <c r="H49" s="165"/>
      <c r="I49" s="165" t="s">
        <v>16</v>
      </c>
      <c r="J49" s="165"/>
      <c r="K49" s="165"/>
      <c r="L49" s="165" t="s">
        <v>16</v>
      </c>
      <c r="M49" s="165"/>
      <c r="N49" s="165"/>
      <c r="O49" s="165" t="s">
        <v>16</v>
      </c>
      <c r="P49" s="165"/>
      <c r="Q49" s="165"/>
      <c r="R49" s="164"/>
      <c r="AA49" s="5"/>
    </row>
    <row r="50" spans="2:33" s="1" customFormat="1" ht="102" customHeight="1" x14ac:dyDescent="0.2">
      <c r="B50" s="80" t="s">
        <v>35</v>
      </c>
      <c r="C50" s="195" t="s">
        <v>101</v>
      </c>
      <c r="D50" s="196"/>
      <c r="E50" s="196"/>
      <c r="F50" s="197" t="s">
        <v>7</v>
      </c>
      <c r="G50" s="198" t="s">
        <v>44</v>
      </c>
      <c r="H50" s="199" t="s">
        <v>84</v>
      </c>
      <c r="I50" s="197" t="s">
        <v>85</v>
      </c>
      <c r="J50" s="198" t="s">
        <v>36</v>
      </c>
      <c r="K50" s="199" t="s">
        <v>15</v>
      </c>
      <c r="L50" s="197" t="s">
        <v>8</v>
      </c>
      <c r="M50" s="200" t="s">
        <v>9</v>
      </c>
      <c r="N50" s="199" t="s">
        <v>10</v>
      </c>
      <c r="O50" s="197" t="s">
        <v>38</v>
      </c>
      <c r="P50" s="200" t="s">
        <v>39</v>
      </c>
      <c r="Q50" s="199" t="s">
        <v>37</v>
      </c>
      <c r="R50" s="164"/>
    </row>
    <row r="51" spans="2:33" s="1" customFormat="1" ht="17" customHeight="1" x14ac:dyDescent="0.2">
      <c r="B51" s="177" t="s">
        <v>120</v>
      </c>
      <c r="C51" s="178"/>
      <c r="D51" s="178"/>
      <c r="E51" s="178"/>
      <c r="F51" s="178"/>
      <c r="G51" s="178"/>
      <c r="H51" s="178"/>
      <c r="I51" s="178"/>
      <c r="J51" s="178"/>
      <c r="K51" s="178"/>
      <c r="L51" s="178"/>
      <c r="M51" s="178"/>
      <c r="N51" s="178"/>
      <c r="O51" s="178"/>
      <c r="P51" s="178"/>
      <c r="Q51" s="178"/>
      <c r="R51" s="164"/>
      <c r="AA51" s="5"/>
    </row>
    <row r="52" spans="2:33" s="1" customFormat="1" ht="17" customHeight="1" x14ac:dyDescent="0.2">
      <c r="B52" s="177"/>
      <c r="C52" s="178"/>
      <c r="D52" s="178"/>
      <c r="E52" s="178"/>
      <c r="F52" s="178"/>
      <c r="G52" s="178"/>
      <c r="H52" s="178"/>
      <c r="I52" s="178"/>
      <c r="J52" s="178"/>
      <c r="K52" s="178"/>
      <c r="L52" s="178"/>
      <c r="M52" s="178"/>
      <c r="N52" s="178"/>
      <c r="O52" s="178"/>
      <c r="P52" s="178"/>
      <c r="Q52" s="178"/>
      <c r="R52" s="164"/>
      <c r="AA52" s="5"/>
    </row>
    <row r="53" spans="2:33" s="1" customFormat="1" ht="18" customHeight="1" x14ac:dyDescent="0.2">
      <c r="B53"/>
      <c r="C53"/>
      <c r="D53"/>
      <c r="E53"/>
      <c r="F53"/>
      <c r="G53"/>
      <c r="H53"/>
      <c r="I53"/>
      <c r="J53"/>
      <c r="K53"/>
      <c r="L53"/>
      <c r="M53"/>
      <c r="N53"/>
      <c r="O53"/>
      <c r="P53"/>
      <c r="Q53"/>
      <c r="S53" s="5"/>
      <c r="T53" s="5"/>
      <c r="U53" s="5"/>
      <c r="V53" s="5"/>
      <c r="W53" s="5"/>
      <c r="X53" s="5"/>
      <c r="Y53" s="5"/>
      <c r="Z53" s="5"/>
      <c r="AA53" s="5"/>
      <c r="AB53" s="5"/>
      <c r="AC53" s="5"/>
      <c r="AD53" s="5"/>
      <c r="AE53" s="5"/>
      <c r="AF53" s="5"/>
      <c r="AG53" s="5"/>
    </row>
    <row r="54" spans="2:33" ht="16" x14ac:dyDescent="0.2">
      <c r="I54" s="2"/>
      <c r="J54" s="2"/>
      <c r="K54" s="2"/>
    </row>
    <row r="55" spans="2:33" ht="18" customHeight="1" x14ac:dyDescent="0.2">
      <c r="B55" s="180" t="s">
        <v>59</v>
      </c>
      <c r="C55" s="180"/>
      <c r="D55" s="180"/>
      <c r="E55" s="180"/>
      <c r="F55" s="180"/>
      <c r="G55" s="180"/>
      <c r="H55" s="180"/>
      <c r="I55" s="180"/>
      <c r="J55" s="180"/>
      <c r="K55" s="180"/>
      <c r="L55" s="180"/>
      <c r="M55" s="180"/>
      <c r="N55" s="180"/>
      <c r="O55" s="180"/>
      <c r="P55" s="180"/>
      <c r="Q55" s="180"/>
      <c r="R55" s="180"/>
      <c r="S55" s="180"/>
      <c r="T55" s="180"/>
      <c r="U55" s="180"/>
      <c r="V55" s="166" t="s">
        <v>13</v>
      </c>
    </row>
    <row r="56" spans="2:33" ht="20" customHeight="1" x14ac:dyDescent="0.2">
      <c r="B56" s="181" t="s">
        <v>115</v>
      </c>
      <c r="C56" s="181"/>
      <c r="D56" s="181"/>
      <c r="E56" s="181"/>
      <c r="F56" s="181"/>
      <c r="G56" s="181"/>
      <c r="H56" s="181"/>
      <c r="I56" s="181"/>
      <c r="J56" s="181"/>
      <c r="K56" s="181"/>
      <c r="L56" s="181"/>
      <c r="M56" s="181"/>
      <c r="N56" s="181"/>
      <c r="O56" s="181"/>
      <c r="P56" s="181"/>
      <c r="Q56" s="181"/>
      <c r="R56" s="181"/>
      <c r="S56" s="181"/>
      <c r="T56" s="181"/>
      <c r="U56" s="181"/>
      <c r="V56" s="27">
        <f>MAX(C58:U58,C66:U66)</f>
        <v>0.5</v>
      </c>
    </row>
    <row r="57" spans="2:33" ht="20" customHeight="1" x14ac:dyDescent="0.2">
      <c r="B57" s="32"/>
      <c r="C57" s="165" t="s">
        <v>61</v>
      </c>
      <c r="D57" s="165"/>
      <c r="E57" s="165"/>
      <c r="F57" s="165"/>
      <c r="G57" s="165"/>
      <c r="H57" s="165"/>
      <c r="I57" s="165" t="s">
        <v>24</v>
      </c>
      <c r="J57" s="165"/>
      <c r="K57" s="165"/>
      <c r="L57" s="165"/>
      <c r="M57" s="165"/>
      <c r="N57" s="165"/>
      <c r="O57" s="165" t="s">
        <v>25</v>
      </c>
      <c r="P57" s="165"/>
      <c r="Q57" s="165"/>
      <c r="R57" s="165"/>
      <c r="S57" s="165"/>
      <c r="T57" s="165"/>
      <c r="U57" s="165"/>
      <c r="V57" s="32"/>
    </row>
    <row r="58" spans="2:33" ht="16" customHeight="1" x14ac:dyDescent="0.2">
      <c r="B58" s="167" t="s">
        <v>14</v>
      </c>
      <c r="C58" s="182">
        <f>(MIN(1,LOG10(C60+1)/LOG10(100000)*(0.5+0.9*LOG10(F60+1)/LOG10(100))))</f>
        <v>0.38133326690796132</v>
      </c>
      <c r="D58" s="182"/>
      <c r="E58" s="182"/>
      <c r="F58" s="182"/>
      <c r="G58" s="182"/>
      <c r="H58" s="182"/>
      <c r="I58" s="182">
        <f>(MIN(1, MAX(0, (I60)*L60/100/100)))</f>
        <v>0</v>
      </c>
      <c r="J58" s="182"/>
      <c r="K58" s="182"/>
      <c r="L58" s="182"/>
      <c r="M58" s="182"/>
      <c r="N58" s="182"/>
      <c r="O58" s="182">
        <f>MAX(O60*Q60+O60*S60 + O60*0.5)</f>
        <v>0.5</v>
      </c>
      <c r="P58" s="182"/>
      <c r="Q58" s="182"/>
      <c r="R58" s="182"/>
      <c r="S58" s="182"/>
      <c r="T58" s="182"/>
      <c r="U58" s="182"/>
      <c r="V58" s="32"/>
    </row>
    <row r="59" spans="2:33" ht="16" x14ac:dyDescent="0.2">
      <c r="B59" s="183"/>
      <c r="C59" s="165" t="s">
        <v>74</v>
      </c>
      <c r="D59" s="165"/>
      <c r="E59" s="165"/>
      <c r="F59" s="165" t="s">
        <v>118</v>
      </c>
      <c r="G59" s="165"/>
      <c r="H59" s="165"/>
      <c r="I59" s="165" t="s">
        <v>124</v>
      </c>
      <c r="J59" s="165"/>
      <c r="K59" s="165"/>
      <c r="L59" s="165" t="s">
        <v>73</v>
      </c>
      <c r="M59" s="165"/>
      <c r="N59" s="165"/>
      <c r="O59" s="165" t="s">
        <v>66</v>
      </c>
      <c r="P59" s="165"/>
      <c r="Q59" s="165" t="s">
        <v>67</v>
      </c>
      <c r="R59" s="165"/>
      <c r="S59" s="165" t="s">
        <v>68</v>
      </c>
      <c r="T59" s="165"/>
      <c r="U59" s="165"/>
      <c r="V59" s="32"/>
    </row>
    <row r="60" spans="2:33" ht="18" customHeight="1" x14ac:dyDescent="0.2">
      <c r="B60" s="176" t="s">
        <v>60</v>
      </c>
      <c r="C60" s="109">
        <v>1000</v>
      </c>
      <c r="D60" s="109"/>
      <c r="E60" s="109"/>
      <c r="F60" s="109">
        <v>1</v>
      </c>
      <c r="G60" s="109"/>
      <c r="H60" s="109"/>
      <c r="I60" s="109">
        <v>10</v>
      </c>
      <c r="J60" s="109"/>
      <c r="K60" s="109"/>
      <c r="L60" s="109">
        <v>0</v>
      </c>
      <c r="M60" s="109"/>
      <c r="N60" s="109"/>
      <c r="O60" s="109">
        <v>1</v>
      </c>
      <c r="P60" s="109"/>
      <c r="Q60" s="109">
        <v>0</v>
      </c>
      <c r="R60" s="109"/>
      <c r="S60" s="109">
        <v>0</v>
      </c>
      <c r="T60" s="109"/>
      <c r="U60" s="109"/>
      <c r="V60" s="32"/>
    </row>
    <row r="61" spans="2:33" ht="96" customHeight="1" x14ac:dyDescent="0.2">
      <c r="B61" s="80" t="s">
        <v>35</v>
      </c>
      <c r="C61" s="184" t="s">
        <v>63</v>
      </c>
      <c r="D61" s="184"/>
      <c r="E61" s="184"/>
      <c r="F61" s="184" t="s">
        <v>62</v>
      </c>
      <c r="G61" s="184"/>
      <c r="H61" s="184"/>
      <c r="I61" s="184" t="s">
        <v>83</v>
      </c>
      <c r="J61" s="184"/>
      <c r="K61" s="184"/>
      <c r="L61" s="184"/>
      <c r="M61" s="184"/>
      <c r="N61" s="184"/>
      <c r="O61" s="185" t="s">
        <v>65</v>
      </c>
      <c r="P61" s="185"/>
      <c r="Q61" s="185" t="s">
        <v>69</v>
      </c>
      <c r="R61" s="185"/>
      <c r="S61" s="186" t="s">
        <v>72</v>
      </c>
      <c r="T61" s="187" t="s">
        <v>70</v>
      </c>
      <c r="U61" s="188" t="s">
        <v>71</v>
      </c>
      <c r="V61" s="32"/>
    </row>
    <row r="62" spans="2:33" s="1" customFormat="1" ht="17" customHeight="1" x14ac:dyDescent="0.2">
      <c r="B62" s="177" t="s">
        <v>120</v>
      </c>
      <c r="C62" s="178"/>
      <c r="D62" s="178"/>
      <c r="E62" s="178"/>
      <c r="F62" s="178"/>
      <c r="G62" s="178"/>
      <c r="H62" s="178"/>
      <c r="I62" s="178"/>
      <c r="J62" s="178"/>
      <c r="K62" s="178"/>
      <c r="L62" s="178"/>
      <c r="M62" s="178"/>
      <c r="N62" s="178"/>
      <c r="O62" s="216"/>
      <c r="P62" s="217"/>
      <c r="Q62" s="217"/>
      <c r="R62" s="217"/>
      <c r="S62" s="217"/>
      <c r="T62" s="217"/>
      <c r="U62" s="218"/>
      <c r="V62" s="164"/>
      <c r="AA62" s="5"/>
    </row>
    <row r="63" spans="2:33" s="1" customFormat="1" ht="17" customHeight="1" x14ac:dyDescent="0.2">
      <c r="B63" s="177"/>
      <c r="C63" s="178"/>
      <c r="D63" s="178"/>
      <c r="E63" s="178"/>
      <c r="F63" s="178"/>
      <c r="G63" s="178"/>
      <c r="H63" s="178"/>
      <c r="I63" s="178"/>
      <c r="J63" s="178"/>
      <c r="K63" s="178"/>
      <c r="L63" s="178"/>
      <c r="M63" s="178"/>
      <c r="N63" s="178"/>
      <c r="O63" s="219"/>
      <c r="P63" s="93"/>
      <c r="Q63" s="93"/>
      <c r="R63" s="93"/>
      <c r="S63" s="93"/>
      <c r="T63" s="93"/>
      <c r="U63" s="220"/>
      <c r="V63" s="164"/>
      <c r="AA63" s="5"/>
    </row>
    <row r="64" spans="2:33" customFormat="1" ht="24" customHeight="1" x14ac:dyDescent="0.2">
      <c r="B64" s="181" t="s">
        <v>116</v>
      </c>
      <c r="C64" s="181"/>
      <c r="D64" s="181"/>
      <c r="E64" s="181"/>
      <c r="F64" s="181"/>
      <c r="G64" s="181"/>
      <c r="H64" s="181"/>
      <c r="I64" s="181"/>
      <c r="J64" s="181"/>
      <c r="K64" s="181"/>
      <c r="L64" s="181"/>
      <c r="M64" s="181"/>
      <c r="N64" s="181"/>
      <c r="O64" s="181"/>
      <c r="P64" s="181"/>
      <c r="Q64" s="181"/>
      <c r="R64" s="181"/>
      <c r="S64" s="181"/>
      <c r="T64" s="181"/>
      <c r="U64" s="181"/>
      <c r="V64" s="32"/>
      <c r="W64" s="5"/>
      <c r="X64" s="5"/>
      <c r="Y64" s="5"/>
      <c r="Z64" s="5"/>
      <c r="AA64" s="5"/>
      <c r="AB64" s="5"/>
      <c r="AC64" s="5"/>
    </row>
    <row r="65" spans="2:27" ht="18" customHeight="1" x14ac:dyDescent="0.2">
      <c r="B65" s="32"/>
      <c r="C65" s="165" t="s">
        <v>61</v>
      </c>
      <c r="D65" s="165"/>
      <c r="E65" s="165"/>
      <c r="F65" s="165"/>
      <c r="G65" s="165"/>
      <c r="H65" s="165"/>
      <c r="I65" s="165" t="s">
        <v>24</v>
      </c>
      <c r="J65" s="165"/>
      <c r="K65" s="165"/>
      <c r="L65" s="165"/>
      <c r="M65" s="165"/>
      <c r="N65" s="165"/>
      <c r="O65" s="165" t="s">
        <v>25</v>
      </c>
      <c r="P65" s="165"/>
      <c r="Q65" s="165"/>
      <c r="R65" s="165"/>
      <c r="S65" s="165"/>
      <c r="T65" s="165"/>
      <c r="U65" s="165"/>
      <c r="V65" s="32"/>
    </row>
    <row r="66" spans="2:27" ht="18" customHeight="1" x14ac:dyDescent="0.2">
      <c r="B66" s="167" t="s">
        <v>14</v>
      </c>
      <c r="C66" s="182">
        <f>(MIN(1,LOG10(C68+1)/LOG10(1000)*(0.5+0.9*LOG10(F68+1)/LOG10(10))))</f>
        <v>0.33405356229710709</v>
      </c>
      <c r="D66" s="182"/>
      <c r="E66" s="182"/>
      <c r="F66" s="182"/>
      <c r="G66" s="182"/>
      <c r="H66" s="182"/>
      <c r="I66" s="182">
        <f>(MIN(1, MAX(0, (I68)*L68/100/10)))</f>
        <v>5.0000000000000001E-3</v>
      </c>
      <c r="J66" s="182"/>
      <c r="K66" s="182"/>
      <c r="L66" s="182"/>
      <c r="M66" s="182"/>
      <c r="N66" s="182"/>
      <c r="O66" s="182">
        <f>MAX(O68*Q68+O68*S68 + O68*0.5)</f>
        <v>0</v>
      </c>
      <c r="P66" s="182"/>
      <c r="Q66" s="182"/>
      <c r="R66" s="182"/>
      <c r="S66" s="182"/>
      <c r="T66" s="182"/>
      <c r="U66" s="182"/>
      <c r="V66" s="32"/>
    </row>
    <row r="67" spans="2:27" ht="18" customHeight="1" x14ac:dyDescent="0.2">
      <c r="B67" s="183"/>
      <c r="C67" s="165" t="s">
        <v>74</v>
      </c>
      <c r="D67" s="165"/>
      <c r="E67" s="165"/>
      <c r="F67" s="165" t="s">
        <v>64</v>
      </c>
      <c r="G67" s="165"/>
      <c r="H67" s="165"/>
      <c r="I67" s="165" t="s">
        <v>124</v>
      </c>
      <c r="J67" s="165"/>
      <c r="K67" s="165"/>
      <c r="L67" s="165" t="s">
        <v>73</v>
      </c>
      <c r="M67" s="165"/>
      <c r="N67" s="165"/>
      <c r="O67" s="165" t="s">
        <v>66</v>
      </c>
      <c r="P67" s="165"/>
      <c r="Q67" s="165" t="s">
        <v>67</v>
      </c>
      <c r="R67" s="165"/>
      <c r="S67" s="165" t="s">
        <v>68</v>
      </c>
      <c r="T67" s="165"/>
      <c r="U67" s="165"/>
      <c r="V67" s="32"/>
    </row>
    <row r="68" spans="2:27" ht="18" customHeight="1" x14ac:dyDescent="0.2">
      <c r="B68" s="176" t="s">
        <v>60</v>
      </c>
      <c r="C68" s="109">
        <v>100</v>
      </c>
      <c r="D68" s="109"/>
      <c r="E68" s="109"/>
      <c r="F68" s="109">
        <v>0</v>
      </c>
      <c r="G68" s="109"/>
      <c r="H68" s="109"/>
      <c r="I68" s="109">
        <v>1</v>
      </c>
      <c r="J68" s="109"/>
      <c r="K68" s="109"/>
      <c r="L68" s="109">
        <v>5</v>
      </c>
      <c r="M68" s="109"/>
      <c r="N68" s="109"/>
      <c r="O68" s="109">
        <v>0</v>
      </c>
      <c r="P68" s="109"/>
      <c r="Q68" s="109">
        <v>0</v>
      </c>
      <c r="R68" s="109"/>
      <c r="S68" s="109">
        <v>0</v>
      </c>
      <c r="T68" s="109"/>
      <c r="U68" s="109"/>
      <c r="V68" s="32"/>
    </row>
    <row r="69" spans="2:27" ht="77" customHeight="1" x14ac:dyDescent="0.2">
      <c r="B69" s="80" t="s">
        <v>35</v>
      </c>
      <c r="C69" s="184" t="s">
        <v>76</v>
      </c>
      <c r="D69" s="184"/>
      <c r="E69" s="184"/>
      <c r="F69" s="184" t="s">
        <v>77</v>
      </c>
      <c r="G69" s="184"/>
      <c r="H69" s="184"/>
      <c r="I69" s="184" t="s">
        <v>81</v>
      </c>
      <c r="J69" s="184"/>
      <c r="K69" s="184"/>
      <c r="L69" s="184"/>
      <c r="M69" s="184"/>
      <c r="N69" s="184"/>
      <c r="O69" s="185" t="s">
        <v>87</v>
      </c>
      <c r="P69" s="185"/>
      <c r="Q69" s="185" t="s">
        <v>69</v>
      </c>
      <c r="R69" s="185"/>
      <c r="S69" s="186" t="s">
        <v>72</v>
      </c>
      <c r="T69" s="187" t="s">
        <v>88</v>
      </c>
      <c r="U69" s="188" t="s">
        <v>71</v>
      </c>
      <c r="V69" s="32"/>
    </row>
    <row r="70" spans="2:27" s="1" customFormat="1" ht="17" customHeight="1" x14ac:dyDescent="0.2">
      <c r="B70" s="177" t="s">
        <v>120</v>
      </c>
      <c r="C70" s="178"/>
      <c r="D70" s="178"/>
      <c r="E70" s="178"/>
      <c r="F70" s="178"/>
      <c r="G70" s="178"/>
      <c r="H70" s="178"/>
      <c r="I70" s="178"/>
      <c r="J70" s="178"/>
      <c r="K70" s="178"/>
      <c r="L70" s="178"/>
      <c r="M70" s="178"/>
      <c r="N70" s="178"/>
      <c r="O70" s="216"/>
      <c r="P70" s="217"/>
      <c r="Q70" s="217"/>
      <c r="R70" s="217"/>
      <c r="S70" s="217"/>
      <c r="T70" s="217"/>
      <c r="U70" s="218"/>
      <c r="V70" s="164"/>
      <c r="AA70" s="5"/>
    </row>
    <row r="71" spans="2:27" s="1" customFormat="1" ht="17" customHeight="1" x14ac:dyDescent="0.2">
      <c r="B71" s="177"/>
      <c r="C71" s="178"/>
      <c r="D71" s="178"/>
      <c r="E71" s="178"/>
      <c r="F71" s="178"/>
      <c r="G71" s="178"/>
      <c r="H71" s="178"/>
      <c r="I71" s="178"/>
      <c r="J71" s="178"/>
      <c r="K71" s="178"/>
      <c r="L71" s="178"/>
      <c r="M71" s="178"/>
      <c r="N71" s="178"/>
      <c r="O71" s="219"/>
      <c r="P71" s="93"/>
      <c r="Q71" s="93"/>
      <c r="R71" s="93"/>
      <c r="S71" s="93"/>
      <c r="T71" s="93"/>
      <c r="U71" s="220"/>
      <c r="V71" s="164"/>
      <c r="AA71" s="5"/>
    </row>
    <row r="72" spans="2:27" ht="18" customHeight="1" x14ac:dyDescent="0.2">
      <c r="B72" s="189" t="s">
        <v>80</v>
      </c>
      <c r="C72" s="189"/>
      <c r="D72" s="189"/>
      <c r="E72" s="189"/>
      <c r="F72" s="189"/>
      <c r="G72" s="189"/>
      <c r="H72" s="189"/>
      <c r="I72" s="189"/>
      <c r="J72" s="189"/>
      <c r="K72" s="189"/>
      <c r="L72" s="189"/>
      <c r="M72" s="190"/>
      <c r="N72" s="164"/>
      <c r="O72" s="164"/>
      <c r="P72" s="164"/>
      <c r="Q72" s="164"/>
      <c r="R72" s="164"/>
      <c r="S72" s="32"/>
      <c r="T72" s="32"/>
      <c r="U72" s="32"/>
      <c r="V72" s="32"/>
    </row>
    <row r="73" spans="2:27" ht="18" customHeight="1" x14ac:dyDescent="0.2">
      <c r="B73" s="189" t="s">
        <v>89</v>
      </c>
      <c r="C73" s="189"/>
      <c r="D73" s="189"/>
      <c r="E73" s="189"/>
      <c r="F73" s="189"/>
      <c r="G73" s="189"/>
      <c r="H73" s="189"/>
      <c r="I73" s="189"/>
      <c r="J73" s="189"/>
      <c r="K73" s="189"/>
      <c r="L73" s="189"/>
      <c r="M73" s="190"/>
      <c r="N73" s="164"/>
      <c r="O73" s="164"/>
      <c r="P73" s="164"/>
      <c r="Q73" s="164"/>
      <c r="R73" s="164"/>
      <c r="S73" s="32"/>
      <c r="T73" s="32"/>
      <c r="U73" s="32"/>
      <c r="V73" s="32"/>
    </row>
    <row r="74" spans="2:27" ht="18" customHeight="1" x14ac:dyDescent="0.2">
      <c r="B74" s="55"/>
      <c r="C74" s="55"/>
      <c r="D74" s="55"/>
      <c r="E74" s="55"/>
      <c r="F74" s="55"/>
      <c r="G74" s="55"/>
      <c r="H74" s="55"/>
      <c r="I74" s="55"/>
      <c r="J74" s="55"/>
      <c r="K74" s="55"/>
      <c r="L74" s="55"/>
    </row>
    <row r="75" spans="2:27" ht="18" customHeight="1" x14ac:dyDescent="0.2">
      <c r="B75" s="55"/>
      <c r="C75" s="55"/>
      <c r="D75" s="55"/>
      <c r="E75" s="55"/>
      <c r="F75" s="55"/>
      <c r="G75" s="55"/>
      <c r="H75" s="55"/>
      <c r="I75" s="55"/>
      <c r="J75" s="55"/>
      <c r="K75" s="55"/>
      <c r="L75" s="55"/>
    </row>
    <row r="76" spans="2:27" ht="18" customHeight="1" x14ac:dyDescent="0.2">
      <c r="B76" s="163" t="s">
        <v>78</v>
      </c>
      <c r="C76" s="163"/>
      <c r="D76" s="163"/>
      <c r="E76" s="163"/>
      <c r="F76" s="163"/>
      <c r="G76" s="163"/>
      <c r="H76" s="163"/>
      <c r="I76" s="163"/>
      <c r="J76" s="163"/>
      <c r="K76" s="163"/>
      <c r="L76" s="163"/>
      <c r="M76" s="163"/>
      <c r="N76" s="163"/>
      <c r="O76" s="163"/>
      <c r="P76" s="163"/>
      <c r="Q76" s="163"/>
      <c r="R76" s="163"/>
      <c r="S76" s="163"/>
      <c r="T76" s="163"/>
    </row>
    <row r="77" spans="2:27" ht="17" customHeight="1" x14ac:dyDescent="0.2">
      <c r="B77" s="164"/>
      <c r="C77" s="165" t="s">
        <v>6</v>
      </c>
      <c r="D77" s="165"/>
      <c r="E77" s="165"/>
      <c r="F77" s="165" t="s">
        <v>5</v>
      </c>
      <c r="G77" s="165"/>
      <c r="H77" s="165"/>
      <c r="I77" s="165"/>
      <c r="J77" s="165"/>
      <c r="K77" s="165" t="s">
        <v>17</v>
      </c>
      <c r="L77" s="165"/>
      <c r="M77" s="165"/>
      <c r="N77" s="165"/>
      <c r="O77" s="165" t="s">
        <v>33</v>
      </c>
      <c r="P77" s="165"/>
      <c r="Q77" s="165"/>
      <c r="R77" s="165"/>
      <c r="S77" s="165"/>
      <c r="T77" s="166" t="s">
        <v>75</v>
      </c>
    </row>
    <row r="78" spans="2:27" ht="16" x14ac:dyDescent="0.2">
      <c r="B78" s="167" t="s">
        <v>14</v>
      </c>
      <c r="C78" s="109">
        <v>6</v>
      </c>
      <c r="D78" s="109"/>
      <c r="E78" s="109"/>
      <c r="F78" s="109">
        <v>3</v>
      </c>
      <c r="G78" s="109"/>
      <c r="H78" s="109"/>
      <c r="I78" s="109"/>
      <c r="J78" s="109"/>
      <c r="K78" s="109">
        <v>3</v>
      </c>
      <c r="L78" s="109"/>
      <c r="M78" s="109"/>
      <c r="N78" s="109"/>
      <c r="O78" s="109">
        <v>3</v>
      </c>
      <c r="P78" s="109"/>
      <c r="Q78" s="109"/>
      <c r="R78" s="109"/>
      <c r="S78" s="109"/>
      <c r="T78" s="27">
        <f>SUM(C78:R78)/(6+3+3+3)</f>
        <v>1</v>
      </c>
    </row>
    <row r="79" spans="2:27" ht="101" customHeight="1" x14ac:dyDescent="0.2">
      <c r="B79" s="80" t="s">
        <v>35</v>
      </c>
      <c r="C79" s="168" t="s">
        <v>0</v>
      </c>
      <c r="D79" s="169" t="s">
        <v>4</v>
      </c>
      <c r="E79" s="170" t="s">
        <v>1</v>
      </c>
      <c r="F79" s="171" t="s">
        <v>107</v>
      </c>
      <c r="G79" s="171"/>
      <c r="H79" s="172" t="s">
        <v>108</v>
      </c>
      <c r="I79" s="172"/>
      <c r="J79" s="170" t="s">
        <v>2</v>
      </c>
      <c r="K79" s="168" t="s">
        <v>110</v>
      </c>
      <c r="L79" s="172" t="s">
        <v>111</v>
      </c>
      <c r="M79" s="172"/>
      <c r="N79" s="170" t="s">
        <v>109</v>
      </c>
      <c r="O79" s="171" t="s">
        <v>112</v>
      </c>
      <c r="P79" s="171"/>
      <c r="Q79" s="172" t="s">
        <v>113</v>
      </c>
      <c r="R79" s="172"/>
      <c r="S79" s="170" t="s">
        <v>18</v>
      </c>
      <c r="T79" s="173"/>
    </row>
    <row r="80" spans="2:27" ht="16" x14ac:dyDescent="0.2">
      <c r="B80" s="174"/>
      <c r="C80" s="174">
        <v>6</v>
      </c>
      <c r="D80" s="174">
        <v>3</v>
      </c>
      <c r="E80" s="174">
        <v>0</v>
      </c>
      <c r="F80" s="174">
        <v>3</v>
      </c>
      <c r="G80" s="174">
        <v>2</v>
      </c>
      <c r="H80" s="164"/>
      <c r="I80" s="164"/>
      <c r="J80" s="174">
        <v>0</v>
      </c>
      <c r="K80" s="174">
        <v>3</v>
      </c>
      <c r="L80" s="175">
        <v>1</v>
      </c>
      <c r="M80" s="175"/>
      <c r="N80" s="174">
        <v>0</v>
      </c>
      <c r="O80" s="175">
        <v>3</v>
      </c>
      <c r="P80" s="175"/>
      <c r="Q80" s="175">
        <v>1</v>
      </c>
      <c r="R80" s="175"/>
      <c r="S80" s="174">
        <v>0</v>
      </c>
      <c r="T80" s="176"/>
    </row>
    <row r="81" spans="2:27" s="1" customFormat="1" ht="17" customHeight="1" x14ac:dyDescent="0.2">
      <c r="B81" s="177" t="s">
        <v>120</v>
      </c>
      <c r="C81" s="178"/>
      <c r="D81" s="178"/>
      <c r="E81" s="178"/>
      <c r="F81" s="178"/>
      <c r="G81" s="178"/>
      <c r="H81" s="178"/>
      <c r="I81" s="178"/>
      <c r="J81" s="178"/>
      <c r="K81" s="178"/>
      <c r="L81" s="178"/>
      <c r="M81" s="178"/>
      <c r="N81" s="178"/>
      <c r="O81" s="178"/>
      <c r="P81" s="178"/>
      <c r="Q81" s="178"/>
      <c r="R81" s="178"/>
      <c r="S81" s="178"/>
      <c r="T81" s="164"/>
      <c r="AA81" s="5"/>
    </row>
    <row r="82" spans="2:27" s="1" customFormat="1" ht="17" customHeight="1" x14ac:dyDescent="0.2">
      <c r="B82" s="177"/>
      <c r="C82" s="178"/>
      <c r="D82" s="178"/>
      <c r="E82" s="178"/>
      <c r="F82" s="178"/>
      <c r="G82" s="178"/>
      <c r="H82" s="178"/>
      <c r="I82" s="178"/>
      <c r="J82" s="178"/>
      <c r="K82" s="178"/>
      <c r="L82" s="178"/>
      <c r="M82" s="178"/>
      <c r="N82" s="178"/>
      <c r="O82" s="178"/>
      <c r="P82" s="178"/>
      <c r="Q82" s="178"/>
      <c r="R82" s="178"/>
      <c r="S82" s="178"/>
      <c r="T82" s="164"/>
      <c r="AA82" s="5"/>
    </row>
    <row r="83" spans="2:27" ht="16" customHeight="1" x14ac:dyDescent="0.2">
      <c r="B83" s="179" t="s">
        <v>3</v>
      </c>
      <c r="C83" s="179"/>
      <c r="D83" s="179"/>
      <c r="E83" s="179"/>
      <c r="F83" s="179"/>
      <c r="G83" s="179"/>
      <c r="H83" s="179"/>
      <c r="I83" s="179"/>
      <c r="J83" s="179"/>
      <c r="K83" s="179"/>
      <c r="L83" s="179"/>
      <c r="M83" s="179"/>
      <c r="N83" s="179"/>
      <c r="O83" s="179"/>
      <c r="P83" s="179"/>
      <c r="Q83" s="179"/>
      <c r="R83" s="179"/>
      <c r="S83" s="179"/>
      <c r="T83" s="179"/>
      <c r="U83" s="1"/>
      <c r="V83" s="1"/>
    </row>
    <row r="84" spans="2:27" ht="16" customHeight="1" x14ac:dyDescent="0.2">
      <c r="B84" s="179" t="s">
        <v>79</v>
      </c>
      <c r="C84" s="179"/>
      <c r="D84" s="179"/>
      <c r="E84" s="179"/>
      <c r="F84" s="179"/>
      <c r="G84" s="179"/>
      <c r="H84" s="179"/>
      <c r="I84" s="179"/>
      <c r="J84" s="179"/>
      <c r="K84" s="179"/>
      <c r="L84" s="179"/>
      <c r="M84" s="179"/>
      <c r="N84" s="179"/>
      <c r="O84" s="179"/>
      <c r="P84" s="179"/>
      <c r="Q84" s="179"/>
      <c r="R84" s="179"/>
      <c r="S84" s="179"/>
      <c r="T84" s="179"/>
    </row>
    <row r="85" spans="2:27" ht="16" x14ac:dyDescent="0.2">
      <c r="B85" s="179"/>
      <c r="C85" s="179"/>
      <c r="D85" s="179"/>
      <c r="E85" s="179"/>
      <c r="F85" s="179"/>
      <c r="G85" s="179"/>
      <c r="H85" s="179"/>
      <c r="I85" s="179"/>
      <c r="J85" s="179"/>
      <c r="K85" s="179"/>
      <c r="L85" s="179"/>
      <c r="M85" s="179"/>
      <c r="N85" s="179"/>
      <c r="O85" s="179"/>
      <c r="P85" s="179"/>
      <c r="Q85" s="179"/>
      <c r="R85" s="179"/>
      <c r="S85" s="179"/>
      <c r="T85" s="179"/>
    </row>
    <row r="87" spans="2:27" ht="18" customHeight="1" x14ac:dyDescent="0.2">
      <c r="B87" s="223" t="s">
        <v>59</v>
      </c>
      <c r="C87" s="224"/>
      <c r="D87" s="224"/>
      <c r="E87" s="224"/>
      <c r="F87" s="224"/>
      <c r="G87" s="224"/>
      <c r="H87" s="224"/>
      <c r="I87" s="224"/>
      <c r="J87" s="224"/>
      <c r="K87" s="224"/>
      <c r="L87" s="224"/>
      <c r="M87" s="224"/>
      <c r="N87" s="224"/>
      <c r="O87" s="224"/>
      <c r="P87" s="224"/>
      <c r="Q87" s="224"/>
      <c r="R87" s="224"/>
      <c r="S87" s="65" t="s">
        <v>13</v>
      </c>
    </row>
    <row r="88" spans="2:27" ht="18" customHeight="1" x14ac:dyDescent="0.2">
      <c r="B88" s="110" t="s">
        <v>132</v>
      </c>
      <c r="C88" s="225"/>
      <c r="D88" s="225"/>
      <c r="E88" s="225"/>
      <c r="F88" s="225"/>
      <c r="G88" s="225"/>
      <c r="H88" s="225"/>
      <c r="I88" s="225"/>
      <c r="J88" s="225"/>
      <c r="K88" s="225"/>
      <c r="L88" s="225"/>
      <c r="M88" s="225"/>
      <c r="N88" s="225"/>
      <c r="O88" s="225"/>
      <c r="P88" s="225"/>
      <c r="Q88" s="225"/>
      <c r="R88" s="120"/>
      <c r="S88" s="27">
        <f>MAX(C90:S90,F96:R96)</f>
        <v>0.60008681549586373</v>
      </c>
    </row>
    <row r="89" spans="2:27" ht="18" customHeight="1" x14ac:dyDescent="0.2">
      <c r="B89" s="66"/>
      <c r="C89" s="131" t="s">
        <v>126</v>
      </c>
      <c r="D89" s="131"/>
      <c r="E89" s="131"/>
      <c r="F89" s="131" t="s">
        <v>134</v>
      </c>
      <c r="G89" s="131"/>
      <c r="H89" s="131"/>
      <c r="I89" s="131" t="s">
        <v>131</v>
      </c>
      <c r="J89" s="131"/>
      <c r="K89" s="131"/>
      <c r="L89" s="104" t="s">
        <v>25</v>
      </c>
      <c r="M89" s="104"/>
      <c r="N89" s="104"/>
      <c r="O89" s="104"/>
      <c r="P89" s="104"/>
      <c r="Q89" s="104"/>
      <c r="R89" s="104"/>
      <c r="S89" s="62"/>
    </row>
    <row r="90" spans="2:27" ht="18" customHeight="1" x14ac:dyDescent="0.2">
      <c r="B90" s="73" t="s">
        <v>14</v>
      </c>
      <c r="C90" s="112">
        <f>(MIN(1,LOG10(C92+1)/LOG10(100000)))</f>
        <v>0.60008681549586373</v>
      </c>
      <c r="D90" s="113"/>
      <c r="E90" s="113"/>
      <c r="F90" s="112">
        <f>(MIN(1,LOG10(C92*I92/100+1)/LOG10(10000)))</f>
        <v>0.42689254402448407</v>
      </c>
      <c r="G90" s="113"/>
      <c r="H90" s="113"/>
      <c r="I90" s="112">
        <f>(MIN(1, MAX(0, (0.3*I92/100*F92 + 0.1*(1-I92/100)*F92)/100)))</f>
        <v>0.11</v>
      </c>
      <c r="J90" s="113"/>
      <c r="K90" s="113"/>
      <c r="L90" s="112">
        <f>MAX(L92*N92+L92*P92 + L92*0.5)</f>
        <v>0</v>
      </c>
      <c r="M90" s="113"/>
      <c r="N90" s="113"/>
      <c r="O90" s="113"/>
      <c r="P90" s="113"/>
      <c r="Q90" s="113"/>
      <c r="R90" s="114"/>
      <c r="S90" s="62"/>
    </row>
    <row r="91" spans="2:27" ht="18" customHeight="1" x14ac:dyDescent="0.2">
      <c r="B91" s="67"/>
      <c r="C91" s="104" t="s">
        <v>74</v>
      </c>
      <c r="D91" s="104"/>
      <c r="E91" s="104"/>
      <c r="F91" s="104" t="s">
        <v>128</v>
      </c>
      <c r="G91" s="104"/>
      <c r="H91" s="104"/>
      <c r="I91" s="104" t="s">
        <v>73</v>
      </c>
      <c r="J91" s="104"/>
      <c r="K91" s="104"/>
      <c r="L91" s="104" t="s">
        <v>66</v>
      </c>
      <c r="M91" s="104"/>
      <c r="N91" s="104" t="s">
        <v>67</v>
      </c>
      <c r="O91" s="104"/>
      <c r="P91" s="104" t="s">
        <v>68</v>
      </c>
      <c r="Q91" s="104"/>
      <c r="R91" s="104"/>
      <c r="S91" s="62"/>
    </row>
    <row r="92" spans="2:27" ht="18" customHeight="1" x14ac:dyDescent="0.2">
      <c r="B92" s="57" t="s">
        <v>60</v>
      </c>
      <c r="C92" s="109">
        <v>1000</v>
      </c>
      <c r="D92" s="109"/>
      <c r="E92" s="109"/>
      <c r="F92" s="109">
        <v>100</v>
      </c>
      <c r="G92" s="109"/>
      <c r="H92" s="109"/>
      <c r="I92" s="109">
        <v>5</v>
      </c>
      <c r="J92" s="109"/>
      <c r="K92" s="109"/>
      <c r="L92" s="109">
        <v>0</v>
      </c>
      <c r="M92" s="109"/>
      <c r="N92" s="109">
        <v>0</v>
      </c>
      <c r="O92" s="109"/>
      <c r="P92" s="109">
        <v>0</v>
      </c>
      <c r="Q92" s="109"/>
      <c r="R92" s="109"/>
      <c r="S92" s="62"/>
    </row>
    <row r="93" spans="2:27" ht="18" customHeight="1" x14ac:dyDescent="0.2">
      <c r="B93" s="58" t="s">
        <v>35</v>
      </c>
      <c r="C93" s="115" t="s">
        <v>63</v>
      </c>
      <c r="D93" s="115"/>
      <c r="E93" s="115"/>
      <c r="F93" s="115" t="s">
        <v>129</v>
      </c>
      <c r="G93" s="115"/>
      <c r="H93" s="115"/>
      <c r="I93" s="105" t="s">
        <v>130</v>
      </c>
      <c r="J93" s="105"/>
      <c r="K93" s="105"/>
      <c r="L93" s="106" t="s">
        <v>65</v>
      </c>
      <c r="M93" s="106"/>
      <c r="N93" s="106" t="s">
        <v>69</v>
      </c>
      <c r="O93" s="106"/>
      <c r="P93" s="52" t="s">
        <v>72</v>
      </c>
      <c r="Q93" s="53" t="s">
        <v>70</v>
      </c>
      <c r="R93" s="54" t="s">
        <v>71</v>
      </c>
      <c r="S93" s="62"/>
    </row>
    <row r="94" spans="2:27" ht="18" customHeight="1" x14ac:dyDescent="0.2">
      <c r="B94" s="110" t="s">
        <v>133</v>
      </c>
      <c r="C94" s="225"/>
      <c r="D94" s="225"/>
      <c r="E94" s="225"/>
      <c r="F94" s="225"/>
      <c r="G94" s="225"/>
      <c r="H94" s="225"/>
      <c r="I94" s="225"/>
      <c r="J94" s="225"/>
      <c r="K94" s="225"/>
      <c r="L94" s="225"/>
      <c r="M94" s="225"/>
      <c r="N94" s="225"/>
      <c r="O94" s="225"/>
      <c r="P94" s="225"/>
      <c r="Q94" s="225"/>
      <c r="R94" s="225"/>
      <c r="S94" s="62"/>
    </row>
    <row r="95" spans="2:27" ht="18" customHeight="1" x14ac:dyDescent="0.2">
      <c r="B95" s="66"/>
      <c r="C95" s="131" t="s">
        <v>126</v>
      </c>
      <c r="D95" s="131"/>
      <c r="E95" s="131"/>
      <c r="F95" s="131" t="s">
        <v>134</v>
      </c>
      <c r="G95" s="131"/>
      <c r="H95" s="131"/>
      <c r="I95" s="131" t="s">
        <v>131</v>
      </c>
      <c r="J95" s="131"/>
      <c r="K95" s="131"/>
      <c r="L95" s="104" t="s">
        <v>25</v>
      </c>
      <c r="M95" s="104"/>
      <c r="N95" s="104"/>
      <c r="O95" s="104"/>
      <c r="P95" s="104"/>
      <c r="Q95" s="104"/>
      <c r="R95" s="104"/>
      <c r="S95" s="62"/>
    </row>
    <row r="96" spans="2:27" ht="18" customHeight="1" x14ac:dyDescent="0.2">
      <c r="B96" s="73" t="s">
        <v>14</v>
      </c>
      <c r="C96" s="112">
        <f>(MIN(1,LOG(C98+1)/LOG(10000)))</f>
        <v>0.50108034344566066</v>
      </c>
      <c r="D96" s="113"/>
      <c r="E96" s="113"/>
      <c r="F96" s="112">
        <f>(MIN(1,LOG10(C98*I98/100+1)/LOG10(1000)))</f>
        <v>0.25938375012788123</v>
      </c>
      <c r="G96" s="113"/>
      <c r="H96" s="113"/>
      <c r="I96" s="112">
        <f>(MIN(1, MAX(0, (0.3*I98/100*F98 + 0.1*(1-I98/100)*F98)/10)))</f>
        <v>0.10999999999999999</v>
      </c>
      <c r="J96" s="113"/>
      <c r="K96" s="113"/>
      <c r="L96" s="112">
        <f>MAX(L98*N98+L98*P98 + L98*0.5)</f>
        <v>0</v>
      </c>
      <c r="M96" s="113"/>
      <c r="N96" s="113"/>
      <c r="O96" s="113"/>
      <c r="P96" s="113"/>
      <c r="Q96" s="113"/>
      <c r="R96" s="114"/>
      <c r="S96" s="62"/>
    </row>
    <row r="97" spans="2:19" ht="18" customHeight="1" x14ac:dyDescent="0.2">
      <c r="B97" s="67"/>
      <c r="C97" s="104" t="s">
        <v>74</v>
      </c>
      <c r="D97" s="104"/>
      <c r="E97" s="104"/>
      <c r="F97" s="104" t="s">
        <v>128</v>
      </c>
      <c r="G97" s="104"/>
      <c r="H97" s="104"/>
      <c r="I97" s="104" t="s">
        <v>73</v>
      </c>
      <c r="J97" s="104"/>
      <c r="K97" s="104"/>
      <c r="L97" s="104" t="s">
        <v>66</v>
      </c>
      <c r="M97" s="104"/>
      <c r="N97" s="104" t="s">
        <v>67</v>
      </c>
      <c r="O97" s="104"/>
      <c r="P97" s="104" t="s">
        <v>68</v>
      </c>
      <c r="Q97" s="104"/>
      <c r="R97" s="104"/>
      <c r="S97" s="62"/>
    </row>
    <row r="98" spans="2:19" ht="18" customHeight="1" x14ac:dyDescent="0.2">
      <c r="B98" s="57" t="s">
        <v>60</v>
      </c>
      <c r="C98" s="109">
        <v>100</v>
      </c>
      <c r="D98" s="109"/>
      <c r="E98" s="109"/>
      <c r="F98" s="109">
        <v>10</v>
      </c>
      <c r="G98" s="109"/>
      <c r="H98" s="109"/>
      <c r="I98" s="109">
        <v>5</v>
      </c>
      <c r="J98" s="109"/>
      <c r="K98" s="109"/>
      <c r="L98" s="109">
        <v>0</v>
      </c>
      <c r="M98" s="109"/>
      <c r="N98" s="109">
        <v>0</v>
      </c>
      <c r="O98" s="109"/>
      <c r="P98" s="109">
        <v>0</v>
      </c>
      <c r="Q98" s="109"/>
      <c r="R98" s="109"/>
      <c r="S98" s="62"/>
    </row>
    <row r="99" spans="2:19" ht="18" customHeight="1" x14ac:dyDescent="0.2">
      <c r="B99" s="58" t="s">
        <v>35</v>
      </c>
      <c r="C99" s="105" t="s">
        <v>76</v>
      </c>
      <c r="D99" s="105"/>
      <c r="E99" s="105"/>
      <c r="F99" s="115" t="s">
        <v>129</v>
      </c>
      <c r="G99" s="115"/>
      <c r="H99" s="115"/>
      <c r="I99" s="105" t="s">
        <v>130</v>
      </c>
      <c r="J99" s="105"/>
      <c r="K99" s="105"/>
      <c r="L99" s="106" t="s">
        <v>87</v>
      </c>
      <c r="M99" s="106"/>
      <c r="N99" s="106" t="s">
        <v>69</v>
      </c>
      <c r="O99" s="106"/>
      <c r="P99" s="52" t="s">
        <v>72</v>
      </c>
      <c r="Q99" s="53" t="s">
        <v>88</v>
      </c>
      <c r="R99" s="54" t="s">
        <v>71</v>
      </c>
      <c r="S99" s="62"/>
    </row>
    <row r="100" spans="2:19" ht="18" customHeight="1" x14ac:dyDescent="0.2">
      <c r="B100" s="97" t="s">
        <v>80</v>
      </c>
      <c r="C100" s="98"/>
      <c r="D100" s="98"/>
      <c r="E100" s="98"/>
      <c r="F100" s="98"/>
      <c r="G100" s="98"/>
      <c r="H100" s="98"/>
      <c r="I100" s="98"/>
      <c r="J100" s="98"/>
      <c r="K100" s="98"/>
      <c r="L100" s="98"/>
      <c r="S100" s="62"/>
    </row>
    <row r="101" spans="2:19" ht="18" customHeight="1" x14ac:dyDescent="0.2">
      <c r="B101" s="99" t="s">
        <v>89</v>
      </c>
      <c r="C101" s="100"/>
      <c r="D101" s="100"/>
      <c r="E101" s="100"/>
      <c r="F101" s="100"/>
      <c r="G101" s="100"/>
      <c r="H101" s="100"/>
      <c r="I101" s="100"/>
      <c r="J101" s="100"/>
      <c r="K101" s="100"/>
      <c r="L101" s="100"/>
      <c r="M101" s="68"/>
      <c r="N101" s="13"/>
      <c r="O101" s="13"/>
      <c r="P101" s="13"/>
      <c r="Q101" s="13"/>
      <c r="R101" s="13"/>
      <c r="S101" s="64"/>
    </row>
  </sheetData>
  <sheetProtection selectLockedCells="1"/>
  <mergeCells count="248">
    <mergeCell ref="B100:L100"/>
    <mergeCell ref="B101:L101"/>
    <mergeCell ref="B87:R87"/>
    <mergeCell ref="B88:R88"/>
    <mergeCell ref="C89:E89"/>
    <mergeCell ref="F89:H89"/>
    <mergeCell ref="I89:K89"/>
    <mergeCell ref="L89:R89"/>
    <mergeCell ref="C90:E90"/>
    <mergeCell ref="F90:H90"/>
    <mergeCell ref="I90:K90"/>
    <mergeCell ref="L90:R90"/>
    <mergeCell ref="C91:E91"/>
    <mergeCell ref="F91:H91"/>
    <mergeCell ref="I91:K91"/>
    <mergeCell ref="L91:M91"/>
    <mergeCell ref="N91:O91"/>
    <mergeCell ref="P91:R91"/>
    <mergeCell ref="C92:E92"/>
    <mergeCell ref="F92:H92"/>
    <mergeCell ref="I92:K92"/>
    <mergeCell ref="L92:M92"/>
    <mergeCell ref="N92:O92"/>
    <mergeCell ref="P92:R92"/>
    <mergeCell ref="C98:E98"/>
    <mergeCell ref="F98:H98"/>
    <mergeCell ref="I98:K98"/>
    <mergeCell ref="L98:M98"/>
    <mergeCell ref="N98:O98"/>
    <mergeCell ref="P98:R98"/>
    <mergeCell ref="C99:E99"/>
    <mergeCell ref="F99:H99"/>
    <mergeCell ref="I99:K99"/>
    <mergeCell ref="L99:M99"/>
    <mergeCell ref="N99:O99"/>
    <mergeCell ref="C96:E96"/>
    <mergeCell ref="F96:H96"/>
    <mergeCell ref="I96:K96"/>
    <mergeCell ref="L96:R96"/>
    <mergeCell ref="C97:E97"/>
    <mergeCell ref="F97:H97"/>
    <mergeCell ref="I97:K97"/>
    <mergeCell ref="L97:M97"/>
    <mergeCell ref="N97:O97"/>
    <mergeCell ref="P97:R97"/>
    <mergeCell ref="C93:E93"/>
    <mergeCell ref="F93:H93"/>
    <mergeCell ref="I93:K93"/>
    <mergeCell ref="L93:M93"/>
    <mergeCell ref="N93:O93"/>
    <mergeCell ref="B94:R94"/>
    <mergeCell ref="C95:E95"/>
    <mergeCell ref="F95:H95"/>
    <mergeCell ref="I95:K95"/>
    <mergeCell ref="L95:R95"/>
    <mergeCell ref="L62:N63"/>
    <mergeCell ref="B70:B71"/>
    <mergeCell ref="C70:E71"/>
    <mergeCell ref="F70:H71"/>
    <mergeCell ref="I70:K71"/>
    <mergeCell ref="L70:N71"/>
    <mergeCell ref="B81:B82"/>
    <mergeCell ref="C81:E82"/>
    <mergeCell ref="F81:J82"/>
    <mergeCell ref="K81:N82"/>
    <mergeCell ref="O81:S82"/>
    <mergeCell ref="O70:U71"/>
    <mergeCell ref="O62:U63"/>
    <mergeCell ref="O51:Q52"/>
    <mergeCell ref="B1:H1"/>
    <mergeCell ref="C2:H2"/>
    <mergeCell ref="I2:L2"/>
    <mergeCell ref="B3:D3"/>
    <mergeCell ref="E3:H3"/>
    <mergeCell ref="B4:D4"/>
    <mergeCell ref="B40:B41"/>
    <mergeCell ref="C40:E41"/>
    <mergeCell ref="F40:H41"/>
    <mergeCell ref="I40:K41"/>
    <mergeCell ref="L40:N41"/>
    <mergeCell ref="B11:F11"/>
    <mergeCell ref="B12:F12"/>
    <mergeCell ref="B13:F13"/>
    <mergeCell ref="B14:F14"/>
    <mergeCell ref="B15:F15"/>
    <mergeCell ref="B16:F16"/>
    <mergeCell ref="B5:D5"/>
    <mergeCell ref="B6:F6"/>
    <mergeCell ref="B7:F7"/>
    <mergeCell ref="B8:F8"/>
    <mergeCell ref="B9:F9"/>
    <mergeCell ref="B10:F10"/>
    <mergeCell ref="B23:F23"/>
    <mergeCell ref="B24:F24"/>
    <mergeCell ref="B25:F25"/>
    <mergeCell ref="B26:F26"/>
    <mergeCell ref="B27:F27"/>
    <mergeCell ref="B28:F28"/>
    <mergeCell ref="B17:F17"/>
    <mergeCell ref="B18:F18"/>
    <mergeCell ref="B19:F19"/>
    <mergeCell ref="B20:F20"/>
    <mergeCell ref="B21:F21"/>
    <mergeCell ref="B22:F22"/>
    <mergeCell ref="C36:E36"/>
    <mergeCell ref="F36:H36"/>
    <mergeCell ref="I36:K36"/>
    <mergeCell ref="L36:N36"/>
    <mergeCell ref="O36:R36"/>
    <mergeCell ref="S36:V36"/>
    <mergeCell ref="B29:F29"/>
    <mergeCell ref="B30:F30"/>
    <mergeCell ref="B31:C31"/>
    <mergeCell ref="B34:W34"/>
    <mergeCell ref="C35:E35"/>
    <mergeCell ref="F35:H35"/>
    <mergeCell ref="I35:K35"/>
    <mergeCell ref="L35:N35"/>
    <mergeCell ref="O35:R35"/>
    <mergeCell ref="S35:V35"/>
    <mergeCell ref="C37:E37"/>
    <mergeCell ref="I37:K37"/>
    <mergeCell ref="L37:N37"/>
    <mergeCell ref="O37:R37"/>
    <mergeCell ref="S37:V37"/>
    <mergeCell ref="C38:E38"/>
    <mergeCell ref="F38:H38"/>
    <mergeCell ref="I38:K38"/>
    <mergeCell ref="L38:N38"/>
    <mergeCell ref="O38:R38"/>
    <mergeCell ref="AB45:AD45"/>
    <mergeCell ref="AF45:AH45"/>
    <mergeCell ref="C46:E46"/>
    <mergeCell ref="F46:H46"/>
    <mergeCell ref="I46:K46"/>
    <mergeCell ref="L46:Q46"/>
    <mergeCell ref="AB46:AD46"/>
    <mergeCell ref="AF46:AH46"/>
    <mergeCell ref="S38:V38"/>
    <mergeCell ref="C39:E39"/>
    <mergeCell ref="F39:H39"/>
    <mergeCell ref="B44:Q44"/>
    <mergeCell ref="R44:R45"/>
    <mergeCell ref="C45:E45"/>
    <mergeCell ref="F45:H45"/>
    <mergeCell ref="I45:K45"/>
    <mergeCell ref="L45:Q45"/>
    <mergeCell ref="O40:R41"/>
    <mergeCell ref="S40:V41"/>
    <mergeCell ref="C50:E50"/>
    <mergeCell ref="B55:U55"/>
    <mergeCell ref="B56:U56"/>
    <mergeCell ref="C57:H57"/>
    <mergeCell ref="I57:N57"/>
    <mergeCell ref="O57:U57"/>
    <mergeCell ref="AF47:AH47"/>
    <mergeCell ref="L48:Q48"/>
    <mergeCell ref="C49:E49"/>
    <mergeCell ref="F49:H49"/>
    <mergeCell ref="I49:K49"/>
    <mergeCell ref="L49:N49"/>
    <mergeCell ref="O49:Q49"/>
    <mergeCell ref="C47:E47"/>
    <mergeCell ref="F47:H47"/>
    <mergeCell ref="I47:K47"/>
    <mergeCell ref="L47:N47"/>
    <mergeCell ref="O47:Q47"/>
    <mergeCell ref="AB47:AD47"/>
    <mergeCell ref="B51:B52"/>
    <mergeCell ref="C51:E52"/>
    <mergeCell ref="F51:H52"/>
    <mergeCell ref="I51:K52"/>
    <mergeCell ref="L51:N52"/>
    <mergeCell ref="C58:H58"/>
    <mergeCell ref="I58:N58"/>
    <mergeCell ref="O58:U58"/>
    <mergeCell ref="C59:E59"/>
    <mergeCell ref="F59:H59"/>
    <mergeCell ref="I59:K59"/>
    <mergeCell ref="L59:N59"/>
    <mergeCell ref="O59:P59"/>
    <mergeCell ref="Q59:R59"/>
    <mergeCell ref="S59:U59"/>
    <mergeCell ref="B64:U64"/>
    <mergeCell ref="C65:H65"/>
    <mergeCell ref="I65:N65"/>
    <mergeCell ref="O65:U65"/>
    <mergeCell ref="C66:H66"/>
    <mergeCell ref="I66:N66"/>
    <mergeCell ref="O66:U66"/>
    <mergeCell ref="S60:U60"/>
    <mergeCell ref="C61:E61"/>
    <mergeCell ref="F61:H61"/>
    <mergeCell ref="I61:K61"/>
    <mergeCell ref="L61:N61"/>
    <mergeCell ref="O61:P61"/>
    <mergeCell ref="Q61:R61"/>
    <mergeCell ref="C60:E60"/>
    <mergeCell ref="F60:H60"/>
    <mergeCell ref="I60:K60"/>
    <mergeCell ref="L60:N60"/>
    <mergeCell ref="O60:P60"/>
    <mergeCell ref="Q60:R60"/>
    <mergeCell ref="B62:B63"/>
    <mergeCell ref="C62:E63"/>
    <mergeCell ref="F62:H63"/>
    <mergeCell ref="I62:K63"/>
    <mergeCell ref="S67:U67"/>
    <mergeCell ref="C68:E68"/>
    <mergeCell ref="F68:H68"/>
    <mergeCell ref="I68:K68"/>
    <mergeCell ref="L68:N68"/>
    <mergeCell ref="O68:P68"/>
    <mergeCell ref="Q68:R68"/>
    <mergeCell ref="S68:U68"/>
    <mergeCell ref="C67:E67"/>
    <mergeCell ref="F67:H67"/>
    <mergeCell ref="I67:K67"/>
    <mergeCell ref="L67:N67"/>
    <mergeCell ref="O67:P67"/>
    <mergeCell ref="Q67:R67"/>
    <mergeCell ref="B72:L72"/>
    <mergeCell ref="B73:L73"/>
    <mergeCell ref="B76:T76"/>
    <mergeCell ref="C77:E77"/>
    <mergeCell ref="C69:E69"/>
    <mergeCell ref="F69:H69"/>
    <mergeCell ref="I69:K69"/>
    <mergeCell ref="L69:N69"/>
    <mergeCell ref="O69:P69"/>
    <mergeCell ref="Q69:R69"/>
    <mergeCell ref="F77:J77"/>
    <mergeCell ref="K77:N77"/>
    <mergeCell ref="O77:S77"/>
    <mergeCell ref="L80:M80"/>
    <mergeCell ref="O80:P80"/>
    <mergeCell ref="Q80:R80"/>
    <mergeCell ref="B83:T83"/>
    <mergeCell ref="B84:T85"/>
    <mergeCell ref="C78:E78"/>
    <mergeCell ref="F78:J78"/>
    <mergeCell ref="K78:N78"/>
    <mergeCell ref="O78:S78"/>
    <mergeCell ref="F79:G79"/>
    <mergeCell ref="H79:I79"/>
    <mergeCell ref="L79:M79"/>
    <mergeCell ref="O79:P79"/>
    <mergeCell ref="Q79:R79"/>
  </mergeCells>
  <conditionalFormatting sqref="C36 F36 I36 L36 O36 S36 W36">
    <cfRule type="colorScale" priority="29">
      <colorScale>
        <cfvo type="num" val="0.3"/>
        <cfvo type="num" val="0.5"/>
        <cfvo type="num" val="1"/>
        <color theme="9" tint="-0.249977111117893"/>
        <color rgb="FFFFC000"/>
        <color rgb="FFFF0000"/>
      </colorScale>
    </cfRule>
    <cfRule type="colorScale" priority="30">
      <colorScale>
        <cfvo type="min"/>
        <cfvo type="percentile" val="50"/>
        <cfvo type="max"/>
        <color rgb="FFF8696B"/>
        <color rgb="FFFFEB84"/>
        <color rgb="FF63BE7B"/>
      </colorScale>
    </cfRule>
    <cfRule type="colorScale" priority="31">
      <colorScale>
        <cfvo type="num" val="0"/>
        <cfvo type="num" val="1"/>
        <color theme="9"/>
        <color rgb="FFFF0000"/>
      </colorScale>
    </cfRule>
  </conditionalFormatting>
  <conditionalFormatting sqref="C58">
    <cfRule type="colorScale" priority="16">
      <colorScale>
        <cfvo type="num" val="0.3"/>
        <cfvo type="num" val="0.5"/>
        <cfvo type="num" val="1"/>
        <color theme="9" tint="-0.249977111117893"/>
        <color rgb="FFFFC000"/>
        <color rgb="FFFF0000"/>
      </colorScale>
    </cfRule>
    <cfRule type="colorScale" priority="17">
      <colorScale>
        <cfvo type="min"/>
        <cfvo type="percentile" val="50"/>
        <cfvo type="max"/>
        <color rgb="FFF8696B"/>
        <color rgb="FFFFEB84"/>
        <color rgb="FF63BE7B"/>
      </colorScale>
    </cfRule>
    <cfRule type="colorScale" priority="18">
      <colorScale>
        <cfvo type="num" val="0"/>
        <cfvo type="num" val="1"/>
        <color theme="9"/>
        <color rgb="FFFF0000"/>
      </colorScale>
    </cfRule>
  </conditionalFormatting>
  <conditionalFormatting sqref="C46 F46 I46 L46 R46">
    <cfRule type="colorScale" priority="48">
      <colorScale>
        <cfvo type="num" val="0.3"/>
        <cfvo type="num" val="0.5"/>
        <cfvo type="num" val="1"/>
        <color theme="9" tint="-0.249977111117893"/>
        <color rgb="FFFFC000"/>
        <color rgb="FFFF0000"/>
      </colorScale>
    </cfRule>
    <cfRule type="colorScale" priority="49">
      <colorScale>
        <cfvo type="min"/>
        <cfvo type="percentile" val="50"/>
        <cfvo type="max"/>
        <color rgb="FFF8696B"/>
        <color rgb="FFFFEB84"/>
        <color rgb="FF63BE7B"/>
      </colorScale>
    </cfRule>
    <cfRule type="colorScale" priority="50">
      <colorScale>
        <cfvo type="num" val="0"/>
        <cfvo type="num" val="1"/>
        <color theme="9"/>
        <color rgb="FFFF0000"/>
      </colorScale>
    </cfRule>
  </conditionalFormatting>
  <conditionalFormatting sqref="G7">
    <cfRule type="colorScale" priority="45">
      <colorScale>
        <cfvo type="num" val="0.3"/>
        <cfvo type="num" val="0.5"/>
        <cfvo type="num" val="1"/>
        <color theme="9" tint="-0.249977111117893"/>
        <color rgb="FFFFC000"/>
        <color rgb="FFFF0000"/>
      </colorScale>
    </cfRule>
    <cfRule type="colorScale" priority="46">
      <colorScale>
        <cfvo type="min"/>
        <cfvo type="percentile" val="50"/>
        <cfvo type="max"/>
        <color rgb="FFF8696B"/>
        <color rgb="FFFFEB84"/>
        <color rgb="FF63BE7B"/>
      </colorScale>
    </cfRule>
    <cfRule type="colorScale" priority="47">
      <colorScale>
        <cfvo type="num" val="0"/>
        <cfvo type="num" val="1"/>
        <color theme="9"/>
        <color rgb="FFFF0000"/>
      </colorScale>
    </cfRule>
  </conditionalFormatting>
  <conditionalFormatting sqref="G15">
    <cfRule type="colorScale" priority="42">
      <colorScale>
        <cfvo type="num" val="0.3"/>
        <cfvo type="num" val="0.5"/>
        <cfvo type="num" val="1"/>
        <color theme="9" tint="-0.249977111117893"/>
        <color rgb="FFFFC000"/>
        <color rgb="FFFF0000"/>
      </colorScale>
    </cfRule>
    <cfRule type="colorScale" priority="43">
      <colorScale>
        <cfvo type="min"/>
        <cfvo type="percentile" val="50"/>
        <cfvo type="max"/>
        <color rgb="FFF8696B"/>
        <color rgb="FFFFEB84"/>
        <color rgb="FF63BE7B"/>
      </colorScale>
    </cfRule>
    <cfRule type="colorScale" priority="44">
      <colorScale>
        <cfvo type="num" val="0"/>
        <cfvo type="num" val="1"/>
        <color theme="9"/>
        <color rgb="FFFF0000"/>
      </colorScale>
    </cfRule>
  </conditionalFormatting>
  <conditionalFormatting sqref="G21">
    <cfRule type="colorScale" priority="39">
      <colorScale>
        <cfvo type="num" val="0.3"/>
        <cfvo type="num" val="0.5"/>
        <cfvo type="num" val="1"/>
        <color theme="9" tint="-0.249977111117893"/>
        <color rgb="FFFFC000"/>
        <color rgb="FFFF0000"/>
      </colorScale>
    </cfRule>
    <cfRule type="colorScale" priority="40">
      <colorScale>
        <cfvo type="min"/>
        <cfvo type="percentile" val="50"/>
        <cfvo type="max"/>
        <color rgb="FFF8696B"/>
        <color rgb="FFFFEB84"/>
        <color rgb="FF63BE7B"/>
      </colorScale>
    </cfRule>
    <cfRule type="colorScale" priority="41">
      <colorScale>
        <cfvo type="num" val="0"/>
        <cfvo type="num" val="1"/>
        <color theme="9"/>
        <color rgb="FFFF0000"/>
      </colorScale>
    </cfRule>
  </conditionalFormatting>
  <conditionalFormatting sqref="G26">
    <cfRule type="colorScale" priority="35">
      <colorScale>
        <cfvo type="num" val="0"/>
        <cfvo type="percentile" val="0.5"/>
        <cfvo type="num" val="1"/>
        <color rgb="FFFF0000"/>
        <color rgb="FFFFEB84"/>
        <color theme="9"/>
      </colorScale>
    </cfRule>
    <cfRule type="colorScale" priority="36">
      <colorScale>
        <cfvo type="num" val="0.3"/>
        <cfvo type="num" val="0.5"/>
        <cfvo type="num" val="1"/>
        <color rgb="FF63BE7B"/>
        <color rgb="FFFFEB84"/>
        <color rgb="FFF8696B"/>
      </colorScale>
    </cfRule>
    <cfRule type="colorScale" priority="37">
      <colorScale>
        <cfvo type="num" val="0"/>
        <cfvo type="percentile" val="0.5"/>
        <cfvo type="num" val="1"/>
        <color rgb="FFF8696B"/>
        <color rgb="FFFFEB84"/>
        <color rgb="FF63BE7B"/>
      </colorScale>
    </cfRule>
    <cfRule type="colorScale" priority="38">
      <colorScale>
        <cfvo type="num" val="0"/>
        <cfvo type="num" val="1"/>
        <color theme="9"/>
        <color rgb="FFFF0000"/>
      </colorScale>
    </cfRule>
  </conditionalFormatting>
  <conditionalFormatting sqref="G31">
    <cfRule type="colorScale" priority="32">
      <colorScale>
        <cfvo type="num" val="0.3"/>
        <cfvo type="num" val="0.5"/>
        <cfvo type="num" val="1"/>
        <color theme="9" tint="-0.249977111117893"/>
        <color rgb="FFFFC000"/>
        <color rgb="FFFF0000"/>
      </colorScale>
    </cfRule>
    <cfRule type="colorScale" priority="33">
      <colorScale>
        <cfvo type="min"/>
        <cfvo type="percentile" val="50"/>
        <cfvo type="max"/>
        <color rgb="FFF8696B"/>
        <color rgb="FFFFEB84"/>
        <color rgb="FF63BE7B"/>
      </colorScale>
    </cfRule>
    <cfRule type="colorScale" priority="34">
      <colorScale>
        <cfvo type="num" val="0"/>
        <cfvo type="num" val="1"/>
        <color theme="9"/>
        <color rgb="FFFF0000"/>
      </colorScale>
    </cfRule>
  </conditionalFormatting>
  <conditionalFormatting sqref="I66 C66 O66">
    <cfRule type="colorScale" priority="23">
      <colorScale>
        <cfvo type="num" val="0.3"/>
        <cfvo type="num" val="0.5"/>
        <cfvo type="num" val="1"/>
        <color theme="9" tint="-0.249977111117893"/>
        <color rgb="FFFFC000"/>
        <color rgb="FFFF0000"/>
      </colorScale>
    </cfRule>
    <cfRule type="colorScale" priority="24">
      <colorScale>
        <cfvo type="min"/>
        <cfvo type="percentile" val="50"/>
        <cfvo type="max"/>
        <color rgb="FFF8696B"/>
        <color rgb="FFFFEB84"/>
        <color rgb="FF63BE7B"/>
      </colorScale>
    </cfRule>
    <cfRule type="colorScale" priority="25">
      <colorScale>
        <cfvo type="num" val="0"/>
        <cfvo type="num" val="1"/>
        <color theme="9"/>
        <color rgb="FFFF0000"/>
      </colorScale>
    </cfRule>
  </conditionalFormatting>
  <conditionalFormatting sqref="T78">
    <cfRule type="colorScale" priority="19">
      <colorScale>
        <cfvo type="num" val="0"/>
        <cfvo type="percentile" val="0.5"/>
        <cfvo type="num" val="1"/>
        <color rgb="FFFF0000"/>
        <color rgb="FFFFEB84"/>
        <color theme="9"/>
      </colorScale>
    </cfRule>
    <cfRule type="colorScale" priority="20">
      <colorScale>
        <cfvo type="num" val="0.3"/>
        <cfvo type="num" val="0.5"/>
        <cfvo type="num" val="1"/>
        <color rgb="FF63BE7B"/>
        <color rgb="FFFFEB84"/>
        <color rgb="FFF8696B"/>
      </colorScale>
    </cfRule>
    <cfRule type="colorScale" priority="21">
      <colorScale>
        <cfvo type="num" val="0"/>
        <cfvo type="percentile" val="0.5"/>
        <cfvo type="num" val="1"/>
        <color rgb="FFF8696B"/>
        <color rgb="FFFFEB84"/>
        <color rgb="FF63BE7B"/>
      </colorScale>
    </cfRule>
    <cfRule type="colorScale" priority="22">
      <colorScale>
        <cfvo type="num" val="0"/>
        <cfvo type="num" val="1"/>
        <color theme="9"/>
        <color rgb="FFFF0000"/>
      </colorScale>
    </cfRule>
  </conditionalFormatting>
  <conditionalFormatting sqref="V56 I58 O58">
    <cfRule type="colorScale" priority="26">
      <colorScale>
        <cfvo type="num" val="0.3"/>
        <cfvo type="num" val="0.5"/>
        <cfvo type="num" val="1"/>
        <color theme="9" tint="-0.249977111117893"/>
        <color rgb="FFFFC000"/>
        <color rgb="FFFF0000"/>
      </colorScale>
    </cfRule>
    <cfRule type="colorScale" priority="27">
      <colorScale>
        <cfvo type="min"/>
        <cfvo type="percentile" val="50"/>
        <cfvo type="max"/>
        <color rgb="FFF8696B"/>
        <color rgb="FFFFEB84"/>
        <color rgb="FF63BE7B"/>
      </colorScale>
    </cfRule>
    <cfRule type="colorScale" priority="28">
      <colorScale>
        <cfvo type="num" val="0"/>
        <cfvo type="num" val="1"/>
        <color theme="9"/>
        <color rgb="FFFF0000"/>
      </colorScale>
    </cfRule>
  </conditionalFormatting>
  <conditionalFormatting sqref="F96 L96 I96">
    <cfRule type="colorScale" priority="10">
      <colorScale>
        <cfvo type="num" val="0.3"/>
        <cfvo type="num" val="0.5"/>
        <cfvo type="num" val="1"/>
        <color theme="9" tint="-0.249977111117893"/>
        <color rgb="FFFFC000"/>
        <color rgb="FFFF0000"/>
      </colorScale>
    </cfRule>
    <cfRule type="colorScale" priority="11">
      <colorScale>
        <cfvo type="min"/>
        <cfvo type="percentile" val="50"/>
        <cfvo type="max"/>
        <color rgb="FFF8696B"/>
        <color rgb="FFFFEB84"/>
        <color rgb="FF63BE7B"/>
      </colorScale>
    </cfRule>
    <cfRule type="colorScale" priority="12">
      <colorScale>
        <cfvo type="num" val="0"/>
        <cfvo type="num" val="1"/>
        <color theme="9"/>
        <color rgb="FFFF0000"/>
      </colorScale>
    </cfRule>
  </conditionalFormatting>
  <conditionalFormatting sqref="S88 L90 I90">
    <cfRule type="colorScale" priority="13">
      <colorScale>
        <cfvo type="num" val="0.3"/>
        <cfvo type="num" val="0.5"/>
        <cfvo type="num" val="1"/>
        <color theme="9" tint="-0.249977111117893"/>
        <color rgb="FFFFC000"/>
        <color rgb="FFFF0000"/>
      </colorScale>
    </cfRule>
    <cfRule type="colorScale" priority="14">
      <colorScale>
        <cfvo type="min"/>
        <cfvo type="percentile" val="50"/>
        <cfvo type="max"/>
        <color rgb="FFF8696B"/>
        <color rgb="FFFFEB84"/>
        <color rgb="FF63BE7B"/>
      </colorScale>
    </cfRule>
    <cfRule type="colorScale" priority="15">
      <colorScale>
        <cfvo type="num" val="0"/>
        <cfvo type="num" val="1"/>
        <color theme="9"/>
        <color rgb="FFFF0000"/>
      </colorScale>
    </cfRule>
  </conditionalFormatting>
  <conditionalFormatting sqref="C90">
    <cfRule type="colorScale" priority="7">
      <colorScale>
        <cfvo type="num" val="0.3"/>
        <cfvo type="num" val="0.5"/>
        <cfvo type="num" val="1"/>
        <color theme="9" tint="-0.249977111117893"/>
        <color rgb="FFFFC000"/>
        <color rgb="FFFF0000"/>
      </colorScale>
    </cfRule>
    <cfRule type="colorScale" priority="8">
      <colorScale>
        <cfvo type="min"/>
        <cfvo type="percentile" val="50"/>
        <cfvo type="max"/>
        <color rgb="FFF8696B"/>
        <color rgb="FFFFEB84"/>
        <color rgb="FF63BE7B"/>
      </colorScale>
    </cfRule>
    <cfRule type="colorScale" priority="9">
      <colorScale>
        <cfvo type="num" val="0"/>
        <cfvo type="num" val="1"/>
        <color theme="9"/>
        <color rgb="FFFF0000"/>
      </colorScale>
    </cfRule>
  </conditionalFormatting>
  <conditionalFormatting sqref="C96">
    <cfRule type="colorScale" priority="4">
      <colorScale>
        <cfvo type="num" val="0.3"/>
        <cfvo type="num" val="0.5"/>
        <cfvo type="num" val="1"/>
        <color theme="9" tint="-0.249977111117893"/>
        <color rgb="FFFFC000"/>
        <color rgb="FFFF0000"/>
      </colorScale>
    </cfRule>
    <cfRule type="colorScale" priority="5">
      <colorScale>
        <cfvo type="min"/>
        <cfvo type="percentile" val="50"/>
        <cfvo type="max"/>
        <color rgb="FFF8696B"/>
        <color rgb="FFFFEB84"/>
        <color rgb="FF63BE7B"/>
      </colorScale>
    </cfRule>
    <cfRule type="colorScale" priority="6">
      <colorScale>
        <cfvo type="num" val="0"/>
        <cfvo type="num" val="1"/>
        <color theme="9"/>
        <color rgb="FFFF0000"/>
      </colorScale>
    </cfRule>
  </conditionalFormatting>
  <conditionalFormatting sqref="F90">
    <cfRule type="colorScale" priority="1">
      <colorScale>
        <cfvo type="num" val="0.3"/>
        <cfvo type="num" val="0.5"/>
        <cfvo type="num" val="1"/>
        <color theme="9" tint="-0.249977111117893"/>
        <color rgb="FFFFC000"/>
        <color rgb="FFFF0000"/>
      </colorScale>
    </cfRule>
    <cfRule type="colorScale" priority="2">
      <colorScale>
        <cfvo type="min"/>
        <cfvo type="percentile" val="50"/>
        <cfvo type="max"/>
        <color rgb="FFF8696B"/>
        <color rgb="FFFFEB84"/>
        <color rgb="FF63BE7B"/>
      </colorScale>
    </cfRule>
    <cfRule type="colorScale" priority="3">
      <colorScale>
        <cfvo type="num" val="0"/>
        <cfvo type="num" val="1"/>
        <color theme="9"/>
        <color rgb="FFFF0000"/>
      </colorScale>
    </cfRule>
  </conditionalFormatting>
  <dataValidations count="4">
    <dataValidation type="list" allowBlank="1" showInputMessage="1" showErrorMessage="1" sqref="I47:I48" xr:uid="{AAC5B04C-70E2-1948-B1D3-6A6528BC640B}">
      <formula1>$I$50:$K$50</formula1>
    </dataValidation>
    <dataValidation type="list" allowBlank="1" showInputMessage="1" showErrorMessage="1" sqref="F47:H48" xr:uid="{6806E341-DC5F-A741-BFE9-882930F9AC1E}">
      <formula1>$F$50:$H$50</formula1>
    </dataValidation>
    <dataValidation type="list" allowBlank="1" showInputMessage="1" showErrorMessage="1" sqref="O37" xr:uid="{6608A947-A8DB-8F4B-AC66-58FF0CA49E3F}">
      <formula1>$O$39:$R$39</formula1>
    </dataValidation>
    <dataValidation type="list" allowBlank="1" showInputMessage="1" showErrorMessage="1" sqref="S37:V37" xr:uid="{79B7566C-7585-DC42-BB90-A04F32DF975A}">
      <formula1>$S$39:$V$39</formula1>
    </dataValidation>
  </dataValidations>
  <pageMargins left="0.7" right="0.7" top="0.75" bottom="0.75" header="0.3" footer="0.3"/>
  <pageSetup paperSize="9"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960DC-1A31-9742-80D7-75EE98F85A59}">
  <sheetPr>
    <tabColor theme="1"/>
  </sheetPr>
  <dimension ref="B1:AL85"/>
  <sheetViews>
    <sheetView topLeftCell="A13" zoomScaleNormal="100" workbookViewId="0">
      <selection activeCell="C65" sqref="C65:E65"/>
    </sheetView>
  </sheetViews>
  <sheetFormatPr baseColWidth="10" defaultRowHeight="18" customHeight="1" x14ac:dyDescent="0.2"/>
  <cols>
    <col min="1" max="1" width="3.5" style="5" customWidth="1"/>
    <col min="2" max="2" width="10.83203125" style="7" customWidth="1"/>
    <col min="3" max="3" width="10.83203125" style="1" customWidth="1"/>
    <col min="4" max="4" width="10.83203125" style="3" customWidth="1"/>
    <col min="5" max="5" width="10.83203125" style="4" customWidth="1"/>
    <col min="6" max="6" width="10.83203125" style="2" customWidth="1"/>
    <col min="7" max="11" width="10.83203125" style="1" customWidth="1"/>
    <col min="12" max="12" width="10.83203125" style="12" customWidth="1"/>
    <col min="13" max="13" width="10.83203125" style="9" customWidth="1"/>
    <col min="14" max="18" width="10.83203125" style="1" customWidth="1"/>
    <col min="19" max="22" width="10.83203125" style="5" customWidth="1"/>
    <col min="23" max="23" width="12.5" style="5" bestFit="1" customWidth="1"/>
    <col min="24" max="24" width="11.6640625" style="5" bestFit="1" customWidth="1"/>
    <col min="25" max="25" width="10.83203125" style="5"/>
    <col min="26" max="32" width="10.83203125" style="5" customWidth="1"/>
    <col min="33" max="16384" width="10.83203125" style="5"/>
  </cols>
  <sheetData>
    <row r="1" spans="2:38" ht="37" customHeight="1" x14ac:dyDescent="0.2">
      <c r="B1" s="143" t="s">
        <v>54</v>
      </c>
      <c r="C1" s="144"/>
      <c r="D1" s="144"/>
      <c r="E1" s="144"/>
      <c r="F1" s="144"/>
      <c r="G1" s="144"/>
      <c r="H1" s="145"/>
      <c r="I1" s="44"/>
      <c r="J1" s="26"/>
      <c r="K1" s="26"/>
      <c r="L1" s="26"/>
      <c r="M1" s="26"/>
    </row>
    <row r="2" spans="2:38" ht="23" customHeight="1" x14ac:dyDescent="0.2">
      <c r="B2" s="28" t="s">
        <v>47</v>
      </c>
      <c r="C2" s="146" t="s">
        <v>52</v>
      </c>
      <c r="D2" s="147"/>
      <c r="E2" s="147"/>
      <c r="F2" s="147"/>
      <c r="G2" s="147"/>
      <c r="H2" s="148"/>
      <c r="I2" s="149" t="s">
        <v>51</v>
      </c>
      <c r="J2" s="150"/>
      <c r="K2" s="150"/>
      <c r="L2" s="150"/>
    </row>
    <row r="3" spans="2:38" ht="21" customHeight="1" x14ac:dyDescent="0.2">
      <c r="B3" s="151" t="s">
        <v>56</v>
      </c>
      <c r="C3" s="152"/>
      <c r="D3" s="153"/>
      <c r="E3" s="154" t="s">
        <v>49</v>
      </c>
      <c r="F3" s="154"/>
      <c r="G3" s="154"/>
      <c r="H3" s="154"/>
      <c r="I3" s="26"/>
      <c r="J3" s="26"/>
      <c r="K3" s="26"/>
      <c r="L3" s="26"/>
    </row>
    <row r="4" spans="2:38" ht="21" customHeight="1" x14ac:dyDescent="0.2">
      <c r="B4" s="151" t="s">
        <v>50</v>
      </c>
      <c r="C4" s="152"/>
      <c r="D4" s="153"/>
      <c r="E4" s="40" t="s">
        <v>114</v>
      </c>
      <c r="F4" s="40"/>
      <c r="G4" s="40"/>
      <c r="H4" s="41"/>
      <c r="I4" s="26"/>
      <c r="J4" s="26"/>
      <c r="K4" s="26"/>
      <c r="L4" s="26"/>
    </row>
    <row r="5" spans="2:38" ht="21" customHeight="1" x14ac:dyDescent="0.2">
      <c r="B5" s="158"/>
      <c r="C5" s="159"/>
      <c r="D5" s="159"/>
      <c r="E5" s="42"/>
      <c r="F5" s="42"/>
      <c r="G5" s="42"/>
      <c r="H5" s="43"/>
      <c r="I5" s="26"/>
      <c r="J5" s="26"/>
      <c r="K5" s="26"/>
      <c r="L5" s="26"/>
    </row>
    <row r="6" spans="2:38" ht="21" x14ac:dyDescent="0.2">
      <c r="B6" s="160" t="s">
        <v>40</v>
      </c>
      <c r="C6" s="160"/>
      <c r="D6" s="160"/>
      <c r="E6" s="160"/>
      <c r="F6" s="160"/>
      <c r="G6" s="38" t="s">
        <v>23</v>
      </c>
      <c r="H6" s="39" t="s">
        <v>19</v>
      </c>
      <c r="I6" s="5"/>
      <c r="J6" s="5"/>
      <c r="K6" s="12"/>
      <c r="P6" s="76"/>
    </row>
    <row r="7" spans="2:38" ht="18" customHeight="1" x14ac:dyDescent="0.2">
      <c r="B7" s="140" t="str">
        <f>B34</f>
        <v>Geological factors (G)</v>
      </c>
      <c r="C7" s="140"/>
      <c r="D7" s="140"/>
      <c r="E7" s="140"/>
      <c r="F7" s="140"/>
      <c r="G7" s="27">
        <f>Riehen!W36</f>
        <v>1</v>
      </c>
      <c r="H7" s="11"/>
      <c r="I7" s="5"/>
      <c r="P7" s="77"/>
    </row>
    <row r="8" spans="2:38" ht="18" customHeight="1" x14ac:dyDescent="0.2">
      <c r="B8" s="137" t="str">
        <f>Riehen!C35</f>
        <v>Smallest distance to geologically known active or potentially-active faults [km]</v>
      </c>
      <c r="C8" s="137"/>
      <c r="D8" s="137"/>
      <c r="E8" s="137"/>
      <c r="F8" s="137"/>
      <c r="G8" s="19">
        <f>Riehen!C36</f>
        <v>1</v>
      </c>
      <c r="H8" s="10" t="str">
        <f>Riehen!C38</f>
        <v>low</v>
      </c>
      <c r="I8" s="5"/>
      <c r="J8" s="5"/>
      <c r="K8" s="5"/>
      <c r="L8" s="5"/>
      <c r="P8" s="78"/>
    </row>
    <row r="9" spans="2:38" ht="18" customHeight="1" x14ac:dyDescent="0.2">
      <c r="B9" s="137" t="str">
        <f>Riehen!F35</f>
        <v>Earthquake activities</v>
      </c>
      <c r="C9" s="137"/>
      <c r="D9" s="137"/>
      <c r="E9" s="137"/>
      <c r="F9" s="137"/>
      <c r="G9" s="19">
        <f>Riehen!F36</f>
        <v>1</v>
      </c>
      <c r="H9" s="10" t="str">
        <f>Riehen!F38</f>
        <v>medium</v>
      </c>
      <c r="I9" s="5"/>
      <c r="J9" s="5"/>
      <c r="P9" s="78"/>
    </row>
    <row r="10" spans="2:38" ht="18" customHeight="1" x14ac:dyDescent="0.2">
      <c r="B10" s="137" t="str">
        <f>Riehen!I35</f>
        <v>Smallest distance to any mapped inactive fault [km]</v>
      </c>
      <c r="C10" s="137"/>
      <c r="D10" s="137"/>
      <c r="E10" s="137"/>
      <c r="F10" s="137"/>
      <c r="G10" s="19">
        <f>Riehen!I36</f>
        <v>1</v>
      </c>
      <c r="H10" s="10" t="str">
        <f>Riehen!I38</f>
        <v>low</v>
      </c>
      <c r="I10" s="5"/>
      <c r="J10" s="5"/>
    </row>
    <row r="11" spans="2:38" ht="18" customHeight="1" x14ac:dyDescent="0.2">
      <c r="B11" s="141" t="str">
        <f>Riehen!O35</f>
        <v>mapped faults’ triggering potential (orientation with active faults)</v>
      </c>
      <c r="C11" s="141"/>
      <c r="D11" s="141"/>
      <c r="E11" s="141"/>
      <c r="F11" s="141"/>
      <c r="G11" s="10">
        <f>Riehen!O36</f>
        <v>1</v>
      </c>
      <c r="H11" s="10" t="str">
        <f>Riehen!O38</f>
        <v>low</v>
      </c>
      <c r="I11" s="5"/>
      <c r="J11" s="5"/>
    </row>
    <row r="12" spans="2:38" ht="18" customHeight="1" x14ac:dyDescent="0.2">
      <c r="B12" s="137" t="str">
        <f>Riehen!S35</f>
        <v>Fault or mapped fault plane and reservoir intersection</v>
      </c>
      <c r="C12" s="137"/>
      <c r="D12" s="137"/>
      <c r="E12" s="137"/>
      <c r="F12" s="137"/>
      <c r="G12" s="10">
        <f>Riehen!S36</f>
        <v>0.2</v>
      </c>
      <c r="H12" s="10"/>
      <c r="I12" s="5"/>
      <c r="J12" s="5"/>
      <c r="AA12"/>
      <c r="AB12"/>
      <c r="AC12"/>
      <c r="AD12"/>
      <c r="AE12"/>
      <c r="AF12"/>
      <c r="AG12"/>
      <c r="AH12"/>
      <c r="AI12"/>
      <c r="AJ12"/>
      <c r="AK12"/>
      <c r="AL12"/>
    </row>
    <row r="13" spans="2:38" ht="18" customHeight="1" x14ac:dyDescent="0.2">
      <c r="B13" s="141" t="str">
        <f>Riehen!L35</f>
        <v>Longest mapped fault length in the project facility[km]</v>
      </c>
      <c r="C13" s="141"/>
      <c r="D13" s="141"/>
      <c r="E13" s="141"/>
      <c r="F13" s="141"/>
      <c r="G13" s="10">
        <f>Riehen!L36</f>
        <v>1</v>
      </c>
      <c r="H13" s="10" t="str">
        <f>Riehen!L38</f>
        <v>High</v>
      </c>
      <c r="I13" s="5"/>
      <c r="J13" s="5"/>
      <c r="AB13"/>
      <c r="AC13"/>
      <c r="AD13"/>
      <c r="AE13"/>
      <c r="AF13"/>
      <c r="AG13"/>
      <c r="AH13"/>
      <c r="AI13"/>
      <c r="AJ13"/>
      <c r="AK13"/>
      <c r="AL13"/>
    </row>
    <row r="14" spans="2:38" ht="18" customHeight="1" x14ac:dyDescent="0.2">
      <c r="B14" s="141"/>
      <c r="C14" s="141"/>
      <c r="D14" s="141"/>
      <c r="E14" s="141"/>
      <c r="F14" s="141"/>
      <c r="G14" s="10"/>
      <c r="H14" s="10"/>
      <c r="I14" s="5"/>
      <c r="J14" s="5"/>
      <c r="AA14"/>
      <c r="AB14"/>
      <c r="AC14"/>
      <c r="AD14"/>
      <c r="AE14"/>
      <c r="AF14"/>
      <c r="AG14"/>
      <c r="AH14"/>
      <c r="AI14"/>
      <c r="AJ14"/>
      <c r="AK14"/>
      <c r="AL14"/>
    </row>
    <row r="15" spans="2:38" ht="18" customHeight="1" x14ac:dyDescent="0.2">
      <c r="B15" s="155" t="str">
        <f>B44</f>
        <v>Stimulation factors (O)</v>
      </c>
      <c r="C15" s="156"/>
      <c r="D15" s="156"/>
      <c r="E15" s="156"/>
      <c r="F15" s="157"/>
      <c r="G15" s="27">
        <f>Riehen!R46</f>
        <v>6.25E-2</v>
      </c>
      <c r="H15" s="11"/>
      <c r="I15" s="5"/>
      <c r="J15" s="5"/>
    </row>
    <row r="16" spans="2:38" ht="18" customHeight="1" x14ac:dyDescent="0.2">
      <c r="B16" s="141" t="str">
        <f>Riehen!C45</f>
        <v xml:space="preserve">Depth of stimulation </v>
      </c>
      <c r="C16" s="141"/>
      <c r="D16" s="141"/>
      <c r="E16" s="141"/>
      <c r="F16" s="141"/>
      <c r="G16" s="19">
        <f>Riehen!C46</f>
        <v>0.25</v>
      </c>
      <c r="H16" s="10" t="str">
        <f>Riehen!C49</f>
        <v>low</v>
      </c>
      <c r="I16" s="5"/>
      <c r="J16" s="5"/>
    </row>
    <row r="17" spans="2:10" ht="18" customHeight="1" x14ac:dyDescent="0.2">
      <c r="B17" s="141" t="str">
        <f>Riehen!F45</f>
        <v xml:space="preserve">Rock type </v>
      </c>
      <c r="C17" s="141"/>
      <c r="D17" s="141"/>
      <c r="E17" s="141"/>
      <c r="F17" s="141"/>
      <c r="G17" s="19">
        <f>Riehen!F46</f>
        <v>0</v>
      </c>
      <c r="H17" s="10" t="str">
        <f>Riehen!F49</f>
        <v>low</v>
      </c>
      <c r="I17" s="5"/>
      <c r="J17" s="5"/>
    </row>
    <row r="18" spans="2:10" ht="18" customHeight="1" x14ac:dyDescent="0.2">
      <c r="B18" s="141" t="str">
        <f>Riehen!I45</f>
        <v>Host reservoir original porosity</v>
      </c>
      <c r="C18" s="141"/>
      <c r="D18" s="141"/>
      <c r="E18" s="141"/>
      <c r="F18" s="141"/>
      <c r="G18" s="19">
        <f>Riehen!I46</f>
        <v>0</v>
      </c>
      <c r="H18" s="10" t="str">
        <f>Riehen!I49</f>
        <v>low</v>
      </c>
      <c r="I18" s="5"/>
      <c r="J18" s="5"/>
    </row>
    <row r="19" spans="2:10" ht="18" customHeight="1" x14ac:dyDescent="0.2">
      <c r="B19" s="141" t="str">
        <f>Riehen!L45</f>
        <v>Net injection volume per 100 m times Fluid injection (wellhead) pressure</v>
      </c>
      <c r="C19" s="141"/>
      <c r="D19" s="141"/>
      <c r="E19" s="141"/>
      <c r="F19" s="141"/>
      <c r="G19" s="19">
        <f>Riehen!L46</f>
        <v>0</v>
      </c>
      <c r="H19" s="10" t="str">
        <f>Riehen!L49</f>
        <v>low</v>
      </c>
      <c r="I19" s="5"/>
      <c r="J19" s="5"/>
    </row>
    <row r="20" spans="2:10" ht="18" customHeight="1" x14ac:dyDescent="0.2">
      <c r="B20" s="141"/>
      <c r="C20" s="141"/>
      <c r="D20" s="141"/>
      <c r="E20" s="141"/>
      <c r="F20" s="141"/>
      <c r="G20" s="19"/>
      <c r="H20" s="10"/>
      <c r="I20" s="5"/>
      <c r="J20" s="5"/>
    </row>
    <row r="21" spans="2:10" s="6" customFormat="1" ht="18" customHeight="1" x14ac:dyDescent="0.2">
      <c r="B21" s="142" t="str">
        <f>B55</f>
        <v>Seismic Exposure factors (E)</v>
      </c>
      <c r="C21" s="142"/>
      <c r="D21" s="142"/>
      <c r="E21" s="142"/>
      <c r="F21" s="142"/>
      <c r="G21" s="27">
        <f>V56</f>
        <v>0.50837631772888636</v>
      </c>
      <c r="H21" s="11"/>
    </row>
    <row r="22" spans="2:10" ht="18" customHeight="1" x14ac:dyDescent="0.2">
      <c r="B22" s="137" t="str">
        <f>C57</f>
        <v>Population exposure</v>
      </c>
      <c r="C22" s="137"/>
      <c r="D22" s="137"/>
      <c r="E22" s="137"/>
      <c r="F22" s="137"/>
      <c r="G22" s="10">
        <f>C58</f>
        <v>0.50837631772888636</v>
      </c>
      <c r="H22" s="10" t="s">
        <v>12</v>
      </c>
      <c r="I22" s="5"/>
      <c r="J22" s="5"/>
    </row>
    <row r="23" spans="2:10" ht="18" customHeight="1" x14ac:dyDescent="0.2">
      <c r="B23" s="137" t="str">
        <f>I57</f>
        <v>Economic exposure (ee)</v>
      </c>
      <c r="C23" s="137"/>
      <c r="D23" s="137"/>
      <c r="E23" s="137"/>
      <c r="F23" s="137"/>
      <c r="G23" s="10">
        <f>I58</f>
        <v>0</v>
      </c>
      <c r="H23" s="10" t="s">
        <v>12</v>
      </c>
      <c r="I23" s="5"/>
      <c r="J23" s="5"/>
    </row>
    <row r="24" spans="2:10" ht="18" customHeight="1" x14ac:dyDescent="0.2">
      <c r="B24" s="137" t="str">
        <f>O57</f>
        <v>Critical infrastructure exposure (ce)</v>
      </c>
      <c r="C24" s="137"/>
      <c r="D24" s="137"/>
      <c r="E24" s="137"/>
      <c r="F24" s="137"/>
      <c r="G24" s="10">
        <f>O58</f>
        <v>0.5</v>
      </c>
      <c r="H24" s="10" t="s">
        <v>12</v>
      </c>
      <c r="I24" s="5"/>
      <c r="J24" s="5"/>
    </row>
    <row r="25" spans="2:10" ht="18" customHeight="1" x14ac:dyDescent="0.2">
      <c r="B25" s="162" t="s">
        <v>41</v>
      </c>
      <c r="C25" s="162"/>
      <c r="D25" s="162"/>
      <c r="E25" s="162"/>
      <c r="F25" s="162"/>
      <c r="G25" s="36" t="s">
        <v>23</v>
      </c>
      <c r="H25" s="37"/>
      <c r="I25" s="5"/>
      <c r="J25" s="20"/>
    </row>
    <row r="26" spans="2:10" ht="18" customHeight="1" x14ac:dyDescent="0.2">
      <c r="B26" s="140" t="str">
        <f>B72</f>
        <v>Data Quality penalty (Q)</v>
      </c>
      <c r="C26" s="140"/>
      <c r="D26" s="140"/>
      <c r="E26" s="140"/>
      <c r="F26" s="140"/>
      <c r="G26" s="27">
        <f>SUM(G27:G30)/15</f>
        <v>0.8</v>
      </c>
      <c r="H26" s="11" t="s">
        <v>12</v>
      </c>
      <c r="I26" s="5"/>
      <c r="J26" s="5"/>
    </row>
    <row r="27" spans="2:10" ht="18" customHeight="1" x14ac:dyDescent="0.2">
      <c r="B27" s="137" t="str">
        <f>Riehen!C73</f>
        <v>Seismic images (6)</v>
      </c>
      <c r="C27" s="137"/>
      <c r="D27" s="137"/>
      <c r="E27" s="137"/>
      <c r="F27" s="137"/>
      <c r="G27" s="10">
        <f>Riehen!C74</f>
        <v>3</v>
      </c>
      <c r="H27" s="10" t="s">
        <v>12</v>
      </c>
      <c r="I27" s="5"/>
      <c r="J27" s="5"/>
    </row>
    <row r="28" spans="2:10" ht="18" customHeight="1" x14ac:dyDescent="0.2">
      <c r="B28" s="137" t="str">
        <f>Riehen!F73</f>
        <v>stress field (3)</v>
      </c>
      <c r="C28" s="137"/>
      <c r="D28" s="137"/>
      <c r="E28" s="137"/>
      <c r="F28" s="137"/>
      <c r="G28" s="10">
        <f>Riehen!F74</f>
        <v>3</v>
      </c>
      <c r="H28" s="10" t="s">
        <v>12</v>
      </c>
      <c r="I28" s="5"/>
      <c r="J28" s="5"/>
    </row>
    <row r="29" spans="2:10" ht="18" customHeight="1" x14ac:dyDescent="0.2">
      <c r="B29" s="137" t="str">
        <f>Riehen!K73</f>
        <v>Geology maps (3)</v>
      </c>
      <c r="C29" s="137"/>
      <c r="D29" s="137"/>
      <c r="E29" s="137"/>
      <c r="F29" s="137"/>
      <c r="G29" s="10">
        <f>Riehen!K74</f>
        <v>3</v>
      </c>
      <c r="H29" s="10" t="s">
        <v>12</v>
      </c>
      <c r="I29" s="5">
        <f>( (G7+G15+G21)/3 + MIN(G15,G7,G21))/2 + 1-(G26 + 0.0000001)</f>
        <v>0.49306261962148101</v>
      </c>
      <c r="J29" s="5"/>
    </row>
    <row r="30" spans="2:10" ht="18" customHeight="1" x14ac:dyDescent="0.2">
      <c r="B30" s="137" t="str">
        <f>Riehen!O73</f>
        <v>Historical seismicity (3)</v>
      </c>
      <c r="C30" s="137"/>
      <c r="D30" s="137"/>
      <c r="E30" s="137"/>
      <c r="F30" s="137"/>
      <c r="G30" s="10">
        <f>Riehen!O74</f>
        <v>3</v>
      </c>
      <c r="H30" s="10" t="s">
        <v>12</v>
      </c>
      <c r="I30" s="5"/>
      <c r="J30" s="5"/>
    </row>
    <row r="31" spans="2:10" ht="18" customHeight="1" x14ac:dyDescent="0.2">
      <c r="B31" s="138" t="s">
        <v>22</v>
      </c>
      <c r="C31" s="139"/>
      <c r="D31" s="29" t="s">
        <v>42</v>
      </c>
      <c r="E31" s="30" t="s">
        <v>43</v>
      </c>
      <c r="F31" s="31" t="s">
        <v>106</v>
      </c>
      <c r="G31" s="27">
        <f>AVERAGE(G15,G7)*G21+ 1-G26</f>
        <v>0.47007491879347074</v>
      </c>
      <c r="H31" s="32"/>
      <c r="I31" s="5"/>
      <c r="J31" s="5"/>
    </row>
    <row r="32" spans="2:10" ht="18" customHeight="1" x14ac:dyDescent="0.2">
      <c r="B32" s="9"/>
      <c r="D32" s="1"/>
      <c r="E32" s="1"/>
      <c r="F32" s="1"/>
      <c r="H32" s="5"/>
      <c r="I32"/>
      <c r="J32" s="5"/>
    </row>
    <row r="33" spans="2:34" ht="18" customHeight="1" x14ac:dyDescent="0.2">
      <c r="B33" s="9"/>
      <c r="D33" s="1"/>
      <c r="E33" s="1"/>
      <c r="F33" s="1"/>
      <c r="H33"/>
      <c r="I33"/>
      <c r="J33" s="5"/>
    </row>
    <row r="34" spans="2:34" ht="18" customHeight="1" x14ac:dyDescent="0.2">
      <c r="B34" s="101" t="s">
        <v>58</v>
      </c>
      <c r="C34" s="102"/>
      <c r="D34" s="102"/>
      <c r="E34" s="102"/>
      <c r="F34" s="102"/>
      <c r="G34" s="102"/>
      <c r="H34" s="102"/>
      <c r="I34" s="102"/>
      <c r="J34" s="102"/>
      <c r="K34" s="102"/>
      <c r="L34" s="102"/>
      <c r="M34" s="102"/>
      <c r="N34" s="102"/>
      <c r="O34" s="102"/>
      <c r="P34" s="102"/>
      <c r="Q34" s="102"/>
      <c r="R34" s="102"/>
      <c r="S34" s="102"/>
      <c r="T34" s="102"/>
      <c r="U34" s="102"/>
      <c r="V34" s="102"/>
      <c r="W34" s="103"/>
    </row>
    <row r="35" spans="2:34" s="21" customFormat="1" ht="67" customHeight="1" x14ac:dyDescent="0.2">
      <c r="B35" s="71" t="s">
        <v>20</v>
      </c>
      <c r="C35" s="128" t="s">
        <v>93</v>
      </c>
      <c r="D35" s="128"/>
      <c r="E35" s="128"/>
      <c r="F35" s="128" t="s">
        <v>94</v>
      </c>
      <c r="G35" s="128"/>
      <c r="H35" s="128"/>
      <c r="I35" s="128" t="s">
        <v>95</v>
      </c>
      <c r="J35" s="128"/>
      <c r="K35" s="128"/>
      <c r="L35" s="128" t="s">
        <v>96</v>
      </c>
      <c r="M35" s="128"/>
      <c r="N35" s="128"/>
      <c r="O35" s="128" t="s">
        <v>97</v>
      </c>
      <c r="P35" s="128"/>
      <c r="Q35" s="128"/>
      <c r="R35" s="128"/>
      <c r="S35" s="128" t="s">
        <v>98</v>
      </c>
      <c r="T35" s="128"/>
      <c r="U35" s="128"/>
      <c r="V35" s="128"/>
      <c r="W35" s="72" t="s">
        <v>75</v>
      </c>
      <c r="X35" s="46"/>
      <c r="Y35" s="46"/>
      <c r="Z35" s="46"/>
      <c r="AA35" s="46"/>
    </row>
    <row r="36" spans="2:34" ht="18" customHeight="1" x14ac:dyDescent="0.2">
      <c r="B36" s="73" t="s">
        <v>14</v>
      </c>
      <c r="C36" s="125">
        <f>MIN(1, 1- MAX(0, (C37-5)/(50-5)))</f>
        <v>1</v>
      </c>
      <c r="D36" s="126"/>
      <c r="E36" s="127"/>
      <c r="F36" s="125">
        <f>MIN(1, 1- MAX(0, (F37-2)*5/((50-2)*H37)))</f>
        <v>1</v>
      </c>
      <c r="G36" s="126"/>
      <c r="H36" s="127"/>
      <c r="I36" s="125">
        <f>MAX(MIN(1, 1- MAX(0, (I37-0.1)/(1.5-0.1))),0)</f>
        <v>1</v>
      </c>
      <c r="J36" s="126"/>
      <c r="K36" s="127"/>
      <c r="L36" s="125">
        <v>1</v>
      </c>
      <c r="M36" s="126"/>
      <c r="N36" s="127"/>
      <c r="O36" s="125" cm="1">
        <f t="array" ref="O36">_xlfn.IFS(O37=R39,1,O37=Q39,0.8,O37=P39,0.5,O37=O39,0.2)</f>
        <v>1</v>
      </c>
      <c r="P36" s="126"/>
      <c r="Q36" s="126"/>
      <c r="R36" s="127"/>
      <c r="S36" s="125" cm="1">
        <f t="array" ref="S36">_xlfn.IFS(S37=V39,1,S37=U39,0.8,S37=T39,0.5,S37=S39,0.2)</f>
        <v>0.2</v>
      </c>
      <c r="T36" s="126"/>
      <c r="U36" s="126"/>
      <c r="V36" s="127"/>
      <c r="W36" s="27">
        <f>MAX(MAX(C36:H36),AVERAGE(I36:V36))</f>
        <v>1</v>
      </c>
      <c r="X36" s="79"/>
      <c r="Y36" s="8"/>
      <c r="Z36" s="8"/>
      <c r="AA36" s="8"/>
    </row>
    <row r="37" spans="2:34" customFormat="1" ht="18" customHeight="1" x14ac:dyDescent="0.2">
      <c r="B37" s="73" t="s">
        <v>26</v>
      </c>
      <c r="C37" s="135">
        <v>5</v>
      </c>
      <c r="D37" s="135"/>
      <c r="E37" s="135"/>
      <c r="F37" s="35">
        <v>1</v>
      </c>
      <c r="H37" s="34">
        <v>3.5</v>
      </c>
      <c r="I37" s="135">
        <v>0</v>
      </c>
      <c r="J37" s="135"/>
      <c r="K37" s="135"/>
      <c r="L37" s="135">
        <v>15</v>
      </c>
      <c r="M37" s="135"/>
      <c r="N37" s="135"/>
      <c r="O37" s="136" t="s">
        <v>92</v>
      </c>
      <c r="P37" s="136"/>
      <c r="Q37" s="136"/>
      <c r="R37" s="136"/>
      <c r="S37" s="136" t="s">
        <v>30</v>
      </c>
      <c r="T37" s="136"/>
      <c r="U37" s="136"/>
      <c r="V37" s="136"/>
      <c r="W37" s="62"/>
      <c r="X37" s="5"/>
      <c r="Y37" s="5"/>
      <c r="Z37" s="5"/>
      <c r="AA37" s="5"/>
      <c r="AB37" s="5"/>
    </row>
    <row r="38" spans="2:34" ht="18" customHeight="1" x14ac:dyDescent="0.2">
      <c r="B38" s="73" t="s">
        <v>19</v>
      </c>
      <c r="C38" s="128" t="s">
        <v>16</v>
      </c>
      <c r="D38" s="128"/>
      <c r="E38" s="128"/>
      <c r="F38" s="128" t="s">
        <v>27</v>
      </c>
      <c r="G38" s="128"/>
      <c r="H38" s="128"/>
      <c r="I38" s="128" t="s">
        <v>16</v>
      </c>
      <c r="J38" s="128"/>
      <c r="K38" s="128"/>
      <c r="L38" s="128" t="s">
        <v>31</v>
      </c>
      <c r="M38" s="128"/>
      <c r="N38" s="128"/>
      <c r="O38" s="128" t="s">
        <v>16</v>
      </c>
      <c r="P38" s="128"/>
      <c r="Q38" s="128"/>
      <c r="R38" s="128"/>
      <c r="S38" s="128" t="s">
        <v>11</v>
      </c>
      <c r="T38" s="128"/>
      <c r="U38" s="128"/>
      <c r="V38" s="128"/>
      <c r="W38" s="74"/>
      <c r="X38" s="8"/>
      <c r="Y38" s="8"/>
      <c r="Z38" s="8"/>
      <c r="AA38" s="8"/>
    </row>
    <row r="39" spans="2:34" ht="95" customHeight="1" x14ac:dyDescent="0.2">
      <c r="B39" s="45" t="s">
        <v>86</v>
      </c>
      <c r="C39" s="104" t="s">
        <v>99</v>
      </c>
      <c r="D39" s="104"/>
      <c r="E39" s="104"/>
      <c r="F39" s="104" t="s">
        <v>100</v>
      </c>
      <c r="G39" s="104"/>
      <c r="H39" s="104"/>
      <c r="I39" s="17"/>
      <c r="J39" s="16"/>
      <c r="K39" s="18"/>
      <c r="L39" s="17"/>
      <c r="M39" s="16"/>
      <c r="N39" s="18"/>
      <c r="O39" s="3" t="s">
        <v>90</v>
      </c>
      <c r="P39" s="4" t="s">
        <v>45</v>
      </c>
      <c r="Q39" s="33" t="s">
        <v>91</v>
      </c>
      <c r="R39" s="2" t="s">
        <v>92</v>
      </c>
      <c r="S39" s="3" t="s">
        <v>30</v>
      </c>
      <c r="T39" s="4" t="s">
        <v>29</v>
      </c>
      <c r="U39" s="33" t="s">
        <v>28</v>
      </c>
      <c r="V39" s="2" t="s">
        <v>46</v>
      </c>
      <c r="W39" s="62"/>
    </row>
    <row r="40" spans="2:34" ht="18" customHeight="1" x14ac:dyDescent="0.2">
      <c r="B40" s="133" t="s">
        <v>120</v>
      </c>
      <c r="C40" s="88"/>
      <c r="D40" s="88"/>
      <c r="E40" s="88"/>
      <c r="F40" s="90"/>
      <c r="G40" s="90"/>
      <c r="H40" s="90"/>
      <c r="I40" s="92"/>
      <c r="J40" s="92"/>
      <c r="K40" s="92"/>
      <c r="L40" s="92"/>
      <c r="M40" s="92"/>
      <c r="N40" s="92"/>
      <c r="O40" s="107"/>
      <c r="P40" s="107"/>
      <c r="Q40" s="107"/>
      <c r="R40" s="107"/>
      <c r="S40" s="107"/>
      <c r="T40" s="107"/>
      <c r="U40" s="107"/>
      <c r="V40" s="107"/>
      <c r="W40" s="62"/>
    </row>
    <row r="41" spans="2:34" ht="18" customHeight="1" x14ac:dyDescent="0.2">
      <c r="B41" s="134"/>
      <c r="C41" s="89"/>
      <c r="D41" s="89"/>
      <c r="E41" s="89"/>
      <c r="F41" s="91"/>
      <c r="G41" s="91"/>
      <c r="H41" s="91"/>
      <c r="I41" s="93"/>
      <c r="J41" s="93"/>
      <c r="K41" s="93"/>
      <c r="L41" s="93"/>
      <c r="M41" s="93"/>
      <c r="N41" s="93"/>
      <c r="O41" s="108"/>
      <c r="P41" s="108"/>
      <c r="Q41" s="108"/>
      <c r="R41" s="108"/>
      <c r="S41" s="108"/>
      <c r="T41" s="108"/>
      <c r="U41" s="108"/>
      <c r="V41" s="108"/>
      <c r="W41" s="64"/>
    </row>
    <row r="42" spans="2:34" ht="18" customHeight="1" x14ac:dyDescent="0.2">
      <c r="B42"/>
      <c r="C42" s="48"/>
      <c r="D42" s="48"/>
      <c r="E42" s="48"/>
      <c r="F42" s="48"/>
      <c r="G42" s="48"/>
      <c r="H42"/>
      <c r="I42"/>
      <c r="J42"/>
      <c r="K42"/>
      <c r="L42"/>
      <c r="M42"/>
      <c r="N42"/>
      <c r="O42" s="20"/>
      <c r="P42"/>
      <c r="Q42"/>
      <c r="R42"/>
      <c r="S42"/>
      <c r="T42"/>
    </row>
    <row r="44" spans="2:34" ht="19" customHeight="1" x14ac:dyDescent="0.2">
      <c r="B44" s="101" t="s">
        <v>102</v>
      </c>
      <c r="C44" s="102"/>
      <c r="D44" s="102"/>
      <c r="E44" s="102"/>
      <c r="F44" s="102"/>
      <c r="G44" s="102"/>
      <c r="H44" s="102"/>
      <c r="I44" s="102"/>
      <c r="J44" s="102"/>
      <c r="K44" s="102"/>
      <c r="L44" s="102"/>
      <c r="M44" s="102"/>
      <c r="N44" s="102"/>
      <c r="O44" s="102"/>
      <c r="P44" s="102"/>
      <c r="Q44" s="103"/>
      <c r="R44" s="129" t="s">
        <v>82</v>
      </c>
    </row>
    <row r="45" spans="2:34" ht="16" customHeight="1" x14ac:dyDescent="0.2">
      <c r="B45" s="51"/>
      <c r="C45" s="104" t="s">
        <v>103</v>
      </c>
      <c r="D45" s="104"/>
      <c r="E45" s="104"/>
      <c r="F45" s="104" t="s">
        <v>32</v>
      </c>
      <c r="G45" s="104"/>
      <c r="H45" s="104"/>
      <c r="I45" s="104" t="s">
        <v>104</v>
      </c>
      <c r="J45" s="104"/>
      <c r="K45" s="104"/>
      <c r="L45" s="131" t="s">
        <v>105</v>
      </c>
      <c r="M45" s="131"/>
      <c r="N45" s="131"/>
      <c r="O45" s="131"/>
      <c r="P45" s="131"/>
      <c r="Q45" s="132"/>
      <c r="R45" s="130"/>
      <c r="AB45" s="104"/>
      <c r="AC45" s="104"/>
      <c r="AD45" s="104"/>
      <c r="AE45"/>
      <c r="AF45" s="104"/>
      <c r="AG45" s="104"/>
      <c r="AH45" s="104"/>
    </row>
    <row r="46" spans="2:34" s="1" customFormat="1" ht="16" x14ac:dyDescent="0.2">
      <c r="B46" s="73" t="s">
        <v>14</v>
      </c>
      <c r="C46" s="125">
        <f>(MIN(1, MAX(0, (C47-1)/(3-1))))</f>
        <v>0.25</v>
      </c>
      <c r="D46" s="126"/>
      <c r="E46" s="127"/>
      <c r="F46" s="125" cm="1">
        <f t="array" ref="F46">_xlfn.IFS(F47=H50,1,F47=G50,0.5,F47=F50,0)</f>
        <v>0</v>
      </c>
      <c r="G46" s="126"/>
      <c r="H46" s="127"/>
      <c r="I46" s="125" cm="1">
        <f t="array" ref="I46">_xlfn.IFS(I47=K50,1,I47=J50,0.5,I47=I50,0)</f>
        <v>0</v>
      </c>
      <c r="J46" s="126"/>
      <c r="K46" s="127"/>
      <c r="L46" s="125">
        <f>MIN(1,  MAX(0, (L47*O47/1000-10)/(200-10)))</f>
        <v>0</v>
      </c>
      <c r="M46" s="126"/>
      <c r="N46" s="126"/>
      <c r="O46" s="126"/>
      <c r="P46" s="126"/>
      <c r="Q46" s="127"/>
      <c r="R46" s="27">
        <f>AVERAGE(C46:Q46)</f>
        <v>6.25E-2</v>
      </c>
      <c r="AA46" s="5"/>
      <c r="AB46" s="104"/>
      <c r="AC46" s="104"/>
      <c r="AD46" s="104"/>
      <c r="AE46"/>
      <c r="AF46" s="104"/>
      <c r="AG46" s="104"/>
      <c r="AH46" s="104"/>
    </row>
    <row r="47" spans="2:34" s="1" customFormat="1" ht="16" x14ac:dyDescent="0.2">
      <c r="B47" s="57" t="s">
        <v>34</v>
      </c>
      <c r="C47" s="94">
        <v>1.5</v>
      </c>
      <c r="D47" s="94"/>
      <c r="E47" s="94"/>
      <c r="F47" s="94" t="s">
        <v>7</v>
      </c>
      <c r="G47" s="94"/>
      <c r="H47" s="94"/>
      <c r="I47" s="94" t="s">
        <v>85</v>
      </c>
      <c r="J47" s="94"/>
      <c r="K47" s="94"/>
      <c r="L47" s="123">
        <v>0</v>
      </c>
      <c r="M47" s="123"/>
      <c r="N47" s="123"/>
      <c r="O47" s="124">
        <v>0</v>
      </c>
      <c r="P47" s="124"/>
      <c r="Q47" s="124"/>
      <c r="R47" s="49"/>
      <c r="AA47" s="5"/>
      <c r="AB47" s="104"/>
      <c r="AC47" s="104"/>
      <c r="AD47" s="104"/>
      <c r="AE47"/>
      <c r="AF47" s="104"/>
      <c r="AG47" s="104"/>
      <c r="AH47" s="104"/>
    </row>
    <row r="48" spans="2:34" s="1" customFormat="1" ht="16" x14ac:dyDescent="0.2">
      <c r="B48" s="57"/>
      <c r="C48" s="9"/>
      <c r="D48" s="9"/>
      <c r="E48" s="9"/>
      <c r="F48" s="9"/>
      <c r="G48" s="9"/>
      <c r="H48" s="9"/>
      <c r="I48" s="9"/>
      <c r="J48" s="9"/>
      <c r="K48" s="9"/>
      <c r="L48" s="104">
        <f>L47*O47/1000</f>
        <v>0</v>
      </c>
      <c r="M48" s="104"/>
      <c r="N48" s="104"/>
      <c r="O48" s="104"/>
      <c r="P48" s="104"/>
      <c r="Q48" s="104"/>
      <c r="R48" s="49"/>
      <c r="AA48" s="5"/>
      <c r="AB48" s="9"/>
      <c r="AC48" s="9"/>
      <c r="AD48" s="9"/>
      <c r="AE48"/>
      <c r="AF48" s="9"/>
      <c r="AG48" s="9"/>
      <c r="AH48" s="9"/>
    </row>
    <row r="49" spans="2:33" s="1" customFormat="1" ht="17" customHeight="1" x14ac:dyDescent="0.2">
      <c r="B49" s="57" t="s">
        <v>21</v>
      </c>
      <c r="C49" s="104" t="s">
        <v>16</v>
      </c>
      <c r="D49" s="104"/>
      <c r="E49" s="104"/>
      <c r="F49" s="104" t="s">
        <v>16</v>
      </c>
      <c r="G49" s="104"/>
      <c r="H49" s="104"/>
      <c r="I49" s="104" t="s">
        <v>16</v>
      </c>
      <c r="J49" s="104"/>
      <c r="K49" s="104"/>
      <c r="L49" s="104" t="s">
        <v>16</v>
      </c>
      <c r="M49" s="104"/>
      <c r="N49" s="104"/>
      <c r="O49" s="104" t="s">
        <v>16</v>
      </c>
      <c r="P49" s="104"/>
      <c r="Q49" s="104"/>
      <c r="R49" s="49"/>
      <c r="AA49" s="5"/>
    </row>
    <row r="50" spans="2:33" s="1" customFormat="1" ht="102" customHeight="1" x14ac:dyDescent="0.2">
      <c r="B50" s="69" t="s">
        <v>35</v>
      </c>
      <c r="C50" s="116" t="s">
        <v>101</v>
      </c>
      <c r="D50" s="117"/>
      <c r="E50" s="117"/>
      <c r="F50" s="47" t="s">
        <v>7</v>
      </c>
      <c r="G50" s="14" t="s">
        <v>44</v>
      </c>
      <c r="H50" s="15" t="s">
        <v>84</v>
      </c>
      <c r="I50" s="47" t="s">
        <v>85</v>
      </c>
      <c r="J50" s="14" t="s">
        <v>36</v>
      </c>
      <c r="K50" s="15" t="s">
        <v>15</v>
      </c>
      <c r="L50" s="47" t="s">
        <v>8</v>
      </c>
      <c r="M50" s="70" t="s">
        <v>9</v>
      </c>
      <c r="N50" s="15" t="s">
        <v>10</v>
      </c>
      <c r="O50" s="47" t="s">
        <v>38</v>
      </c>
      <c r="P50" s="70" t="s">
        <v>39</v>
      </c>
      <c r="Q50" s="15" t="s">
        <v>37</v>
      </c>
      <c r="R50" s="50"/>
    </row>
    <row r="51" spans="2:33" s="1" customFormat="1" ht="17" customHeight="1" x14ac:dyDescent="0.2">
      <c r="B51" s="121" t="s">
        <v>120</v>
      </c>
      <c r="C51" s="92"/>
      <c r="D51" s="92"/>
      <c r="E51" s="92"/>
      <c r="F51" s="92"/>
      <c r="G51" s="92"/>
      <c r="H51" s="92"/>
      <c r="I51" s="92"/>
      <c r="J51" s="92"/>
      <c r="K51" s="92"/>
      <c r="L51" s="92"/>
      <c r="M51" s="92"/>
      <c r="N51" s="92"/>
      <c r="O51" s="92"/>
      <c r="P51" s="92"/>
      <c r="Q51" s="92"/>
      <c r="R51" s="49"/>
      <c r="AA51" s="5"/>
    </row>
    <row r="52" spans="2:33" s="1" customFormat="1" ht="17" customHeight="1" x14ac:dyDescent="0.2">
      <c r="B52" s="122"/>
      <c r="C52" s="93"/>
      <c r="D52" s="93"/>
      <c r="E52" s="93"/>
      <c r="F52" s="93"/>
      <c r="G52" s="93"/>
      <c r="H52" s="93"/>
      <c r="I52" s="93"/>
      <c r="J52" s="93"/>
      <c r="K52" s="93"/>
      <c r="L52" s="93"/>
      <c r="M52" s="93"/>
      <c r="N52" s="93"/>
      <c r="O52" s="93"/>
      <c r="P52" s="93"/>
      <c r="Q52" s="93"/>
      <c r="R52" s="49"/>
      <c r="AA52" s="5"/>
    </row>
    <row r="53" spans="2:33" s="1" customFormat="1" ht="18" customHeight="1" x14ac:dyDescent="0.2">
      <c r="B53"/>
      <c r="C53"/>
      <c r="D53"/>
      <c r="E53"/>
      <c r="F53"/>
      <c r="G53"/>
      <c r="H53"/>
      <c r="I53"/>
      <c r="J53"/>
      <c r="K53"/>
      <c r="L53"/>
      <c r="M53"/>
      <c r="N53"/>
      <c r="O53"/>
      <c r="P53"/>
      <c r="Q53"/>
      <c r="S53" s="5"/>
      <c r="T53" s="5"/>
      <c r="U53" s="5"/>
      <c r="V53" s="5"/>
      <c r="W53" s="5"/>
      <c r="X53" s="5"/>
      <c r="Y53" s="5"/>
      <c r="Z53" s="5"/>
      <c r="AA53" s="5"/>
      <c r="AB53" s="5"/>
      <c r="AC53" s="5"/>
      <c r="AD53" s="5"/>
      <c r="AE53" s="5"/>
      <c r="AF53" s="5"/>
      <c r="AG53" s="5"/>
    </row>
    <row r="54" spans="2:33" ht="16" x14ac:dyDescent="0.2">
      <c r="I54" s="2"/>
      <c r="J54" s="2"/>
      <c r="K54" s="2"/>
    </row>
    <row r="55" spans="2:33" ht="18" customHeight="1" x14ac:dyDescent="0.2">
      <c r="B55" s="118" t="s">
        <v>59</v>
      </c>
      <c r="C55" s="119"/>
      <c r="D55" s="119"/>
      <c r="E55" s="119"/>
      <c r="F55" s="119"/>
      <c r="G55" s="119"/>
      <c r="H55" s="119"/>
      <c r="I55" s="119"/>
      <c r="J55" s="119"/>
      <c r="K55" s="119"/>
      <c r="L55" s="119"/>
      <c r="M55" s="119"/>
      <c r="N55" s="119"/>
      <c r="O55" s="119"/>
      <c r="P55" s="119"/>
      <c r="Q55" s="119"/>
      <c r="R55" s="119"/>
      <c r="S55" s="119"/>
      <c r="T55" s="119"/>
      <c r="U55" s="119"/>
      <c r="V55" s="65" t="s">
        <v>13</v>
      </c>
    </row>
    <row r="56" spans="2:33" ht="20" customHeight="1" x14ac:dyDescent="0.2">
      <c r="B56" s="110" t="s">
        <v>115</v>
      </c>
      <c r="C56" s="111"/>
      <c r="D56" s="111"/>
      <c r="E56" s="111"/>
      <c r="F56" s="111"/>
      <c r="G56" s="111"/>
      <c r="H56" s="111"/>
      <c r="I56" s="111"/>
      <c r="J56" s="111"/>
      <c r="K56" s="111"/>
      <c r="L56" s="111"/>
      <c r="M56" s="111"/>
      <c r="N56" s="111"/>
      <c r="O56" s="111"/>
      <c r="P56" s="111"/>
      <c r="Q56" s="111"/>
      <c r="R56" s="111"/>
      <c r="S56" s="111"/>
      <c r="T56" s="111"/>
      <c r="U56" s="120"/>
      <c r="V56" s="27">
        <f>MAX(C58:U58,C64:U64)</f>
        <v>0.50837631772888636</v>
      </c>
    </row>
    <row r="57" spans="2:33" ht="20" customHeight="1" x14ac:dyDescent="0.2">
      <c r="B57" s="66"/>
      <c r="C57" s="104" t="s">
        <v>61</v>
      </c>
      <c r="D57" s="104"/>
      <c r="E57" s="104"/>
      <c r="F57" s="104"/>
      <c r="G57" s="104"/>
      <c r="H57" s="104"/>
      <c r="I57" s="104" t="s">
        <v>24</v>
      </c>
      <c r="J57" s="104"/>
      <c r="K57" s="104"/>
      <c r="L57" s="104"/>
      <c r="M57" s="104"/>
      <c r="N57" s="104"/>
      <c r="O57" s="104" t="s">
        <v>25</v>
      </c>
      <c r="P57" s="104"/>
      <c r="Q57" s="104"/>
      <c r="R57" s="104"/>
      <c r="S57" s="104"/>
      <c r="T57" s="104"/>
      <c r="U57" s="104"/>
      <c r="V57" s="62"/>
    </row>
    <row r="58" spans="2:33" ht="16" customHeight="1" x14ac:dyDescent="0.2">
      <c r="B58" s="73" t="s">
        <v>14</v>
      </c>
      <c r="C58" s="112">
        <f>(MIN(1,LOG10(C60+1)/LOG10(100000)*(0.5+0.9*LOG10(F60+1)/LOG10(100))))</f>
        <v>0.50837631772888636</v>
      </c>
      <c r="D58" s="113"/>
      <c r="E58" s="113"/>
      <c r="F58" s="113"/>
      <c r="G58" s="113"/>
      <c r="H58" s="114"/>
      <c r="I58" s="112">
        <f>(MIN(1, MAX(0, (I60)*L60/100/100)))</f>
        <v>0</v>
      </c>
      <c r="J58" s="113"/>
      <c r="K58" s="113"/>
      <c r="L58" s="113"/>
      <c r="M58" s="113"/>
      <c r="N58" s="114"/>
      <c r="O58" s="112">
        <f>MAX(O60*Q60+O60*S60 + O60*0.5)</f>
        <v>0.5</v>
      </c>
      <c r="P58" s="113"/>
      <c r="Q58" s="113"/>
      <c r="R58" s="113"/>
      <c r="S58" s="113"/>
      <c r="T58" s="113"/>
      <c r="U58" s="114"/>
      <c r="V58" s="62"/>
    </row>
    <row r="59" spans="2:33" ht="16" x14ac:dyDescent="0.2">
      <c r="B59" s="67"/>
      <c r="C59" s="104" t="s">
        <v>74</v>
      </c>
      <c r="D59" s="104"/>
      <c r="E59" s="104"/>
      <c r="F59" s="104" t="s">
        <v>118</v>
      </c>
      <c r="G59" s="104"/>
      <c r="H59" s="104"/>
      <c r="I59" s="104" t="s">
        <v>124</v>
      </c>
      <c r="J59" s="104"/>
      <c r="K59" s="104"/>
      <c r="L59" s="104" t="s">
        <v>73</v>
      </c>
      <c r="M59" s="104"/>
      <c r="N59" s="104"/>
      <c r="O59" s="104" t="s">
        <v>66</v>
      </c>
      <c r="P59" s="104"/>
      <c r="Q59" s="104" t="s">
        <v>67</v>
      </c>
      <c r="R59" s="104"/>
      <c r="S59" s="104" t="s">
        <v>68</v>
      </c>
      <c r="T59" s="104"/>
      <c r="U59" s="104"/>
      <c r="V59" s="62"/>
    </row>
    <row r="60" spans="2:33" ht="18" customHeight="1" x14ac:dyDescent="0.2">
      <c r="B60" s="57" t="s">
        <v>60</v>
      </c>
      <c r="C60" s="109">
        <v>10000</v>
      </c>
      <c r="D60" s="109"/>
      <c r="E60" s="109"/>
      <c r="F60" s="109">
        <v>1</v>
      </c>
      <c r="G60" s="109"/>
      <c r="H60" s="109"/>
      <c r="I60" s="109">
        <v>10</v>
      </c>
      <c r="J60" s="109"/>
      <c r="K60" s="109"/>
      <c r="L60" s="109">
        <v>0</v>
      </c>
      <c r="M60" s="109"/>
      <c r="N60" s="109"/>
      <c r="O60" s="109">
        <v>1</v>
      </c>
      <c r="P60" s="109"/>
      <c r="Q60" s="109">
        <v>0</v>
      </c>
      <c r="R60" s="109"/>
      <c r="S60" s="109">
        <v>0</v>
      </c>
      <c r="T60" s="109"/>
      <c r="U60" s="109"/>
      <c r="V60" s="62"/>
    </row>
    <row r="61" spans="2:33" ht="96" customHeight="1" x14ac:dyDescent="0.2">
      <c r="B61" s="58" t="s">
        <v>35</v>
      </c>
      <c r="C61" s="115" t="s">
        <v>63</v>
      </c>
      <c r="D61" s="115"/>
      <c r="E61" s="115"/>
      <c r="F61" s="115" t="s">
        <v>62</v>
      </c>
      <c r="G61" s="115"/>
      <c r="H61" s="115"/>
      <c r="I61" s="115" t="s">
        <v>83</v>
      </c>
      <c r="J61" s="115"/>
      <c r="K61" s="115"/>
      <c r="L61" s="105"/>
      <c r="M61" s="105"/>
      <c r="N61" s="105"/>
      <c r="O61" s="106" t="s">
        <v>65</v>
      </c>
      <c r="P61" s="106"/>
      <c r="Q61" s="106" t="s">
        <v>69</v>
      </c>
      <c r="R61" s="106"/>
      <c r="S61" s="52" t="s">
        <v>72</v>
      </c>
      <c r="T61" s="53" t="s">
        <v>70</v>
      </c>
      <c r="U61" s="54" t="s">
        <v>71</v>
      </c>
      <c r="V61" s="62"/>
    </row>
    <row r="62" spans="2:33" customFormat="1" ht="24" customHeight="1" x14ac:dyDescent="0.2">
      <c r="B62" s="110" t="s">
        <v>116</v>
      </c>
      <c r="C62" s="111"/>
      <c r="D62" s="111"/>
      <c r="E62" s="111"/>
      <c r="F62" s="111"/>
      <c r="G62" s="111"/>
      <c r="H62" s="111"/>
      <c r="I62" s="111"/>
      <c r="J62" s="111"/>
      <c r="K62" s="111"/>
      <c r="L62" s="111"/>
      <c r="M62" s="111"/>
      <c r="N62" s="111"/>
      <c r="O62" s="111"/>
      <c r="P62" s="111"/>
      <c r="Q62" s="111"/>
      <c r="R62" s="111"/>
      <c r="S62" s="111"/>
      <c r="T62" s="111"/>
      <c r="U62" s="111"/>
      <c r="V62" s="62"/>
      <c r="W62" s="5"/>
      <c r="X62" s="5"/>
      <c r="Y62" s="5"/>
      <c r="Z62" s="5"/>
      <c r="AA62" s="5"/>
      <c r="AB62" s="5"/>
      <c r="AC62" s="5"/>
    </row>
    <row r="63" spans="2:33" ht="18" customHeight="1" x14ac:dyDescent="0.2">
      <c r="B63" s="66"/>
      <c r="C63" s="104" t="s">
        <v>61</v>
      </c>
      <c r="D63" s="104"/>
      <c r="E63" s="104"/>
      <c r="F63" s="104"/>
      <c r="G63" s="104"/>
      <c r="H63" s="104"/>
      <c r="I63" s="104" t="s">
        <v>24</v>
      </c>
      <c r="J63" s="104"/>
      <c r="K63" s="104"/>
      <c r="L63" s="104"/>
      <c r="M63" s="104"/>
      <c r="N63" s="104"/>
      <c r="O63" s="104" t="s">
        <v>25</v>
      </c>
      <c r="P63" s="104"/>
      <c r="Q63" s="104"/>
      <c r="R63" s="104"/>
      <c r="S63" s="104"/>
      <c r="T63" s="104"/>
      <c r="U63" s="104"/>
      <c r="V63" s="62"/>
    </row>
    <row r="64" spans="2:33" ht="18" customHeight="1" x14ac:dyDescent="0.2">
      <c r="B64" s="73" t="s">
        <v>14</v>
      </c>
      <c r="C64" s="112">
        <f>(MIN(1,LOG10(C66+1)/LOG10(1000)*(0.5+0.9*LOG10(F66+1)/LOG10(10))))</f>
        <v>0.33405356229710709</v>
      </c>
      <c r="D64" s="113"/>
      <c r="E64" s="113"/>
      <c r="F64" s="113"/>
      <c r="G64" s="113"/>
      <c r="H64" s="114"/>
      <c r="I64" s="112">
        <f>(MIN(1, MAX(0, (I66)*L66/100/10)))</f>
        <v>5.0000000000000001E-3</v>
      </c>
      <c r="J64" s="113"/>
      <c r="K64" s="113"/>
      <c r="L64" s="113"/>
      <c r="M64" s="113"/>
      <c r="N64" s="114"/>
      <c r="O64" s="112">
        <f>MAX(O66*Q66+O66*S66 + O66*0.5)</f>
        <v>0</v>
      </c>
      <c r="P64" s="113"/>
      <c r="Q64" s="113"/>
      <c r="R64" s="113"/>
      <c r="S64" s="113"/>
      <c r="T64" s="113"/>
      <c r="U64" s="114"/>
      <c r="V64" s="62"/>
    </row>
    <row r="65" spans="2:22" ht="18" customHeight="1" x14ac:dyDescent="0.2">
      <c r="B65" s="67"/>
      <c r="C65" s="104" t="s">
        <v>74</v>
      </c>
      <c r="D65" s="104"/>
      <c r="E65" s="104"/>
      <c r="F65" s="104" t="s">
        <v>64</v>
      </c>
      <c r="G65" s="104"/>
      <c r="H65" s="104"/>
      <c r="I65" s="104" t="s">
        <v>124</v>
      </c>
      <c r="J65" s="104"/>
      <c r="K65" s="104"/>
      <c r="L65" s="104" t="s">
        <v>73</v>
      </c>
      <c r="M65" s="104"/>
      <c r="N65" s="104"/>
      <c r="O65" s="104" t="s">
        <v>66</v>
      </c>
      <c r="P65" s="104"/>
      <c r="Q65" s="104" t="s">
        <v>67</v>
      </c>
      <c r="R65" s="104"/>
      <c r="S65" s="104" t="s">
        <v>68</v>
      </c>
      <c r="T65" s="104"/>
      <c r="U65" s="104"/>
      <c r="V65" s="62"/>
    </row>
    <row r="66" spans="2:22" ht="18" customHeight="1" x14ac:dyDescent="0.2">
      <c r="B66" s="57" t="s">
        <v>60</v>
      </c>
      <c r="C66" s="109">
        <v>100</v>
      </c>
      <c r="D66" s="109"/>
      <c r="E66" s="109"/>
      <c r="F66" s="109">
        <v>0</v>
      </c>
      <c r="G66" s="109"/>
      <c r="H66" s="109"/>
      <c r="I66" s="109">
        <v>1</v>
      </c>
      <c r="J66" s="109"/>
      <c r="K66" s="109"/>
      <c r="L66" s="109">
        <v>5</v>
      </c>
      <c r="M66" s="109"/>
      <c r="N66" s="109"/>
      <c r="O66" s="109">
        <v>0</v>
      </c>
      <c r="P66" s="109"/>
      <c r="Q66" s="109">
        <v>0</v>
      </c>
      <c r="R66" s="109"/>
      <c r="S66" s="109">
        <v>0</v>
      </c>
      <c r="T66" s="109"/>
      <c r="U66" s="109"/>
      <c r="V66" s="62"/>
    </row>
    <row r="67" spans="2:22" ht="77" customHeight="1" x14ac:dyDescent="0.2">
      <c r="B67" s="58" t="s">
        <v>35</v>
      </c>
      <c r="C67" s="105" t="s">
        <v>76</v>
      </c>
      <c r="D67" s="105"/>
      <c r="E67" s="105"/>
      <c r="F67" s="105" t="s">
        <v>77</v>
      </c>
      <c r="G67" s="105"/>
      <c r="H67" s="105"/>
      <c r="I67" s="105" t="s">
        <v>81</v>
      </c>
      <c r="J67" s="105"/>
      <c r="K67" s="105"/>
      <c r="L67" s="105"/>
      <c r="M67" s="105"/>
      <c r="N67" s="105"/>
      <c r="O67" s="106" t="s">
        <v>87</v>
      </c>
      <c r="P67" s="106"/>
      <c r="Q67" s="106" t="s">
        <v>69</v>
      </c>
      <c r="R67" s="106"/>
      <c r="S67" s="52" t="s">
        <v>72</v>
      </c>
      <c r="T67" s="53" t="s">
        <v>88</v>
      </c>
      <c r="U67" s="54" t="s">
        <v>71</v>
      </c>
      <c r="V67" s="62"/>
    </row>
    <row r="68" spans="2:22" ht="18" customHeight="1" x14ac:dyDescent="0.2">
      <c r="B68" s="97" t="s">
        <v>80</v>
      </c>
      <c r="C68" s="98"/>
      <c r="D68" s="98"/>
      <c r="E68" s="98"/>
      <c r="F68" s="98"/>
      <c r="G68" s="98"/>
      <c r="H68" s="98"/>
      <c r="I68" s="98"/>
      <c r="J68" s="98"/>
      <c r="K68" s="98"/>
      <c r="L68" s="98"/>
      <c r="V68" s="62"/>
    </row>
    <row r="69" spans="2:22" ht="18" customHeight="1" x14ac:dyDescent="0.2">
      <c r="B69" s="99" t="s">
        <v>89</v>
      </c>
      <c r="C69" s="100"/>
      <c r="D69" s="100"/>
      <c r="E69" s="100"/>
      <c r="F69" s="100"/>
      <c r="G69" s="100"/>
      <c r="H69" s="100"/>
      <c r="I69" s="100"/>
      <c r="J69" s="100"/>
      <c r="K69" s="100"/>
      <c r="L69" s="100"/>
      <c r="M69" s="68"/>
      <c r="N69" s="13"/>
      <c r="O69" s="13"/>
      <c r="P69" s="13"/>
      <c r="Q69" s="13"/>
      <c r="R69" s="13"/>
      <c r="S69" s="63"/>
      <c r="T69" s="63"/>
      <c r="U69" s="63"/>
      <c r="V69" s="64"/>
    </row>
    <row r="70" spans="2:22" ht="18" customHeight="1" x14ac:dyDescent="0.2">
      <c r="B70" s="55"/>
      <c r="C70" s="55"/>
      <c r="D70" s="55"/>
      <c r="E70" s="55"/>
      <c r="F70" s="55"/>
      <c r="G70" s="55"/>
      <c r="H70" s="55"/>
      <c r="I70" s="55"/>
      <c r="J70" s="55"/>
      <c r="K70" s="55"/>
      <c r="L70" s="55"/>
    </row>
    <row r="71" spans="2:22" ht="18" customHeight="1" x14ac:dyDescent="0.2">
      <c r="B71" s="55"/>
      <c r="C71" s="55"/>
      <c r="D71" s="55"/>
      <c r="E71" s="55"/>
      <c r="F71" s="55"/>
      <c r="G71" s="55"/>
      <c r="H71" s="55"/>
      <c r="I71" s="55"/>
      <c r="J71" s="55"/>
      <c r="K71" s="55"/>
      <c r="L71" s="55"/>
    </row>
    <row r="72" spans="2:22" ht="18" customHeight="1" x14ac:dyDescent="0.2">
      <c r="B72" s="101" t="s">
        <v>78</v>
      </c>
      <c r="C72" s="102"/>
      <c r="D72" s="102"/>
      <c r="E72" s="102"/>
      <c r="F72" s="102"/>
      <c r="G72" s="102"/>
      <c r="H72" s="102"/>
      <c r="I72" s="102"/>
      <c r="J72" s="102"/>
      <c r="K72" s="102"/>
      <c r="L72" s="102"/>
      <c r="M72" s="102"/>
      <c r="N72" s="102"/>
      <c r="O72" s="102"/>
      <c r="P72" s="102"/>
      <c r="Q72" s="102"/>
      <c r="R72" s="102"/>
      <c r="S72" s="102"/>
      <c r="T72" s="103"/>
    </row>
    <row r="73" spans="2:22" ht="17" customHeight="1" x14ac:dyDescent="0.2">
      <c r="B73" s="51"/>
      <c r="C73" s="104" t="s">
        <v>6</v>
      </c>
      <c r="D73" s="104"/>
      <c r="E73" s="104"/>
      <c r="F73" s="104" t="s">
        <v>5</v>
      </c>
      <c r="G73" s="104"/>
      <c r="H73" s="104"/>
      <c r="I73" s="104"/>
      <c r="J73" s="104"/>
      <c r="K73" s="104" t="s">
        <v>17</v>
      </c>
      <c r="L73" s="104"/>
      <c r="M73" s="104"/>
      <c r="N73" s="104"/>
      <c r="O73" s="104" t="s">
        <v>33</v>
      </c>
      <c r="P73" s="104"/>
      <c r="Q73" s="104"/>
      <c r="R73" s="104"/>
      <c r="S73" s="104"/>
      <c r="T73" s="56" t="s">
        <v>75</v>
      </c>
    </row>
    <row r="74" spans="2:22" ht="16" x14ac:dyDescent="0.2">
      <c r="B74" s="73" t="s">
        <v>14</v>
      </c>
      <c r="C74" s="94">
        <v>3</v>
      </c>
      <c r="D74" s="94"/>
      <c r="E74" s="94"/>
      <c r="F74" s="94">
        <v>3</v>
      </c>
      <c r="G74" s="94"/>
      <c r="H74" s="94"/>
      <c r="I74" s="94"/>
      <c r="J74" s="94"/>
      <c r="K74" s="94">
        <v>3</v>
      </c>
      <c r="L74" s="94"/>
      <c r="M74" s="94"/>
      <c r="N74" s="94"/>
      <c r="O74" s="94">
        <v>3</v>
      </c>
      <c r="P74" s="94"/>
      <c r="Q74" s="94"/>
      <c r="R74" s="94"/>
      <c r="S74" s="94"/>
      <c r="T74" s="75">
        <f>SUM(C74:R74)/(6+3+3+3)</f>
        <v>0.8</v>
      </c>
    </row>
    <row r="75" spans="2:22" ht="101" customHeight="1" x14ac:dyDescent="0.2">
      <c r="B75" s="58" t="s">
        <v>35</v>
      </c>
      <c r="C75" s="22" t="s">
        <v>0</v>
      </c>
      <c r="D75" s="23" t="s">
        <v>4</v>
      </c>
      <c r="E75" s="24" t="s">
        <v>1</v>
      </c>
      <c r="F75" s="95" t="s">
        <v>107</v>
      </c>
      <c r="G75" s="95"/>
      <c r="H75" s="96" t="s">
        <v>108</v>
      </c>
      <c r="I75" s="96"/>
      <c r="J75" s="24" t="s">
        <v>2</v>
      </c>
      <c r="K75" s="22" t="s">
        <v>110</v>
      </c>
      <c r="L75" s="96" t="s">
        <v>111</v>
      </c>
      <c r="M75" s="96"/>
      <c r="N75" s="24" t="s">
        <v>109</v>
      </c>
      <c r="O75" s="95" t="s">
        <v>112</v>
      </c>
      <c r="P75" s="95"/>
      <c r="Q75" s="96" t="s">
        <v>113</v>
      </c>
      <c r="R75" s="96"/>
      <c r="S75" s="24" t="s">
        <v>18</v>
      </c>
      <c r="T75" s="59"/>
    </row>
    <row r="76" spans="2:22" ht="16" x14ac:dyDescent="0.2">
      <c r="B76" s="60"/>
      <c r="C76" s="25">
        <v>6</v>
      </c>
      <c r="D76" s="25">
        <v>3</v>
      </c>
      <c r="E76" s="25">
        <v>0</v>
      </c>
      <c r="F76" s="25">
        <v>3</v>
      </c>
      <c r="G76" s="25">
        <v>2</v>
      </c>
      <c r="J76" s="25">
        <v>0</v>
      </c>
      <c r="K76" s="25">
        <v>3</v>
      </c>
      <c r="L76" s="81">
        <v>1</v>
      </c>
      <c r="M76" s="81"/>
      <c r="N76" s="25">
        <v>0</v>
      </c>
      <c r="O76" s="81">
        <v>3</v>
      </c>
      <c r="P76" s="81"/>
      <c r="Q76" s="81">
        <v>1</v>
      </c>
      <c r="R76" s="81"/>
      <c r="S76" s="25">
        <v>0</v>
      </c>
      <c r="T76" s="61"/>
    </row>
    <row r="77" spans="2:22" ht="16" customHeight="1" x14ac:dyDescent="0.2">
      <c r="B77" s="82" t="s">
        <v>3</v>
      </c>
      <c r="C77" s="83"/>
      <c r="D77" s="83"/>
      <c r="E77" s="83"/>
      <c r="F77" s="83"/>
      <c r="G77" s="83"/>
      <c r="H77" s="83"/>
      <c r="I77" s="83"/>
      <c r="J77" s="83"/>
      <c r="K77" s="83"/>
      <c r="L77" s="83"/>
      <c r="M77" s="83"/>
      <c r="N77" s="83"/>
      <c r="O77" s="83"/>
      <c r="P77" s="83"/>
      <c r="Q77" s="83"/>
      <c r="R77" s="83"/>
      <c r="S77" s="83"/>
      <c r="T77" s="84"/>
      <c r="U77" s="1"/>
      <c r="V77" s="1"/>
    </row>
    <row r="78" spans="2:22" ht="16" customHeight="1" x14ac:dyDescent="0.2">
      <c r="B78" s="82" t="s">
        <v>79</v>
      </c>
      <c r="C78" s="83"/>
      <c r="D78" s="83"/>
      <c r="E78" s="83"/>
      <c r="F78" s="83"/>
      <c r="G78" s="83"/>
      <c r="H78" s="83"/>
      <c r="I78" s="83"/>
      <c r="J78" s="83"/>
      <c r="K78" s="83"/>
      <c r="L78" s="83"/>
      <c r="M78" s="83"/>
      <c r="N78" s="83"/>
      <c r="O78" s="83"/>
      <c r="P78" s="83"/>
      <c r="Q78" s="83"/>
      <c r="R78" s="83"/>
      <c r="S78" s="83"/>
      <c r="T78" s="84"/>
    </row>
    <row r="79" spans="2:22" ht="16" x14ac:dyDescent="0.2">
      <c r="B79" s="85"/>
      <c r="C79" s="86"/>
      <c r="D79" s="86"/>
      <c r="E79" s="86"/>
      <c r="F79" s="86"/>
      <c r="G79" s="86"/>
      <c r="H79" s="86"/>
      <c r="I79" s="86"/>
      <c r="J79" s="86"/>
      <c r="K79" s="86"/>
      <c r="L79" s="86"/>
      <c r="M79" s="86"/>
      <c r="N79" s="86"/>
      <c r="O79" s="86"/>
      <c r="P79" s="86"/>
      <c r="Q79" s="86"/>
      <c r="R79" s="86"/>
      <c r="S79" s="86"/>
      <c r="T79" s="87"/>
    </row>
    <row r="83" spans="2:7" ht="18" customHeight="1" x14ac:dyDescent="0.2">
      <c r="B83" s="5"/>
      <c r="C83" s="5"/>
      <c r="D83" s="5"/>
      <c r="E83" s="5"/>
      <c r="F83" s="5"/>
      <c r="G83" s="5"/>
    </row>
    <row r="84" spans="2:7" ht="18" customHeight="1" x14ac:dyDescent="0.2">
      <c r="B84" s="5"/>
      <c r="C84" s="5"/>
      <c r="D84" s="5"/>
      <c r="E84" s="5"/>
      <c r="F84" s="5"/>
      <c r="G84" s="5"/>
    </row>
    <row r="85" spans="2:7" ht="18" customHeight="1" x14ac:dyDescent="0.2">
      <c r="B85" s="5"/>
      <c r="C85" s="5"/>
      <c r="D85" s="5"/>
      <c r="E85" s="5"/>
      <c r="F85" s="5"/>
      <c r="G85" s="5"/>
    </row>
  </sheetData>
  <sheetProtection selectLockedCells="1"/>
  <mergeCells count="176">
    <mergeCell ref="B1:H1"/>
    <mergeCell ref="C2:H2"/>
    <mergeCell ref="I2:L2"/>
    <mergeCell ref="B3:D3"/>
    <mergeCell ref="E3:H3"/>
    <mergeCell ref="B4:D4"/>
    <mergeCell ref="F73:J73"/>
    <mergeCell ref="K73:N73"/>
    <mergeCell ref="B40:B41"/>
    <mergeCell ref="C40:E41"/>
    <mergeCell ref="F40:H41"/>
    <mergeCell ref="I40:K41"/>
    <mergeCell ref="L40:N41"/>
    <mergeCell ref="B51:B52"/>
    <mergeCell ref="C51:E52"/>
    <mergeCell ref="F51:H52"/>
    <mergeCell ref="I51:K52"/>
    <mergeCell ref="L51:N52"/>
    <mergeCell ref="B11:F11"/>
    <mergeCell ref="B12:F12"/>
    <mergeCell ref="B13:F13"/>
    <mergeCell ref="B14:F14"/>
    <mergeCell ref="B15:F15"/>
    <mergeCell ref="B16:F16"/>
    <mergeCell ref="B5:D5"/>
    <mergeCell ref="B6:F6"/>
    <mergeCell ref="B7:F7"/>
    <mergeCell ref="B8:F8"/>
    <mergeCell ref="B9:F9"/>
    <mergeCell ref="B10:F10"/>
    <mergeCell ref="B23:F23"/>
    <mergeCell ref="B24:F24"/>
    <mergeCell ref="B25:F25"/>
    <mergeCell ref="B26:F26"/>
    <mergeCell ref="B27:F27"/>
    <mergeCell ref="B28:F28"/>
    <mergeCell ref="B17:F17"/>
    <mergeCell ref="B18:F18"/>
    <mergeCell ref="B19:F19"/>
    <mergeCell ref="B20:F20"/>
    <mergeCell ref="B21:F21"/>
    <mergeCell ref="B22:F22"/>
    <mergeCell ref="C36:E36"/>
    <mergeCell ref="F36:H36"/>
    <mergeCell ref="I36:K36"/>
    <mergeCell ref="L36:N36"/>
    <mergeCell ref="O36:R36"/>
    <mergeCell ref="S36:V36"/>
    <mergeCell ref="B29:F29"/>
    <mergeCell ref="B30:F30"/>
    <mergeCell ref="B31:C31"/>
    <mergeCell ref="B34:W34"/>
    <mergeCell ref="C35:E35"/>
    <mergeCell ref="F35:H35"/>
    <mergeCell ref="I35:K35"/>
    <mergeCell ref="L35:N35"/>
    <mergeCell ref="O35:R35"/>
    <mergeCell ref="S35:V35"/>
    <mergeCell ref="C37:E37"/>
    <mergeCell ref="I37:K37"/>
    <mergeCell ref="L37:N37"/>
    <mergeCell ref="O37:R37"/>
    <mergeCell ref="S37:V37"/>
    <mergeCell ref="C38:E38"/>
    <mergeCell ref="F38:H38"/>
    <mergeCell ref="I38:K38"/>
    <mergeCell ref="L38:N38"/>
    <mergeCell ref="O38:R38"/>
    <mergeCell ref="AB45:AD45"/>
    <mergeCell ref="AF45:AH45"/>
    <mergeCell ref="C46:E46"/>
    <mergeCell ref="F46:H46"/>
    <mergeCell ref="I46:K46"/>
    <mergeCell ref="L46:Q46"/>
    <mergeCell ref="AB46:AD46"/>
    <mergeCell ref="AF46:AH46"/>
    <mergeCell ref="S38:V38"/>
    <mergeCell ref="C39:E39"/>
    <mergeCell ref="F39:H39"/>
    <mergeCell ref="B44:Q44"/>
    <mergeCell ref="R44:R45"/>
    <mergeCell ref="C45:E45"/>
    <mergeCell ref="F45:H45"/>
    <mergeCell ref="I45:K45"/>
    <mergeCell ref="L45:Q45"/>
    <mergeCell ref="O40:R41"/>
    <mergeCell ref="S40:V41"/>
    <mergeCell ref="C50:E50"/>
    <mergeCell ref="B55:U55"/>
    <mergeCell ref="B56:U56"/>
    <mergeCell ref="C57:H57"/>
    <mergeCell ref="I57:N57"/>
    <mergeCell ref="O57:U57"/>
    <mergeCell ref="AF47:AH47"/>
    <mergeCell ref="L48:Q48"/>
    <mergeCell ref="C49:E49"/>
    <mergeCell ref="F49:H49"/>
    <mergeCell ref="I49:K49"/>
    <mergeCell ref="L49:N49"/>
    <mergeCell ref="O49:Q49"/>
    <mergeCell ref="C47:E47"/>
    <mergeCell ref="F47:H47"/>
    <mergeCell ref="I47:K47"/>
    <mergeCell ref="L47:N47"/>
    <mergeCell ref="O47:Q47"/>
    <mergeCell ref="AB47:AD47"/>
    <mergeCell ref="O51:Q52"/>
    <mergeCell ref="C58:H58"/>
    <mergeCell ref="I58:N58"/>
    <mergeCell ref="O58:U58"/>
    <mergeCell ref="C59:E59"/>
    <mergeCell ref="F59:H59"/>
    <mergeCell ref="I59:K59"/>
    <mergeCell ref="L59:N59"/>
    <mergeCell ref="O59:P59"/>
    <mergeCell ref="Q59:R59"/>
    <mergeCell ref="S59:U59"/>
    <mergeCell ref="B62:U62"/>
    <mergeCell ref="C63:H63"/>
    <mergeCell ref="I63:N63"/>
    <mergeCell ref="O63:U63"/>
    <mergeCell ref="C64:H64"/>
    <mergeCell ref="I64:N64"/>
    <mergeCell ref="O64:U64"/>
    <mergeCell ref="S60:U60"/>
    <mergeCell ref="C61:E61"/>
    <mergeCell ref="F61:H61"/>
    <mergeCell ref="I61:K61"/>
    <mergeCell ref="L61:N61"/>
    <mergeCell ref="O61:P61"/>
    <mergeCell ref="Q61:R61"/>
    <mergeCell ref="C60:E60"/>
    <mergeCell ref="F60:H60"/>
    <mergeCell ref="I60:K60"/>
    <mergeCell ref="L60:N60"/>
    <mergeCell ref="O60:P60"/>
    <mergeCell ref="Q60:R60"/>
    <mergeCell ref="S65:U65"/>
    <mergeCell ref="C66:E66"/>
    <mergeCell ref="F66:H66"/>
    <mergeCell ref="I66:K66"/>
    <mergeCell ref="L66:N66"/>
    <mergeCell ref="O66:P66"/>
    <mergeCell ref="Q66:R66"/>
    <mergeCell ref="S66:U66"/>
    <mergeCell ref="C65:E65"/>
    <mergeCell ref="F65:H65"/>
    <mergeCell ref="I65:K65"/>
    <mergeCell ref="L65:N65"/>
    <mergeCell ref="O65:P65"/>
    <mergeCell ref="Q65:R65"/>
    <mergeCell ref="B68:L68"/>
    <mergeCell ref="B69:L69"/>
    <mergeCell ref="B72:T72"/>
    <mergeCell ref="C73:E73"/>
    <mergeCell ref="C67:E67"/>
    <mergeCell ref="F67:H67"/>
    <mergeCell ref="I67:K67"/>
    <mergeCell ref="L67:N67"/>
    <mergeCell ref="O67:P67"/>
    <mergeCell ref="Q67:R67"/>
    <mergeCell ref="O73:S73"/>
    <mergeCell ref="L76:M76"/>
    <mergeCell ref="O76:P76"/>
    <mergeCell ref="Q76:R76"/>
    <mergeCell ref="B77:T77"/>
    <mergeCell ref="B78:T79"/>
    <mergeCell ref="C74:E74"/>
    <mergeCell ref="F74:J74"/>
    <mergeCell ref="K74:N74"/>
    <mergeCell ref="O74:S74"/>
    <mergeCell ref="F75:G75"/>
    <mergeCell ref="H75:I75"/>
    <mergeCell ref="L75:M75"/>
    <mergeCell ref="O75:P75"/>
    <mergeCell ref="Q75:R75"/>
  </mergeCells>
  <conditionalFormatting sqref="C58">
    <cfRule type="colorScale" priority="1">
      <colorScale>
        <cfvo type="num" val="0.3"/>
        <cfvo type="num" val="0.5"/>
        <cfvo type="num" val="1"/>
        <color theme="9" tint="-0.249977111117893"/>
        <color rgb="FFFFC000"/>
        <color rgb="FFFF0000"/>
      </colorScale>
    </cfRule>
    <cfRule type="colorScale" priority="2">
      <colorScale>
        <cfvo type="min"/>
        <cfvo type="percentile" val="50"/>
        <cfvo type="max"/>
        <color rgb="FFF8696B"/>
        <color rgb="FFFFEB84"/>
        <color rgb="FF63BE7B"/>
      </colorScale>
    </cfRule>
    <cfRule type="colorScale" priority="3">
      <colorScale>
        <cfvo type="num" val="0"/>
        <cfvo type="num" val="1"/>
        <color theme="9"/>
        <color rgb="FFFF0000"/>
      </colorScale>
    </cfRule>
  </conditionalFormatting>
  <conditionalFormatting sqref="C36 F36 I36 L36 O36 S36 W36">
    <cfRule type="colorScale" priority="14">
      <colorScale>
        <cfvo type="num" val="0.3"/>
        <cfvo type="num" val="0.5"/>
        <cfvo type="num" val="1"/>
        <color theme="9" tint="-0.249977111117893"/>
        <color rgb="FFFFC000"/>
        <color rgb="FFFF0000"/>
      </colorScale>
    </cfRule>
    <cfRule type="colorScale" priority="15">
      <colorScale>
        <cfvo type="min"/>
        <cfvo type="percentile" val="50"/>
        <cfvo type="max"/>
        <color rgb="FFF8696B"/>
        <color rgb="FFFFEB84"/>
        <color rgb="FF63BE7B"/>
      </colorScale>
    </cfRule>
    <cfRule type="colorScale" priority="16">
      <colorScale>
        <cfvo type="num" val="0"/>
        <cfvo type="num" val="1"/>
        <color theme="9"/>
        <color rgb="FFFF0000"/>
      </colorScale>
    </cfRule>
  </conditionalFormatting>
  <conditionalFormatting sqref="C46 F46 I46 L46 R46">
    <cfRule type="colorScale" priority="33">
      <colorScale>
        <cfvo type="num" val="0.3"/>
        <cfvo type="num" val="0.5"/>
        <cfvo type="num" val="1"/>
        <color theme="9" tint="-0.249977111117893"/>
        <color rgb="FFFFC000"/>
        <color rgb="FFFF0000"/>
      </colorScale>
    </cfRule>
    <cfRule type="colorScale" priority="34">
      <colorScale>
        <cfvo type="min"/>
        <cfvo type="percentile" val="50"/>
        <cfvo type="max"/>
        <color rgb="FFF8696B"/>
        <color rgb="FFFFEB84"/>
        <color rgb="FF63BE7B"/>
      </colorScale>
    </cfRule>
    <cfRule type="colorScale" priority="35">
      <colorScale>
        <cfvo type="num" val="0"/>
        <cfvo type="num" val="1"/>
        <color theme="9"/>
        <color rgb="FFFF0000"/>
      </colorScale>
    </cfRule>
  </conditionalFormatting>
  <conditionalFormatting sqref="G7">
    <cfRule type="colorScale" priority="30">
      <colorScale>
        <cfvo type="num" val="0.3"/>
        <cfvo type="num" val="0.5"/>
        <cfvo type="num" val="1"/>
        <color theme="9" tint="-0.249977111117893"/>
        <color rgb="FFFFC000"/>
        <color rgb="FFFF0000"/>
      </colorScale>
    </cfRule>
    <cfRule type="colorScale" priority="31">
      <colorScale>
        <cfvo type="min"/>
        <cfvo type="percentile" val="50"/>
        <cfvo type="max"/>
        <color rgb="FFF8696B"/>
        <color rgb="FFFFEB84"/>
        <color rgb="FF63BE7B"/>
      </colorScale>
    </cfRule>
    <cfRule type="colorScale" priority="32">
      <colorScale>
        <cfvo type="num" val="0"/>
        <cfvo type="num" val="1"/>
        <color theme="9"/>
        <color rgb="FFFF0000"/>
      </colorScale>
    </cfRule>
  </conditionalFormatting>
  <conditionalFormatting sqref="G15">
    <cfRule type="colorScale" priority="27">
      <colorScale>
        <cfvo type="num" val="0.3"/>
        <cfvo type="num" val="0.5"/>
        <cfvo type="num" val="1"/>
        <color theme="9" tint="-0.249977111117893"/>
        <color rgb="FFFFC000"/>
        <color rgb="FFFF0000"/>
      </colorScale>
    </cfRule>
    <cfRule type="colorScale" priority="28">
      <colorScale>
        <cfvo type="min"/>
        <cfvo type="percentile" val="50"/>
        <cfvo type="max"/>
        <color rgb="FFF8696B"/>
        <color rgb="FFFFEB84"/>
        <color rgb="FF63BE7B"/>
      </colorScale>
    </cfRule>
    <cfRule type="colorScale" priority="29">
      <colorScale>
        <cfvo type="num" val="0"/>
        <cfvo type="num" val="1"/>
        <color theme="9"/>
        <color rgb="FFFF0000"/>
      </colorScale>
    </cfRule>
  </conditionalFormatting>
  <conditionalFormatting sqref="G21">
    <cfRule type="colorScale" priority="24">
      <colorScale>
        <cfvo type="num" val="0.3"/>
        <cfvo type="num" val="0.5"/>
        <cfvo type="num" val="1"/>
        <color theme="9" tint="-0.249977111117893"/>
        <color rgb="FFFFC000"/>
        <color rgb="FFFF0000"/>
      </colorScale>
    </cfRule>
    <cfRule type="colorScale" priority="25">
      <colorScale>
        <cfvo type="min"/>
        <cfvo type="percentile" val="50"/>
        <cfvo type="max"/>
        <color rgb="FFF8696B"/>
        <color rgb="FFFFEB84"/>
        <color rgb="FF63BE7B"/>
      </colorScale>
    </cfRule>
    <cfRule type="colorScale" priority="26">
      <colorScale>
        <cfvo type="num" val="0"/>
        <cfvo type="num" val="1"/>
        <color theme="9"/>
        <color rgb="FFFF0000"/>
      </colorScale>
    </cfRule>
  </conditionalFormatting>
  <conditionalFormatting sqref="G26">
    <cfRule type="colorScale" priority="20">
      <colorScale>
        <cfvo type="num" val="0"/>
        <cfvo type="percentile" val="0.5"/>
        <cfvo type="num" val="1"/>
        <color rgb="FFFF0000"/>
        <color rgb="FFFFEB84"/>
        <color theme="9"/>
      </colorScale>
    </cfRule>
    <cfRule type="colorScale" priority="21">
      <colorScale>
        <cfvo type="num" val="0.3"/>
        <cfvo type="num" val="0.5"/>
        <cfvo type="num" val="1"/>
        <color rgb="FF63BE7B"/>
        <color rgb="FFFFEB84"/>
        <color rgb="FFF8696B"/>
      </colorScale>
    </cfRule>
    <cfRule type="colorScale" priority="22">
      <colorScale>
        <cfvo type="num" val="0"/>
        <cfvo type="percentile" val="0.5"/>
        <cfvo type="num" val="1"/>
        <color rgb="FFF8696B"/>
        <color rgb="FFFFEB84"/>
        <color rgb="FF63BE7B"/>
      </colorScale>
    </cfRule>
    <cfRule type="colorScale" priority="23">
      <colorScale>
        <cfvo type="num" val="0"/>
        <cfvo type="num" val="1"/>
        <color theme="9"/>
        <color rgb="FFFF0000"/>
      </colorScale>
    </cfRule>
  </conditionalFormatting>
  <conditionalFormatting sqref="G31">
    <cfRule type="colorScale" priority="17">
      <colorScale>
        <cfvo type="num" val="0.3"/>
        <cfvo type="num" val="0.5"/>
        <cfvo type="num" val="1"/>
        <color theme="9" tint="-0.249977111117893"/>
        <color rgb="FFFFC000"/>
        <color rgb="FFFF0000"/>
      </colorScale>
    </cfRule>
    <cfRule type="colorScale" priority="18">
      <colorScale>
        <cfvo type="min"/>
        <cfvo type="percentile" val="50"/>
        <cfvo type="max"/>
        <color rgb="FFF8696B"/>
        <color rgb="FFFFEB84"/>
        <color rgb="FF63BE7B"/>
      </colorScale>
    </cfRule>
    <cfRule type="colorScale" priority="19">
      <colorScale>
        <cfvo type="num" val="0"/>
        <cfvo type="num" val="1"/>
        <color theme="9"/>
        <color rgb="FFFF0000"/>
      </colorScale>
    </cfRule>
  </conditionalFormatting>
  <conditionalFormatting sqref="I64 C64 O64">
    <cfRule type="colorScale" priority="8">
      <colorScale>
        <cfvo type="num" val="0.3"/>
        <cfvo type="num" val="0.5"/>
        <cfvo type="num" val="1"/>
        <color theme="9" tint="-0.249977111117893"/>
        <color rgb="FFFFC000"/>
        <color rgb="FFFF0000"/>
      </colorScale>
    </cfRule>
    <cfRule type="colorScale" priority="9">
      <colorScale>
        <cfvo type="min"/>
        <cfvo type="percentile" val="50"/>
        <cfvo type="max"/>
        <color rgb="FFF8696B"/>
        <color rgb="FFFFEB84"/>
        <color rgb="FF63BE7B"/>
      </colorScale>
    </cfRule>
    <cfRule type="colorScale" priority="10">
      <colorScale>
        <cfvo type="num" val="0"/>
        <cfvo type="num" val="1"/>
        <color theme="9"/>
        <color rgb="FFFF0000"/>
      </colorScale>
    </cfRule>
  </conditionalFormatting>
  <conditionalFormatting sqref="T74">
    <cfRule type="colorScale" priority="4">
      <colorScale>
        <cfvo type="num" val="0"/>
        <cfvo type="percentile" val="0.5"/>
        <cfvo type="num" val="1"/>
        <color rgb="FFFF0000"/>
        <color rgb="FFFFEB84"/>
        <color theme="9"/>
      </colorScale>
    </cfRule>
    <cfRule type="colorScale" priority="5">
      <colorScale>
        <cfvo type="num" val="0.3"/>
        <cfvo type="num" val="0.5"/>
        <cfvo type="num" val="1"/>
        <color rgb="FF63BE7B"/>
        <color rgb="FFFFEB84"/>
        <color rgb="FFF8696B"/>
      </colorScale>
    </cfRule>
    <cfRule type="colorScale" priority="6">
      <colorScale>
        <cfvo type="num" val="0"/>
        <cfvo type="percentile" val="0.5"/>
        <cfvo type="num" val="1"/>
        <color rgb="FFF8696B"/>
        <color rgb="FFFFEB84"/>
        <color rgb="FF63BE7B"/>
      </colorScale>
    </cfRule>
    <cfRule type="colorScale" priority="7">
      <colorScale>
        <cfvo type="num" val="0"/>
        <cfvo type="num" val="1"/>
        <color theme="9"/>
        <color rgb="FFFF0000"/>
      </colorScale>
    </cfRule>
  </conditionalFormatting>
  <conditionalFormatting sqref="V56 I58 O58">
    <cfRule type="colorScale" priority="11">
      <colorScale>
        <cfvo type="num" val="0.3"/>
        <cfvo type="num" val="0.5"/>
        <cfvo type="num" val="1"/>
        <color theme="9" tint="-0.249977111117893"/>
        <color rgb="FFFFC000"/>
        <color rgb="FFFF0000"/>
      </colorScale>
    </cfRule>
    <cfRule type="colorScale" priority="12">
      <colorScale>
        <cfvo type="min"/>
        <cfvo type="percentile" val="50"/>
        <cfvo type="max"/>
        <color rgb="FFF8696B"/>
        <color rgb="FFFFEB84"/>
        <color rgb="FF63BE7B"/>
      </colorScale>
    </cfRule>
    <cfRule type="colorScale" priority="13">
      <colorScale>
        <cfvo type="num" val="0"/>
        <cfvo type="num" val="1"/>
        <color theme="9"/>
        <color rgb="FFFF0000"/>
      </colorScale>
    </cfRule>
  </conditionalFormatting>
  <dataValidations count="4">
    <dataValidation type="list" allowBlank="1" showInputMessage="1" showErrorMessage="1" sqref="S37:V37" xr:uid="{0214F37C-B5B1-BA4D-83B7-A7E772A79DA5}">
      <formula1>$S$39:$V$39</formula1>
    </dataValidation>
    <dataValidation type="list" allowBlank="1" showInputMessage="1" showErrorMessage="1" sqref="O37" xr:uid="{A7220A25-05AE-E04D-A0C3-1E22773F0F66}">
      <formula1>$O$39:$R$39</formula1>
    </dataValidation>
    <dataValidation type="list" allowBlank="1" showInputMessage="1" showErrorMessage="1" sqref="F47:H48" xr:uid="{D9529D57-85D9-CE4F-BECE-D2408F6B1E45}">
      <formula1>$F$50:$H$50</formula1>
    </dataValidation>
    <dataValidation type="list" allowBlank="1" showInputMessage="1" showErrorMessage="1" sqref="I47:I48" xr:uid="{D2FADDE9-1E94-7341-A801-E477F4A62631}">
      <formula1>$I$50:$K$50</formula1>
    </dataValidation>
  </dataValidations>
  <pageMargins left="0.7" right="0.7" top="0.75" bottom="0.75" header="0.3" footer="0.3"/>
  <pageSetup paperSize="9"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2596D-BCE3-7149-AB4F-C99964EF399D}">
  <sheetPr>
    <tabColor theme="1"/>
  </sheetPr>
  <dimension ref="B1:AL85"/>
  <sheetViews>
    <sheetView topLeftCell="A51" zoomScaleNormal="100" workbookViewId="0">
      <selection activeCell="C65" sqref="C65:E65"/>
    </sheetView>
  </sheetViews>
  <sheetFormatPr baseColWidth="10" defaultRowHeight="18" customHeight="1" x14ac:dyDescent="0.2"/>
  <cols>
    <col min="1" max="1" width="3.5" style="5" customWidth="1"/>
    <col min="2" max="2" width="10.83203125" style="7" customWidth="1"/>
    <col min="3" max="3" width="10.83203125" style="1" customWidth="1"/>
    <col min="4" max="4" width="10.83203125" style="3" customWidth="1"/>
    <col min="5" max="5" width="10.83203125" style="4" customWidth="1"/>
    <col min="6" max="6" width="10.83203125" style="2" customWidth="1"/>
    <col min="7" max="11" width="10.83203125" style="1" customWidth="1"/>
    <col min="12" max="12" width="10.83203125" style="12" customWidth="1"/>
    <col min="13" max="13" width="10.83203125" style="9" customWidth="1"/>
    <col min="14" max="18" width="10.83203125" style="1" customWidth="1"/>
    <col min="19" max="22" width="10.83203125" style="5" customWidth="1"/>
    <col min="23" max="23" width="12.5" style="5" bestFit="1" customWidth="1"/>
    <col min="24" max="24" width="11.6640625" style="5" bestFit="1" customWidth="1"/>
    <col min="25" max="25" width="10.83203125" style="5"/>
    <col min="26" max="32" width="10.83203125" style="5" customWidth="1"/>
    <col min="33" max="16384" width="10.83203125" style="5"/>
  </cols>
  <sheetData>
    <row r="1" spans="2:38" ht="37" customHeight="1" x14ac:dyDescent="0.2">
      <c r="B1" s="143" t="s">
        <v>54</v>
      </c>
      <c r="C1" s="144"/>
      <c r="D1" s="144"/>
      <c r="E1" s="144"/>
      <c r="F1" s="144"/>
      <c r="G1" s="144"/>
      <c r="H1" s="145"/>
      <c r="I1" s="44"/>
      <c r="J1" s="26"/>
      <c r="K1" s="26"/>
      <c r="L1" s="26"/>
      <c r="M1" s="26"/>
    </row>
    <row r="2" spans="2:38" ht="23" customHeight="1" x14ac:dyDescent="0.2">
      <c r="B2" s="28" t="s">
        <v>47</v>
      </c>
      <c r="C2" s="146" t="s">
        <v>48</v>
      </c>
      <c r="D2" s="147"/>
      <c r="E2" s="147"/>
      <c r="F2" s="147"/>
      <c r="G2" s="147"/>
      <c r="H2" s="148"/>
      <c r="I2" s="149" t="s">
        <v>51</v>
      </c>
      <c r="J2" s="150"/>
      <c r="K2" s="150"/>
      <c r="L2" s="150"/>
    </row>
    <row r="3" spans="2:38" ht="21" customHeight="1" x14ac:dyDescent="0.2">
      <c r="B3" s="151" t="s">
        <v>56</v>
      </c>
      <c r="C3" s="152"/>
      <c r="D3" s="153"/>
      <c r="E3" s="154" t="s">
        <v>49</v>
      </c>
      <c r="F3" s="154"/>
      <c r="G3" s="154"/>
      <c r="H3" s="154"/>
      <c r="I3" s="26"/>
      <c r="J3" s="26"/>
      <c r="K3" s="26"/>
      <c r="L3" s="26"/>
    </row>
    <row r="4" spans="2:38" ht="21" customHeight="1" x14ac:dyDescent="0.2">
      <c r="B4" s="151" t="s">
        <v>50</v>
      </c>
      <c r="C4" s="152"/>
      <c r="D4" s="153"/>
      <c r="E4" s="40" t="s">
        <v>114</v>
      </c>
      <c r="F4" s="40"/>
      <c r="G4" s="40"/>
      <c r="H4" s="41"/>
      <c r="I4" s="26"/>
      <c r="J4" s="26"/>
      <c r="K4" s="26"/>
      <c r="L4" s="26"/>
    </row>
    <row r="5" spans="2:38" ht="21" customHeight="1" x14ac:dyDescent="0.2">
      <c r="B5" s="158"/>
      <c r="C5" s="159"/>
      <c r="D5" s="159"/>
      <c r="E5" s="42"/>
      <c r="F5" s="42"/>
      <c r="G5" s="42"/>
      <c r="H5" s="43"/>
      <c r="I5" s="26"/>
      <c r="J5" s="26"/>
      <c r="K5" s="26"/>
      <c r="L5" s="26"/>
    </row>
    <row r="6" spans="2:38" ht="21" x14ac:dyDescent="0.2">
      <c r="B6" s="160" t="s">
        <v>40</v>
      </c>
      <c r="C6" s="160"/>
      <c r="D6" s="160"/>
      <c r="E6" s="160"/>
      <c r="F6" s="160"/>
      <c r="G6" s="38" t="s">
        <v>23</v>
      </c>
      <c r="H6" s="39" t="s">
        <v>19</v>
      </c>
      <c r="I6" s="5"/>
      <c r="J6" s="5"/>
      <c r="K6" s="12"/>
      <c r="P6" s="76"/>
    </row>
    <row r="7" spans="2:38" ht="18" customHeight="1" x14ac:dyDescent="0.2">
      <c r="B7" s="140" t="str">
        <f>B34</f>
        <v>Geological factors (G)</v>
      </c>
      <c r="C7" s="140"/>
      <c r="D7" s="140"/>
      <c r="E7" s="140"/>
      <c r="F7" s="140"/>
      <c r="G7" s="27">
        <f>SoultzP1!W36</f>
        <v>1</v>
      </c>
      <c r="H7" s="11"/>
      <c r="I7" s="5"/>
      <c r="P7" s="77"/>
    </row>
    <row r="8" spans="2:38" ht="18" customHeight="1" x14ac:dyDescent="0.2">
      <c r="B8" s="137" t="str">
        <f>SoultzP1!C35</f>
        <v>Smallest distance to geologically known active or potentially-active faults [km]</v>
      </c>
      <c r="C8" s="137"/>
      <c r="D8" s="137"/>
      <c r="E8" s="137"/>
      <c r="F8" s="137"/>
      <c r="G8" s="19">
        <f>SoultzP1!C36</f>
        <v>1</v>
      </c>
      <c r="H8" s="10" t="str">
        <f>SoultzP1!C38</f>
        <v>low</v>
      </c>
      <c r="I8" s="5"/>
      <c r="J8" s="5"/>
      <c r="K8" s="5"/>
      <c r="L8" s="5"/>
      <c r="P8" s="78"/>
    </row>
    <row r="9" spans="2:38" ht="18" customHeight="1" x14ac:dyDescent="0.2">
      <c r="B9" s="137" t="str">
        <f>SoultzP1!F35</f>
        <v>Earthquake activities</v>
      </c>
      <c r="C9" s="137"/>
      <c r="D9" s="137"/>
      <c r="E9" s="137"/>
      <c r="F9" s="137"/>
      <c r="G9" s="19">
        <f>SoultzP1!F36</f>
        <v>0.97023809523809523</v>
      </c>
      <c r="H9" s="10" t="str">
        <f>SoultzP1!F38</f>
        <v>medium</v>
      </c>
      <c r="I9" s="5"/>
      <c r="J9" s="5"/>
      <c r="P9" s="78"/>
    </row>
    <row r="10" spans="2:38" ht="18" customHeight="1" x14ac:dyDescent="0.2">
      <c r="B10" s="137" t="str">
        <f>SoultzP1!I35</f>
        <v>Smallest distance to any mapped inactive fault [km]</v>
      </c>
      <c r="C10" s="137"/>
      <c r="D10" s="137"/>
      <c r="E10" s="137"/>
      <c r="F10" s="137"/>
      <c r="G10" s="19">
        <f>SoultzP1!I36</f>
        <v>0.3571428571428571</v>
      </c>
      <c r="H10" s="10" t="str">
        <f>SoultzP1!I38</f>
        <v>low</v>
      </c>
      <c r="I10" s="5"/>
      <c r="J10" s="5"/>
    </row>
    <row r="11" spans="2:38" ht="18" customHeight="1" x14ac:dyDescent="0.2">
      <c r="B11" s="141" t="str">
        <f>SoultzP1!O35</f>
        <v>mapped faults’ triggering potential (orientation with active faults)</v>
      </c>
      <c r="C11" s="141"/>
      <c r="D11" s="141"/>
      <c r="E11" s="141"/>
      <c r="F11" s="141"/>
      <c r="G11" s="10">
        <f>SoultzP1!O36</f>
        <v>1</v>
      </c>
      <c r="H11" s="10" t="str">
        <f>SoultzP1!O38</f>
        <v>low</v>
      </c>
      <c r="I11" s="5"/>
      <c r="J11" s="5"/>
    </row>
    <row r="12" spans="2:38" ht="18" customHeight="1" x14ac:dyDescent="0.2">
      <c r="B12" s="137" t="str">
        <f>SoultzP1!S35</f>
        <v>Fault or mapped fault plane and reservoir intersection</v>
      </c>
      <c r="C12" s="137"/>
      <c r="D12" s="137"/>
      <c r="E12" s="137"/>
      <c r="F12" s="137"/>
      <c r="G12" s="10">
        <f>SoultzP1!S36</f>
        <v>0.5</v>
      </c>
      <c r="H12" s="10"/>
      <c r="I12" s="5"/>
      <c r="J12" s="5"/>
      <c r="AA12"/>
      <c r="AB12"/>
      <c r="AC12"/>
      <c r="AD12"/>
      <c r="AE12"/>
      <c r="AF12"/>
      <c r="AG12"/>
      <c r="AH12"/>
      <c r="AI12"/>
      <c r="AJ12"/>
      <c r="AK12"/>
      <c r="AL12"/>
    </row>
    <row r="13" spans="2:38" ht="18" customHeight="1" x14ac:dyDescent="0.2">
      <c r="B13" s="141" t="str">
        <f>SoultzP1!L35</f>
        <v>Longest mapped fault length in the project facility[km]</v>
      </c>
      <c r="C13" s="141"/>
      <c r="D13" s="141"/>
      <c r="E13" s="141"/>
      <c r="F13" s="141"/>
      <c r="G13" s="10">
        <f>SoultzP1!L36</f>
        <v>1</v>
      </c>
      <c r="H13" s="10" t="str">
        <f>SoultzP1!L38</f>
        <v>High</v>
      </c>
      <c r="I13" s="5"/>
      <c r="J13" s="5"/>
      <c r="AB13"/>
      <c r="AC13"/>
      <c r="AD13"/>
      <c r="AE13"/>
      <c r="AF13"/>
      <c r="AG13"/>
      <c r="AH13"/>
      <c r="AI13"/>
      <c r="AJ13"/>
      <c r="AK13"/>
      <c r="AL13"/>
    </row>
    <row r="14" spans="2:38" ht="18" customHeight="1" x14ac:dyDescent="0.2">
      <c r="B14" s="141"/>
      <c r="C14" s="141"/>
      <c r="D14" s="141"/>
      <c r="E14" s="141"/>
      <c r="F14" s="141"/>
      <c r="G14" s="10"/>
      <c r="H14" s="10"/>
      <c r="I14" s="5"/>
      <c r="J14" s="5"/>
      <c r="AA14"/>
      <c r="AB14"/>
      <c r="AC14"/>
      <c r="AD14"/>
      <c r="AE14"/>
      <c r="AF14"/>
      <c r="AG14"/>
      <c r="AH14"/>
      <c r="AI14"/>
      <c r="AJ14"/>
      <c r="AK14"/>
      <c r="AL14"/>
    </row>
    <row r="15" spans="2:38" ht="18" customHeight="1" x14ac:dyDescent="0.2">
      <c r="B15" s="155" t="str">
        <f>B44</f>
        <v>Stimulation factors (O)</v>
      </c>
      <c r="C15" s="156"/>
      <c r="D15" s="156"/>
      <c r="E15" s="156"/>
      <c r="F15" s="157"/>
      <c r="G15" s="27">
        <f>SoultzP1!R46</f>
        <v>0.86842105263157898</v>
      </c>
      <c r="H15" s="11"/>
      <c r="I15" s="5"/>
      <c r="J15" s="5"/>
    </row>
    <row r="16" spans="2:38" ht="18" customHeight="1" x14ac:dyDescent="0.2">
      <c r="B16" s="141" t="str">
        <f>SoultzP1!C45</f>
        <v xml:space="preserve">Depth of stimulation </v>
      </c>
      <c r="C16" s="141"/>
      <c r="D16" s="141"/>
      <c r="E16" s="141"/>
      <c r="F16" s="141"/>
      <c r="G16" s="19">
        <f>SoultzP1!C46</f>
        <v>1</v>
      </c>
      <c r="H16" s="10" t="str">
        <f>SoultzP1!C49</f>
        <v>low</v>
      </c>
      <c r="I16" s="5"/>
      <c r="J16" s="5"/>
    </row>
    <row r="17" spans="2:10" ht="18" customHeight="1" x14ac:dyDescent="0.2">
      <c r="B17" s="141" t="str">
        <f>SoultzP1!F45</f>
        <v xml:space="preserve">Rock type </v>
      </c>
      <c r="C17" s="141"/>
      <c r="D17" s="141"/>
      <c r="E17" s="141"/>
      <c r="F17" s="141"/>
      <c r="G17" s="19">
        <f>SoultzP1!F46</f>
        <v>1</v>
      </c>
      <c r="H17" s="10" t="str">
        <f>SoultzP1!F49</f>
        <v>low</v>
      </c>
      <c r="I17" s="5"/>
      <c r="J17" s="5"/>
    </row>
    <row r="18" spans="2:10" ht="18" customHeight="1" x14ac:dyDescent="0.2">
      <c r="B18" s="141" t="str">
        <f>SoultzP1!I45</f>
        <v>Host reservoir original porosity</v>
      </c>
      <c r="C18" s="141"/>
      <c r="D18" s="141"/>
      <c r="E18" s="141"/>
      <c r="F18" s="141"/>
      <c r="G18" s="19">
        <f>SoultzP1!I46</f>
        <v>1</v>
      </c>
      <c r="H18" s="10" t="str">
        <f>SoultzP1!I49</f>
        <v>low</v>
      </c>
      <c r="I18" s="5"/>
      <c r="J18" s="5"/>
    </row>
    <row r="19" spans="2:10" ht="18" customHeight="1" x14ac:dyDescent="0.2">
      <c r="B19" s="141" t="str">
        <f>SoultzP1!L45</f>
        <v>Net injection volume per 100 m times Fluid injection (wellhead) pressure</v>
      </c>
      <c r="C19" s="141"/>
      <c r="D19" s="141"/>
      <c r="E19" s="141"/>
      <c r="F19" s="141"/>
      <c r="G19" s="19">
        <f>SoultzP1!L46</f>
        <v>0.47368421052631576</v>
      </c>
      <c r="H19" s="10" t="str">
        <f>SoultzP1!L49</f>
        <v>low</v>
      </c>
      <c r="I19" s="5"/>
      <c r="J19" s="5"/>
    </row>
    <row r="20" spans="2:10" ht="18" customHeight="1" x14ac:dyDescent="0.2">
      <c r="B20" s="141"/>
      <c r="C20" s="141"/>
      <c r="D20" s="141"/>
      <c r="E20" s="141"/>
      <c r="F20" s="141"/>
      <c r="G20" s="19"/>
      <c r="H20" s="10"/>
      <c r="I20" s="5"/>
      <c r="J20" s="5"/>
    </row>
    <row r="21" spans="2:10" s="6" customFormat="1" ht="18" customHeight="1" x14ac:dyDescent="0.2">
      <c r="B21" s="142" t="str">
        <f>B55</f>
        <v>Seismic Exposure factors (E)</v>
      </c>
      <c r="C21" s="142"/>
      <c r="D21" s="142"/>
      <c r="E21" s="142"/>
      <c r="F21" s="142"/>
      <c r="G21" s="27">
        <f>V56</f>
        <v>0.34312966508873888</v>
      </c>
      <c r="H21" s="11"/>
    </row>
    <row r="22" spans="2:10" ht="18" customHeight="1" x14ac:dyDescent="0.2">
      <c r="B22" s="137" t="str">
        <f>C57</f>
        <v>Population exposure</v>
      </c>
      <c r="C22" s="137"/>
      <c r="D22" s="137"/>
      <c r="E22" s="137"/>
      <c r="F22" s="137"/>
      <c r="G22" s="10">
        <f>C58</f>
        <v>0.34312966508873888</v>
      </c>
      <c r="H22" s="10" t="s">
        <v>12</v>
      </c>
      <c r="I22" s="5"/>
      <c r="J22" s="5"/>
    </row>
    <row r="23" spans="2:10" ht="18" customHeight="1" x14ac:dyDescent="0.2">
      <c r="B23" s="137" t="str">
        <f>I57</f>
        <v>Economic exposure (ee)</v>
      </c>
      <c r="C23" s="137"/>
      <c r="D23" s="137"/>
      <c r="E23" s="137"/>
      <c r="F23" s="137"/>
      <c r="G23" s="10">
        <f>I58</f>
        <v>0</v>
      </c>
      <c r="H23" s="10" t="s">
        <v>12</v>
      </c>
      <c r="I23" s="5"/>
      <c r="J23" s="5"/>
    </row>
    <row r="24" spans="2:10" ht="18" customHeight="1" x14ac:dyDescent="0.2">
      <c r="B24" s="137" t="str">
        <f>O57</f>
        <v>Critical infrastructure exposure (ce)</v>
      </c>
      <c r="C24" s="137"/>
      <c r="D24" s="137"/>
      <c r="E24" s="137"/>
      <c r="F24" s="137"/>
      <c r="G24" s="10">
        <f>O58</f>
        <v>0</v>
      </c>
      <c r="H24" s="10" t="s">
        <v>12</v>
      </c>
      <c r="I24" s="5"/>
      <c r="J24" s="5"/>
    </row>
    <row r="25" spans="2:10" ht="18" customHeight="1" x14ac:dyDescent="0.2">
      <c r="B25" s="162" t="s">
        <v>41</v>
      </c>
      <c r="C25" s="162"/>
      <c r="D25" s="162"/>
      <c r="E25" s="162"/>
      <c r="F25" s="162"/>
      <c r="G25" s="36" t="s">
        <v>23</v>
      </c>
      <c r="H25" s="37"/>
      <c r="I25" s="5"/>
      <c r="J25" s="20"/>
    </row>
    <row r="26" spans="2:10" ht="18" customHeight="1" x14ac:dyDescent="0.2">
      <c r="B26" s="140" t="str">
        <f>B72</f>
        <v>Data Quality penalty (Q)</v>
      </c>
      <c r="C26" s="140"/>
      <c r="D26" s="140"/>
      <c r="E26" s="140"/>
      <c r="F26" s="140"/>
      <c r="G26" s="27">
        <f>SUM(G27:G30)/15</f>
        <v>1</v>
      </c>
      <c r="H26" s="11" t="s">
        <v>12</v>
      </c>
      <c r="I26" s="5"/>
      <c r="J26" s="5"/>
    </row>
    <row r="27" spans="2:10" ht="18" customHeight="1" x14ac:dyDescent="0.2">
      <c r="B27" s="137" t="str">
        <f>SoultzP1!C73</f>
        <v>Seismic images (6)</v>
      </c>
      <c r="C27" s="137"/>
      <c r="D27" s="137"/>
      <c r="E27" s="137"/>
      <c r="F27" s="137"/>
      <c r="G27" s="10">
        <f>SoultzP1!C74</f>
        <v>6</v>
      </c>
      <c r="H27" s="10" t="s">
        <v>12</v>
      </c>
      <c r="I27" s="5"/>
      <c r="J27" s="5"/>
    </row>
    <row r="28" spans="2:10" ht="18" customHeight="1" x14ac:dyDescent="0.2">
      <c r="B28" s="137" t="str">
        <f>SoultzP1!F73</f>
        <v>stress field (3)</v>
      </c>
      <c r="C28" s="137"/>
      <c r="D28" s="137"/>
      <c r="E28" s="137"/>
      <c r="F28" s="137"/>
      <c r="G28" s="10">
        <f>SoultzP1!F74</f>
        <v>3</v>
      </c>
      <c r="H28" s="10" t="s">
        <v>12</v>
      </c>
      <c r="I28" s="5"/>
      <c r="J28" s="5"/>
    </row>
    <row r="29" spans="2:10" ht="18" customHeight="1" x14ac:dyDescent="0.2">
      <c r="B29" s="137" t="str">
        <f>SoultzP1!K73</f>
        <v>Geology maps (3)</v>
      </c>
      <c r="C29" s="137"/>
      <c r="D29" s="137"/>
      <c r="E29" s="137"/>
      <c r="F29" s="137"/>
      <c r="G29" s="10">
        <f>SoultzP1!K74</f>
        <v>3</v>
      </c>
      <c r="H29" s="10" t="s">
        <v>12</v>
      </c>
      <c r="I29" s="5">
        <f>( (G7+G15+G21)/3 + MIN(G15,G7,G21))/2 + 1-(G26 + 0.0000001)</f>
        <v>0.54015651883108906</v>
      </c>
      <c r="J29" s="5"/>
    </row>
    <row r="30" spans="2:10" ht="18" customHeight="1" x14ac:dyDescent="0.2">
      <c r="B30" s="137" t="str">
        <f>SoultzP1!O73</f>
        <v>Historical seismicity (3)</v>
      </c>
      <c r="C30" s="137"/>
      <c r="D30" s="137"/>
      <c r="E30" s="137"/>
      <c r="F30" s="137"/>
      <c r="G30" s="10">
        <f>SoultzP1!O74</f>
        <v>3</v>
      </c>
      <c r="H30" s="10" t="s">
        <v>12</v>
      </c>
      <c r="I30" s="5"/>
      <c r="J30" s="5"/>
    </row>
    <row r="31" spans="2:10" ht="18" customHeight="1" x14ac:dyDescent="0.2">
      <c r="B31" s="138" t="s">
        <v>22</v>
      </c>
      <c r="C31" s="139"/>
      <c r="D31" s="29" t="s">
        <v>42</v>
      </c>
      <c r="E31" s="30" t="s">
        <v>43</v>
      </c>
      <c r="F31" s="31" t="s">
        <v>106</v>
      </c>
      <c r="G31" s="27">
        <f>AVERAGE(G15,G7)*G21+ 1-G26</f>
        <v>0.32055534501711125</v>
      </c>
      <c r="H31" s="32"/>
      <c r="I31" s="5"/>
      <c r="J31" s="5"/>
    </row>
    <row r="32" spans="2:10" ht="18" customHeight="1" x14ac:dyDescent="0.2">
      <c r="B32" s="9"/>
      <c r="D32" s="1"/>
      <c r="E32" s="1"/>
      <c r="F32" s="1"/>
      <c r="H32" s="5"/>
      <c r="I32"/>
      <c r="J32" s="5"/>
    </row>
    <row r="33" spans="2:34" ht="18" customHeight="1" x14ac:dyDescent="0.2">
      <c r="B33" s="9"/>
      <c r="D33" s="1"/>
      <c r="E33" s="1"/>
      <c r="F33" s="1"/>
      <c r="H33"/>
      <c r="I33"/>
      <c r="J33" s="5"/>
    </row>
    <row r="34" spans="2:34" ht="18" customHeight="1" x14ac:dyDescent="0.2">
      <c r="B34" s="101" t="s">
        <v>58</v>
      </c>
      <c r="C34" s="102"/>
      <c r="D34" s="102"/>
      <c r="E34" s="102"/>
      <c r="F34" s="102"/>
      <c r="G34" s="102"/>
      <c r="H34" s="102"/>
      <c r="I34" s="102"/>
      <c r="J34" s="102"/>
      <c r="K34" s="102"/>
      <c r="L34" s="102"/>
      <c r="M34" s="102"/>
      <c r="N34" s="102"/>
      <c r="O34" s="102"/>
      <c r="P34" s="102"/>
      <c r="Q34" s="102"/>
      <c r="R34" s="102"/>
      <c r="S34" s="102"/>
      <c r="T34" s="102"/>
      <c r="U34" s="102"/>
      <c r="V34" s="102"/>
      <c r="W34" s="103"/>
    </row>
    <row r="35" spans="2:34" s="21" customFormat="1" ht="67" customHeight="1" x14ac:dyDescent="0.2">
      <c r="B35" s="71" t="s">
        <v>20</v>
      </c>
      <c r="C35" s="128" t="s">
        <v>93</v>
      </c>
      <c r="D35" s="128"/>
      <c r="E35" s="128"/>
      <c r="F35" s="128" t="s">
        <v>94</v>
      </c>
      <c r="G35" s="128"/>
      <c r="H35" s="128"/>
      <c r="I35" s="128" t="s">
        <v>95</v>
      </c>
      <c r="J35" s="128"/>
      <c r="K35" s="128"/>
      <c r="L35" s="128" t="s">
        <v>96</v>
      </c>
      <c r="M35" s="128"/>
      <c r="N35" s="128"/>
      <c r="O35" s="128" t="s">
        <v>97</v>
      </c>
      <c r="P35" s="128"/>
      <c r="Q35" s="128"/>
      <c r="R35" s="128"/>
      <c r="S35" s="128" t="s">
        <v>98</v>
      </c>
      <c r="T35" s="128"/>
      <c r="U35" s="128"/>
      <c r="V35" s="128"/>
      <c r="W35" s="72" t="s">
        <v>75</v>
      </c>
      <c r="X35" s="46"/>
      <c r="Y35" s="46"/>
      <c r="Z35" s="46"/>
      <c r="AA35" s="46"/>
    </row>
    <row r="36" spans="2:34" ht="18" customHeight="1" x14ac:dyDescent="0.2">
      <c r="B36" s="73" t="s">
        <v>14</v>
      </c>
      <c r="C36" s="125">
        <f>MIN(1, 1- MAX(0, (C37-5)/(50-5)))</f>
        <v>1</v>
      </c>
      <c r="D36" s="126"/>
      <c r="E36" s="127"/>
      <c r="F36" s="125">
        <f>MIN(1, 1- MAX(0, (F37-2)*5/((50-2)*H37)))</f>
        <v>0.97023809523809523</v>
      </c>
      <c r="G36" s="126"/>
      <c r="H36" s="127"/>
      <c r="I36" s="125">
        <f>MAX(MIN(1, 1- MAX(0, (I37-0.1)/(1.5-0.1))),0)</f>
        <v>0.3571428571428571</v>
      </c>
      <c r="J36" s="126"/>
      <c r="K36" s="127"/>
      <c r="L36" s="125">
        <v>1</v>
      </c>
      <c r="M36" s="126"/>
      <c r="N36" s="127"/>
      <c r="O36" s="125" cm="1">
        <f t="array" ref="O36">_xlfn.IFS(O37=R39,1,O37=Q39,0.8,O37=P39,0.5,O37=O39,0.2)</f>
        <v>1</v>
      </c>
      <c r="P36" s="126"/>
      <c r="Q36" s="126"/>
      <c r="R36" s="127"/>
      <c r="S36" s="125" cm="1">
        <f t="array" ref="S36">_xlfn.IFS(S37=V39,1,S37=U39,0.8,S37=T39,0.5,S37=S39,0.2)</f>
        <v>0.5</v>
      </c>
      <c r="T36" s="126"/>
      <c r="U36" s="126"/>
      <c r="V36" s="127"/>
      <c r="W36" s="27">
        <f>MAX(MAX(C36:H36),AVERAGE(I36:V36))</f>
        <v>1</v>
      </c>
      <c r="X36" s="79"/>
      <c r="Y36" s="8"/>
      <c r="Z36" s="8"/>
      <c r="AA36" s="8"/>
    </row>
    <row r="37" spans="2:34" customFormat="1" ht="18" customHeight="1" x14ac:dyDescent="0.2">
      <c r="B37" s="73" t="s">
        <v>26</v>
      </c>
      <c r="C37" s="135">
        <v>5</v>
      </c>
      <c r="D37" s="135"/>
      <c r="E37" s="135"/>
      <c r="F37" s="35">
        <v>3</v>
      </c>
      <c r="H37" s="34">
        <v>3.5</v>
      </c>
      <c r="I37" s="135">
        <v>1</v>
      </c>
      <c r="J37" s="135"/>
      <c r="K37" s="135"/>
      <c r="L37" s="135">
        <v>20</v>
      </c>
      <c r="M37" s="135"/>
      <c r="N37" s="135"/>
      <c r="O37" s="136" t="s">
        <v>92</v>
      </c>
      <c r="P37" s="136"/>
      <c r="Q37" s="136"/>
      <c r="R37" s="136"/>
      <c r="S37" s="136" t="s">
        <v>29</v>
      </c>
      <c r="T37" s="136"/>
      <c r="U37" s="136"/>
      <c r="V37" s="136"/>
      <c r="W37" s="62"/>
      <c r="X37" s="5"/>
      <c r="Y37" s="5"/>
      <c r="Z37" s="5"/>
      <c r="AA37" s="5"/>
      <c r="AB37" s="5"/>
    </row>
    <row r="38" spans="2:34" ht="18" customHeight="1" x14ac:dyDescent="0.2">
      <c r="B38" s="73" t="s">
        <v>19</v>
      </c>
      <c r="C38" s="128" t="s">
        <v>16</v>
      </c>
      <c r="D38" s="128"/>
      <c r="E38" s="128"/>
      <c r="F38" s="128" t="s">
        <v>27</v>
      </c>
      <c r="G38" s="128"/>
      <c r="H38" s="128"/>
      <c r="I38" s="128" t="s">
        <v>16</v>
      </c>
      <c r="J38" s="128"/>
      <c r="K38" s="128"/>
      <c r="L38" s="128" t="s">
        <v>31</v>
      </c>
      <c r="M38" s="128"/>
      <c r="N38" s="128"/>
      <c r="O38" s="128" t="s">
        <v>16</v>
      </c>
      <c r="P38" s="128"/>
      <c r="Q38" s="128"/>
      <c r="R38" s="128"/>
      <c r="S38" s="128" t="s">
        <v>11</v>
      </c>
      <c r="T38" s="128"/>
      <c r="U38" s="128"/>
      <c r="V38" s="128"/>
      <c r="W38" s="74"/>
      <c r="X38" s="8"/>
      <c r="Y38" s="8"/>
      <c r="Z38" s="8"/>
      <c r="AA38" s="8"/>
    </row>
    <row r="39" spans="2:34" ht="95" customHeight="1" x14ac:dyDescent="0.2">
      <c r="B39" s="45" t="s">
        <v>86</v>
      </c>
      <c r="C39" s="104" t="s">
        <v>99</v>
      </c>
      <c r="D39" s="104"/>
      <c r="E39" s="104"/>
      <c r="F39" s="104" t="s">
        <v>100</v>
      </c>
      <c r="G39" s="104"/>
      <c r="H39" s="104"/>
      <c r="I39" s="17"/>
      <c r="J39" s="16"/>
      <c r="K39" s="18"/>
      <c r="L39" s="17"/>
      <c r="M39" s="16"/>
      <c r="N39" s="18"/>
      <c r="O39" s="3" t="s">
        <v>90</v>
      </c>
      <c r="P39" s="4" t="s">
        <v>45</v>
      </c>
      <c r="Q39" s="33" t="s">
        <v>91</v>
      </c>
      <c r="R39" s="2" t="s">
        <v>92</v>
      </c>
      <c r="S39" s="3" t="s">
        <v>30</v>
      </c>
      <c r="T39" s="4" t="s">
        <v>29</v>
      </c>
      <c r="U39" s="33" t="s">
        <v>28</v>
      </c>
      <c r="V39" s="2" t="s">
        <v>46</v>
      </c>
      <c r="W39" s="62"/>
    </row>
    <row r="40" spans="2:34" ht="18" customHeight="1" x14ac:dyDescent="0.2">
      <c r="B40" s="133" t="s">
        <v>120</v>
      </c>
      <c r="C40" s="88"/>
      <c r="D40" s="88"/>
      <c r="E40" s="88"/>
      <c r="F40" s="90"/>
      <c r="G40" s="90"/>
      <c r="H40" s="90"/>
      <c r="I40" s="92"/>
      <c r="J40" s="92"/>
      <c r="K40" s="92"/>
      <c r="L40" s="92"/>
      <c r="M40" s="92"/>
      <c r="N40" s="92"/>
      <c r="O40" s="107"/>
      <c r="P40" s="107"/>
      <c r="Q40" s="107"/>
      <c r="R40" s="107"/>
      <c r="S40" s="107"/>
      <c r="T40" s="107"/>
      <c r="U40" s="107"/>
      <c r="V40" s="107"/>
      <c r="W40" s="62"/>
    </row>
    <row r="41" spans="2:34" ht="18" customHeight="1" x14ac:dyDescent="0.2">
      <c r="B41" s="134"/>
      <c r="C41" s="89"/>
      <c r="D41" s="89"/>
      <c r="E41" s="89"/>
      <c r="F41" s="91"/>
      <c r="G41" s="91"/>
      <c r="H41" s="91"/>
      <c r="I41" s="93"/>
      <c r="J41" s="93"/>
      <c r="K41" s="93"/>
      <c r="L41" s="93"/>
      <c r="M41" s="93"/>
      <c r="N41" s="93"/>
      <c r="O41" s="108"/>
      <c r="P41" s="108"/>
      <c r="Q41" s="108"/>
      <c r="R41" s="108"/>
      <c r="S41" s="108"/>
      <c r="T41" s="108"/>
      <c r="U41" s="108"/>
      <c r="V41" s="108"/>
      <c r="W41" s="64"/>
    </row>
    <row r="42" spans="2:34" ht="18" customHeight="1" x14ac:dyDescent="0.2">
      <c r="B42"/>
      <c r="C42" s="48"/>
      <c r="D42" s="48"/>
      <c r="E42" s="48"/>
      <c r="F42" s="48"/>
      <c r="G42" s="48"/>
      <c r="H42"/>
      <c r="I42"/>
      <c r="J42"/>
      <c r="K42"/>
      <c r="L42"/>
      <c r="M42"/>
      <c r="N42"/>
      <c r="O42" s="20"/>
      <c r="P42"/>
      <c r="Q42"/>
      <c r="R42"/>
      <c r="S42"/>
      <c r="T42"/>
    </row>
    <row r="44" spans="2:34" ht="19" customHeight="1" x14ac:dyDescent="0.2">
      <c r="B44" s="101" t="s">
        <v>102</v>
      </c>
      <c r="C44" s="102"/>
      <c r="D44" s="102"/>
      <c r="E44" s="102"/>
      <c r="F44" s="102"/>
      <c r="G44" s="102"/>
      <c r="H44" s="102"/>
      <c r="I44" s="102"/>
      <c r="J44" s="102"/>
      <c r="K44" s="102"/>
      <c r="L44" s="102"/>
      <c r="M44" s="102"/>
      <c r="N44" s="102"/>
      <c r="O44" s="102"/>
      <c r="P44" s="102"/>
      <c r="Q44" s="103"/>
      <c r="R44" s="129" t="s">
        <v>82</v>
      </c>
    </row>
    <row r="45" spans="2:34" ht="16" customHeight="1" x14ac:dyDescent="0.2">
      <c r="B45" s="51"/>
      <c r="C45" s="104" t="s">
        <v>103</v>
      </c>
      <c r="D45" s="104"/>
      <c r="E45" s="104"/>
      <c r="F45" s="104" t="s">
        <v>32</v>
      </c>
      <c r="G45" s="104"/>
      <c r="H45" s="104"/>
      <c r="I45" s="104" t="s">
        <v>104</v>
      </c>
      <c r="J45" s="104"/>
      <c r="K45" s="104"/>
      <c r="L45" s="131" t="s">
        <v>105</v>
      </c>
      <c r="M45" s="131"/>
      <c r="N45" s="131"/>
      <c r="O45" s="131"/>
      <c r="P45" s="131"/>
      <c r="Q45" s="132"/>
      <c r="R45" s="130"/>
      <c r="AB45" s="104"/>
      <c r="AC45" s="104"/>
      <c r="AD45" s="104"/>
      <c r="AE45"/>
      <c r="AF45" s="104"/>
      <c r="AG45" s="104"/>
      <c r="AH45" s="104"/>
    </row>
    <row r="46" spans="2:34" s="1" customFormat="1" ht="16" x14ac:dyDescent="0.2">
      <c r="B46" s="73" t="s">
        <v>14</v>
      </c>
      <c r="C46" s="125">
        <f>(MIN(1, MAX(0, (C47-1)/(3-1))))</f>
        <v>1</v>
      </c>
      <c r="D46" s="126"/>
      <c r="E46" s="127"/>
      <c r="F46" s="125" cm="1">
        <f t="array" ref="F46">_xlfn.IFS(F47=H50,1,F47=G50,0.5,F47=F50,0)</f>
        <v>1</v>
      </c>
      <c r="G46" s="126"/>
      <c r="H46" s="127"/>
      <c r="I46" s="125" cm="1">
        <f t="array" ref="I46">_xlfn.IFS(I47=K50,1,I47=J50,0.5,I47=I50,0)</f>
        <v>1</v>
      </c>
      <c r="J46" s="126"/>
      <c r="K46" s="127"/>
      <c r="L46" s="125">
        <f>MIN(1,  MAX(0, (L47*O47/1000-10)/(200-10)))</f>
        <v>0.47368421052631576</v>
      </c>
      <c r="M46" s="126"/>
      <c r="N46" s="126"/>
      <c r="O46" s="126"/>
      <c r="P46" s="126"/>
      <c r="Q46" s="127"/>
      <c r="R46" s="27">
        <f>AVERAGE(C46:Q46)</f>
        <v>0.86842105263157898</v>
      </c>
      <c r="AA46" s="5"/>
      <c r="AB46" s="104"/>
      <c r="AC46" s="104"/>
      <c r="AD46" s="104"/>
      <c r="AE46"/>
      <c r="AF46" s="104"/>
      <c r="AG46" s="104"/>
      <c r="AH46" s="104"/>
    </row>
    <row r="47" spans="2:34" s="1" customFormat="1" ht="16" x14ac:dyDescent="0.2">
      <c r="B47" s="57" t="s">
        <v>34</v>
      </c>
      <c r="C47" s="94">
        <v>3.5</v>
      </c>
      <c r="D47" s="94"/>
      <c r="E47" s="94"/>
      <c r="F47" s="94" t="s">
        <v>84</v>
      </c>
      <c r="G47" s="94"/>
      <c r="H47" s="94"/>
      <c r="I47" s="94" t="s">
        <v>15</v>
      </c>
      <c r="J47" s="94"/>
      <c r="K47" s="94"/>
      <c r="L47" s="123">
        <v>10000</v>
      </c>
      <c r="M47" s="123"/>
      <c r="N47" s="123"/>
      <c r="O47" s="124">
        <v>10</v>
      </c>
      <c r="P47" s="124"/>
      <c r="Q47" s="124"/>
      <c r="R47" s="49"/>
      <c r="AA47" s="5"/>
      <c r="AB47" s="104"/>
      <c r="AC47" s="104"/>
      <c r="AD47" s="104"/>
      <c r="AE47"/>
      <c r="AF47" s="104"/>
      <c r="AG47" s="104"/>
      <c r="AH47" s="104"/>
    </row>
    <row r="48" spans="2:34" s="1" customFormat="1" ht="16" x14ac:dyDescent="0.2">
      <c r="B48" s="57"/>
      <c r="C48" s="9"/>
      <c r="D48" s="9"/>
      <c r="E48" s="9"/>
      <c r="F48" s="9"/>
      <c r="G48" s="9"/>
      <c r="H48" s="9"/>
      <c r="I48" s="9"/>
      <c r="J48" s="9"/>
      <c r="K48" s="9"/>
      <c r="L48" s="104">
        <f>L47*O47/1000</f>
        <v>100</v>
      </c>
      <c r="M48" s="104"/>
      <c r="N48" s="104"/>
      <c r="O48" s="104"/>
      <c r="P48" s="104"/>
      <c r="Q48" s="104"/>
      <c r="R48" s="49"/>
      <c r="AA48" s="5"/>
      <c r="AB48" s="9"/>
      <c r="AC48" s="9"/>
      <c r="AD48" s="9"/>
      <c r="AE48"/>
      <c r="AF48" s="9"/>
      <c r="AG48" s="9"/>
      <c r="AH48" s="9"/>
    </row>
    <row r="49" spans="2:33" s="1" customFormat="1" ht="17" customHeight="1" x14ac:dyDescent="0.2">
      <c r="B49" s="57" t="s">
        <v>21</v>
      </c>
      <c r="C49" s="104" t="s">
        <v>16</v>
      </c>
      <c r="D49" s="104"/>
      <c r="E49" s="104"/>
      <c r="F49" s="104" t="s">
        <v>16</v>
      </c>
      <c r="G49" s="104"/>
      <c r="H49" s="104"/>
      <c r="I49" s="104" t="s">
        <v>16</v>
      </c>
      <c r="J49" s="104"/>
      <c r="K49" s="104"/>
      <c r="L49" s="104" t="s">
        <v>16</v>
      </c>
      <c r="M49" s="104"/>
      <c r="N49" s="104"/>
      <c r="O49" s="104" t="s">
        <v>16</v>
      </c>
      <c r="P49" s="104"/>
      <c r="Q49" s="104"/>
      <c r="R49" s="49"/>
      <c r="AA49" s="5"/>
    </row>
    <row r="50" spans="2:33" s="1" customFormat="1" ht="102" customHeight="1" x14ac:dyDescent="0.2">
      <c r="B50" s="69" t="s">
        <v>35</v>
      </c>
      <c r="C50" s="116" t="s">
        <v>101</v>
      </c>
      <c r="D50" s="117"/>
      <c r="E50" s="117"/>
      <c r="F50" s="47" t="s">
        <v>7</v>
      </c>
      <c r="G50" s="14" t="s">
        <v>44</v>
      </c>
      <c r="H50" s="15" t="s">
        <v>84</v>
      </c>
      <c r="I50" s="47" t="s">
        <v>85</v>
      </c>
      <c r="J50" s="14" t="s">
        <v>36</v>
      </c>
      <c r="K50" s="15" t="s">
        <v>15</v>
      </c>
      <c r="L50" s="47" t="s">
        <v>8</v>
      </c>
      <c r="M50" s="70" t="s">
        <v>9</v>
      </c>
      <c r="N50" s="15" t="s">
        <v>10</v>
      </c>
      <c r="O50" s="47" t="s">
        <v>38</v>
      </c>
      <c r="P50" s="70" t="s">
        <v>39</v>
      </c>
      <c r="Q50" s="15" t="s">
        <v>37</v>
      </c>
      <c r="R50" s="50"/>
    </row>
    <row r="51" spans="2:33" s="1" customFormat="1" ht="17" customHeight="1" x14ac:dyDescent="0.2">
      <c r="B51" s="121" t="s">
        <v>120</v>
      </c>
      <c r="C51" s="92"/>
      <c r="D51" s="92"/>
      <c r="E51" s="92"/>
      <c r="F51" s="92"/>
      <c r="G51" s="92"/>
      <c r="H51" s="92"/>
      <c r="I51" s="92"/>
      <c r="J51" s="92"/>
      <c r="K51" s="92"/>
      <c r="L51" s="92"/>
      <c r="M51" s="92"/>
      <c r="N51" s="92"/>
      <c r="O51" s="92"/>
      <c r="P51" s="92"/>
      <c r="Q51" s="92"/>
      <c r="R51" s="49"/>
      <c r="AA51" s="5"/>
    </row>
    <row r="52" spans="2:33" s="1" customFormat="1" ht="17" customHeight="1" x14ac:dyDescent="0.2">
      <c r="B52" s="122"/>
      <c r="C52" s="93"/>
      <c r="D52" s="93"/>
      <c r="E52" s="93"/>
      <c r="F52" s="93"/>
      <c r="G52" s="93"/>
      <c r="H52" s="93"/>
      <c r="I52" s="93"/>
      <c r="J52" s="93"/>
      <c r="K52" s="93"/>
      <c r="L52" s="93"/>
      <c r="M52" s="93"/>
      <c r="N52" s="93"/>
      <c r="O52" s="93"/>
      <c r="P52" s="93"/>
      <c r="Q52" s="93"/>
      <c r="R52" s="49"/>
      <c r="AA52" s="5"/>
    </row>
    <row r="53" spans="2:33" s="1" customFormat="1" ht="18" customHeight="1" x14ac:dyDescent="0.2">
      <c r="B53"/>
      <c r="C53"/>
      <c r="D53"/>
      <c r="E53"/>
      <c r="F53"/>
      <c r="G53"/>
      <c r="H53"/>
      <c r="I53"/>
      <c r="J53"/>
      <c r="K53"/>
      <c r="L53"/>
      <c r="M53"/>
      <c r="N53"/>
      <c r="O53"/>
      <c r="P53"/>
      <c r="Q53"/>
      <c r="S53" s="5"/>
      <c r="T53" s="5"/>
      <c r="U53" s="5"/>
      <c r="V53" s="5"/>
      <c r="W53" s="5"/>
      <c r="X53" s="5"/>
      <c r="Y53" s="5"/>
      <c r="Z53" s="5"/>
      <c r="AA53" s="5"/>
      <c r="AB53" s="5"/>
      <c r="AC53" s="5"/>
      <c r="AD53" s="5"/>
      <c r="AE53" s="5"/>
      <c r="AF53" s="5"/>
      <c r="AG53" s="5"/>
    </row>
    <row r="54" spans="2:33" ht="16" x14ac:dyDescent="0.2">
      <c r="I54" s="2"/>
      <c r="J54" s="2"/>
      <c r="K54" s="2"/>
    </row>
    <row r="55" spans="2:33" ht="18" customHeight="1" x14ac:dyDescent="0.2">
      <c r="B55" s="118" t="s">
        <v>59</v>
      </c>
      <c r="C55" s="119"/>
      <c r="D55" s="119"/>
      <c r="E55" s="119"/>
      <c r="F55" s="119"/>
      <c r="G55" s="119"/>
      <c r="H55" s="119"/>
      <c r="I55" s="119"/>
      <c r="J55" s="119"/>
      <c r="K55" s="119"/>
      <c r="L55" s="119"/>
      <c r="M55" s="119"/>
      <c r="N55" s="119"/>
      <c r="O55" s="119"/>
      <c r="P55" s="119"/>
      <c r="Q55" s="119"/>
      <c r="R55" s="119"/>
      <c r="S55" s="119"/>
      <c r="T55" s="119"/>
      <c r="U55" s="119"/>
      <c r="V55" s="65" t="s">
        <v>13</v>
      </c>
    </row>
    <row r="56" spans="2:33" ht="20" customHeight="1" x14ac:dyDescent="0.2">
      <c r="B56" s="110" t="s">
        <v>115</v>
      </c>
      <c r="C56" s="111"/>
      <c r="D56" s="111"/>
      <c r="E56" s="111"/>
      <c r="F56" s="111"/>
      <c r="G56" s="111"/>
      <c r="H56" s="111"/>
      <c r="I56" s="111"/>
      <c r="J56" s="111"/>
      <c r="K56" s="111"/>
      <c r="L56" s="111"/>
      <c r="M56" s="111"/>
      <c r="N56" s="111"/>
      <c r="O56" s="111"/>
      <c r="P56" s="111"/>
      <c r="Q56" s="111"/>
      <c r="R56" s="111"/>
      <c r="S56" s="111"/>
      <c r="T56" s="111"/>
      <c r="U56" s="120"/>
      <c r="V56" s="27">
        <f>MAX(C58:U58,C64:U64)</f>
        <v>0.34312966508873888</v>
      </c>
    </row>
    <row r="57" spans="2:33" ht="20" customHeight="1" x14ac:dyDescent="0.2">
      <c r="B57" s="66"/>
      <c r="C57" s="104" t="s">
        <v>61</v>
      </c>
      <c r="D57" s="104"/>
      <c r="E57" s="104"/>
      <c r="F57" s="104"/>
      <c r="G57" s="104"/>
      <c r="H57" s="104"/>
      <c r="I57" s="104" t="s">
        <v>24</v>
      </c>
      <c r="J57" s="104"/>
      <c r="K57" s="104"/>
      <c r="L57" s="104"/>
      <c r="M57" s="104"/>
      <c r="N57" s="104"/>
      <c r="O57" s="104" t="s">
        <v>25</v>
      </c>
      <c r="P57" s="104"/>
      <c r="Q57" s="104"/>
      <c r="R57" s="104"/>
      <c r="S57" s="104"/>
      <c r="T57" s="104"/>
      <c r="U57" s="104"/>
      <c r="V57" s="62"/>
    </row>
    <row r="58" spans="2:33" ht="16" customHeight="1" x14ac:dyDescent="0.2">
      <c r="B58" s="73" t="s">
        <v>14</v>
      </c>
      <c r="C58" s="112">
        <f>(MIN(1,LOG10(C60+1)/LOG10(100000)*(0.5+0.9*LOG10(F60+1)/LOG10(100))))</f>
        <v>0.34312966508873888</v>
      </c>
      <c r="D58" s="113"/>
      <c r="E58" s="113"/>
      <c r="F58" s="113"/>
      <c r="G58" s="113"/>
      <c r="H58" s="114"/>
      <c r="I58" s="112">
        <f>(MIN(1, MAX(0, (I60)*L60/100/100)))</f>
        <v>0</v>
      </c>
      <c r="J58" s="113"/>
      <c r="K58" s="113"/>
      <c r="L58" s="113"/>
      <c r="M58" s="113"/>
      <c r="N58" s="114"/>
      <c r="O58" s="112">
        <f>MAX(O60*Q60+O60*S60 + O60*0.5)</f>
        <v>0</v>
      </c>
      <c r="P58" s="113"/>
      <c r="Q58" s="113"/>
      <c r="R58" s="113"/>
      <c r="S58" s="113"/>
      <c r="T58" s="113"/>
      <c r="U58" s="114"/>
      <c r="V58" s="62"/>
    </row>
    <row r="59" spans="2:33" ht="16" x14ac:dyDescent="0.2">
      <c r="B59" s="67"/>
      <c r="C59" s="104" t="s">
        <v>74</v>
      </c>
      <c r="D59" s="104"/>
      <c r="E59" s="104"/>
      <c r="F59" s="104" t="s">
        <v>118</v>
      </c>
      <c r="G59" s="104"/>
      <c r="H59" s="104"/>
      <c r="I59" s="104" t="s">
        <v>124</v>
      </c>
      <c r="J59" s="104"/>
      <c r="K59" s="104"/>
      <c r="L59" s="104" t="s">
        <v>73</v>
      </c>
      <c r="M59" s="104"/>
      <c r="N59" s="104"/>
      <c r="O59" s="104" t="s">
        <v>66</v>
      </c>
      <c r="P59" s="104"/>
      <c r="Q59" s="104" t="s">
        <v>67</v>
      </c>
      <c r="R59" s="104"/>
      <c r="S59" s="104" t="s">
        <v>68</v>
      </c>
      <c r="T59" s="104"/>
      <c r="U59" s="104"/>
      <c r="V59" s="62"/>
    </row>
    <row r="60" spans="2:33" ht="18" customHeight="1" x14ac:dyDescent="0.2">
      <c r="B60" s="57" t="s">
        <v>60</v>
      </c>
      <c r="C60" s="109">
        <v>500</v>
      </c>
      <c r="D60" s="109"/>
      <c r="E60" s="109"/>
      <c r="F60" s="109">
        <v>1</v>
      </c>
      <c r="G60" s="109"/>
      <c r="H60" s="109"/>
      <c r="I60" s="109">
        <v>10</v>
      </c>
      <c r="J60" s="109"/>
      <c r="K60" s="109"/>
      <c r="L60" s="109">
        <v>0</v>
      </c>
      <c r="M60" s="109"/>
      <c r="N60" s="109"/>
      <c r="O60" s="109">
        <v>0</v>
      </c>
      <c r="P60" s="109"/>
      <c r="Q60" s="109">
        <v>0</v>
      </c>
      <c r="R60" s="109"/>
      <c r="S60" s="109">
        <v>0</v>
      </c>
      <c r="T60" s="109"/>
      <c r="U60" s="109"/>
      <c r="V60" s="62"/>
    </row>
    <row r="61" spans="2:33" ht="96" customHeight="1" x14ac:dyDescent="0.2">
      <c r="B61" s="58" t="s">
        <v>35</v>
      </c>
      <c r="C61" s="115" t="s">
        <v>63</v>
      </c>
      <c r="D61" s="115"/>
      <c r="E61" s="115"/>
      <c r="F61" s="115" t="s">
        <v>62</v>
      </c>
      <c r="G61" s="115"/>
      <c r="H61" s="115"/>
      <c r="I61" s="115" t="s">
        <v>83</v>
      </c>
      <c r="J61" s="115"/>
      <c r="K61" s="115"/>
      <c r="L61" s="105"/>
      <c r="M61" s="105"/>
      <c r="N61" s="105"/>
      <c r="O61" s="106" t="s">
        <v>65</v>
      </c>
      <c r="P61" s="106"/>
      <c r="Q61" s="106" t="s">
        <v>69</v>
      </c>
      <c r="R61" s="106"/>
      <c r="S61" s="52" t="s">
        <v>72</v>
      </c>
      <c r="T61" s="53" t="s">
        <v>70</v>
      </c>
      <c r="U61" s="54" t="s">
        <v>71</v>
      </c>
      <c r="V61" s="62"/>
    </row>
    <row r="62" spans="2:33" customFormat="1" ht="24" customHeight="1" x14ac:dyDescent="0.2">
      <c r="B62" s="110" t="s">
        <v>116</v>
      </c>
      <c r="C62" s="111"/>
      <c r="D62" s="111"/>
      <c r="E62" s="111"/>
      <c r="F62" s="111"/>
      <c r="G62" s="111"/>
      <c r="H62" s="111"/>
      <c r="I62" s="111"/>
      <c r="J62" s="111"/>
      <c r="K62" s="111"/>
      <c r="L62" s="111"/>
      <c r="M62" s="111"/>
      <c r="N62" s="111"/>
      <c r="O62" s="111"/>
      <c r="P62" s="111"/>
      <c r="Q62" s="111"/>
      <c r="R62" s="111"/>
      <c r="S62" s="111"/>
      <c r="T62" s="111"/>
      <c r="U62" s="111"/>
      <c r="V62" s="62"/>
      <c r="W62" s="5"/>
      <c r="X62" s="5"/>
      <c r="Y62" s="5"/>
      <c r="Z62" s="5"/>
      <c r="AA62" s="5"/>
      <c r="AB62" s="5"/>
      <c r="AC62" s="5"/>
    </row>
    <row r="63" spans="2:33" ht="18" customHeight="1" x14ac:dyDescent="0.2">
      <c r="B63" s="66"/>
      <c r="C63" s="104" t="s">
        <v>61</v>
      </c>
      <c r="D63" s="104"/>
      <c r="E63" s="104"/>
      <c r="F63" s="104"/>
      <c r="G63" s="104"/>
      <c r="H63" s="104"/>
      <c r="I63" s="104" t="s">
        <v>24</v>
      </c>
      <c r="J63" s="104"/>
      <c r="K63" s="104"/>
      <c r="L63" s="104"/>
      <c r="M63" s="104"/>
      <c r="N63" s="104"/>
      <c r="O63" s="104" t="s">
        <v>25</v>
      </c>
      <c r="P63" s="104"/>
      <c r="Q63" s="104"/>
      <c r="R63" s="104"/>
      <c r="S63" s="104"/>
      <c r="T63" s="104"/>
      <c r="U63" s="104"/>
      <c r="V63" s="62"/>
    </row>
    <row r="64" spans="2:33" ht="18" customHeight="1" x14ac:dyDescent="0.2">
      <c r="B64" s="73" t="s">
        <v>14</v>
      </c>
      <c r="C64" s="112">
        <f>(MIN(1,LOG10(C66+1)/LOG10(1000)*(0.5+0.9*LOG10(F66+1)/LOG10(10))))</f>
        <v>0.33405356229710709</v>
      </c>
      <c r="D64" s="113"/>
      <c r="E64" s="113"/>
      <c r="F64" s="113"/>
      <c r="G64" s="113"/>
      <c r="H64" s="114"/>
      <c r="I64" s="112">
        <f>(MIN(1, MAX(0, (I66)*L66/100/10)))</f>
        <v>5.0000000000000001E-3</v>
      </c>
      <c r="J64" s="113"/>
      <c r="K64" s="113"/>
      <c r="L64" s="113"/>
      <c r="M64" s="113"/>
      <c r="N64" s="114"/>
      <c r="O64" s="112">
        <f>MAX(O66*Q66+O66*S66 + O66*0.5)</f>
        <v>0</v>
      </c>
      <c r="P64" s="113"/>
      <c r="Q64" s="113"/>
      <c r="R64" s="113"/>
      <c r="S64" s="113"/>
      <c r="T64" s="113"/>
      <c r="U64" s="114"/>
      <c r="V64" s="62"/>
    </row>
    <row r="65" spans="2:22" ht="18" customHeight="1" x14ac:dyDescent="0.2">
      <c r="B65" s="67"/>
      <c r="C65" s="104" t="s">
        <v>74</v>
      </c>
      <c r="D65" s="104"/>
      <c r="E65" s="104"/>
      <c r="F65" s="104" t="s">
        <v>64</v>
      </c>
      <c r="G65" s="104"/>
      <c r="H65" s="104"/>
      <c r="I65" s="104" t="s">
        <v>124</v>
      </c>
      <c r="J65" s="104"/>
      <c r="K65" s="104"/>
      <c r="L65" s="104" t="s">
        <v>73</v>
      </c>
      <c r="M65" s="104"/>
      <c r="N65" s="104"/>
      <c r="O65" s="104" t="s">
        <v>66</v>
      </c>
      <c r="P65" s="104"/>
      <c r="Q65" s="104" t="s">
        <v>67</v>
      </c>
      <c r="R65" s="104"/>
      <c r="S65" s="104" t="s">
        <v>68</v>
      </c>
      <c r="T65" s="104"/>
      <c r="U65" s="104"/>
      <c r="V65" s="62"/>
    </row>
    <row r="66" spans="2:22" ht="18" customHeight="1" x14ac:dyDescent="0.2">
      <c r="B66" s="57" t="s">
        <v>60</v>
      </c>
      <c r="C66" s="109">
        <v>100</v>
      </c>
      <c r="D66" s="109"/>
      <c r="E66" s="109"/>
      <c r="F66" s="109">
        <v>0</v>
      </c>
      <c r="G66" s="109"/>
      <c r="H66" s="109"/>
      <c r="I66" s="109">
        <v>1</v>
      </c>
      <c r="J66" s="109"/>
      <c r="K66" s="109"/>
      <c r="L66" s="109">
        <v>5</v>
      </c>
      <c r="M66" s="109"/>
      <c r="N66" s="109"/>
      <c r="O66" s="109">
        <v>0</v>
      </c>
      <c r="P66" s="109"/>
      <c r="Q66" s="109">
        <v>0</v>
      </c>
      <c r="R66" s="109"/>
      <c r="S66" s="109">
        <v>0</v>
      </c>
      <c r="T66" s="109"/>
      <c r="U66" s="109"/>
      <c r="V66" s="62"/>
    </row>
    <row r="67" spans="2:22" ht="77" customHeight="1" x14ac:dyDescent="0.2">
      <c r="B67" s="58" t="s">
        <v>35</v>
      </c>
      <c r="C67" s="105" t="s">
        <v>76</v>
      </c>
      <c r="D67" s="105"/>
      <c r="E67" s="105"/>
      <c r="F67" s="105" t="s">
        <v>77</v>
      </c>
      <c r="G67" s="105"/>
      <c r="H67" s="105"/>
      <c r="I67" s="105" t="s">
        <v>81</v>
      </c>
      <c r="J67" s="105"/>
      <c r="K67" s="105"/>
      <c r="L67" s="105"/>
      <c r="M67" s="105"/>
      <c r="N67" s="105"/>
      <c r="O67" s="106" t="s">
        <v>87</v>
      </c>
      <c r="P67" s="106"/>
      <c r="Q67" s="106" t="s">
        <v>69</v>
      </c>
      <c r="R67" s="106"/>
      <c r="S67" s="52" t="s">
        <v>72</v>
      </c>
      <c r="T67" s="53" t="s">
        <v>88</v>
      </c>
      <c r="U67" s="54" t="s">
        <v>71</v>
      </c>
      <c r="V67" s="62"/>
    </row>
    <row r="68" spans="2:22" ht="18" customHeight="1" x14ac:dyDescent="0.2">
      <c r="B68" s="97" t="s">
        <v>80</v>
      </c>
      <c r="C68" s="98"/>
      <c r="D68" s="98"/>
      <c r="E68" s="98"/>
      <c r="F68" s="98"/>
      <c r="G68" s="98"/>
      <c r="H68" s="98"/>
      <c r="I68" s="98"/>
      <c r="J68" s="98"/>
      <c r="K68" s="98"/>
      <c r="L68" s="98"/>
      <c r="V68" s="62"/>
    </row>
    <row r="69" spans="2:22" ht="18" customHeight="1" x14ac:dyDescent="0.2">
      <c r="B69" s="99" t="s">
        <v>89</v>
      </c>
      <c r="C69" s="100"/>
      <c r="D69" s="100"/>
      <c r="E69" s="100"/>
      <c r="F69" s="100"/>
      <c r="G69" s="100"/>
      <c r="H69" s="100"/>
      <c r="I69" s="100"/>
      <c r="J69" s="100"/>
      <c r="K69" s="100"/>
      <c r="L69" s="100"/>
      <c r="M69" s="68"/>
      <c r="N69" s="13"/>
      <c r="O69" s="13"/>
      <c r="P69" s="13"/>
      <c r="Q69" s="13"/>
      <c r="R69" s="13"/>
      <c r="S69" s="63"/>
      <c r="T69" s="63"/>
      <c r="U69" s="63"/>
      <c r="V69" s="64"/>
    </row>
    <row r="70" spans="2:22" ht="18" customHeight="1" x14ac:dyDescent="0.2">
      <c r="B70" s="55"/>
      <c r="C70" s="55"/>
      <c r="D70" s="55"/>
      <c r="E70" s="55"/>
      <c r="F70" s="55"/>
      <c r="G70" s="55"/>
      <c r="H70" s="55"/>
      <c r="I70" s="55"/>
      <c r="J70" s="55"/>
      <c r="K70" s="55"/>
      <c r="L70" s="55"/>
    </row>
    <row r="71" spans="2:22" ht="18" customHeight="1" x14ac:dyDescent="0.2">
      <c r="B71" s="55"/>
      <c r="C71" s="55"/>
      <c r="D71" s="55"/>
      <c r="E71" s="55"/>
      <c r="F71" s="55"/>
      <c r="G71" s="55"/>
      <c r="H71" s="55"/>
      <c r="I71" s="55"/>
      <c r="J71" s="55"/>
      <c r="K71" s="55"/>
      <c r="L71" s="55"/>
    </row>
    <row r="72" spans="2:22" ht="18" customHeight="1" x14ac:dyDescent="0.2">
      <c r="B72" s="101" t="s">
        <v>78</v>
      </c>
      <c r="C72" s="102"/>
      <c r="D72" s="102"/>
      <c r="E72" s="102"/>
      <c r="F72" s="102"/>
      <c r="G72" s="102"/>
      <c r="H72" s="102"/>
      <c r="I72" s="102"/>
      <c r="J72" s="102"/>
      <c r="K72" s="102"/>
      <c r="L72" s="102"/>
      <c r="M72" s="102"/>
      <c r="N72" s="102"/>
      <c r="O72" s="102"/>
      <c r="P72" s="102"/>
      <c r="Q72" s="102"/>
      <c r="R72" s="102"/>
      <c r="S72" s="102"/>
      <c r="T72" s="103"/>
    </row>
    <row r="73" spans="2:22" ht="17" customHeight="1" x14ac:dyDescent="0.2">
      <c r="B73" s="51"/>
      <c r="C73" s="104" t="s">
        <v>6</v>
      </c>
      <c r="D73" s="104"/>
      <c r="E73" s="104"/>
      <c r="F73" s="104" t="s">
        <v>5</v>
      </c>
      <c r="G73" s="104"/>
      <c r="H73" s="104"/>
      <c r="I73" s="104"/>
      <c r="J73" s="104"/>
      <c r="K73" s="104" t="s">
        <v>17</v>
      </c>
      <c r="L73" s="104"/>
      <c r="M73" s="104"/>
      <c r="N73" s="104"/>
      <c r="O73" s="104" t="s">
        <v>33</v>
      </c>
      <c r="P73" s="104"/>
      <c r="Q73" s="104"/>
      <c r="R73" s="104"/>
      <c r="S73" s="104"/>
      <c r="T73" s="56" t="s">
        <v>75</v>
      </c>
    </row>
    <row r="74" spans="2:22" ht="16" x14ac:dyDescent="0.2">
      <c r="B74" s="73" t="s">
        <v>14</v>
      </c>
      <c r="C74" s="94">
        <v>6</v>
      </c>
      <c r="D74" s="94"/>
      <c r="E74" s="94"/>
      <c r="F74" s="94">
        <v>3</v>
      </c>
      <c r="G74" s="94"/>
      <c r="H74" s="94"/>
      <c r="I74" s="94"/>
      <c r="J74" s="94"/>
      <c r="K74" s="94">
        <v>3</v>
      </c>
      <c r="L74" s="94"/>
      <c r="M74" s="94"/>
      <c r="N74" s="94"/>
      <c r="O74" s="94">
        <v>3</v>
      </c>
      <c r="P74" s="94"/>
      <c r="Q74" s="94"/>
      <c r="R74" s="94"/>
      <c r="S74" s="94"/>
      <c r="T74" s="75">
        <f>SUM(C74:R74)/(6+3+3+3)</f>
        <v>1</v>
      </c>
    </row>
    <row r="75" spans="2:22" ht="101" customHeight="1" x14ac:dyDescent="0.2">
      <c r="B75" s="58" t="s">
        <v>35</v>
      </c>
      <c r="C75" s="22" t="s">
        <v>0</v>
      </c>
      <c r="D75" s="23" t="s">
        <v>4</v>
      </c>
      <c r="E75" s="24" t="s">
        <v>1</v>
      </c>
      <c r="F75" s="95" t="s">
        <v>107</v>
      </c>
      <c r="G75" s="95"/>
      <c r="H75" s="96" t="s">
        <v>108</v>
      </c>
      <c r="I75" s="96"/>
      <c r="J75" s="24" t="s">
        <v>2</v>
      </c>
      <c r="K75" s="22" t="s">
        <v>110</v>
      </c>
      <c r="L75" s="96" t="s">
        <v>111</v>
      </c>
      <c r="M75" s="96"/>
      <c r="N75" s="24" t="s">
        <v>109</v>
      </c>
      <c r="O75" s="95" t="s">
        <v>112</v>
      </c>
      <c r="P75" s="95"/>
      <c r="Q75" s="96" t="s">
        <v>113</v>
      </c>
      <c r="R75" s="96"/>
      <c r="S75" s="24" t="s">
        <v>18</v>
      </c>
      <c r="T75" s="59"/>
    </row>
    <row r="76" spans="2:22" ht="16" x14ac:dyDescent="0.2">
      <c r="B76" s="60"/>
      <c r="C76" s="25">
        <v>6</v>
      </c>
      <c r="D76" s="25">
        <v>3</v>
      </c>
      <c r="E76" s="25">
        <v>0</v>
      </c>
      <c r="F76" s="25">
        <v>3</v>
      </c>
      <c r="G76" s="25">
        <v>2</v>
      </c>
      <c r="J76" s="25">
        <v>0</v>
      </c>
      <c r="K76" s="25">
        <v>3</v>
      </c>
      <c r="L76" s="81">
        <v>1</v>
      </c>
      <c r="M76" s="81"/>
      <c r="N76" s="25">
        <v>0</v>
      </c>
      <c r="O76" s="81">
        <v>3</v>
      </c>
      <c r="P76" s="81"/>
      <c r="Q76" s="81">
        <v>1</v>
      </c>
      <c r="R76" s="81"/>
      <c r="S76" s="25">
        <v>0</v>
      </c>
      <c r="T76" s="61"/>
    </row>
    <row r="77" spans="2:22" ht="16" customHeight="1" x14ac:dyDescent="0.2">
      <c r="B77" s="82" t="s">
        <v>3</v>
      </c>
      <c r="C77" s="83"/>
      <c r="D77" s="83"/>
      <c r="E77" s="83"/>
      <c r="F77" s="83"/>
      <c r="G77" s="83"/>
      <c r="H77" s="83"/>
      <c r="I77" s="83"/>
      <c r="J77" s="83"/>
      <c r="K77" s="83"/>
      <c r="L77" s="83"/>
      <c r="M77" s="83"/>
      <c r="N77" s="83"/>
      <c r="O77" s="83"/>
      <c r="P77" s="83"/>
      <c r="Q77" s="83"/>
      <c r="R77" s="83"/>
      <c r="S77" s="83"/>
      <c r="T77" s="84"/>
      <c r="U77" s="1"/>
      <c r="V77" s="1"/>
    </row>
    <row r="78" spans="2:22" ht="16" customHeight="1" x14ac:dyDescent="0.2">
      <c r="B78" s="82" t="s">
        <v>79</v>
      </c>
      <c r="C78" s="83"/>
      <c r="D78" s="83"/>
      <c r="E78" s="83"/>
      <c r="F78" s="83"/>
      <c r="G78" s="83"/>
      <c r="H78" s="83"/>
      <c r="I78" s="83"/>
      <c r="J78" s="83"/>
      <c r="K78" s="83"/>
      <c r="L78" s="83"/>
      <c r="M78" s="83"/>
      <c r="N78" s="83"/>
      <c r="O78" s="83"/>
      <c r="P78" s="83"/>
      <c r="Q78" s="83"/>
      <c r="R78" s="83"/>
      <c r="S78" s="83"/>
      <c r="T78" s="84"/>
    </row>
    <row r="79" spans="2:22" ht="16" x14ac:dyDescent="0.2">
      <c r="B79" s="85"/>
      <c r="C79" s="86"/>
      <c r="D79" s="86"/>
      <c r="E79" s="86"/>
      <c r="F79" s="86"/>
      <c r="G79" s="86"/>
      <c r="H79" s="86"/>
      <c r="I79" s="86"/>
      <c r="J79" s="86"/>
      <c r="K79" s="86"/>
      <c r="L79" s="86"/>
      <c r="M79" s="86"/>
      <c r="N79" s="86"/>
      <c r="O79" s="86"/>
      <c r="P79" s="86"/>
      <c r="Q79" s="86"/>
      <c r="R79" s="86"/>
      <c r="S79" s="86"/>
      <c r="T79" s="87"/>
    </row>
    <row r="83" spans="2:7" ht="18" customHeight="1" x14ac:dyDescent="0.2">
      <c r="B83" s="5"/>
      <c r="C83" s="5"/>
      <c r="D83" s="5"/>
      <c r="E83" s="5"/>
      <c r="F83" s="5"/>
      <c r="G83" s="5"/>
    </row>
    <row r="84" spans="2:7" ht="18" customHeight="1" x14ac:dyDescent="0.2">
      <c r="B84" s="5"/>
      <c r="C84" s="5"/>
      <c r="D84" s="5"/>
      <c r="E84" s="5"/>
      <c r="F84" s="5"/>
      <c r="G84" s="5"/>
    </row>
    <row r="85" spans="2:7" ht="18" customHeight="1" x14ac:dyDescent="0.2">
      <c r="B85" s="5"/>
      <c r="C85" s="5"/>
      <c r="D85" s="5"/>
      <c r="E85" s="5"/>
      <c r="F85" s="5"/>
      <c r="G85" s="5"/>
    </row>
  </sheetData>
  <sheetProtection selectLockedCells="1"/>
  <mergeCells count="176">
    <mergeCell ref="B1:H1"/>
    <mergeCell ref="C2:H2"/>
    <mergeCell ref="I2:L2"/>
    <mergeCell ref="B3:D3"/>
    <mergeCell ref="E3:H3"/>
    <mergeCell ref="B4:D4"/>
    <mergeCell ref="F73:J73"/>
    <mergeCell ref="K73:N73"/>
    <mergeCell ref="O73:S73"/>
    <mergeCell ref="B40:B41"/>
    <mergeCell ref="C40:E41"/>
    <mergeCell ref="F40:H41"/>
    <mergeCell ref="I40:K41"/>
    <mergeCell ref="L40:N41"/>
    <mergeCell ref="O40:R41"/>
    <mergeCell ref="S40:V41"/>
    <mergeCell ref="B51:B52"/>
    <mergeCell ref="C51:E52"/>
    <mergeCell ref="F51:H52"/>
    <mergeCell ref="I51:K52"/>
    <mergeCell ref="L51:N52"/>
    <mergeCell ref="O51:Q52"/>
    <mergeCell ref="B11:F11"/>
    <mergeCell ref="B12:F12"/>
    <mergeCell ref="B13:F13"/>
    <mergeCell ref="B14:F14"/>
    <mergeCell ref="B15:F15"/>
    <mergeCell ref="B16:F16"/>
    <mergeCell ref="B5:D5"/>
    <mergeCell ref="B6:F6"/>
    <mergeCell ref="B7:F7"/>
    <mergeCell ref="B8:F8"/>
    <mergeCell ref="B9:F9"/>
    <mergeCell ref="B10:F10"/>
    <mergeCell ref="B23:F23"/>
    <mergeCell ref="B24:F24"/>
    <mergeCell ref="B25:F25"/>
    <mergeCell ref="B26:F26"/>
    <mergeCell ref="B27:F27"/>
    <mergeCell ref="B28:F28"/>
    <mergeCell ref="B17:F17"/>
    <mergeCell ref="B18:F18"/>
    <mergeCell ref="B19:F19"/>
    <mergeCell ref="B20:F20"/>
    <mergeCell ref="B21:F21"/>
    <mergeCell ref="B22:F22"/>
    <mergeCell ref="C36:E36"/>
    <mergeCell ref="F36:H36"/>
    <mergeCell ref="I36:K36"/>
    <mergeCell ref="L36:N36"/>
    <mergeCell ref="O36:R36"/>
    <mergeCell ref="S36:V36"/>
    <mergeCell ref="B29:F29"/>
    <mergeCell ref="B30:F30"/>
    <mergeCell ref="B31:C31"/>
    <mergeCell ref="B34:W34"/>
    <mergeCell ref="C35:E35"/>
    <mergeCell ref="F35:H35"/>
    <mergeCell ref="I35:K35"/>
    <mergeCell ref="L35:N35"/>
    <mergeCell ref="O35:R35"/>
    <mergeCell ref="S35:V35"/>
    <mergeCell ref="C37:E37"/>
    <mergeCell ref="I37:K37"/>
    <mergeCell ref="L37:N37"/>
    <mergeCell ref="O37:R37"/>
    <mergeCell ref="S37:V37"/>
    <mergeCell ref="C38:E38"/>
    <mergeCell ref="F38:H38"/>
    <mergeCell ref="I38:K38"/>
    <mergeCell ref="L38:N38"/>
    <mergeCell ref="O38:R38"/>
    <mergeCell ref="AB45:AD45"/>
    <mergeCell ref="AF45:AH45"/>
    <mergeCell ref="C46:E46"/>
    <mergeCell ref="F46:H46"/>
    <mergeCell ref="I46:K46"/>
    <mergeCell ref="L46:Q46"/>
    <mergeCell ref="AB46:AD46"/>
    <mergeCell ref="AF46:AH46"/>
    <mergeCell ref="S38:V38"/>
    <mergeCell ref="C39:E39"/>
    <mergeCell ref="F39:H39"/>
    <mergeCell ref="B44:Q44"/>
    <mergeCell ref="R44:R45"/>
    <mergeCell ref="C45:E45"/>
    <mergeCell ref="F45:H45"/>
    <mergeCell ref="I45:K45"/>
    <mergeCell ref="L45:Q45"/>
    <mergeCell ref="C50:E50"/>
    <mergeCell ref="B55:U55"/>
    <mergeCell ref="B56:U56"/>
    <mergeCell ref="C57:H57"/>
    <mergeCell ref="I57:N57"/>
    <mergeCell ref="O57:U57"/>
    <mergeCell ref="AF47:AH47"/>
    <mergeCell ref="L48:Q48"/>
    <mergeCell ref="C49:E49"/>
    <mergeCell ref="F49:H49"/>
    <mergeCell ref="I49:K49"/>
    <mergeCell ref="L49:N49"/>
    <mergeCell ref="O49:Q49"/>
    <mergeCell ref="C47:E47"/>
    <mergeCell ref="F47:H47"/>
    <mergeCell ref="I47:K47"/>
    <mergeCell ref="L47:N47"/>
    <mergeCell ref="O47:Q47"/>
    <mergeCell ref="AB47:AD47"/>
    <mergeCell ref="C58:H58"/>
    <mergeCell ref="I58:N58"/>
    <mergeCell ref="O58:U58"/>
    <mergeCell ref="C59:E59"/>
    <mergeCell ref="F59:H59"/>
    <mergeCell ref="I59:K59"/>
    <mergeCell ref="L59:N59"/>
    <mergeCell ref="O59:P59"/>
    <mergeCell ref="Q59:R59"/>
    <mergeCell ref="S59:U59"/>
    <mergeCell ref="B62:U62"/>
    <mergeCell ref="C63:H63"/>
    <mergeCell ref="I63:N63"/>
    <mergeCell ref="O63:U63"/>
    <mergeCell ref="C64:H64"/>
    <mergeCell ref="I64:N64"/>
    <mergeCell ref="O64:U64"/>
    <mergeCell ref="S60:U60"/>
    <mergeCell ref="C61:E61"/>
    <mergeCell ref="F61:H61"/>
    <mergeCell ref="I61:K61"/>
    <mergeCell ref="L61:N61"/>
    <mergeCell ref="O61:P61"/>
    <mergeCell ref="Q61:R61"/>
    <mergeCell ref="C60:E60"/>
    <mergeCell ref="F60:H60"/>
    <mergeCell ref="I60:K60"/>
    <mergeCell ref="L60:N60"/>
    <mergeCell ref="O60:P60"/>
    <mergeCell ref="Q60:R60"/>
    <mergeCell ref="S65:U65"/>
    <mergeCell ref="C66:E66"/>
    <mergeCell ref="F66:H66"/>
    <mergeCell ref="I66:K66"/>
    <mergeCell ref="L66:N66"/>
    <mergeCell ref="O66:P66"/>
    <mergeCell ref="Q66:R66"/>
    <mergeCell ref="S66:U66"/>
    <mergeCell ref="C65:E65"/>
    <mergeCell ref="F65:H65"/>
    <mergeCell ref="I65:K65"/>
    <mergeCell ref="L65:N65"/>
    <mergeCell ref="O65:P65"/>
    <mergeCell ref="Q65:R65"/>
    <mergeCell ref="B68:L68"/>
    <mergeCell ref="B69:L69"/>
    <mergeCell ref="B72:T72"/>
    <mergeCell ref="C73:E73"/>
    <mergeCell ref="C67:E67"/>
    <mergeCell ref="F67:H67"/>
    <mergeCell ref="I67:K67"/>
    <mergeCell ref="L67:N67"/>
    <mergeCell ref="O67:P67"/>
    <mergeCell ref="Q67:R67"/>
    <mergeCell ref="L76:M76"/>
    <mergeCell ref="O76:P76"/>
    <mergeCell ref="Q76:R76"/>
    <mergeCell ref="B77:T77"/>
    <mergeCell ref="B78:T79"/>
    <mergeCell ref="C74:E74"/>
    <mergeCell ref="F74:J74"/>
    <mergeCell ref="K74:N74"/>
    <mergeCell ref="O74:S74"/>
    <mergeCell ref="F75:G75"/>
    <mergeCell ref="H75:I75"/>
    <mergeCell ref="L75:M75"/>
    <mergeCell ref="O75:P75"/>
    <mergeCell ref="Q75:R75"/>
  </mergeCells>
  <conditionalFormatting sqref="C36 F36 I36 L36 O36 S36 W36">
    <cfRule type="colorScale" priority="14">
      <colorScale>
        <cfvo type="num" val="0.3"/>
        <cfvo type="num" val="0.5"/>
        <cfvo type="num" val="1"/>
        <color theme="9" tint="-0.249977111117893"/>
        <color rgb="FFFFC000"/>
        <color rgb="FFFF0000"/>
      </colorScale>
    </cfRule>
    <cfRule type="colorScale" priority="15">
      <colorScale>
        <cfvo type="min"/>
        <cfvo type="percentile" val="50"/>
        <cfvo type="max"/>
        <color rgb="FFF8696B"/>
        <color rgb="FFFFEB84"/>
        <color rgb="FF63BE7B"/>
      </colorScale>
    </cfRule>
    <cfRule type="colorScale" priority="16">
      <colorScale>
        <cfvo type="num" val="0"/>
        <cfvo type="num" val="1"/>
        <color theme="9"/>
        <color rgb="FFFF0000"/>
      </colorScale>
    </cfRule>
  </conditionalFormatting>
  <conditionalFormatting sqref="C58">
    <cfRule type="colorScale" priority="1">
      <colorScale>
        <cfvo type="num" val="0.3"/>
        <cfvo type="num" val="0.5"/>
        <cfvo type="num" val="1"/>
        <color theme="9" tint="-0.249977111117893"/>
        <color rgb="FFFFC000"/>
        <color rgb="FFFF0000"/>
      </colorScale>
    </cfRule>
    <cfRule type="colorScale" priority="2">
      <colorScale>
        <cfvo type="min"/>
        <cfvo type="percentile" val="50"/>
        <cfvo type="max"/>
        <color rgb="FFF8696B"/>
        <color rgb="FFFFEB84"/>
        <color rgb="FF63BE7B"/>
      </colorScale>
    </cfRule>
    <cfRule type="colorScale" priority="3">
      <colorScale>
        <cfvo type="num" val="0"/>
        <cfvo type="num" val="1"/>
        <color theme="9"/>
        <color rgb="FFFF0000"/>
      </colorScale>
    </cfRule>
  </conditionalFormatting>
  <conditionalFormatting sqref="C46 F46 I46 L46 R46">
    <cfRule type="colorScale" priority="33">
      <colorScale>
        <cfvo type="num" val="0.3"/>
        <cfvo type="num" val="0.5"/>
        <cfvo type="num" val="1"/>
        <color theme="9" tint="-0.249977111117893"/>
        <color rgb="FFFFC000"/>
        <color rgb="FFFF0000"/>
      </colorScale>
    </cfRule>
    <cfRule type="colorScale" priority="34">
      <colorScale>
        <cfvo type="min"/>
        <cfvo type="percentile" val="50"/>
        <cfvo type="max"/>
        <color rgb="FFF8696B"/>
        <color rgb="FFFFEB84"/>
        <color rgb="FF63BE7B"/>
      </colorScale>
    </cfRule>
    <cfRule type="colorScale" priority="35">
      <colorScale>
        <cfvo type="num" val="0"/>
        <cfvo type="num" val="1"/>
        <color theme="9"/>
        <color rgb="FFFF0000"/>
      </colorScale>
    </cfRule>
  </conditionalFormatting>
  <conditionalFormatting sqref="G7">
    <cfRule type="colorScale" priority="30">
      <colorScale>
        <cfvo type="num" val="0.3"/>
        <cfvo type="num" val="0.5"/>
        <cfvo type="num" val="1"/>
        <color theme="9" tint="-0.249977111117893"/>
        <color rgb="FFFFC000"/>
        <color rgb="FFFF0000"/>
      </colorScale>
    </cfRule>
    <cfRule type="colorScale" priority="31">
      <colorScale>
        <cfvo type="min"/>
        <cfvo type="percentile" val="50"/>
        <cfvo type="max"/>
        <color rgb="FFF8696B"/>
        <color rgb="FFFFEB84"/>
        <color rgb="FF63BE7B"/>
      </colorScale>
    </cfRule>
    <cfRule type="colorScale" priority="32">
      <colorScale>
        <cfvo type="num" val="0"/>
        <cfvo type="num" val="1"/>
        <color theme="9"/>
        <color rgb="FFFF0000"/>
      </colorScale>
    </cfRule>
  </conditionalFormatting>
  <conditionalFormatting sqref="G15">
    <cfRule type="colorScale" priority="27">
      <colorScale>
        <cfvo type="num" val="0.3"/>
        <cfvo type="num" val="0.5"/>
        <cfvo type="num" val="1"/>
        <color theme="9" tint="-0.249977111117893"/>
        <color rgb="FFFFC000"/>
        <color rgb="FFFF0000"/>
      </colorScale>
    </cfRule>
    <cfRule type="colorScale" priority="28">
      <colorScale>
        <cfvo type="min"/>
        <cfvo type="percentile" val="50"/>
        <cfvo type="max"/>
        <color rgb="FFF8696B"/>
        <color rgb="FFFFEB84"/>
        <color rgb="FF63BE7B"/>
      </colorScale>
    </cfRule>
    <cfRule type="colorScale" priority="29">
      <colorScale>
        <cfvo type="num" val="0"/>
        <cfvo type="num" val="1"/>
        <color theme="9"/>
        <color rgb="FFFF0000"/>
      </colorScale>
    </cfRule>
  </conditionalFormatting>
  <conditionalFormatting sqref="G21">
    <cfRule type="colorScale" priority="24">
      <colorScale>
        <cfvo type="num" val="0.3"/>
        <cfvo type="num" val="0.5"/>
        <cfvo type="num" val="1"/>
        <color theme="9" tint="-0.249977111117893"/>
        <color rgb="FFFFC000"/>
        <color rgb="FFFF0000"/>
      </colorScale>
    </cfRule>
    <cfRule type="colorScale" priority="25">
      <colorScale>
        <cfvo type="min"/>
        <cfvo type="percentile" val="50"/>
        <cfvo type="max"/>
        <color rgb="FFF8696B"/>
        <color rgb="FFFFEB84"/>
        <color rgb="FF63BE7B"/>
      </colorScale>
    </cfRule>
    <cfRule type="colorScale" priority="26">
      <colorScale>
        <cfvo type="num" val="0"/>
        <cfvo type="num" val="1"/>
        <color theme="9"/>
        <color rgb="FFFF0000"/>
      </colorScale>
    </cfRule>
  </conditionalFormatting>
  <conditionalFormatting sqref="G26">
    <cfRule type="colorScale" priority="20">
      <colorScale>
        <cfvo type="num" val="0"/>
        <cfvo type="percentile" val="0.5"/>
        <cfvo type="num" val="1"/>
        <color rgb="FFFF0000"/>
        <color rgb="FFFFEB84"/>
        <color theme="9"/>
      </colorScale>
    </cfRule>
    <cfRule type="colorScale" priority="21">
      <colorScale>
        <cfvo type="num" val="0.3"/>
        <cfvo type="num" val="0.5"/>
        <cfvo type="num" val="1"/>
        <color rgb="FF63BE7B"/>
        <color rgb="FFFFEB84"/>
        <color rgb="FFF8696B"/>
      </colorScale>
    </cfRule>
    <cfRule type="colorScale" priority="22">
      <colorScale>
        <cfvo type="num" val="0"/>
        <cfvo type="percentile" val="0.5"/>
        <cfvo type="num" val="1"/>
        <color rgb="FFF8696B"/>
        <color rgb="FFFFEB84"/>
        <color rgb="FF63BE7B"/>
      </colorScale>
    </cfRule>
    <cfRule type="colorScale" priority="23">
      <colorScale>
        <cfvo type="num" val="0"/>
        <cfvo type="num" val="1"/>
        <color theme="9"/>
        <color rgb="FFFF0000"/>
      </colorScale>
    </cfRule>
  </conditionalFormatting>
  <conditionalFormatting sqref="G31">
    <cfRule type="colorScale" priority="17">
      <colorScale>
        <cfvo type="num" val="0.3"/>
        <cfvo type="num" val="0.5"/>
        <cfvo type="num" val="1"/>
        <color theme="9" tint="-0.249977111117893"/>
        <color rgb="FFFFC000"/>
        <color rgb="FFFF0000"/>
      </colorScale>
    </cfRule>
    <cfRule type="colorScale" priority="18">
      <colorScale>
        <cfvo type="min"/>
        <cfvo type="percentile" val="50"/>
        <cfvo type="max"/>
        <color rgb="FFF8696B"/>
        <color rgb="FFFFEB84"/>
        <color rgb="FF63BE7B"/>
      </colorScale>
    </cfRule>
    <cfRule type="colorScale" priority="19">
      <colorScale>
        <cfvo type="num" val="0"/>
        <cfvo type="num" val="1"/>
        <color theme="9"/>
        <color rgb="FFFF0000"/>
      </colorScale>
    </cfRule>
  </conditionalFormatting>
  <conditionalFormatting sqref="I64 C64 O64">
    <cfRule type="colorScale" priority="8">
      <colorScale>
        <cfvo type="num" val="0.3"/>
        <cfvo type="num" val="0.5"/>
        <cfvo type="num" val="1"/>
        <color theme="9" tint="-0.249977111117893"/>
        <color rgb="FFFFC000"/>
        <color rgb="FFFF0000"/>
      </colorScale>
    </cfRule>
    <cfRule type="colorScale" priority="9">
      <colorScale>
        <cfvo type="min"/>
        <cfvo type="percentile" val="50"/>
        <cfvo type="max"/>
        <color rgb="FFF8696B"/>
        <color rgb="FFFFEB84"/>
        <color rgb="FF63BE7B"/>
      </colorScale>
    </cfRule>
    <cfRule type="colorScale" priority="10">
      <colorScale>
        <cfvo type="num" val="0"/>
        <cfvo type="num" val="1"/>
        <color theme="9"/>
        <color rgb="FFFF0000"/>
      </colorScale>
    </cfRule>
  </conditionalFormatting>
  <conditionalFormatting sqref="T74">
    <cfRule type="colorScale" priority="4">
      <colorScale>
        <cfvo type="num" val="0"/>
        <cfvo type="percentile" val="0.5"/>
        <cfvo type="num" val="1"/>
        <color rgb="FFFF0000"/>
        <color rgb="FFFFEB84"/>
        <color theme="9"/>
      </colorScale>
    </cfRule>
    <cfRule type="colorScale" priority="5">
      <colorScale>
        <cfvo type="num" val="0.3"/>
        <cfvo type="num" val="0.5"/>
        <cfvo type="num" val="1"/>
        <color rgb="FF63BE7B"/>
        <color rgb="FFFFEB84"/>
        <color rgb="FFF8696B"/>
      </colorScale>
    </cfRule>
    <cfRule type="colorScale" priority="6">
      <colorScale>
        <cfvo type="num" val="0"/>
        <cfvo type="percentile" val="0.5"/>
        <cfvo type="num" val="1"/>
        <color rgb="FFF8696B"/>
        <color rgb="FFFFEB84"/>
        <color rgb="FF63BE7B"/>
      </colorScale>
    </cfRule>
    <cfRule type="colorScale" priority="7">
      <colorScale>
        <cfvo type="num" val="0"/>
        <cfvo type="num" val="1"/>
        <color theme="9"/>
        <color rgb="FFFF0000"/>
      </colorScale>
    </cfRule>
  </conditionalFormatting>
  <conditionalFormatting sqref="V56 I58 O58">
    <cfRule type="colorScale" priority="11">
      <colorScale>
        <cfvo type="num" val="0.3"/>
        <cfvo type="num" val="0.5"/>
        <cfvo type="num" val="1"/>
        <color theme="9" tint="-0.249977111117893"/>
        <color rgb="FFFFC000"/>
        <color rgb="FFFF0000"/>
      </colorScale>
    </cfRule>
    <cfRule type="colorScale" priority="12">
      <colorScale>
        <cfvo type="min"/>
        <cfvo type="percentile" val="50"/>
        <cfvo type="max"/>
        <color rgb="FFF8696B"/>
        <color rgb="FFFFEB84"/>
        <color rgb="FF63BE7B"/>
      </colorScale>
    </cfRule>
    <cfRule type="colorScale" priority="13">
      <colorScale>
        <cfvo type="num" val="0"/>
        <cfvo type="num" val="1"/>
        <color theme="9"/>
        <color rgb="FFFF0000"/>
      </colorScale>
    </cfRule>
  </conditionalFormatting>
  <dataValidations count="4">
    <dataValidation type="list" allowBlank="1" showInputMessage="1" showErrorMessage="1" sqref="I47:I48" xr:uid="{BFD9A7BD-749D-0A45-9DAF-8D17F288AF1D}">
      <formula1>$I$50:$K$50</formula1>
    </dataValidation>
    <dataValidation type="list" allowBlank="1" showInputMessage="1" showErrorMessage="1" sqref="F47:H48" xr:uid="{9F538F4D-5DA3-304A-BAE6-9EB31DF09F29}">
      <formula1>$F$50:$H$50</formula1>
    </dataValidation>
    <dataValidation type="list" allowBlank="1" showInputMessage="1" showErrorMessage="1" sqref="O37" xr:uid="{0E527F76-A333-9F43-B43F-B8652244999E}">
      <formula1>$O$39:$R$39</formula1>
    </dataValidation>
    <dataValidation type="list" allowBlank="1" showInputMessage="1" showErrorMessage="1" sqref="S37:V37" xr:uid="{F691279D-C366-7E45-85C1-F3BADE9F6C1F}">
      <formula1>$S$39:$V$39</formula1>
    </dataValidation>
  </dataValidations>
  <pageMargins left="0.7" right="0.7" top="0.75" bottom="0.75" header="0.3" footer="0.3"/>
  <pageSetup paperSize="9" orientation="portrait" horizontalDpi="0" verticalDpi="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984FB-4F3C-CC41-B8B3-BC5C293E9AAC}">
  <sheetPr>
    <tabColor theme="1"/>
  </sheetPr>
  <dimension ref="B1:AL85"/>
  <sheetViews>
    <sheetView topLeftCell="A13" zoomScaleNormal="100" workbookViewId="0">
      <selection activeCell="C65" sqref="C65:E65"/>
    </sheetView>
  </sheetViews>
  <sheetFormatPr baseColWidth="10" defaultRowHeight="18" customHeight="1" x14ac:dyDescent="0.2"/>
  <cols>
    <col min="1" max="1" width="3.5" style="5" customWidth="1"/>
    <col min="2" max="2" width="10.83203125" style="7" customWidth="1"/>
    <col min="3" max="3" width="10.83203125" style="1" customWidth="1"/>
    <col min="4" max="4" width="10.83203125" style="3" customWidth="1"/>
    <col min="5" max="5" width="10.83203125" style="4" customWidth="1"/>
    <col min="6" max="6" width="10.83203125" style="2" customWidth="1"/>
    <col min="7" max="11" width="10.83203125" style="1" customWidth="1"/>
    <col min="12" max="12" width="10.83203125" style="12" customWidth="1"/>
    <col min="13" max="13" width="10.83203125" style="9" customWidth="1"/>
    <col min="14" max="18" width="10.83203125" style="1" customWidth="1"/>
    <col min="19" max="22" width="10.83203125" style="5" customWidth="1"/>
    <col min="23" max="23" width="12.5" style="5" bestFit="1" customWidth="1"/>
    <col min="24" max="24" width="11.6640625" style="5" bestFit="1" customWidth="1"/>
    <col min="25" max="25" width="10.83203125" style="5"/>
    <col min="26" max="32" width="10.83203125" style="5" customWidth="1"/>
    <col min="33" max="16384" width="10.83203125" style="5"/>
  </cols>
  <sheetData>
    <row r="1" spans="2:38" ht="37" customHeight="1" x14ac:dyDescent="0.2">
      <c r="B1" s="143" t="s">
        <v>54</v>
      </c>
      <c r="C1" s="144"/>
      <c r="D1" s="144"/>
      <c r="E1" s="144"/>
      <c r="F1" s="144"/>
      <c r="G1" s="144"/>
      <c r="H1" s="145"/>
      <c r="I1" s="44"/>
      <c r="J1" s="26"/>
      <c r="K1" s="26"/>
      <c r="L1" s="26"/>
      <c r="M1" s="26"/>
    </row>
    <row r="2" spans="2:38" ht="23" customHeight="1" x14ac:dyDescent="0.2">
      <c r="B2" s="28" t="s">
        <v>47</v>
      </c>
      <c r="C2" s="146" t="s">
        <v>117</v>
      </c>
      <c r="D2" s="147"/>
      <c r="E2" s="147"/>
      <c r="F2" s="147"/>
      <c r="G2" s="147"/>
      <c r="H2" s="148"/>
      <c r="I2" s="149" t="s">
        <v>51</v>
      </c>
      <c r="J2" s="150"/>
      <c r="K2" s="150"/>
      <c r="L2" s="150"/>
    </row>
    <row r="3" spans="2:38" ht="21" customHeight="1" x14ac:dyDescent="0.2">
      <c r="B3" s="151" t="s">
        <v>56</v>
      </c>
      <c r="C3" s="152"/>
      <c r="D3" s="153"/>
      <c r="E3" s="154" t="s">
        <v>49</v>
      </c>
      <c r="F3" s="154"/>
      <c r="G3" s="154"/>
      <c r="H3" s="154"/>
      <c r="I3" s="26"/>
      <c r="J3" s="26"/>
      <c r="K3" s="26"/>
      <c r="L3" s="26"/>
    </row>
    <row r="4" spans="2:38" ht="21" customHeight="1" x14ac:dyDescent="0.2">
      <c r="B4" s="151" t="s">
        <v>50</v>
      </c>
      <c r="C4" s="152"/>
      <c r="D4" s="153"/>
      <c r="E4" s="40" t="s">
        <v>114</v>
      </c>
      <c r="F4" s="40"/>
      <c r="G4" s="40"/>
      <c r="H4" s="41"/>
      <c r="I4" s="26"/>
      <c r="J4" s="26"/>
      <c r="K4" s="26"/>
      <c r="L4" s="26"/>
    </row>
    <row r="5" spans="2:38" ht="21" customHeight="1" x14ac:dyDescent="0.2">
      <c r="B5" s="158"/>
      <c r="C5" s="159"/>
      <c r="D5" s="159"/>
      <c r="E5" s="42"/>
      <c r="F5" s="42"/>
      <c r="G5" s="42"/>
      <c r="H5" s="43"/>
      <c r="I5" s="26"/>
      <c r="J5" s="26"/>
      <c r="K5" s="26"/>
      <c r="L5" s="26"/>
    </row>
    <row r="6" spans="2:38" ht="21" x14ac:dyDescent="0.2">
      <c r="B6" s="160" t="s">
        <v>40</v>
      </c>
      <c r="C6" s="160"/>
      <c r="D6" s="160"/>
      <c r="E6" s="160"/>
      <c r="F6" s="160"/>
      <c r="G6" s="38" t="s">
        <v>23</v>
      </c>
      <c r="H6" s="39" t="s">
        <v>19</v>
      </c>
      <c r="I6" s="5"/>
      <c r="J6" s="5"/>
      <c r="K6" s="12"/>
      <c r="P6" s="76"/>
    </row>
    <row r="7" spans="2:38" ht="18" customHeight="1" x14ac:dyDescent="0.2">
      <c r="B7" s="140" t="str">
        <f>B34</f>
        <v>Geological factors (G)</v>
      </c>
      <c r="C7" s="140"/>
      <c r="D7" s="140"/>
      <c r="E7" s="140"/>
      <c r="F7" s="140"/>
      <c r="G7" s="27">
        <f>StGallen!W36</f>
        <v>0.89583333333333337</v>
      </c>
      <c r="H7" s="11"/>
      <c r="I7" s="5"/>
      <c r="P7" s="77"/>
    </row>
    <row r="8" spans="2:38" ht="18" customHeight="1" x14ac:dyDescent="0.2">
      <c r="B8" s="137" t="str">
        <f>StGallen!C35</f>
        <v>Smallest distance to geologically known active or potentially-active faults [km]</v>
      </c>
      <c r="C8" s="137"/>
      <c r="D8" s="137"/>
      <c r="E8" s="137"/>
      <c r="F8" s="137"/>
      <c r="G8" s="19">
        <f>StGallen!C36</f>
        <v>0.88888888888888884</v>
      </c>
      <c r="H8" s="10" t="str">
        <f>StGallen!C38</f>
        <v>low</v>
      </c>
      <c r="I8" s="5"/>
      <c r="J8" s="5"/>
      <c r="K8" s="5"/>
      <c r="L8" s="5"/>
      <c r="P8" s="78"/>
    </row>
    <row r="9" spans="2:38" ht="18" customHeight="1" x14ac:dyDescent="0.2">
      <c r="B9" s="137" t="str">
        <f>StGallen!F35</f>
        <v>Earthquake activities</v>
      </c>
      <c r="C9" s="137"/>
      <c r="D9" s="137"/>
      <c r="E9" s="137"/>
      <c r="F9" s="137"/>
      <c r="G9" s="19">
        <f>StGallen!F36</f>
        <v>0.89583333333333337</v>
      </c>
      <c r="H9" s="10" t="str">
        <f>StGallen!F38</f>
        <v>medium</v>
      </c>
      <c r="I9" s="5"/>
      <c r="J9" s="5"/>
      <c r="P9" s="78"/>
    </row>
    <row r="10" spans="2:38" ht="18" customHeight="1" x14ac:dyDescent="0.2">
      <c r="B10" s="137" t="str">
        <f>StGallen!I35</f>
        <v>Smallest distance to any mapped inactive fault [km]</v>
      </c>
      <c r="C10" s="137"/>
      <c r="D10" s="137"/>
      <c r="E10" s="137"/>
      <c r="F10" s="137"/>
      <c r="G10" s="19">
        <f>StGallen!I36</f>
        <v>0</v>
      </c>
      <c r="H10" s="10" t="str">
        <f>StGallen!I38</f>
        <v>low</v>
      </c>
      <c r="I10" s="5"/>
      <c r="J10" s="5"/>
    </row>
    <row r="11" spans="2:38" ht="18" customHeight="1" x14ac:dyDescent="0.2">
      <c r="B11" s="141" t="str">
        <f>StGallen!O35</f>
        <v>mapped faults’ triggering potential (orientation with active faults)</v>
      </c>
      <c r="C11" s="141"/>
      <c r="D11" s="141"/>
      <c r="E11" s="141"/>
      <c r="F11" s="141"/>
      <c r="G11" s="10">
        <f>StGallen!O36</f>
        <v>0.8</v>
      </c>
      <c r="H11" s="10" t="str">
        <f>StGallen!O38</f>
        <v>low</v>
      </c>
      <c r="I11" s="5"/>
      <c r="J11" s="5"/>
    </row>
    <row r="12" spans="2:38" ht="18" customHeight="1" x14ac:dyDescent="0.2">
      <c r="B12" s="137" t="str">
        <f>StGallen!S35</f>
        <v>Fault or mapped fault plane and reservoir intersection</v>
      </c>
      <c r="C12" s="137"/>
      <c r="D12" s="137"/>
      <c r="E12" s="137"/>
      <c r="F12" s="137"/>
      <c r="G12" s="10">
        <f>StGallen!S36</f>
        <v>1</v>
      </c>
      <c r="H12" s="10"/>
      <c r="I12" s="5"/>
      <c r="J12" s="5"/>
      <c r="AA12"/>
      <c r="AB12"/>
      <c r="AC12"/>
      <c r="AD12"/>
      <c r="AE12"/>
      <c r="AF12"/>
      <c r="AG12"/>
      <c r="AH12"/>
      <c r="AI12"/>
      <c r="AJ12"/>
      <c r="AK12"/>
      <c r="AL12"/>
    </row>
    <row r="13" spans="2:38" ht="18" customHeight="1" x14ac:dyDescent="0.2">
      <c r="B13" s="141" t="str">
        <f>StGallen!L35</f>
        <v>Longest mapped fault length in the project facility[km]</v>
      </c>
      <c r="C13" s="141"/>
      <c r="D13" s="141"/>
      <c r="E13" s="141"/>
      <c r="F13" s="141"/>
      <c r="G13" s="10">
        <f>StGallen!L36</f>
        <v>1</v>
      </c>
      <c r="H13" s="10" t="str">
        <f>StGallen!L38</f>
        <v>High</v>
      </c>
      <c r="I13" s="5"/>
      <c r="J13" s="5"/>
      <c r="AB13"/>
      <c r="AC13"/>
      <c r="AD13"/>
      <c r="AE13"/>
      <c r="AF13"/>
      <c r="AG13"/>
      <c r="AH13"/>
      <c r="AI13"/>
      <c r="AJ13"/>
      <c r="AK13"/>
      <c r="AL13"/>
    </row>
    <row r="14" spans="2:38" ht="18" customHeight="1" x14ac:dyDescent="0.2">
      <c r="B14" s="141"/>
      <c r="C14" s="141"/>
      <c r="D14" s="141"/>
      <c r="E14" s="141"/>
      <c r="F14" s="141"/>
      <c r="G14" s="10"/>
      <c r="H14" s="10"/>
      <c r="I14" s="5"/>
      <c r="J14" s="5"/>
      <c r="AA14"/>
      <c r="AB14"/>
      <c r="AC14"/>
      <c r="AD14"/>
      <c r="AE14"/>
      <c r="AF14"/>
      <c r="AG14"/>
      <c r="AH14"/>
      <c r="AI14"/>
      <c r="AJ14"/>
      <c r="AK14"/>
      <c r="AL14"/>
    </row>
    <row r="15" spans="2:38" ht="18" customHeight="1" x14ac:dyDescent="0.2">
      <c r="B15" s="155" t="str">
        <f>B44</f>
        <v>Stimulation factors (O)</v>
      </c>
      <c r="C15" s="156"/>
      <c r="D15" s="156"/>
      <c r="E15" s="156"/>
      <c r="F15" s="157"/>
      <c r="G15" s="27">
        <f>StGallen!R46</f>
        <v>0.5</v>
      </c>
      <c r="H15" s="11"/>
      <c r="I15" s="5"/>
      <c r="J15" s="5"/>
    </row>
    <row r="16" spans="2:38" ht="18" customHeight="1" x14ac:dyDescent="0.2">
      <c r="B16" s="141" t="str">
        <f>StGallen!C45</f>
        <v xml:space="preserve">Depth of stimulation </v>
      </c>
      <c r="C16" s="141"/>
      <c r="D16" s="141"/>
      <c r="E16" s="141"/>
      <c r="F16" s="141"/>
      <c r="G16" s="19">
        <f>StGallen!C46</f>
        <v>1</v>
      </c>
      <c r="H16" s="10" t="str">
        <f>StGallen!C49</f>
        <v>low</v>
      </c>
      <c r="I16" s="5"/>
      <c r="J16" s="5"/>
    </row>
    <row r="17" spans="2:10" ht="18" customHeight="1" x14ac:dyDescent="0.2">
      <c r="B17" s="141" t="str">
        <f>StGallen!F45</f>
        <v xml:space="preserve">Rock type </v>
      </c>
      <c r="C17" s="141"/>
      <c r="D17" s="141"/>
      <c r="E17" s="141"/>
      <c r="F17" s="141"/>
      <c r="G17" s="19">
        <f>StGallen!F46</f>
        <v>0.5</v>
      </c>
      <c r="H17" s="10" t="str">
        <f>StGallen!F49</f>
        <v>low</v>
      </c>
      <c r="I17" s="5"/>
      <c r="J17" s="5"/>
    </row>
    <row r="18" spans="2:10" ht="18" customHeight="1" x14ac:dyDescent="0.2">
      <c r="B18" s="141" t="str">
        <f>StGallen!I45</f>
        <v>Host reservoir original porosity</v>
      </c>
      <c r="C18" s="141"/>
      <c r="D18" s="141"/>
      <c r="E18" s="141"/>
      <c r="F18" s="141"/>
      <c r="G18" s="19">
        <f>StGallen!I46</f>
        <v>0.5</v>
      </c>
      <c r="H18" s="10" t="str">
        <f>StGallen!I49</f>
        <v>low</v>
      </c>
      <c r="I18" s="5"/>
      <c r="J18" s="5"/>
    </row>
    <row r="19" spans="2:10" ht="18" customHeight="1" x14ac:dyDescent="0.2">
      <c r="B19" s="141" t="str">
        <f>StGallen!L45</f>
        <v>Net injection volume per 100 m times Fluid injection (wellhead) pressure</v>
      </c>
      <c r="C19" s="141"/>
      <c r="D19" s="141"/>
      <c r="E19" s="141"/>
      <c r="F19" s="141"/>
      <c r="G19" s="19">
        <f>StGallen!L46</f>
        <v>0</v>
      </c>
      <c r="H19" s="10" t="str">
        <f>StGallen!L49</f>
        <v>low</v>
      </c>
      <c r="I19" s="5"/>
      <c r="J19" s="5"/>
    </row>
    <row r="20" spans="2:10" ht="18" customHeight="1" x14ac:dyDescent="0.2">
      <c r="B20" s="141"/>
      <c r="C20" s="141"/>
      <c r="D20" s="141"/>
      <c r="E20" s="141"/>
      <c r="F20" s="141"/>
      <c r="G20" s="19"/>
      <c r="H20" s="10"/>
      <c r="I20" s="5"/>
      <c r="J20" s="5"/>
    </row>
    <row r="21" spans="2:10" s="6" customFormat="1" ht="18" customHeight="1" x14ac:dyDescent="0.2">
      <c r="B21" s="142" t="str">
        <f>B55</f>
        <v>Seismic Exposure factors (E)</v>
      </c>
      <c r="C21" s="142"/>
      <c r="D21" s="142"/>
      <c r="E21" s="142"/>
      <c r="F21" s="142"/>
      <c r="G21" s="27">
        <f>V56</f>
        <v>0.57176985923367907</v>
      </c>
      <c r="H21" s="11"/>
    </row>
    <row r="22" spans="2:10" ht="18" customHeight="1" x14ac:dyDescent="0.2">
      <c r="B22" s="137" t="str">
        <f>C57</f>
        <v>Population exposure</v>
      </c>
      <c r="C22" s="137"/>
      <c r="D22" s="137"/>
      <c r="E22" s="137"/>
      <c r="F22" s="137"/>
      <c r="G22" s="10">
        <f>C58</f>
        <v>0.57176985923367907</v>
      </c>
      <c r="H22" s="10" t="s">
        <v>12</v>
      </c>
      <c r="I22" s="5"/>
      <c r="J22" s="5"/>
    </row>
    <row r="23" spans="2:10" ht="18" customHeight="1" x14ac:dyDescent="0.2">
      <c r="B23" s="137" t="str">
        <f>I57</f>
        <v>Economic exposure (ee)</v>
      </c>
      <c r="C23" s="137"/>
      <c r="D23" s="137"/>
      <c r="E23" s="137"/>
      <c r="F23" s="137"/>
      <c r="G23" s="10">
        <f>I58</f>
        <v>0</v>
      </c>
      <c r="H23" s="10" t="s">
        <v>12</v>
      </c>
      <c r="I23" s="5"/>
      <c r="J23" s="5"/>
    </row>
    <row r="24" spans="2:10" ht="18" customHeight="1" x14ac:dyDescent="0.2">
      <c r="B24" s="137" t="str">
        <f>O57</f>
        <v>Critical infrastructure exposure (ce)</v>
      </c>
      <c r="C24" s="137"/>
      <c r="D24" s="137"/>
      <c r="E24" s="137"/>
      <c r="F24" s="137"/>
      <c r="G24" s="10">
        <f>O58</f>
        <v>0.5</v>
      </c>
      <c r="H24" s="10" t="s">
        <v>12</v>
      </c>
      <c r="I24" s="5"/>
      <c r="J24" s="5"/>
    </row>
    <row r="25" spans="2:10" ht="18" customHeight="1" x14ac:dyDescent="0.2">
      <c r="B25" s="162" t="s">
        <v>41</v>
      </c>
      <c r="C25" s="162"/>
      <c r="D25" s="162"/>
      <c r="E25" s="162"/>
      <c r="F25" s="162"/>
      <c r="G25" s="36" t="s">
        <v>23</v>
      </c>
      <c r="H25" s="37"/>
      <c r="I25" s="5"/>
      <c r="J25" s="20"/>
    </row>
    <row r="26" spans="2:10" ht="18" customHeight="1" x14ac:dyDescent="0.2">
      <c r="B26" s="140" t="str">
        <f>B72</f>
        <v>Data Quality penalty (Q)</v>
      </c>
      <c r="C26" s="140"/>
      <c r="D26" s="140"/>
      <c r="E26" s="140"/>
      <c r="F26" s="140"/>
      <c r="G26" s="27">
        <f>SUM(G27:G30)/15</f>
        <v>1</v>
      </c>
      <c r="H26" s="11" t="s">
        <v>12</v>
      </c>
      <c r="I26" s="5"/>
      <c r="J26" s="5"/>
    </row>
    <row r="27" spans="2:10" ht="18" customHeight="1" x14ac:dyDescent="0.2">
      <c r="B27" s="137" t="str">
        <f>StGallen!C73</f>
        <v>Seismic images (6)</v>
      </c>
      <c r="C27" s="137"/>
      <c r="D27" s="137"/>
      <c r="E27" s="137"/>
      <c r="F27" s="137"/>
      <c r="G27" s="10">
        <f>StGallen!C74</f>
        <v>6</v>
      </c>
      <c r="H27" s="10" t="s">
        <v>12</v>
      </c>
      <c r="I27" s="5"/>
      <c r="J27" s="5"/>
    </row>
    <row r="28" spans="2:10" ht="18" customHeight="1" x14ac:dyDescent="0.2">
      <c r="B28" s="137" t="str">
        <f>StGallen!F73</f>
        <v>stress field (3)</v>
      </c>
      <c r="C28" s="137"/>
      <c r="D28" s="137"/>
      <c r="E28" s="137"/>
      <c r="F28" s="137"/>
      <c r="G28" s="10">
        <f>StGallen!F74</f>
        <v>3</v>
      </c>
      <c r="H28" s="10" t="s">
        <v>12</v>
      </c>
      <c r="I28" s="5"/>
      <c r="J28" s="5"/>
    </row>
    <row r="29" spans="2:10" ht="18" customHeight="1" x14ac:dyDescent="0.2">
      <c r="B29" s="137" t="str">
        <f>StGallen!K73</f>
        <v>Geology maps (3)</v>
      </c>
      <c r="C29" s="137"/>
      <c r="D29" s="137"/>
      <c r="E29" s="137"/>
      <c r="F29" s="137"/>
      <c r="G29" s="10">
        <f>StGallen!K74</f>
        <v>3</v>
      </c>
      <c r="H29" s="10" t="s">
        <v>12</v>
      </c>
      <c r="I29" s="5">
        <f>( (G7+G15+G21)/3 + MIN(G15,G7,G21))/2 + 1-(G26 + 0.0000001)</f>
        <v>0.57793376542783537</v>
      </c>
      <c r="J29" s="5"/>
    </row>
    <row r="30" spans="2:10" ht="18" customHeight="1" x14ac:dyDescent="0.2">
      <c r="B30" s="137" t="str">
        <f>StGallen!O73</f>
        <v>Historical seismicity (3)</v>
      </c>
      <c r="C30" s="137"/>
      <c r="D30" s="137"/>
      <c r="E30" s="137"/>
      <c r="F30" s="137"/>
      <c r="G30" s="10">
        <f>StGallen!O74</f>
        <v>3</v>
      </c>
      <c r="H30" s="10" t="s">
        <v>12</v>
      </c>
      <c r="I30" s="5"/>
      <c r="J30" s="5"/>
    </row>
    <row r="31" spans="2:10" ht="18" customHeight="1" x14ac:dyDescent="0.2">
      <c r="B31" s="138" t="s">
        <v>22</v>
      </c>
      <c r="C31" s="139"/>
      <c r="D31" s="29" t="s">
        <v>42</v>
      </c>
      <c r="E31" s="30" t="s">
        <v>43</v>
      </c>
      <c r="F31" s="31" t="s">
        <v>106</v>
      </c>
      <c r="G31" s="27">
        <f>AVERAGE(G15,G7)*G21+ 1-G26</f>
        <v>0.39904771425683849</v>
      </c>
      <c r="H31" s="32"/>
      <c r="I31" s="5"/>
      <c r="J31" s="5"/>
    </row>
    <row r="32" spans="2:10" ht="18" customHeight="1" x14ac:dyDescent="0.2">
      <c r="B32" s="9"/>
      <c r="D32" s="1"/>
      <c r="E32" s="1"/>
      <c r="F32" s="1"/>
      <c r="H32" s="5"/>
      <c r="I32"/>
      <c r="J32" s="5"/>
    </row>
    <row r="33" spans="2:34" ht="18" customHeight="1" x14ac:dyDescent="0.2">
      <c r="B33" s="9"/>
      <c r="D33" s="1"/>
      <c r="E33" s="1"/>
      <c r="F33" s="1"/>
      <c r="H33"/>
      <c r="I33"/>
      <c r="J33" s="5"/>
    </row>
    <row r="34" spans="2:34" ht="18" customHeight="1" x14ac:dyDescent="0.2">
      <c r="B34" s="101" t="s">
        <v>58</v>
      </c>
      <c r="C34" s="102"/>
      <c r="D34" s="102"/>
      <c r="E34" s="102"/>
      <c r="F34" s="102"/>
      <c r="G34" s="102"/>
      <c r="H34" s="102"/>
      <c r="I34" s="102"/>
      <c r="J34" s="102"/>
      <c r="K34" s="102"/>
      <c r="L34" s="102"/>
      <c r="M34" s="102"/>
      <c r="N34" s="102"/>
      <c r="O34" s="102"/>
      <c r="P34" s="102"/>
      <c r="Q34" s="102"/>
      <c r="R34" s="102"/>
      <c r="S34" s="102"/>
      <c r="T34" s="102"/>
      <c r="U34" s="102"/>
      <c r="V34" s="102"/>
      <c r="W34" s="103"/>
    </row>
    <row r="35" spans="2:34" s="21" customFormat="1" ht="67" customHeight="1" x14ac:dyDescent="0.2">
      <c r="B35" s="71" t="s">
        <v>20</v>
      </c>
      <c r="C35" s="128" t="s">
        <v>93</v>
      </c>
      <c r="D35" s="128"/>
      <c r="E35" s="128"/>
      <c r="F35" s="128" t="s">
        <v>94</v>
      </c>
      <c r="G35" s="128"/>
      <c r="H35" s="128"/>
      <c r="I35" s="128" t="s">
        <v>95</v>
      </c>
      <c r="J35" s="128"/>
      <c r="K35" s="128"/>
      <c r="L35" s="128" t="s">
        <v>96</v>
      </c>
      <c r="M35" s="128"/>
      <c r="N35" s="128"/>
      <c r="O35" s="128" t="s">
        <v>97</v>
      </c>
      <c r="P35" s="128"/>
      <c r="Q35" s="128"/>
      <c r="R35" s="128"/>
      <c r="S35" s="128" t="s">
        <v>98</v>
      </c>
      <c r="T35" s="128"/>
      <c r="U35" s="128"/>
      <c r="V35" s="128"/>
      <c r="W35" s="72" t="s">
        <v>75</v>
      </c>
      <c r="X35" s="46"/>
      <c r="Y35" s="46"/>
      <c r="Z35" s="46"/>
      <c r="AA35" s="46"/>
    </row>
    <row r="36" spans="2:34" ht="18" customHeight="1" x14ac:dyDescent="0.2">
      <c r="B36" s="73" t="s">
        <v>14</v>
      </c>
      <c r="C36" s="125">
        <f>MIN(1, 1- MAX(0, (C37-5)/(50-5)))</f>
        <v>0.88888888888888884</v>
      </c>
      <c r="D36" s="126"/>
      <c r="E36" s="127"/>
      <c r="F36" s="125">
        <f>MIN(1, 1- MAX(0, (F37-2)*5/((50-2)*H37)))</f>
        <v>0.89583333333333337</v>
      </c>
      <c r="G36" s="126"/>
      <c r="H36" s="127"/>
      <c r="I36" s="125">
        <f>MAX(MIN(1, 1- MAX(0, (I37-0.1)/(1.5-0.1))),0)</f>
        <v>0</v>
      </c>
      <c r="J36" s="126"/>
      <c r="K36" s="127"/>
      <c r="L36" s="125">
        <v>1</v>
      </c>
      <c r="M36" s="126"/>
      <c r="N36" s="127"/>
      <c r="O36" s="125" cm="1">
        <f t="array" ref="O36">_xlfn.IFS(O37=R39,1,O37=Q39,0.8,O37=P39,0.5,O37=O39,0.2)</f>
        <v>0.8</v>
      </c>
      <c r="P36" s="126"/>
      <c r="Q36" s="126"/>
      <c r="R36" s="127"/>
      <c r="S36" s="125" cm="1">
        <f t="array" ref="S36">_xlfn.IFS(S37=V39,1,S37=U39,0.8,S37=T39,0.5,S37=S39,0.2)</f>
        <v>1</v>
      </c>
      <c r="T36" s="126"/>
      <c r="U36" s="126"/>
      <c r="V36" s="127"/>
      <c r="W36" s="27">
        <f>MAX(MAX(C36:H36),AVERAGE(I36:V36))</f>
        <v>0.89583333333333337</v>
      </c>
      <c r="X36" s="79"/>
      <c r="Y36" s="8"/>
      <c r="Z36" s="8"/>
      <c r="AA36" s="8"/>
    </row>
    <row r="37" spans="2:34" customFormat="1" ht="18" customHeight="1" x14ac:dyDescent="0.2">
      <c r="B37" s="73" t="s">
        <v>26</v>
      </c>
      <c r="C37" s="135">
        <v>10</v>
      </c>
      <c r="D37" s="135"/>
      <c r="E37" s="135"/>
      <c r="F37" s="35">
        <v>5</v>
      </c>
      <c r="H37" s="34">
        <v>3</v>
      </c>
      <c r="I37" s="135">
        <v>2</v>
      </c>
      <c r="J37" s="135"/>
      <c r="K37" s="135"/>
      <c r="L37" s="135">
        <v>20</v>
      </c>
      <c r="M37" s="135"/>
      <c r="N37" s="135"/>
      <c r="O37" s="136" t="s">
        <v>91</v>
      </c>
      <c r="P37" s="136"/>
      <c r="Q37" s="136"/>
      <c r="R37" s="136"/>
      <c r="S37" s="136" t="s">
        <v>46</v>
      </c>
      <c r="T37" s="136"/>
      <c r="U37" s="136"/>
      <c r="V37" s="136"/>
      <c r="W37" s="62"/>
      <c r="X37" s="5"/>
      <c r="Y37" s="5"/>
      <c r="Z37" s="5"/>
      <c r="AA37" s="5"/>
      <c r="AB37" s="5"/>
    </row>
    <row r="38" spans="2:34" ht="18" customHeight="1" x14ac:dyDescent="0.2">
      <c r="B38" s="73" t="s">
        <v>19</v>
      </c>
      <c r="C38" s="128" t="s">
        <v>16</v>
      </c>
      <c r="D38" s="128"/>
      <c r="E38" s="128"/>
      <c r="F38" s="128" t="s">
        <v>27</v>
      </c>
      <c r="G38" s="128"/>
      <c r="H38" s="128"/>
      <c r="I38" s="128" t="s">
        <v>16</v>
      </c>
      <c r="J38" s="128"/>
      <c r="K38" s="128"/>
      <c r="L38" s="128" t="s">
        <v>31</v>
      </c>
      <c r="M38" s="128"/>
      <c r="N38" s="128"/>
      <c r="O38" s="128" t="s">
        <v>16</v>
      </c>
      <c r="P38" s="128"/>
      <c r="Q38" s="128"/>
      <c r="R38" s="128"/>
      <c r="S38" s="128" t="s">
        <v>11</v>
      </c>
      <c r="T38" s="128"/>
      <c r="U38" s="128"/>
      <c r="V38" s="128"/>
      <c r="W38" s="74"/>
      <c r="X38" s="8"/>
      <c r="Y38" s="8"/>
      <c r="Z38" s="8"/>
      <c r="AA38" s="8"/>
    </row>
    <row r="39" spans="2:34" ht="95" customHeight="1" x14ac:dyDescent="0.2">
      <c r="B39" s="45" t="s">
        <v>86</v>
      </c>
      <c r="C39" s="104" t="s">
        <v>99</v>
      </c>
      <c r="D39" s="104"/>
      <c r="E39" s="104"/>
      <c r="F39" s="104" t="s">
        <v>100</v>
      </c>
      <c r="G39" s="104"/>
      <c r="H39" s="104"/>
      <c r="I39" s="17"/>
      <c r="J39" s="16"/>
      <c r="K39" s="18"/>
      <c r="L39" s="17"/>
      <c r="M39" s="16"/>
      <c r="N39" s="18"/>
      <c r="O39" s="3" t="s">
        <v>90</v>
      </c>
      <c r="P39" s="4" t="s">
        <v>45</v>
      </c>
      <c r="Q39" s="33" t="s">
        <v>91</v>
      </c>
      <c r="R39" s="2" t="s">
        <v>92</v>
      </c>
      <c r="S39" s="3" t="s">
        <v>30</v>
      </c>
      <c r="T39" s="4" t="s">
        <v>29</v>
      </c>
      <c r="U39" s="33" t="s">
        <v>28</v>
      </c>
      <c r="V39" s="2" t="s">
        <v>46</v>
      </c>
      <c r="W39" s="62"/>
    </row>
    <row r="40" spans="2:34" ht="18" customHeight="1" x14ac:dyDescent="0.2">
      <c r="B40" s="133" t="s">
        <v>120</v>
      </c>
      <c r="C40" s="88"/>
      <c r="D40" s="88"/>
      <c r="E40" s="88"/>
      <c r="F40" s="90"/>
      <c r="G40" s="90"/>
      <c r="H40" s="90"/>
      <c r="I40" s="92"/>
      <c r="J40" s="92"/>
      <c r="K40" s="92"/>
      <c r="L40" s="92"/>
      <c r="M40" s="92"/>
      <c r="N40" s="92"/>
      <c r="O40" s="107"/>
      <c r="P40" s="107"/>
      <c r="Q40" s="107"/>
      <c r="R40" s="107"/>
      <c r="S40" s="107"/>
      <c r="T40" s="107"/>
      <c r="U40" s="107"/>
      <c r="V40" s="107"/>
      <c r="W40" s="62"/>
    </row>
    <row r="41" spans="2:34" ht="18" customHeight="1" x14ac:dyDescent="0.2">
      <c r="B41" s="134"/>
      <c r="C41" s="89"/>
      <c r="D41" s="89"/>
      <c r="E41" s="89"/>
      <c r="F41" s="91"/>
      <c r="G41" s="91"/>
      <c r="H41" s="91"/>
      <c r="I41" s="93"/>
      <c r="J41" s="93"/>
      <c r="K41" s="93"/>
      <c r="L41" s="93"/>
      <c r="M41" s="93"/>
      <c r="N41" s="93"/>
      <c r="O41" s="108"/>
      <c r="P41" s="108"/>
      <c r="Q41" s="108"/>
      <c r="R41" s="108"/>
      <c r="S41" s="108"/>
      <c r="T41" s="108"/>
      <c r="U41" s="108"/>
      <c r="V41" s="108"/>
      <c r="W41" s="64"/>
    </row>
    <row r="42" spans="2:34" ht="18" customHeight="1" x14ac:dyDescent="0.2">
      <c r="B42"/>
      <c r="C42" s="48"/>
      <c r="D42" s="48"/>
      <c r="E42" s="48"/>
      <c r="F42" s="48"/>
      <c r="G42" s="48"/>
      <c r="H42"/>
      <c r="I42"/>
      <c r="J42"/>
      <c r="K42"/>
      <c r="L42"/>
      <c r="M42"/>
      <c r="N42"/>
      <c r="O42" s="20"/>
      <c r="P42"/>
      <c r="Q42"/>
      <c r="R42"/>
      <c r="S42"/>
      <c r="T42"/>
    </row>
    <row r="44" spans="2:34" ht="19" customHeight="1" x14ac:dyDescent="0.2">
      <c r="B44" s="101" t="s">
        <v>102</v>
      </c>
      <c r="C44" s="102"/>
      <c r="D44" s="102"/>
      <c r="E44" s="102"/>
      <c r="F44" s="102"/>
      <c r="G44" s="102"/>
      <c r="H44" s="102"/>
      <c r="I44" s="102"/>
      <c r="J44" s="102"/>
      <c r="K44" s="102"/>
      <c r="L44" s="102"/>
      <c r="M44" s="102"/>
      <c r="N44" s="102"/>
      <c r="O44" s="102"/>
      <c r="P44" s="102"/>
      <c r="Q44" s="103"/>
      <c r="R44" s="129" t="s">
        <v>82</v>
      </c>
    </row>
    <row r="45" spans="2:34" ht="16" customHeight="1" x14ac:dyDescent="0.2">
      <c r="B45" s="51"/>
      <c r="C45" s="104" t="s">
        <v>103</v>
      </c>
      <c r="D45" s="104"/>
      <c r="E45" s="104"/>
      <c r="F45" s="104" t="s">
        <v>32</v>
      </c>
      <c r="G45" s="104"/>
      <c r="H45" s="104"/>
      <c r="I45" s="104" t="s">
        <v>104</v>
      </c>
      <c r="J45" s="104"/>
      <c r="K45" s="104"/>
      <c r="L45" s="131" t="s">
        <v>105</v>
      </c>
      <c r="M45" s="131"/>
      <c r="N45" s="131"/>
      <c r="O45" s="131"/>
      <c r="P45" s="131"/>
      <c r="Q45" s="132"/>
      <c r="R45" s="130"/>
      <c r="AB45" s="104"/>
      <c r="AC45" s="104"/>
      <c r="AD45" s="104"/>
      <c r="AE45"/>
      <c r="AF45" s="104"/>
      <c r="AG45" s="104"/>
      <c r="AH45" s="104"/>
    </row>
    <row r="46" spans="2:34" s="1" customFormat="1" ht="16" x14ac:dyDescent="0.2">
      <c r="B46" s="73" t="s">
        <v>14</v>
      </c>
      <c r="C46" s="125">
        <f>(MIN(1, MAX(0, (C47-1)/(3-1))))</f>
        <v>1</v>
      </c>
      <c r="D46" s="126"/>
      <c r="E46" s="127"/>
      <c r="F46" s="125" cm="1">
        <f t="array" ref="F46">_xlfn.IFS(F47=H50,1,F47=G50,0.5,F47=F50,0)</f>
        <v>0.5</v>
      </c>
      <c r="G46" s="126"/>
      <c r="H46" s="127"/>
      <c r="I46" s="125" cm="1">
        <f t="array" ref="I46">_xlfn.IFS(I47=K50,1,I47=J50,0.5,I47=I50,0)</f>
        <v>0.5</v>
      </c>
      <c r="J46" s="126"/>
      <c r="K46" s="127"/>
      <c r="L46" s="125">
        <f>MIN(1,  MAX(0, (L47*O47/1000-10)/(200-10)))</f>
        <v>0</v>
      </c>
      <c r="M46" s="126"/>
      <c r="N46" s="126"/>
      <c r="O46" s="126"/>
      <c r="P46" s="126"/>
      <c r="Q46" s="127"/>
      <c r="R46" s="27">
        <f>AVERAGE(C46:Q46)</f>
        <v>0.5</v>
      </c>
      <c r="AA46" s="5"/>
      <c r="AB46" s="104"/>
      <c r="AC46" s="104"/>
      <c r="AD46" s="104"/>
      <c r="AE46"/>
      <c r="AF46" s="104"/>
      <c r="AG46" s="104"/>
      <c r="AH46" s="104"/>
    </row>
    <row r="47" spans="2:34" s="1" customFormat="1" ht="16" x14ac:dyDescent="0.2">
      <c r="B47" s="57" t="s">
        <v>34</v>
      </c>
      <c r="C47" s="94">
        <v>4.2</v>
      </c>
      <c r="D47" s="94"/>
      <c r="E47" s="94"/>
      <c r="F47" s="94" t="s">
        <v>44</v>
      </c>
      <c r="G47" s="94"/>
      <c r="H47" s="94"/>
      <c r="I47" s="94" t="s">
        <v>36</v>
      </c>
      <c r="J47" s="94"/>
      <c r="K47" s="94"/>
      <c r="L47" s="123">
        <v>700</v>
      </c>
      <c r="M47" s="123"/>
      <c r="N47" s="123"/>
      <c r="O47" s="124">
        <v>9</v>
      </c>
      <c r="P47" s="124"/>
      <c r="Q47" s="124"/>
      <c r="R47" s="49"/>
      <c r="AA47" s="5"/>
      <c r="AB47" s="104"/>
      <c r="AC47" s="104"/>
      <c r="AD47" s="104"/>
      <c r="AE47"/>
      <c r="AF47" s="104"/>
      <c r="AG47" s="104"/>
      <c r="AH47" s="104"/>
    </row>
    <row r="48" spans="2:34" s="1" customFormat="1" ht="16" x14ac:dyDescent="0.2">
      <c r="B48" s="57"/>
      <c r="C48" s="9"/>
      <c r="D48" s="9"/>
      <c r="E48" s="9"/>
      <c r="F48" s="9"/>
      <c r="G48" s="9"/>
      <c r="H48" s="9"/>
      <c r="I48" s="9"/>
      <c r="J48" s="9"/>
      <c r="K48" s="9"/>
      <c r="L48" s="104">
        <f>L47*O47/1000</f>
        <v>6.3</v>
      </c>
      <c r="M48" s="104"/>
      <c r="N48" s="104"/>
      <c r="O48" s="104"/>
      <c r="P48" s="104"/>
      <c r="Q48" s="104"/>
      <c r="R48" s="49"/>
      <c r="AA48" s="5"/>
      <c r="AB48" s="9"/>
      <c r="AC48" s="9"/>
      <c r="AD48" s="9"/>
      <c r="AE48"/>
      <c r="AF48" s="9"/>
      <c r="AG48" s="9"/>
      <c r="AH48" s="9"/>
    </row>
    <row r="49" spans="2:33" s="1" customFormat="1" ht="17" customHeight="1" x14ac:dyDescent="0.2">
      <c r="B49" s="57" t="s">
        <v>21</v>
      </c>
      <c r="C49" s="104" t="s">
        <v>16</v>
      </c>
      <c r="D49" s="104"/>
      <c r="E49" s="104"/>
      <c r="F49" s="104" t="s">
        <v>16</v>
      </c>
      <c r="G49" s="104"/>
      <c r="H49" s="104"/>
      <c r="I49" s="104" t="s">
        <v>16</v>
      </c>
      <c r="J49" s="104"/>
      <c r="K49" s="104"/>
      <c r="L49" s="104" t="s">
        <v>16</v>
      </c>
      <c r="M49" s="104"/>
      <c r="N49" s="104"/>
      <c r="O49" s="104" t="s">
        <v>16</v>
      </c>
      <c r="P49" s="104"/>
      <c r="Q49" s="104"/>
      <c r="R49" s="49"/>
      <c r="AA49" s="5"/>
    </row>
    <row r="50" spans="2:33" s="1" customFormat="1" ht="102" customHeight="1" x14ac:dyDescent="0.2">
      <c r="B50" s="69" t="s">
        <v>35</v>
      </c>
      <c r="C50" s="116" t="s">
        <v>101</v>
      </c>
      <c r="D50" s="117"/>
      <c r="E50" s="117"/>
      <c r="F50" s="47" t="s">
        <v>7</v>
      </c>
      <c r="G50" s="14" t="s">
        <v>44</v>
      </c>
      <c r="H50" s="15" t="s">
        <v>84</v>
      </c>
      <c r="I50" s="47" t="s">
        <v>85</v>
      </c>
      <c r="J50" s="14" t="s">
        <v>36</v>
      </c>
      <c r="K50" s="15" t="s">
        <v>15</v>
      </c>
      <c r="L50" s="47" t="s">
        <v>8</v>
      </c>
      <c r="M50" s="70" t="s">
        <v>9</v>
      </c>
      <c r="N50" s="15" t="s">
        <v>10</v>
      </c>
      <c r="O50" s="47" t="s">
        <v>38</v>
      </c>
      <c r="P50" s="70" t="s">
        <v>39</v>
      </c>
      <c r="Q50" s="15" t="s">
        <v>37</v>
      </c>
      <c r="R50" s="50"/>
    </row>
    <row r="51" spans="2:33" s="1" customFormat="1" ht="17" customHeight="1" x14ac:dyDescent="0.2">
      <c r="B51" s="121" t="s">
        <v>120</v>
      </c>
      <c r="C51" s="92"/>
      <c r="D51" s="92"/>
      <c r="E51" s="92"/>
      <c r="F51" s="92"/>
      <c r="G51" s="92"/>
      <c r="H51" s="92"/>
      <c r="I51" s="92"/>
      <c r="J51" s="92"/>
      <c r="K51" s="92"/>
      <c r="L51" s="92"/>
      <c r="M51" s="92"/>
      <c r="N51" s="92"/>
      <c r="O51" s="92"/>
      <c r="P51" s="92"/>
      <c r="Q51" s="92"/>
      <c r="R51" s="49"/>
      <c r="AA51" s="5"/>
    </row>
    <row r="52" spans="2:33" s="1" customFormat="1" ht="17" customHeight="1" x14ac:dyDescent="0.2">
      <c r="B52" s="122"/>
      <c r="C52" s="93"/>
      <c r="D52" s="93"/>
      <c r="E52" s="93"/>
      <c r="F52" s="93"/>
      <c r="G52" s="93"/>
      <c r="H52" s="93"/>
      <c r="I52" s="93"/>
      <c r="J52" s="93"/>
      <c r="K52" s="93"/>
      <c r="L52" s="93"/>
      <c r="M52" s="93"/>
      <c r="N52" s="93"/>
      <c r="O52" s="93"/>
      <c r="P52" s="93"/>
      <c r="Q52" s="93"/>
      <c r="R52" s="49"/>
      <c r="AA52" s="5"/>
    </row>
    <row r="53" spans="2:33" s="1" customFormat="1" ht="18" customHeight="1" x14ac:dyDescent="0.2">
      <c r="B53"/>
      <c r="C53"/>
      <c r="D53"/>
      <c r="E53"/>
      <c r="F53"/>
      <c r="G53"/>
      <c r="H53"/>
      <c r="I53"/>
      <c r="J53"/>
      <c r="K53"/>
      <c r="L53"/>
      <c r="M53"/>
      <c r="N53"/>
      <c r="O53"/>
      <c r="P53"/>
      <c r="Q53"/>
      <c r="S53" s="5"/>
      <c r="T53" s="5"/>
      <c r="U53" s="5"/>
      <c r="V53" s="5"/>
      <c r="W53" s="5"/>
      <c r="X53" s="5"/>
      <c r="Y53" s="5"/>
      <c r="Z53" s="5"/>
      <c r="AA53" s="5"/>
      <c r="AB53" s="5"/>
      <c r="AC53" s="5"/>
      <c r="AD53" s="5"/>
      <c r="AE53" s="5"/>
      <c r="AF53" s="5"/>
      <c r="AG53" s="5"/>
    </row>
    <row r="54" spans="2:33" ht="16" x14ac:dyDescent="0.2">
      <c r="I54" s="2"/>
      <c r="J54" s="2"/>
      <c r="K54" s="2"/>
    </row>
    <row r="55" spans="2:33" ht="18" customHeight="1" x14ac:dyDescent="0.2">
      <c r="B55" s="118" t="s">
        <v>59</v>
      </c>
      <c r="C55" s="119"/>
      <c r="D55" s="119"/>
      <c r="E55" s="119"/>
      <c r="F55" s="119"/>
      <c r="G55" s="119"/>
      <c r="H55" s="119"/>
      <c r="I55" s="119"/>
      <c r="J55" s="119"/>
      <c r="K55" s="119"/>
      <c r="L55" s="119"/>
      <c r="M55" s="119"/>
      <c r="N55" s="119"/>
      <c r="O55" s="119"/>
      <c r="P55" s="119"/>
      <c r="Q55" s="119"/>
      <c r="R55" s="119"/>
      <c r="S55" s="119"/>
      <c r="T55" s="119"/>
      <c r="U55" s="119"/>
      <c r="V55" s="65" t="s">
        <v>13</v>
      </c>
    </row>
    <row r="56" spans="2:33" ht="20" customHeight="1" x14ac:dyDescent="0.2">
      <c r="B56" s="110" t="s">
        <v>115</v>
      </c>
      <c r="C56" s="111"/>
      <c r="D56" s="111"/>
      <c r="E56" s="111"/>
      <c r="F56" s="111"/>
      <c r="G56" s="111"/>
      <c r="H56" s="111"/>
      <c r="I56" s="111"/>
      <c r="J56" s="111"/>
      <c r="K56" s="111"/>
      <c r="L56" s="111"/>
      <c r="M56" s="111"/>
      <c r="N56" s="111"/>
      <c r="O56" s="111"/>
      <c r="P56" s="111"/>
      <c r="Q56" s="111"/>
      <c r="R56" s="111"/>
      <c r="S56" s="111"/>
      <c r="T56" s="111"/>
      <c r="U56" s="120"/>
      <c r="V56" s="27">
        <f>MAX(C58:U58,C64:U64)</f>
        <v>0.57176985923367907</v>
      </c>
    </row>
    <row r="57" spans="2:33" ht="20" customHeight="1" x14ac:dyDescent="0.2">
      <c r="B57" s="66"/>
      <c r="C57" s="104" t="s">
        <v>61</v>
      </c>
      <c r="D57" s="104"/>
      <c r="E57" s="104"/>
      <c r="F57" s="104"/>
      <c r="G57" s="104"/>
      <c r="H57" s="104"/>
      <c r="I57" s="104" t="s">
        <v>24</v>
      </c>
      <c r="J57" s="104"/>
      <c r="K57" s="104"/>
      <c r="L57" s="104"/>
      <c r="M57" s="104"/>
      <c r="N57" s="104"/>
      <c r="O57" s="104" t="s">
        <v>25</v>
      </c>
      <c r="P57" s="104"/>
      <c r="Q57" s="104"/>
      <c r="R57" s="104"/>
      <c r="S57" s="104"/>
      <c r="T57" s="104"/>
      <c r="U57" s="104"/>
      <c r="V57" s="62"/>
    </row>
    <row r="58" spans="2:33" ht="16" customHeight="1" x14ac:dyDescent="0.2">
      <c r="B58" s="73" t="s">
        <v>14</v>
      </c>
      <c r="C58" s="112">
        <f>(MIN(1,LOG10(C60+1)/LOG10(100000)*(0.5+0.9*LOG10(F60+1)/LOG10(100))))</f>
        <v>0.57176985923367907</v>
      </c>
      <c r="D58" s="113"/>
      <c r="E58" s="113"/>
      <c r="F58" s="113"/>
      <c r="G58" s="113"/>
      <c r="H58" s="114"/>
      <c r="I58" s="112">
        <f>(MIN(1, MAX(0, (I60)*L60/100/100)))</f>
        <v>0</v>
      </c>
      <c r="J58" s="113"/>
      <c r="K58" s="113"/>
      <c r="L58" s="113"/>
      <c r="M58" s="113"/>
      <c r="N58" s="114"/>
      <c r="O58" s="112">
        <f>MAX(O60*Q60+O60*S60 + O60*0.5)</f>
        <v>0.5</v>
      </c>
      <c r="P58" s="113"/>
      <c r="Q58" s="113"/>
      <c r="R58" s="113"/>
      <c r="S58" s="113"/>
      <c r="T58" s="113"/>
      <c r="U58" s="114"/>
      <c r="V58" s="62"/>
    </row>
    <row r="59" spans="2:33" ht="16" x14ac:dyDescent="0.2">
      <c r="B59" s="67"/>
      <c r="C59" s="104" t="s">
        <v>74</v>
      </c>
      <c r="D59" s="104"/>
      <c r="E59" s="104"/>
      <c r="F59" s="104" t="s">
        <v>118</v>
      </c>
      <c r="G59" s="104"/>
      <c r="H59" s="104"/>
      <c r="I59" s="104" t="s">
        <v>124</v>
      </c>
      <c r="J59" s="104"/>
      <c r="K59" s="104"/>
      <c r="L59" s="104" t="s">
        <v>73</v>
      </c>
      <c r="M59" s="104"/>
      <c r="N59" s="104"/>
      <c r="O59" s="104" t="s">
        <v>66</v>
      </c>
      <c r="P59" s="104"/>
      <c r="Q59" s="104" t="s">
        <v>67</v>
      </c>
      <c r="R59" s="104"/>
      <c r="S59" s="104" t="s">
        <v>68</v>
      </c>
      <c r="T59" s="104"/>
      <c r="U59" s="104"/>
      <c r="V59" s="62"/>
    </row>
    <row r="60" spans="2:33" ht="18" customHeight="1" x14ac:dyDescent="0.2">
      <c r="B60" s="57" t="s">
        <v>60</v>
      </c>
      <c r="C60" s="109">
        <v>10000</v>
      </c>
      <c r="D60" s="109"/>
      <c r="E60" s="109"/>
      <c r="F60" s="109">
        <v>2</v>
      </c>
      <c r="G60" s="109"/>
      <c r="H60" s="109"/>
      <c r="I60" s="109">
        <v>10</v>
      </c>
      <c r="J60" s="109"/>
      <c r="K60" s="109"/>
      <c r="L60" s="109">
        <v>0</v>
      </c>
      <c r="M60" s="109"/>
      <c r="N60" s="109"/>
      <c r="O60" s="109">
        <v>1</v>
      </c>
      <c r="P60" s="109"/>
      <c r="Q60" s="109">
        <v>0</v>
      </c>
      <c r="R60" s="109"/>
      <c r="S60" s="109">
        <v>0</v>
      </c>
      <c r="T60" s="109"/>
      <c r="U60" s="109"/>
      <c r="V60" s="62"/>
    </row>
    <row r="61" spans="2:33" ht="96" customHeight="1" x14ac:dyDescent="0.2">
      <c r="B61" s="58" t="s">
        <v>35</v>
      </c>
      <c r="C61" s="115" t="s">
        <v>63</v>
      </c>
      <c r="D61" s="115"/>
      <c r="E61" s="115"/>
      <c r="F61" s="115" t="s">
        <v>62</v>
      </c>
      <c r="G61" s="115"/>
      <c r="H61" s="115"/>
      <c r="I61" s="115" t="s">
        <v>83</v>
      </c>
      <c r="J61" s="115"/>
      <c r="K61" s="115"/>
      <c r="L61" s="105"/>
      <c r="M61" s="105"/>
      <c r="N61" s="105"/>
      <c r="O61" s="106" t="s">
        <v>65</v>
      </c>
      <c r="P61" s="106"/>
      <c r="Q61" s="106" t="s">
        <v>69</v>
      </c>
      <c r="R61" s="106"/>
      <c r="S61" s="52" t="s">
        <v>72</v>
      </c>
      <c r="T61" s="53" t="s">
        <v>70</v>
      </c>
      <c r="U61" s="54" t="s">
        <v>71</v>
      </c>
      <c r="V61" s="62"/>
    </row>
    <row r="62" spans="2:33" customFormat="1" ht="24" customHeight="1" x14ac:dyDescent="0.2">
      <c r="B62" s="110" t="s">
        <v>116</v>
      </c>
      <c r="C62" s="111"/>
      <c r="D62" s="111"/>
      <c r="E62" s="111"/>
      <c r="F62" s="111"/>
      <c r="G62" s="111"/>
      <c r="H62" s="111"/>
      <c r="I62" s="111"/>
      <c r="J62" s="111"/>
      <c r="K62" s="111"/>
      <c r="L62" s="111"/>
      <c r="M62" s="111"/>
      <c r="N62" s="111"/>
      <c r="O62" s="111"/>
      <c r="P62" s="111"/>
      <c r="Q62" s="111"/>
      <c r="R62" s="111"/>
      <c r="S62" s="111"/>
      <c r="T62" s="111"/>
      <c r="U62" s="111"/>
      <c r="V62" s="62"/>
      <c r="W62" s="5"/>
      <c r="X62" s="5"/>
      <c r="Y62" s="5"/>
      <c r="Z62" s="5"/>
      <c r="AA62" s="5"/>
      <c r="AB62" s="5"/>
      <c r="AC62" s="5"/>
    </row>
    <row r="63" spans="2:33" ht="18" customHeight="1" x14ac:dyDescent="0.2">
      <c r="B63" s="66"/>
      <c r="C63" s="104" t="s">
        <v>61</v>
      </c>
      <c r="D63" s="104"/>
      <c r="E63" s="104"/>
      <c r="F63" s="104"/>
      <c r="G63" s="104"/>
      <c r="H63" s="104"/>
      <c r="I63" s="104" t="s">
        <v>24</v>
      </c>
      <c r="J63" s="104"/>
      <c r="K63" s="104"/>
      <c r="L63" s="104"/>
      <c r="M63" s="104"/>
      <c r="N63" s="104"/>
      <c r="O63" s="104" t="s">
        <v>25</v>
      </c>
      <c r="P63" s="104"/>
      <c r="Q63" s="104"/>
      <c r="R63" s="104"/>
      <c r="S63" s="104"/>
      <c r="T63" s="104"/>
      <c r="U63" s="104"/>
      <c r="V63" s="62"/>
    </row>
    <row r="64" spans="2:33" ht="18" customHeight="1" x14ac:dyDescent="0.2">
      <c r="B64" s="73" t="s">
        <v>14</v>
      </c>
      <c r="C64" s="112">
        <f>(MIN(1,LOG10(C66+1)/LOG10(1000)*(0.5+0.9*LOG10(F66+1)/LOG10(10))))</f>
        <v>0.50007234624655317</v>
      </c>
      <c r="D64" s="113"/>
      <c r="E64" s="113"/>
      <c r="F64" s="113"/>
      <c r="G64" s="113"/>
      <c r="H64" s="114"/>
      <c r="I64" s="112">
        <f>(MIN(1, MAX(0, (I66)*L66/100/10)))</f>
        <v>0.05</v>
      </c>
      <c r="J64" s="113"/>
      <c r="K64" s="113"/>
      <c r="L64" s="113"/>
      <c r="M64" s="113"/>
      <c r="N64" s="114"/>
      <c r="O64" s="112">
        <f>MAX(O66*Q66+O66*S66 + O66*0.5)</f>
        <v>0</v>
      </c>
      <c r="P64" s="113"/>
      <c r="Q64" s="113"/>
      <c r="R64" s="113"/>
      <c r="S64" s="113"/>
      <c r="T64" s="113"/>
      <c r="U64" s="114"/>
      <c r="V64" s="62"/>
    </row>
    <row r="65" spans="2:22" ht="18" customHeight="1" x14ac:dyDescent="0.2">
      <c r="B65" s="67"/>
      <c r="C65" s="104" t="s">
        <v>74</v>
      </c>
      <c r="D65" s="104"/>
      <c r="E65" s="104"/>
      <c r="F65" s="104" t="s">
        <v>64</v>
      </c>
      <c r="G65" s="104"/>
      <c r="H65" s="104"/>
      <c r="I65" s="104" t="s">
        <v>124</v>
      </c>
      <c r="J65" s="104"/>
      <c r="K65" s="104"/>
      <c r="L65" s="104" t="s">
        <v>73</v>
      </c>
      <c r="M65" s="104"/>
      <c r="N65" s="104"/>
      <c r="O65" s="104" t="s">
        <v>66</v>
      </c>
      <c r="P65" s="104"/>
      <c r="Q65" s="104" t="s">
        <v>67</v>
      </c>
      <c r="R65" s="104"/>
      <c r="S65" s="104" t="s">
        <v>68</v>
      </c>
      <c r="T65" s="104"/>
      <c r="U65" s="104"/>
      <c r="V65" s="62"/>
    </row>
    <row r="66" spans="2:22" ht="18" customHeight="1" x14ac:dyDescent="0.2">
      <c r="B66" s="57" t="s">
        <v>60</v>
      </c>
      <c r="C66" s="109">
        <v>1000</v>
      </c>
      <c r="D66" s="109"/>
      <c r="E66" s="109"/>
      <c r="F66" s="109">
        <v>0</v>
      </c>
      <c r="G66" s="109"/>
      <c r="H66" s="109"/>
      <c r="I66" s="109">
        <v>10</v>
      </c>
      <c r="J66" s="109"/>
      <c r="K66" s="109"/>
      <c r="L66" s="109">
        <v>5</v>
      </c>
      <c r="M66" s="109"/>
      <c r="N66" s="109"/>
      <c r="O66" s="109">
        <v>0</v>
      </c>
      <c r="P66" s="109"/>
      <c r="Q66" s="109">
        <v>0</v>
      </c>
      <c r="R66" s="109"/>
      <c r="S66" s="109">
        <v>0</v>
      </c>
      <c r="T66" s="109"/>
      <c r="U66" s="109"/>
      <c r="V66" s="62"/>
    </row>
    <row r="67" spans="2:22" ht="77" customHeight="1" x14ac:dyDescent="0.2">
      <c r="B67" s="58" t="s">
        <v>35</v>
      </c>
      <c r="C67" s="105" t="s">
        <v>76</v>
      </c>
      <c r="D67" s="105"/>
      <c r="E67" s="105"/>
      <c r="F67" s="105" t="s">
        <v>77</v>
      </c>
      <c r="G67" s="105"/>
      <c r="H67" s="105"/>
      <c r="I67" s="105" t="s">
        <v>81</v>
      </c>
      <c r="J67" s="105"/>
      <c r="K67" s="105"/>
      <c r="L67" s="105"/>
      <c r="M67" s="105"/>
      <c r="N67" s="105"/>
      <c r="O67" s="106" t="s">
        <v>87</v>
      </c>
      <c r="P67" s="106"/>
      <c r="Q67" s="106" t="s">
        <v>69</v>
      </c>
      <c r="R67" s="106"/>
      <c r="S67" s="52" t="s">
        <v>72</v>
      </c>
      <c r="T67" s="53" t="s">
        <v>88</v>
      </c>
      <c r="U67" s="54" t="s">
        <v>71</v>
      </c>
      <c r="V67" s="62"/>
    </row>
    <row r="68" spans="2:22" ht="18" customHeight="1" x14ac:dyDescent="0.2">
      <c r="B68" s="97" t="s">
        <v>80</v>
      </c>
      <c r="C68" s="98"/>
      <c r="D68" s="98"/>
      <c r="E68" s="98"/>
      <c r="F68" s="98"/>
      <c r="G68" s="98"/>
      <c r="H68" s="98"/>
      <c r="I68" s="98"/>
      <c r="J68" s="98"/>
      <c r="K68" s="98"/>
      <c r="L68" s="98"/>
      <c r="V68" s="62"/>
    </row>
    <row r="69" spans="2:22" ht="18" customHeight="1" x14ac:dyDescent="0.2">
      <c r="B69" s="99" t="s">
        <v>89</v>
      </c>
      <c r="C69" s="100"/>
      <c r="D69" s="100"/>
      <c r="E69" s="100"/>
      <c r="F69" s="100"/>
      <c r="G69" s="100"/>
      <c r="H69" s="100"/>
      <c r="I69" s="100"/>
      <c r="J69" s="100"/>
      <c r="K69" s="100"/>
      <c r="L69" s="100"/>
      <c r="M69" s="68"/>
      <c r="N69" s="13"/>
      <c r="O69" s="13"/>
      <c r="P69" s="13"/>
      <c r="Q69" s="13"/>
      <c r="R69" s="13"/>
      <c r="S69" s="63"/>
      <c r="T69" s="63"/>
      <c r="U69" s="63"/>
      <c r="V69" s="64"/>
    </row>
    <row r="70" spans="2:22" ht="18" customHeight="1" x14ac:dyDescent="0.2">
      <c r="B70" s="55"/>
      <c r="C70" s="55"/>
      <c r="D70" s="55"/>
      <c r="E70" s="55"/>
      <c r="F70" s="55"/>
      <c r="G70" s="55"/>
      <c r="H70" s="55"/>
      <c r="I70" s="55"/>
      <c r="J70" s="55"/>
      <c r="K70" s="55"/>
      <c r="L70" s="55"/>
    </row>
    <row r="71" spans="2:22" ht="18" customHeight="1" x14ac:dyDescent="0.2">
      <c r="B71" s="55"/>
      <c r="C71" s="55"/>
      <c r="D71" s="55"/>
      <c r="E71" s="55"/>
      <c r="F71" s="55"/>
      <c r="G71" s="55"/>
      <c r="H71" s="55"/>
      <c r="I71" s="55"/>
      <c r="J71" s="55"/>
      <c r="K71" s="55"/>
      <c r="L71" s="55"/>
    </row>
    <row r="72" spans="2:22" ht="18" customHeight="1" x14ac:dyDescent="0.2">
      <c r="B72" s="101" t="s">
        <v>78</v>
      </c>
      <c r="C72" s="102"/>
      <c r="D72" s="102"/>
      <c r="E72" s="102"/>
      <c r="F72" s="102"/>
      <c r="G72" s="102"/>
      <c r="H72" s="102"/>
      <c r="I72" s="102"/>
      <c r="J72" s="102"/>
      <c r="K72" s="102"/>
      <c r="L72" s="102"/>
      <c r="M72" s="102"/>
      <c r="N72" s="102"/>
      <c r="O72" s="102"/>
      <c r="P72" s="102"/>
      <c r="Q72" s="102"/>
      <c r="R72" s="102"/>
      <c r="S72" s="102"/>
      <c r="T72" s="103"/>
    </row>
    <row r="73" spans="2:22" ht="17" customHeight="1" x14ac:dyDescent="0.2">
      <c r="B73" s="51"/>
      <c r="C73" s="104" t="s">
        <v>6</v>
      </c>
      <c r="D73" s="104"/>
      <c r="E73" s="104"/>
      <c r="F73" s="104" t="s">
        <v>5</v>
      </c>
      <c r="G73" s="104"/>
      <c r="H73" s="104"/>
      <c r="I73" s="104"/>
      <c r="J73" s="104"/>
      <c r="K73" s="104" t="s">
        <v>17</v>
      </c>
      <c r="L73" s="104"/>
      <c r="M73" s="104"/>
      <c r="N73" s="104"/>
      <c r="O73" s="104" t="s">
        <v>33</v>
      </c>
      <c r="P73" s="104"/>
      <c r="Q73" s="104"/>
      <c r="R73" s="104"/>
      <c r="S73" s="104"/>
      <c r="T73" s="56" t="s">
        <v>75</v>
      </c>
    </row>
    <row r="74" spans="2:22" ht="16" x14ac:dyDescent="0.2">
      <c r="B74" s="73" t="s">
        <v>14</v>
      </c>
      <c r="C74" s="94">
        <v>6</v>
      </c>
      <c r="D74" s="94"/>
      <c r="E74" s="94"/>
      <c r="F74" s="94">
        <v>3</v>
      </c>
      <c r="G74" s="94"/>
      <c r="H74" s="94"/>
      <c r="I74" s="94"/>
      <c r="J74" s="94"/>
      <c r="K74" s="94">
        <v>3</v>
      </c>
      <c r="L74" s="94"/>
      <c r="M74" s="94"/>
      <c r="N74" s="94"/>
      <c r="O74" s="94">
        <v>3</v>
      </c>
      <c r="P74" s="94"/>
      <c r="Q74" s="94"/>
      <c r="R74" s="94"/>
      <c r="S74" s="94"/>
      <c r="T74" s="75">
        <f>SUM(C74:R74)/(6+3+3+3)</f>
        <v>1</v>
      </c>
    </row>
    <row r="75" spans="2:22" ht="101" customHeight="1" x14ac:dyDescent="0.2">
      <c r="B75" s="58" t="s">
        <v>35</v>
      </c>
      <c r="C75" s="22" t="s">
        <v>0</v>
      </c>
      <c r="D75" s="23" t="s">
        <v>4</v>
      </c>
      <c r="E75" s="24" t="s">
        <v>1</v>
      </c>
      <c r="F75" s="95" t="s">
        <v>107</v>
      </c>
      <c r="G75" s="95"/>
      <c r="H75" s="96" t="s">
        <v>108</v>
      </c>
      <c r="I75" s="96"/>
      <c r="J75" s="24" t="s">
        <v>2</v>
      </c>
      <c r="K75" s="22" t="s">
        <v>110</v>
      </c>
      <c r="L75" s="96" t="s">
        <v>111</v>
      </c>
      <c r="M75" s="96"/>
      <c r="N75" s="24" t="s">
        <v>109</v>
      </c>
      <c r="O75" s="95" t="s">
        <v>112</v>
      </c>
      <c r="P75" s="95"/>
      <c r="Q75" s="96" t="s">
        <v>113</v>
      </c>
      <c r="R75" s="96"/>
      <c r="S75" s="24" t="s">
        <v>18</v>
      </c>
      <c r="T75" s="59"/>
    </row>
    <row r="76" spans="2:22" ht="16" x14ac:dyDescent="0.2">
      <c r="B76" s="60"/>
      <c r="C76" s="25">
        <v>6</v>
      </c>
      <c r="D76" s="25">
        <v>3</v>
      </c>
      <c r="E76" s="25">
        <v>0</v>
      </c>
      <c r="F76" s="25">
        <v>3</v>
      </c>
      <c r="G76" s="25">
        <v>2</v>
      </c>
      <c r="J76" s="25">
        <v>0</v>
      </c>
      <c r="K76" s="25">
        <v>3</v>
      </c>
      <c r="L76" s="81">
        <v>1</v>
      </c>
      <c r="M76" s="81"/>
      <c r="N76" s="25">
        <v>0</v>
      </c>
      <c r="O76" s="81">
        <v>3</v>
      </c>
      <c r="P76" s="81"/>
      <c r="Q76" s="81">
        <v>1</v>
      </c>
      <c r="R76" s="81"/>
      <c r="S76" s="25">
        <v>0</v>
      </c>
      <c r="T76" s="61"/>
    </row>
    <row r="77" spans="2:22" ht="16" customHeight="1" x14ac:dyDescent="0.2">
      <c r="B77" s="82" t="s">
        <v>3</v>
      </c>
      <c r="C77" s="83"/>
      <c r="D77" s="83"/>
      <c r="E77" s="83"/>
      <c r="F77" s="83"/>
      <c r="G77" s="83"/>
      <c r="H77" s="83"/>
      <c r="I77" s="83"/>
      <c r="J77" s="83"/>
      <c r="K77" s="83"/>
      <c r="L77" s="83"/>
      <c r="M77" s="83"/>
      <c r="N77" s="83"/>
      <c r="O77" s="83"/>
      <c r="P77" s="83"/>
      <c r="Q77" s="83"/>
      <c r="R77" s="83"/>
      <c r="S77" s="83"/>
      <c r="T77" s="84"/>
      <c r="U77" s="1"/>
      <c r="V77" s="1"/>
    </row>
    <row r="78" spans="2:22" ht="16" customHeight="1" x14ac:dyDescent="0.2">
      <c r="B78" s="82" t="s">
        <v>79</v>
      </c>
      <c r="C78" s="83"/>
      <c r="D78" s="83"/>
      <c r="E78" s="83"/>
      <c r="F78" s="83"/>
      <c r="G78" s="83"/>
      <c r="H78" s="83"/>
      <c r="I78" s="83"/>
      <c r="J78" s="83"/>
      <c r="K78" s="83"/>
      <c r="L78" s="83"/>
      <c r="M78" s="83"/>
      <c r="N78" s="83"/>
      <c r="O78" s="83"/>
      <c r="P78" s="83"/>
      <c r="Q78" s="83"/>
      <c r="R78" s="83"/>
      <c r="S78" s="83"/>
      <c r="T78" s="84"/>
    </row>
    <row r="79" spans="2:22" ht="16" x14ac:dyDescent="0.2">
      <c r="B79" s="85"/>
      <c r="C79" s="86"/>
      <c r="D79" s="86"/>
      <c r="E79" s="86"/>
      <c r="F79" s="86"/>
      <c r="G79" s="86"/>
      <c r="H79" s="86"/>
      <c r="I79" s="86"/>
      <c r="J79" s="86"/>
      <c r="K79" s="86"/>
      <c r="L79" s="86"/>
      <c r="M79" s="86"/>
      <c r="N79" s="86"/>
      <c r="O79" s="86"/>
      <c r="P79" s="86"/>
      <c r="Q79" s="86"/>
      <c r="R79" s="86"/>
      <c r="S79" s="86"/>
      <c r="T79" s="87"/>
    </row>
    <row r="83" spans="2:7" ht="18" customHeight="1" x14ac:dyDescent="0.2">
      <c r="B83" s="5"/>
      <c r="C83" s="5"/>
      <c r="D83" s="5"/>
      <c r="E83" s="5"/>
      <c r="F83" s="5"/>
      <c r="G83" s="5"/>
    </row>
    <row r="84" spans="2:7" ht="18" customHeight="1" x14ac:dyDescent="0.2">
      <c r="B84" s="5"/>
      <c r="C84" s="5"/>
      <c r="D84" s="5"/>
      <c r="E84" s="5"/>
      <c r="F84" s="5"/>
      <c r="G84" s="5"/>
    </row>
    <row r="85" spans="2:7" ht="18" customHeight="1" x14ac:dyDescent="0.2">
      <c r="B85" s="5"/>
      <c r="C85" s="5"/>
      <c r="D85" s="5"/>
      <c r="E85" s="5"/>
      <c r="F85" s="5"/>
      <c r="G85" s="5"/>
    </row>
  </sheetData>
  <sheetProtection selectLockedCells="1"/>
  <mergeCells count="176">
    <mergeCell ref="B1:H1"/>
    <mergeCell ref="C2:H2"/>
    <mergeCell ref="I2:L2"/>
    <mergeCell ref="B3:D3"/>
    <mergeCell ref="E3:H3"/>
    <mergeCell ref="B4:D4"/>
    <mergeCell ref="F73:J73"/>
    <mergeCell ref="K73:N73"/>
    <mergeCell ref="B40:B41"/>
    <mergeCell ref="C40:E41"/>
    <mergeCell ref="F40:H41"/>
    <mergeCell ref="I40:K41"/>
    <mergeCell ref="L40:N41"/>
    <mergeCell ref="B51:B52"/>
    <mergeCell ref="C51:E52"/>
    <mergeCell ref="F51:H52"/>
    <mergeCell ref="I51:K52"/>
    <mergeCell ref="L51:N52"/>
    <mergeCell ref="B11:F11"/>
    <mergeCell ref="B12:F12"/>
    <mergeCell ref="B13:F13"/>
    <mergeCell ref="B14:F14"/>
    <mergeCell ref="B15:F15"/>
    <mergeCell ref="B16:F16"/>
    <mergeCell ref="B5:D5"/>
    <mergeCell ref="B6:F6"/>
    <mergeCell ref="B7:F7"/>
    <mergeCell ref="B8:F8"/>
    <mergeCell ref="B9:F9"/>
    <mergeCell ref="B10:F10"/>
    <mergeCell ref="B23:F23"/>
    <mergeCell ref="B24:F24"/>
    <mergeCell ref="B25:F25"/>
    <mergeCell ref="B26:F26"/>
    <mergeCell ref="B27:F27"/>
    <mergeCell ref="B28:F28"/>
    <mergeCell ref="B17:F17"/>
    <mergeCell ref="B18:F18"/>
    <mergeCell ref="B19:F19"/>
    <mergeCell ref="B20:F20"/>
    <mergeCell ref="B21:F21"/>
    <mergeCell ref="B22:F22"/>
    <mergeCell ref="C36:E36"/>
    <mergeCell ref="F36:H36"/>
    <mergeCell ref="I36:K36"/>
    <mergeCell ref="L36:N36"/>
    <mergeCell ref="O36:R36"/>
    <mergeCell ref="S36:V36"/>
    <mergeCell ref="B29:F29"/>
    <mergeCell ref="B30:F30"/>
    <mergeCell ref="B31:C31"/>
    <mergeCell ref="B34:W34"/>
    <mergeCell ref="C35:E35"/>
    <mergeCell ref="F35:H35"/>
    <mergeCell ref="I35:K35"/>
    <mergeCell ref="L35:N35"/>
    <mergeCell ref="O35:R35"/>
    <mergeCell ref="S35:V35"/>
    <mergeCell ref="C37:E37"/>
    <mergeCell ref="I37:K37"/>
    <mergeCell ref="L37:N37"/>
    <mergeCell ref="O37:R37"/>
    <mergeCell ref="S37:V37"/>
    <mergeCell ref="C38:E38"/>
    <mergeCell ref="F38:H38"/>
    <mergeCell ref="I38:K38"/>
    <mergeCell ref="L38:N38"/>
    <mergeCell ref="O38:R38"/>
    <mergeCell ref="AB45:AD45"/>
    <mergeCell ref="AF45:AH45"/>
    <mergeCell ref="C46:E46"/>
    <mergeCell ref="F46:H46"/>
    <mergeCell ref="I46:K46"/>
    <mergeCell ref="L46:Q46"/>
    <mergeCell ref="AB46:AD46"/>
    <mergeCell ref="AF46:AH46"/>
    <mergeCell ref="S38:V38"/>
    <mergeCell ref="C39:E39"/>
    <mergeCell ref="F39:H39"/>
    <mergeCell ref="B44:Q44"/>
    <mergeCell ref="R44:R45"/>
    <mergeCell ref="C45:E45"/>
    <mergeCell ref="F45:H45"/>
    <mergeCell ref="I45:K45"/>
    <mergeCell ref="L45:Q45"/>
    <mergeCell ref="O40:R41"/>
    <mergeCell ref="S40:V41"/>
    <mergeCell ref="C50:E50"/>
    <mergeCell ref="B55:U55"/>
    <mergeCell ref="B56:U56"/>
    <mergeCell ref="C57:H57"/>
    <mergeCell ref="I57:N57"/>
    <mergeCell ref="O57:U57"/>
    <mergeCell ref="AF47:AH47"/>
    <mergeCell ref="L48:Q48"/>
    <mergeCell ref="C49:E49"/>
    <mergeCell ref="F49:H49"/>
    <mergeCell ref="I49:K49"/>
    <mergeCell ref="L49:N49"/>
    <mergeCell ref="O49:Q49"/>
    <mergeCell ref="C47:E47"/>
    <mergeCell ref="F47:H47"/>
    <mergeCell ref="I47:K47"/>
    <mergeCell ref="L47:N47"/>
    <mergeCell ref="O47:Q47"/>
    <mergeCell ref="AB47:AD47"/>
    <mergeCell ref="O51:Q52"/>
    <mergeCell ref="C58:H58"/>
    <mergeCell ref="I58:N58"/>
    <mergeCell ref="O58:U58"/>
    <mergeCell ref="C59:E59"/>
    <mergeCell ref="F59:H59"/>
    <mergeCell ref="I59:K59"/>
    <mergeCell ref="L59:N59"/>
    <mergeCell ref="O59:P59"/>
    <mergeCell ref="Q59:R59"/>
    <mergeCell ref="S59:U59"/>
    <mergeCell ref="B62:U62"/>
    <mergeCell ref="C63:H63"/>
    <mergeCell ref="I63:N63"/>
    <mergeCell ref="O63:U63"/>
    <mergeCell ref="C64:H64"/>
    <mergeCell ref="I64:N64"/>
    <mergeCell ref="O64:U64"/>
    <mergeCell ref="S60:U60"/>
    <mergeCell ref="C61:E61"/>
    <mergeCell ref="F61:H61"/>
    <mergeCell ref="I61:K61"/>
    <mergeCell ref="L61:N61"/>
    <mergeCell ref="O61:P61"/>
    <mergeCell ref="Q61:R61"/>
    <mergeCell ref="C60:E60"/>
    <mergeCell ref="F60:H60"/>
    <mergeCell ref="I60:K60"/>
    <mergeCell ref="L60:N60"/>
    <mergeCell ref="O60:P60"/>
    <mergeCell ref="Q60:R60"/>
    <mergeCell ref="S65:U65"/>
    <mergeCell ref="C66:E66"/>
    <mergeCell ref="F66:H66"/>
    <mergeCell ref="I66:K66"/>
    <mergeCell ref="L66:N66"/>
    <mergeCell ref="O66:P66"/>
    <mergeCell ref="Q66:R66"/>
    <mergeCell ref="S66:U66"/>
    <mergeCell ref="C65:E65"/>
    <mergeCell ref="F65:H65"/>
    <mergeCell ref="I65:K65"/>
    <mergeCell ref="L65:N65"/>
    <mergeCell ref="O65:P65"/>
    <mergeCell ref="Q65:R65"/>
    <mergeCell ref="B68:L68"/>
    <mergeCell ref="B69:L69"/>
    <mergeCell ref="B72:T72"/>
    <mergeCell ref="C73:E73"/>
    <mergeCell ref="C67:E67"/>
    <mergeCell ref="F67:H67"/>
    <mergeCell ref="I67:K67"/>
    <mergeCell ref="L67:N67"/>
    <mergeCell ref="O67:P67"/>
    <mergeCell ref="Q67:R67"/>
    <mergeCell ref="O73:S73"/>
    <mergeCell ref="L76:M76"/>
    <mergeCell ref="O76:P76"/>
    <mergeCell ref="Q76:R76"/>
    <mergeCell ref="B77:T77"/>
    <mergeCell ref="B78:T79"/>
    <mergeCell ref="C74:E74"/>
    <mergeCell ref="F74:J74"/>
    <mergeCell ref="K74:N74"/>
    <mergeCell ref="O74:S74"/>
    <mergeCell ref="F75:G75"/>
    <mergeCell ref="H75:I75"/>
    <mergeCell ref="L75:M75"/>
    <mergeCell ref="O75:P75"/>
    <mergeCell ref="Q75:R75"/>
  </mergeCells>
  <conditionalFormatting sqref="C58">
    <cfRule type="colorScale" priority="1">
      <colorScale>
        <cfvo type="num" val="0.3"/>
        <cfvo type="num" val="0.5"/>
        <cfvo type="num" val="1"/>
        <color theme="9" tint="-0.249977111117893"/>
        <color rgb="FFFFC000"/>
        <color rgb="FFFF0000"/>
      </colorScale>
    </cfRule>
    <cfRule type="colorScale" priority="2">
      <colorScale>
        <cfvo type="min"/>
        <cfvo type="percentile" val="50"/>
        <cfvo type="max"/>
        <color rgb="FFF8696B"/>
        <color rgb="FFFFEB84"/>
        <color rgb="FF63BE7B"/>
      </colorScale>
    </cfRule>
    <cfRule type="colorScale" priority="3">
      <colorScale>
        <cfvo type="num" val="0"/>
        <cfvo type="num" val="1"/>
        <color theme="9"/>
        <color rgb="FFFF0000"/>
      </colorScale>
    </cfRule>
  </conditionalFormatting>
  <conditionalFormatting sqref="C36 F36 I36 L36 O36 S36 W36">
    <cfRule type="colorScale" priority="14">
      <colorScale>
        <cfvo type="num" val="0.3"/>
        <cfvo type="num" val="0.5"/>
        <cfvo type="num" val="1"/>
        <color theme="9" tint="-0.249977111117893"/>
        <color rgb="FFFFC000"/>
        <color rgb="FFFF0000"/>
      </colorScale>
    </cfRule>
    <cfRule type="colorScale" priority="15">
      <colorScale>
        <cfvo type="min"/>
        <cfvo type="percentile" val="50"/>
        <cfvo type="max"/>
        <color rgb="FFF8696B"/>
        <color rgb="FFFFEB84"/>
        <color rgb="FF63BE7B"/>
      </colorScale>
    </cfRule>
    <cfRule type="colorScale" priority="16">
      <colorScale>
        <cfvo type="num" val="0"/>
        <cfvo type="num" val="1"/>
        <color theme="9"/>
        <color rgb="FFFF0000"/>
      </colorScale>
    </cfRule>
  </conditionalFormatting>
  <conditionalFormatting sqref="C46 F46 I46 L46 R46">
    <cfRule type="colorScale" priority="33">
      <colorScale>
        <cfvo type="num" val="0.3"/>
        <cfvo type="num" val="0.5"/>
        <cfvo type="num" val="1"/>
        <color theme="9" tint="-0.249977111117893"/>
        <color rgb="FFFFC000"/>
        <color rgb="FFFF0000"/>
      </colorScale>
    </cfRule>
    <cfRule type="colorScale" priority="34">
      <colorScale>
        <cfvo type="min"/>
        <cfvo type="percentile" val="50"/>
        <cfvo type="max"/>
        <color rgb="FFF8696B"/>
        <color rgb="FFFFEB84"/>
        <color rgb="FF63BE7B"/>
      </colorScale>
    </cfRule>
    <cfRule type="colorScale" priority="35">
      <colorScale>
        <cfvo type="num" val="0"/>
        <cfvo type="num" val="1"/>
        <color theme="9"/>
        <color rgb="FFFF0000"/>
      </colorScale>
    </cfRule>
  </conditionalFormatting>
  <conditionalFormatting sqref="G7">
    <cfRule type="colorScale" priority="30">
      <colorScale>
        <cfvo type="num" val="0.3"/>
        <cfvo type="num" val="0.5"/>
        <cfvo type="num" val="1"/>
        <color theme="9" tint="-0.249977111117893"/>
        <color rgb="FFFFC000"/>
        <color rgb="FFFF0000"/>
      </colorScale>
    </cfRule>
    <cfRule type="colorScale" priority="31">
      <colorScale>
        <cfvo type="min"/>
        <cfvo type="percentile" val="50"/>
        <cfvo type="max"/>
        <color rgb="FFF8696B"/>
        <color rgb="FFFFEB84"/>
        <color rgb="FF63BE7B"/>
      </colorScale>
    </cfRule>
    <cfRule type="colorScale" priority="32">
      <colorScale>
        <cfvo type="num" val="0"/>
        <cfvo type="num" val="1"/>
        <color theme="9"/>
        <color rgb="FFFF0000"/>
      </colorScale>
    </cfRule>
  </conditionalFormatting>
  <conditionalFormatting sqref="G15">
    <cfRule type="colorScale" priority="27">
      <colorScale>
        <cfvo type="num" val="0.3"/>
        <cfvo type="num" val="0.5"/>
        <cfvo type="num" val="1"/>
        <color theme="9" tint="-0.249977111117893"/>
        <color rgb="FFFFC000"/>
        <color rgb="FFFF0000"/>
      </colorScale>
    </cfRule>
    <cfRule type="colorScale" priority="28">
      <colorScale>
        <cfvo type="min"/>
        <cfvo type="percentile" val="50"/>
        <cfvo type="max"/>
        <color rgb="FFF8696B"/>
        <color rgb="FFFFEB84"/>
        <color rgb="FF63BE7B"/>
      </colorScale>
    </cfRule>
    <cfRule type="colorScale" priority="29">
      <colorScale>
        <cfvo type="num" val="0"/>
        <cfvo type="num" val="1"/>
        <color theme="9"/>
        <color rgb="FFFF0000"/>
      </colorScale>
    </cfRule>
  </conditionalFormatting>
  <conditionalFormatting sqref="G21">
    <cfRule type="colorScale" priority="24">
      <colorScale>
        <cfvo type="num" val="0.3"/>
        <cfvo type="num" val="0.5"/>
        <cfvo type="num" val="1"/>
        <color theme="9" tint="-0.249977111117893"/>
        <color rgb="FFFFC000"/>
        <color rgb="FFFF0000"/>
      </colorScale>
    </cfRule>
    <cfRule type="colorScale" priority="25">
      <colorScale>
        <cfvo type="min"/>
        <cfvo type="percentile" val="50"/>
        <cfvo type="max"/>
        <color rgb="FFF8696B"/>
        <color rgb="FFFFEB84"/>
        <color rgb="FF63BE7B"/>
      </colorScale>
    </cfRule>
    <cfRule type="colorScale" priority="26">
      <colorScale>
        <cfvo type="num" val="0"/>
        <cfvo type="num" val="1"/>
        <color theme="9"/>
        <color rgb="FFFF0000"/>
      </colorScale>
    </cfRule>
  </conditionalFormatting>
  <conditionalFormatting sqref="G26">
    <cfRule type="colorScale" priority="20">
      <colorScale>
        <cfvo type="num" val="0"/>
        <cfvo type="percentile" val="0.5"/>
        <cfvo type="num" val="1"/>
        <color rgb="FFFF0000"/>
        <color rgb="FFFFEB84"/>
        <color theme="9"/>
      </colorScale>
    </cfRule>
    <cfRule type="colorScale" priority="21">
      <colorScale>
        <cfvo type="num" val="0.3"/>
        <cfvo type="num" val="0.5"/>
        <cfvo type="num" val="1"/>
        <color rgb="FF63BE7B"/>
        <color rgb="FFFFEB84"/>
        <color rgb="FFF8696B"/>
      </colorScale>
    </cfRule>
    <cfRule type="colorScale" priority="22">
      <colorScale>
        <cfvo type="num" val="0"/>
        <cfvo type="percentile" val="0.5"/>
        <cfvo type="num" val="1"/>
        <color rgb="FFF8696B"/>
        <color rgb="FFFFEB84"/>
        <color rgb="FF63BE7B"/>
      </colorScale>
    </cfRule>
    <cfRule type="colorScale" priority="23">
      <colorScale>
        <cfvo type="num" val="0"/>
        <cfvo type="num" val="1"/>
        <color theme="9"/>
        <color rgb="FFFF0000"/>
      </colorScale>
    </cfRule>
  </conditionalFormatting>
  <conditionalFormatting sqref="G31">
    <cfRule type="colorScale" priority="17">
      <colorScale>
        <cfvo type="num" val="0.3"/>
        <cfvo type="num" val="0.5"/>
        <cfvo type="num" val="1"/>
        <color theme="9" tint="-0.249977111117893"/>
        <color rgb="FFFFC000"/>
        <color rgb="FFFF0000"/>
      </colorScale>
    </cfRule>
    <cfRule type="colorScale" priority="18">
      <colorScale>
        <cfvo type="min"/>
        <cfvo type="percentile" val="50"/>
        <cfvo type="max"/>
        <color rgb="FFF8696B"/>
        <color rgb="FFFFEB84"/>
        <color rgb="FF63BE7B"/>
      </colorScale>
    </cfRule>
    <cfRule type="colorScale" priority="19">
      <colorScale>
        <cfvo type="num" val="0"/>
        <cfvo type="num" val="1"/>
        <color theme="9"/>
        <color rgb="FFFF0000"/>
      </colorScale>
    </cfRule>
  </conditionalFormatting>
  <conditionalFormatting sqref="I64 C64 O64">
    <cfRule type="colorScale" priority="8">
      <colorScale>
        <cfvo type="num" val="0.3"/>
        <cfvo type="num" val="0.5"/>
        <cfvo type="num" val="1"/>
        <color theme="9" tint="-0.249977111117893"/>
        <color rgb="FFFFC000"/>
        <color rgb="FFFF0000"/>
      </colorScale>
    </cfRule>
    <cfRule type="colorScale" priority="9">
      <colorScale>
        <cfvo type="min"/>
        <cfvo type="percentile" val="50"/>
        <cfvo type="max"/>
        <color rgb="FFF8696B"/>
        <color rgb="FFFFEB84"/>
        <color rgb="FF63BE7B"/>
      </colorScale>
    </cfRule>
    <cfRule type="colorScale" priority="10">
      <colorScale>
        <cfvo type="num" val="0"/>
        <cfvo type="num" val="1"/>
        <color theme="9"/>
        <color rgb="FFFF0000"/>
      </colorScale>
    </cfRule>
  </conditionalFormatting>
  <conditionalFormatting sqref="T74">
    <cfRule type="colorScale" priority="4">
      <colorScale>
        <cfvo type="num" val="0"/>
        <cfvo type="percentile" val="0.5"/>
        <cfvo type="num" val="1"/>
        <color rgb="FFFF0000"/>
        <color rgb="FFFFEB84"/>
        <color theme="9"/>
      </colorScale>
    </cfRule>
    <cfRule type="colorScale" priority="5">
      <colorScale>
        <cfvo type="num" val="0.3"/>
        <cfvo type="num" val="0.5"/>
        <cfvo type="num" val="1"/>
        <color rgb="FF63BE7B"/>
        <color rgb="FFFFEB84"/>
        <color rgb="FFF8696B"/>
      </colorScale>
    </cfRule>
    <cfRule type="colorScale" priority="6">
      <colorScale>
        <cfvo type="num" val="0"/>
        <cfvo type="percentile" val="0.5"/>
        <cfvo type="num" val="1"/>
        <color rgb="FFF8696B"/>
        <color rgb="FFFFEB84"/>
        <color rgb="FF63BE7B"/>
      </colorScale>
    </cfRule>
    <cfRule type="colorScale" priority="7">
      <colorScale>
        <cfvo type="num" val="0"/>
        <cfvo type="num" val="1"/>
        <color theme="9"/>
        <color rgb="FFFF0000"/>
      </colorScale>
    </cfRule>
  </conditionalFormatting>
  <conditionalFormatting sqref="V56 I58 O58">
    <cfRule type="colorScale" priority="11">
      <colorScale>
        <cfvo type="num" val="0.3"/>
        <cfvo type="num" val="0.5"/>
        <cfvo type="num" val="1"/>
        <color theme="9" tint="-0.249977111117893"/>
        <color rgb="FFFFC000"/>
        <color rgb="FFFF0000"/>
      </colorScale>
    </cfRule>
    <cfRule type="colorScale" priority="12">
      <colorScale>
        <cfvo type="min"/>
        <cfvo type="percentile" val="50"/>
        <cfvo type="max"/>
        <color rgb="FFF8696B"/>
        <color rgb="FFFFEB84"/>
        <color rgb="FF63BE7B"/>
      </colorScale>
    </cfRule>
    <cfRule type="colorScale" priority="13">
      <colorScale>
        <cfvo type="num" val="0"/>
        <cfvo type="num" val="1"/>
        <color theme="9"/>
        <color rgb="FFFF0000"/>
      </colorScale>
    </cfRule>
  </conditionalFormatting>
  <dataValidations count="4">
    <dataValidation type="list" allowBlank="1" showInputMessage="1" showErrorMessage="1" sqref="S37:V37" xr:uid="{07B0B44A-414F-FA4A-A0C0-36DB0EA2F490}">
      <formula1>$S$39:$V$39</formula1>
    </dataValidation>
    <dataValidation type="list" allowBlank="1" showInputMessage="1" showErrorMessage="1" sqref="O37" xr:uid="{972FA8EF-1F0D-844E-AE05-98BCE9EB2196}">
      <formula1>$O$39:$R$39</formula1>
    </dataValidation>
    <dataValidation type="list" allowBlank="1" showInputMessage="1" showErrorMessage="1" sqref="F47:H48" xr:uid="{A32BF074-CBB7-4049-8578-CA32CFE5D4B1}">
      <formula1>$F$50:$H$50</formula1>
    </dataValidation>
    <dataValidation type="list" allowBlank="1" showInputMessage="1" showErrorMessage="1" sqref="I47:I48" xr:uid="{D30D4468-5888-794B-9953-3F7BF90F1FE3}">
      <formula1>$I$50:$K$50</formula1>
    </dataValidation>
  </dataValidations>
  <pageMargins left="0.7" right="0.7" top="0.75" bottom="0.75" header="0.3" footer="0.3"/>
  <pageSetup paperSize="9" orientation="portrait" horizontalDpi="0"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64149-2B6D-DC4E-9F25-63BB103EFF19}">
  <sheetPr>
    <tabColor theme="1"/>
  </sheetPr>
  <dimension ref="B1:AL85"/>
  <sheetViews>
    <sheetView topLeftCell="C29" zoomScaleNormal="100" workbookViewId="0">
      <selection activeCell="L36" sqref="L36:N36"/>
    </sheetView>
  </sheetViews>
  <sheetFormatPr baseColWidth="10" defaultRowHeight="18" customHeight="1" x14ac:dyDescent="0.2"/>
  <cols>
    <col min="1" max="1" width="3.5" style="5" customWidth="1"/>
    <col min="2" max="2" width="10.83203125" style="7" customWidth="1"/>
    <col min="3" max="3" width="10.83203125" style="1" customWidth="1"/>
    <col min="4" max="4" width="10.83203125" style="3" customWidth="1"/>
    <col min="5" max="5" width="10.83203125" style="4" customWidth="1"/>
    <col min="6" max="6" width="10.83203125" style="2" customWidth="1"/>
    <col min="7" max="11" width="10.83203125" style="1" customWidth="1"/>
    <col min="12" max="12" width="10.83203125" style="12" customWidth="1"/>
    <col min="13" max="13" width="10.83203125" style="9" customWidth="1"/>
    <col min="14" max="18" width="10.83203125" style="1" customWidth="1"/>
    <col min="19" max="22" width="10.83203125" style="5" customWidth="1"/>
    <col min="23" max="23" width="12.5" style="5" bestFit="1" customWidth="1"/>
    <col min="24" max="24" width="11.6640625" style="5" bestFit="1" customWidth="1"/>
    <col min="25" max="25" width="10.83203125" style="5"/>
    <col min="26" max="32" width="10.83203125" style="5" customWidth="1"/>
    <col min="33" max="16384" width="10.83203125" style="5"/>
  </cols>
  <sheetData>
    <row r="1" spans="2:38" ht="37" customHeight="1" x14ac:dyDescent="0.2">
      <c r="B1" s="143" t="s">
        <v>54</v>
      </c>
      <c r="C1" s="144"/>
      <c r="D1" s="144"/>
      <c r="E1" s="144"/>
      <c r="F1" s="144"/>
      <c r="G1" s="144"/>
      <c r="H1" s="145"/>
      <c r="I1" s="44"/>
      <c r="J1" s="26"/>
      <c r="K1" s="26"/>
      <c r="L1" s="26"/>
      <c r="M1" s="26"/>
    </row>
    <row r="2" spans="2:38" ht="23" customHeight="1" x14ac:dyDescent="0.2">
      <c r="B2" s="28" t="s">
        <v>47</v>
      </c>
      <c r="C2" s="146" t="s">
        <v>53</v>
      </c>
      <c r="D2" s="147"/>
      <c r="E2" s="147"/>
      <c r="F2" s="147"/>
      <c r="G2" s="147"/>
      <c r="H2" s="148"/>
      <c r="I2" s="149" t="s">
        <v>51</v>
      </c>
      <c r="J2" s="150"/>
      <c r="K2" s="150"/>
      <c r="L2" s="150"/>
    </row>
    <row r="3" spans="2:38" ht="21" customHeight="1" x14ac:dyDescent="0.2">
      <c r="B3" s="151" t="s">
        <v>56</v>
      </c>
      <c r="C3" s="152"/>
      <c r="D3" s="153"/>
      <c r="E3" s="154" t="s">
        <v>49</v>
      </c>
      <c r="F3" s="154"/>
      <c r="G3" s="154"/>
      <c r="H3" s="154"/>
      <c r="I3" s="26"/>
      <c r="J3" s="26"/>
      <c r="K3" s="26"/>
      <c r="L3" s="26"/>
    </row>
    <row r="4" spans="2:38" ht="21" customHeight="1" x14ac:dyDescent="0.2">
      <c r="B4" s="151" t="s">
        <v>50</v>
      </c>
      <c r="C4" s="152"/>
      <c r="D4" s="153"/>
      <c r="E4" s="40" t="s">
        <v>114</v>
      </c>
      <c r="F4" s="40"/>
      <c r="G4" s="40"/>
      <c r="H4" s="41"/>
      <c r="I4" s="26"/>
      <c r="J4" s="26"/>
      <c r="K4" s="26"/>
      <c r="L4" s="26"/>
    </row>
    <row r="5" spans="2:38" ht="21" customHeight="1" x14ac:dyDescent="0.2">
      <c r="B5" s="158"/>
      <c r="C5" s="159"/>
      <c r="D5" s="159"/>
      <c r="E5" s="42"/>
      <c r="F5" s="42"/>
      <c r="G5" s="42"/>
      <c r="H5" s="43"/>
      <c r="I5" s="26"/>
      <c r="J5" s="26"/>
      <c r="K5" s="26"/>
      <c r="L5" s="26"/>
    </row>
    <row r="6" spans="2:38" ht="21" x14ac:dyDescent="0.2">
      <c r="B6" s="160" t="s">
        <v>40</v>
      </c>
      <c r="C6" s="160"/>
      <c r="D6" s="160"/>
      <c r="E6" s="160"/>
      <c r="F6" s="160"/>
      <c r="G6" s="38" t="s">
        <v>23</v>
      </c>
      <c r="H6" s="39" t="s">
        <v>19</v>
      </c>
      <c r="I6" s="5"/>
      <c r="J6" s="5"/>
      <c r="K6" s="12"/>
      <c r="P6" s="76"/>
    </row>
    <row r="7" spans="2:38" ht="18" customHeight="1" x14ac:dyDescent="0.2">
      <c r="B7" s="140" t="str">
        <f>B34</f>
        <v>Geological factors (G)</v>
      </c>
      <c r="C7" s="140"/>
      <c r="D7" s="140"/>
      <c r="E7" s="140"/>
      <c r="F7" s="140"/>
      <c r="G7" s="27">
        <f>Basel!W36</f>
        <v>0.89583333333333337</v>
      </c>
      <c r="H7" s="11"/>
      <c r="I7" s="5"/>
      <c r="P7" s="77"/>
    </row>
    <row r="8" spans="2:38" ht="18" customHeight="1" x14ac:dyDescent="0.2">
      <c r="B8" s="141" t="str">
        <f>Basel!C35</f>
        <v>Smallest distance to geologically known active or potentially-active faults [km]</v>
      </c>
      <c r="C8" s="141"/>
      <c r="D8" s="141"/>
      <c r="E8" s="141"/>
      <c r="F8" s="141"/>
      <c r="G8" s="19">
        <f>Basel!C36</f>
        <v>0.66666666666666674</v>
      </c>
      <c r="H8" s="10" t="str">
        <f>Basel!C38</f>
        <v>low</v>
      </c>
      <c r="I8" s="5"/>
      <c r="J8" s="5"/>
      <c r="K8" s="5"/>
      <c r="L8" s="5"/>
      <c r="P8" s="78"/>
    </row>
    <row r="9" spans="2:38" ht="18" customHeight="1" x14ac:dyDescent="0.2">
      <c r="B9" s="137" t="str">
        <f>Basel!F35</f>
        <v>Earthquake activities</v>
      </c>
      <c r="C9" s="137"/>
      <c r="D9" s="137"/>
      <c r="E9" s="137"/>
      <c r="F9" s="137"/>
      <c r="G9" s="19">
        <f>Basel!F36</f>
        <v>0.89583333333333337</v>
      </c>
      <c r="H9" s="10" t="str">
        <f>Basel!F38</f>
        <v>medium</v>
      </c>
      <c r="I9" s="5"/>
      <c r="J9" s="5"/>
      <c r="P9" s="78"/>
    </row>
    <row r="10" spans="2:38" ht="18" customHeight="1" x14ac:dyDescent="0.2">
      <c r="B10" s="137" t="str">
        <f>Basel!I35</f>
        <v>Smallest distance to any mapped inactive fault [km]</v>
      </c>
      <c r="C10" s="137"/>
      <c r="D10" s="137"/>
      <c r="E10" s="137"/>
      <c r="F10" s="137"/>
      <c r="G10" s="19">
        <f>Basel!I36</f>
        <v>1</v>
      </c>
      <c r="H10" s="10" t="str">
        <f>Basel!I38</f>
        <v>low</v>
      </c>
      <c r="I10" s="5"/>
      <c r="J10" s="5"/>
    </row>
    <row r="11" spans="2:38" ht="18" customHeight="1" x14ac:dyDescent="0.2">
      <c r="B11" s="141" t="str">
        <f>Basel!O35</f>
        <v>mapped faults’ triggering potential (orientation with active faults)</v>
      </c>
      <c r="C11" s="141"/>
      <c r="D11" s="141"/>
      <c r="E11" s="141"/>
      <c r="F11" s="141"/>
      <c r="G11" s="10">
        <f>Basel!O36</f>
        <v>0.5</v>
      </c>
      <c r="H11" s="10" t="str">
        <f>Basel!O38</f>
        <v>low</v>
      </c>
      <c r="I11" s="5"/>
      <c r="J11" s="5"/>
    </row>
    <row r="12" spans="2:38" ht="18" customHeight="1" x14ac:dyDescent="0.2">
      <c r="B12" s="137" t="str">
        <f>Basel!S35</f>
        <v>Fault or mapped fault plane and reservoir intersection</v>
      </c>
      <c r="C12" s="137"/>
      <c r="D12" s="137"/>
      <c r="E12" s="137"/>
      <c r="F12" s="137"/>
      <c r="G12" s="10">
        <f>Basel!S36</f>
        <v>1</v>
      </c>
      <c r="H12" s="10"/>
      <c r="I12" s="5"/>
      <c r="J12" s="5"/>
      <c r="AA12"/>
      <c r="AB12"/>
      <c r="AC12"/>
      <c r="AD12"/>
      <c r="AE12"/>
      <c r="AF12"/>
      <c r="AG12"/>
      <c r="AH12"/>
      <c r="AI12"/>
      <c r="AJ12"/>
      <c r="AK12"/>
      <c r="AL12"/>
    </row>
    <row r="13" spans="2:38" ht="18" customHeight="1" x14ac:dyDescent="0.2">
      <c r="B13" s="141" t="str">
        <f>Basel!L35</f>
        <v>Longest mapped fault length in the project facility[km]</v>
      </c>
      <c r="C13" s="141"/>
      <c r="D13" s="141"/>
      <c r="E13" s="141"/>
      <c r="F13" s="141"/>
      <c r="G13" s="10">
        <f>Basel!L36</f>
        <v>1</v>
      </c>
      <c r="H13" s="10" t="str">
        <f>Basel!L38</f>
        <v>High</v>
      </c>
      <c r="I13" s="5"/>
      <c r="J13" s="5"/>
      <c r="AB13"/>
      <c r="AC13"/>
      <c r="AD13"/>
      <c r="AE13"/>
      <c r="AF13"/>
      <c r="AG13"/>
      <c r="AH13"/>
      <c r="AI13"/>
      <c r="AJ13"/>
      <c r="AK13"/>
      <c r="AL13"/>
    </row>
    <row r="14" spans="2:38" ht="18" customHeight="1" x14ac:dyDescent="0.2">
      <c r="B14" s="141"/>
      <c r="C14" s="141"/>
      <c r="D14" s="141"/>
      <c r="E14" s="141"/>
      <c r="F14" s="141"/>
      <c r="G14" s="10"/>
      <c r="H14" s="10"/>
      <c r="I14" s="5"/>
      <c r="J14" s="5"/>
      <c r="AA14"/>
      <c r="AB14"/>
      <c r="AC14"/>
      <c r="AD14"/>
      <c r="AE14"/>
      <c r="AF14"/>
      <c r="AG14"/>
      <c r="AH14"/>
      <c r="AI14"/>
      <c r="AJ14"/>
      <c r="AK14"/>
      <c r="AL14"/>
    </row>
    <row r="15" spans="2:38" ht="18" customHeight="1" x14ac:dyDescent="0.2">
      <c r="B15" s="155" t="str">
        <f>B44</f>
        <v>Stimulation factors (O)</v>
      </c>
      <c r="C15" s="156"/>
      <c r="D15" s="156"/>
      <c r="E15" s="156"/>
      <c r="F15" s="157"/>
      <c r="G15" s="27">
        <f>Basel!R46</f>
        <v>1</v>
      </c>
      <c r="H15" s="11"/>
      <c r="I15" s="5"/>
      <c r="J15" s="5"/>
    </row>
    <row r="16" spans="2:38" ht="18" customHeight="1" x14ac:dyDescent="0.2">
      <c r="B16" s="141" t="str">
        <f>Basel!C45</f>
        <v xml:space="preserve">Depth of stimulation </v>
      </c>
      <c r="C16" s="141"/>
      <c r="D16" s="141"/>
      <c r="E16" s="141"/>
      <c r="F16" s="141"/>
      <c r="G16" s="19">
        <f>Basel!C46</f>
        <v>1</v>
      </c>
      <c r="H16" s="10" t="str">
        <f>Basel!C49</f>
        <v>low</v>
      </c>
      <c r="I16" s="5"/>
      <c r="J16" s="5"/>
    </row>
    <row r="17" spans="2:10" ht="18" customHeight="1" x14ac:dyDescent="0.2">
      <c r="B17" s="141" t="str">
        <f>Basel!F45</f>
        <v xml:space="preserve">Rock type </v>
      </c>
      <c r="C17" s="141"/>
      <c r="D17" s="141"/>
      <c r="E17" s="141"/>
      <c r="F17" s="141"/>
      <c r="G17" s="19">
        <f>Basel!F46</f>
        <v>1</v>
      </c>
      <c r="H17" s="10" t="str">
        <f>Basel!F49</f>
        <v>low</v>
      </c>
      <c r="I17" s="5"/>
      <c r="J17" s="5"/>
    </row>
    <row r="18" spans="2:10" ht="18" customHeight="1" x14ac:dyDescent="0.2">
      <c r="B18" s="141" t="str">
        <f>Basel!I45</f>
        <v>Host reservoir original porosity</v>
      </c>
      <c r="C18" s="141"/>
      <c r="D18" s="141"/>
      <c r="E18" s="141"/>
      <c r="F18" s="141"/>
      <c r="G18" s="19">
        <f>Basel!I46</f>
        <v>1</v>
      </c>
      <c r="H18" s="10" t="str">
        <f>Basel!I49</f>
        <v>low</v>
      </c>
      <c r="I18" s="5"/>
      <c r="J18" s="5"/>
    </row>
    <row r="19" spans="2:10" ht="18" customHeight="1" x14ac:dyDescent="0.2">
      <c r="B19" s="141" t="str">
        <f>Basel!L45</f>
        <v>Net injection volume per 100 m times Fluid injection (wellhead) pressure</v>
      </c>
      <c r="C19" s="141"/>
      <c r="D19" s="141"/>
      <c r="E19" s="141"/>
      <c r="F19" s="141"/>
      <c r="G19" s="19">
        <f>Basel!L46</f>
        <v>1</v>
      </c>
      <c r="H19" s="10" t="str">
        <f>Basel!L49</f>
        <v>low</v>
      </c>
      <c r="I19" s="5"/>
      <c r="J19" s="5"/>
    </row>
    <row r="20" spans="2:10" ht="18" customHeight="1" x14ac:dyDescent="0.2">
      <c r="B20" s="141"/>
      <c r="C20" s="141"/>
      <c r="D20" s="141"/>
      <c r="E20" s="141"/>
      <c r="F20" s="141"/>
      <c r="G20" s="19"/>
      <c r="H20" s="10"/>
      <c r="I20" s="5"/>
      <c r="J20" s="5"/>
    </row>
    <row r="21" spans="2:10" s="6" customFormat="1" ht="18" customHeight="1" x14ac:dyDescent="0.2">
      <c r="B21" s="142" t="str">
        <f>B55</f>
        <v>Seismic Exposure factors (E)</v>
      </c>
      <c r="C21" s="142"/>
      <c r="D21" s="142"/>
      <c r="E21" s="142"/>
      <c r="F21" s="142"/>
      <c r="G21" s="27">
        <f>V56</f>
        <v>1</v>
      </c>
      <c r="H21" s="11"/>
    </row>
    <row r="22" spans="2:10" ht="18" customHeight="1" x14ac:dyDescent="0.2">
      <c r="B22" s="137" t="str">
        <f>C57</f>
        <v>Population exposure</v>
      </c>
      <c r="C22" s="137"/>
      <c r="D22" s="137"/>
      <c r="E22" s="137"/>
      <c r="F22" s="137"/>
      <c r="G22" s="10">
        <f>C58</f>
        <v>0.71470518540524142</v>
      </c>
      <c r="H22" s="10" t="s">
        <v>12</v>
      </c>
      <c r="I22" s="5"/>
      <c r="J22" s="5"/>
    </row>
    <row r="23" spans="2:10" ht="18" customHeight="1" x14ac:dyDescent="0.2">
      <c r="B23" s="137" t="str">
        <f>I57</f>
        <v>Economic exposure (ee)</v>
      </c>
      <c r="C23" s="137"/>
      <c r="D23" s="137"/>
      <c r="E23" s="137"/>
      <c r="F23" s="137"/>
      <c r="G23" s="10">
        <f>I58</f>
        <v>0.5</v>
      </c>
      <c r="H23" s="10" t="s">
        <v>12</v>
      </c>
      <c r="I23" s="5"/>
      <c r="J23" s="5"/>
    </row>
    <row r="24" spans="2:10" ht="18" customHeight="1" x14ac:dyDescent="0.2">
      <c r="B24" s="137" t="str">
        <f>O57</f>
        <v>Critical infrastructure exposure (ce)</v>
      </c>
      <c r="C24" s="137"/>
      <c r="D24" s="137"/>
      <c r="E24" s="137"/>
      <c r="F24" s="137"/>
      <c r="G24" s="10">
        <f>O58</f>
        <v>0.5</v>
      </c>
      <c r="H24" s="10" t="s">
        <v>12</v>
      </c>
      <c r="I24" s="5"/>
      <c r="J24" s="5"/>
    </row>
    <row r="25" spans="2:10" ht="18" customHeight="1" x14ac:dyDescent="0.2">
      <c r="B25" s="162" t="s">
        <v>41</v>
      </c>
      <c r="C25" s="162"/>
      <c r="D25" s="162"/>
      <c r="E25" s="162"/>
      <c r="F25" s="162"/>
      <c r="G25" s="36" t="s">
        <v>23</v>
      </c>
      <c r="H25" s="37"/>
      <c r="I25" s="5"/>
      <c r="J25" s="20"/>
    </row>
    <row r="26" spans="2:10" ht="18" customHeight="1" x14ac:dyDescent="0.2">
      <c r="B26" s="140" t="str">
        <f>B72</f>
        <v>Data Quality penalty (Q)</v>
      </c>
      <c r="C26" s="140"/>
      <c r="D26" s="140"/>
      <c r="E26" s="140"/>
      <c r="F26" s="140"/>
      <c r="G26" s="27">
        <f>SUM(G27:G30)/15</f>
        <v>1</v>
      </c>
      <c r="H26" s="11" t="s">
        <v>12</v>
      </c>
      <c r="I26" s="5"/>
      <c r="J26" s="5"/>
    </row>
    <row r="27" spans="2:10" ht="18" customHeight="1" x14ac:dyDescent="0.2">
      <c r="B27" s="137" t="str">
        <f>Basel!C73</f>
        <v>Seismic images (6)</v>
      </c>
      <c r="C27" s="137"/>
      <c r="D27" s="137"/>
      <c r="E27" s="137"/>
      <c r="F27" s="137"/>
      <c r="G27" s="10">
        <f>Basel!C74</f>
        <v>6</v>
      </c>
      <c r="H27" s="10" t="s">
        <v>12</v>
      </c>
      <c r="I27" s="5"/>
      <c r="J27" s="5"/>
    </row>
    <row r="28" spans="2:10" ht="18" customHeight="1" x14ac:dyDescent="0.2">
      <c r="B28" s="137" t="str">
        <f>Basel!F73</f>
        <v>stress field (3)</v>
      </c>
      <c r="C28" s="137"/>
      <c r="D28" s="137"/>
      <c r="E28" s="137"/>
      <c r="F28" s="137"/>
      <c r="G28" s="10">
        <f>Basel!F74</f>
        <v>3</v>
      </c>
      <c r="H28" s="10" t="s">
        <v>12</v>
      </c>
      <c r="I28" s="5"/>
      <c r="J28" s="5"/>
    </row>
    <row r="29" spans="2:10" ht="18" customHeight="1" x14ac:dyDescent="0.2">
      <c r="B29" s="137" t="str">
        <f>Basel!K73</f>
        <v>Geology maps (3)</v>
      </c>
      <c r="C29" s="137"/>
      <c r="D29" s="137"/>
      <c r="E29" s="137"/>
      <c r="F29" s="137"/>
      <c r="G29" s="10">
        <f>Basel!K74</f>
        <v>3</v>
      </c>
      <c r="H29" s="10" t="s">
        <v>12</v>
      </c>
      <c r="I29" s="5">
        <f>( (G7+G15+G21)/3 + MIN(G15,G7,G21))/2 + 1-(G26 + 0.0000001)</f>
        <v>0.93055545555555552</v>
      </c>
      <c r="J29" s="5"/>
    </row>
    <row r="30" spans="2:10" ht="18" customHeight="1" x14ac:dyDescent="0.2">
      <c r="B30" s="137" t="str">
        <f>Basel!O73</f>
        <v>Historical seismicity (3)</v>
      </c>
      <c r="C30" s="137"/>
      <c r="D30" s="137"/>
      <c r="E30" s="137"/>
      <c r="F30" s="137"/>
      <c r="G30" s="10">
        <f>Basel!O74</f>
        <v>3</v>
      </c>
      <c r="H30" s="10" t="s">
        <v>12</v>
      </c>
      <c r="I30" s="5"/>
      <c r="J30" s="5"/>
    </row>
    <row r="31" spans="2:10" ht="18" customHeight="1" x14ac:dyDescent="0.2">
      <c r="B31" s="138" t="s">
        <v>22</v>
      </c>
      <c r="C31" s="139"/>
      <c r="D31" s="29" t="s">
        <v>42</v>
      </c>
      <c r="E31" s="30" t="s">
        <v>43</v>
      </c>
      <c r="F31" s="31" t="s">
        <v>106</v>
      </c>
      <c r="G31" s="27">
        <f>AVERAGE(G15,G7)*G21+ 1-G26</f>
        <v>0.94791666666666674</v>
      </c>
      <c r="H31" s="32"/>
      <c r="I31" s="5"/>
      <c r="J31" s="5"/>
    </row>
    <row r="32" spans="2:10" ht="18" customHeight="1" x14ac:dyDescent="0.2">
      <c r="B32" s="9"/>
      <c r="D32" s="1"/>
      <c r="E32" s="1"/>
      <c r="F32" s="1"/>
      <c r="H32" s="5"/>
      <c r="I32"/>
      <c r="J32" s="5"/>
    </row>
    <row r="33" spans="2:34" ht="18" customHeight="1" x14ac:dyDescent="0.2">
      <c r="B33" s="9"/>
      <c r="D33" s="1"/>
      <c r="E33" s="1"/>
      <c r="F33" s="1"/>
      <c r="H33"/>
      <c r="I33"/>
      <c r="J33" s="5"/>
    </row>
    <row r="34" spans="2:34" ht="18" customHeight="1" x14ac:dyDescent="0.2">
      <c r="B34" s="101" t="s">
        <v>58</v>
      </c>
      <c r="C34" s="102"/>
      <c r="D34" s="102"/>
      <c r="E34" s="102"/>
      <c r="F34" s="102"/>
      <c r="G34" s="102"/>
      <c r="H34" s="102"/>
      <c r="I34" s="102"/>
      <c r="J34" s="102"/>
      <c r="K34" s="102"/>
      <c r="L34" s="102"/>
      <c r="M34" s="102"/>
      <c r="N34" s="102"/>
      <c r="O34" s="102"/>
      <c r="P34" s="102"/>
      <c r="Q34" s="102"/>
      <c r="R34" s="102"/>
      <c r="S34" s="102"/>
      <c r="T34" s="102"/>
      <c r="U34" s="102"/>
      <c r="V34" s="102"/>
      <c r="W34" s="103"/>
    </row>
    <row r="35" spans="2:34" s="21" customFormat="1" ht="67" customHeight="1" x14ac:dyDescent="0.2">
      <c r="B35" s="71" t="s">
        <v>20</v>
      </c>
      <c r="C35" s="128" t="s">
        <v>93</v>
      </c>
      <c r="D35" s="128"/>
      <c r="E35" s="128"/>
      <c r="F35" s="128" t="s">
        <v>94</v>
      </c>
      <c r="G35" s="128"/>
      <c r="H35" s="128"/>
      <c r="I35" s="128" t="s">
        <v>95</v>
      </c>
      <c r="J35" s="128"/>
      <c r="K35" s="128"/>
      <c r="L35" s="128" t="s">
        <v>96</v>
      </c>
      <c r="M35" s="128"/>
      <c r="N35" s="128"/>
      <c r="O35" s="128" t="s">
        <v>97</v>
      </c>
      <c r="P35" s="128"/>
      <c r="Q35" s="128"/>
      <c r="R35" s="128"/>
      <c r="S35" s="128" t="s">
        <v>98</v>
      </c>
      <c r="T35" s="128"/>
      <c r="U35" s="128"/>
      <c r="V35" s="128"/>
      <c r="W35" s="72" t="s">
        <v>75</v>
      </c>
      <c r="X35" s="46"/>
      <c r="Y35" s="46"/>
      <c r="Z35" s="46"/>
      <c r="AA35" s="46"/>
    </row>
    <row r="36" spans="2:34" ht="18" customHeight="1" x14ac:dyDescent="0.2">
      <c r="B36" s="73" t="s">
        <v>14</v>
      </c>
      <c r="C36" s="125">
        <f>MIN(1, 1- MAX(0, (C37-5)/(50-5)))</f>
        <v>0.66666666666666674</v>
      </c>
      <c r="D36" s="126"/>
      <c r="E36" s="127"/>
      <c r="F36" s="125">
        <f>MIN(1, 1- MAX(0, (F37-2)*5/((50-2)*H37)))</f>
        <v>0.89583333333333337</v>
      </c>
      <c r="G36" s="126"/>
      <c r="H36" s="127"/>
      <c r="I36" s="125">
        <f>MAX(MIN(1, 1- MAX(0, (I37-0.1)/(1.5-0.1))),0)</f>
        <v>1</v>
      </c>
      <c r="J36" s="126"/>
      <c r="K36" s="127"/>
      <c r="L36" s="125">
        <v>1</v>
      </c>
      <c r="M36" s="126"/>
      <c r="N36" s="127"/>
      <c r="O36" s="125" cm="1">
        <f t="array" ref="O36">_xlfn.IFS(O37=R39,1,O37=Q39,0.8,O37=P39,0.5,O37=O39,0.2)</f>
        <v>0.5</v>
      </c>
      <c r="P36" s="126"/>
      <c r="Q36" s="126"/>
      <c r="R36" s="127"/>
      <c r="S36" s="125" cm="1">
        <f t="array" ref="S36">_xlfn.IFS(S37=V39,1,S37=U39,0.8,S37=T39,0.5,S37=S39,0.2)</f>
        <v>1</v>
      </c>
      <c r="T36" s="126"/>
      <c r="U36" s="126"/>
      <c r="V36" s="127"/>
      <c r="W36" s="27">
        <f>MAX(MAX(C36:H36),AVERAGE(I36:V36))</f>
        <v>0.89583333333333337</v>
      </c>
      <c r="X36" s="79"/>
      <c r="Y36" s="8"/>
      <c r="Z36" s="8"/>
      <c r="AA36" s="8"/>
    </row>
    <row r="37" spans="2:34" customFormat="1" ht="18" customHeight="1" x14ac:dyDescent="0.2">
      <c r="B37" s="73" t="s">
        <v>26</v>
      </c>
      <c r="C37" s="135">
        <v>20</v>
      </c>
      <c r="D37" s="135"/>
      <c r="E37" s="135"/>
      <c r="F37" s="35">
        <v>5</v>
      </c>
      <c r="H37" s="34">
        <v>3</v>
      </c>
      <c r="I37" s="135">
        <v>0</v>
      </c>
      <c r="J37" s="135"/>
      <c r="K37" s="135"/>
      <c r="L37" s="135">
        <v>10</v>
      </c>
      <c r="M37" s="135"/>
      <c r="N37" s="135"/>
      <c r="O37" s="136" t="s">
        <v>45</v>
      </c>
      <c r="P37" s="136"/>
      <c r="Q37" s="136"/>
      <c r="R37" s="136"/>
      <c r="S37" s="136" t="s">
        <v>46</v>
      </c>
      <c r="T37" s="136"/>
      <c r="U37" s="136"/>
      <c r="V37" s="136"/>
      <c r="W37" s="62"/>
      <c r="X37" s="5"/>
      <c r="Y37" s="5"/>
      <c r="Z37" s="5"/>
      <c r="AA37" s="5"/>
      <c r="AB37" s="5"/>
    </row>
    <row r="38" spans="2:34" ht="18" customHeight="1" x14ac:dyDescent="0.2">
      <c r="B38" s="73" t="s">
        <v>19</v>
      </c>
      <c r="C38" s="128" t="s">
        <v>16</v>
      </c>
      <c r="D38" s="128"/>
      <c r="E38" s="128"/>
      <c r="F38" s="128" t="s">
        <v>27</v>
      </c>
      <c r="G38" s="128"/>
      <c r="H38" s="128"/>
      <c r="I38" s="128" t="s">
        <v>16</v>
      </c>
      <c r="J38" s="128"/>
      <c r="K38" s="128"/>
      <c r="L38" s="128" t="s">
        <v>31</v>
      </c>
      <c r="M38" s="128"/>
      <c r="N38" s="128"/>
      <c r="O38" s="128" t="s">
        <v>16</v>
      </c>
      <c r="P38" s="128"/>
      <c r="Q38" s="128"/>
      <c r="R38" s="128"/>
      <c r="S38" s="128" t="s">
        <v>11</v>
      </c>
      <c r="T38" s="128"/>
      <c r="U38" s="128"/>
      <c r="V38" s="128"/>
      <c r="W38" s="74"/>
      <c r="X38" s="8"/>
      <c r="Y38" s="8"/>
      <c r="Z38" s="8"/>
      <c r="AA38" s="8"/>
    </row>
    <row r="39" spans="2:34" ht="95" customHeight="1" x14ac:dyDescent="0.2">
      <c r="B39" s="45" t="s">
        <v>86</v>
      </c>
      <c r="C39" s="104" t="s">
        <v>99</v>
      </c>
      <c r="D39" s="104"/>
      <c r="E39" s="104"/>
      <c r="F39" s="104" t="s">
        <v>100</v>
      </c>
      <c r="G39" s="104"/>
      <c r="H39" s="104"/>
      <c r="I39" s="17"/>
      <c r="J39" s="16"/>
      <c r="K39" s="18"/>
      <c r="L39" s="17"/>
      <c r="M39" s="16"/>
      <c r="N39" s="18"/>
      <c r="O39" s="3" t="s">
        <v>90</v>
      </c>
      <c r="P39" s="4" t="s">
        <v>45</v>
      </c>
      <c r="Q39" s="33" t="s">
        <v>91</v>
      </c>
      <c r="R39" s="2" t="s">
        <v>92</v>
      </c>
      <c r="S39" s="3" t="s">
        <v>30</v>
      </c>
      <c r="T39" s="4" t="s">
        <v>29</v>
      </c>
      <c r="U39" s="33" t="s">
        <v>28</v>
      </c>
      <c r="V39" s="2" t="s">
        <v>46</v>
      </c>
      <c r="W39" s="62"/>
    </row>
    <row r="40" spans="2:34" ht="18" customHeight="1" x14ac:dyDescent="0.2">
      <c r="B40" s="133" t="s">
        <v>120</v>
      </c>
      <c r="C40" s="88"/>
      <c r="D40" s="88"/>
      <c r="E40" s="88"/>
      <c r="F40" s="90"/>
      <c r="G40" s="90"/>
      <c r="H40" s="90"/>
      <c r="I40" s="92"/>
      <c r="J40" s="92"/>
      <c r="K40" s="92"/>
      <c r="L40" s="92"/>
      <c r="M40" s="92"/>
      <c r="N40" s="92"/>
      <c r="O40" s="107"/>
      <c r="P40" s="107"/>
      <c r="Q40" s="107"/>
      <c r="R40" s="107"/>
      <c r="S40" s="107"/>
      <c r="T40" s="107"/>
      <c r="U40" s="107"/>
      <c r="V40" s="107"/>
      <c r="W40" s="62"/>
    </row>
    <row r="41" spans="2:34" ht="18" customHeight="1" x14ac:dyDescent="0.2">
      <c r="B41" s="134"/>
      <c r="C41" s="89"/>
      <c r="D41" s="89"/>
      <c r="E41" s="89"/>
      <c r="F41" s="91"/>
      <c r="G41" s="91"/>
      <c r="H41" s="91"/>
      <c r="I41" s="93"/>
      <c r="J41" s="93"/>
      <c r="K41" s="93"/>
      <c r="L41" s="93"/>
      <c r="M41" s="93"/>
      <c r="N41" s="93"/>
      <c r="O41" s="108"/>
      <c r="P41" s="108"/>
      <c r="Q41" s="108"/>
      <c r="R41" s="108"/>
      <c r="S41" s="108"/>
      <c r="T41" s="108"/>
      <c r="U41" s="108"/>
      <c r="V41" s="108"/>
      <c r="W41" s="64"/>
    </row>
    <row r="42" spans="2:34" ht="18" customHeight="1" x14ac:dyDescent="0.2">
      <c r="B42"/>
      <c r="C42" s="48"/>
      <c r="D42" s="48"/>
      <c r="E42" s="48"/>
      <c r="F42" s="48"/>
      <c r="G42" s="48"/>
      <c r="H42"/>
      <c r="I42"/>
      <c r="J42"/>
      <c r="K42"/>
      <c r="L42"/>
      <c r="M42"/>
      <c r="N42"/>
      <c r="O42" s="20"/>
      <c r="P42"/>
      <c r="Q42"/>
      <c r="R42"/>
      <c r="S42"/>
      <c r="T42"/>
    </row>
    <row r="44" spans="2:34" ht="19" customHeight="1" x14ac:dyDescent="0.2">
      <c r="B44" s="101" t="s">
        <v>102</v>
      </c>
      <c r="C44" s="102"/>
      <c r="D44" s="102"/>
      <c r="E44" s="102"/>
      <c r="F44" s="102"/>
      <c r="G44" s="102"/>
      <c r="H44" s="102"/>
      <c r="I44" s="102"/>
      <c r="J44" s="102"/>
      <c r="K44" s="102"/>
      <c r="L44" s="102"/>
      <c r="M44" s="102"/>
      <c r="N44" s="102"/>
      <c r="O44" s="102"/>
      <c r="P44" s="102"/>
      <c r="Q44" s="103"/>
      <c r="R44" s="129" t="s">
        <v>82</v>
      </c>
    </row>
    <row r="45" spans="2:34" ht="16" customHeight="1" x14ac:dyDescent="0.2">
      <c r="B45" s="51"/>
      <c r="C45" s="104" t="s">
        <v>103</v>
      </c>
      <c r="D45" s="104"/>
      <c r="E45" s="104"/>
      <c r="F45" s="104" t="s">
        <v>32</v>
      </c>
      <c r="G45" s="104"/>
      <c r="H45" s="104"/>
      <c r="I45" s="104" t="s">
        <v>104</v>
      </c>
      <c r="J45" s="104"/>
      <c r="K45" s="104"/>
      <c r="L45" s="131" t="s">
        <v>105</v>
      </c>
      <c r="M45" s="131"/>
      <c r="N45" s="131"/>
      <c r="O45" s="131"/>
      <c r="P45" s="131"/>
      <c r="Q45" s="132"/>
      <c r="R45" s="130"/>
      <c r="AB45" s="104"/>
      <c r="AC45" s="104"/>
      <c r="AD45" s="104"/>
      <c r="AE45"/>
      <c r="AF45" s="104"/>
      <c r="AG45" s="104"/>
      <c r="AH45" s="104"/>
    </row>
    <row r="46" spans="2:34" s="1" customFormat="1" ht="16" x14ac:dyDescent="0.2">
      <c r="B46" s="73" t="s">
        <v>14</v>
      </c>
      <c r="C46" s="125">
        <f>(MIN(1, MAX(0, (C47-1)/(3-1))))</f>
        <v>1</v>
      </c>
      <c r="D46" s="126"/>
      <c r="E46" s="127"/>
      <c r="F46" s="125" cm="1">
        <f t="array" ref="F46">_xlfn.IFS(F47=H50,1,F47=G50,0.5,F47=F50,0)</f>
        <v>1</v>
      </c>
      <c r="G46" s="126"/>
      <c r="H46" s="127"/>
      <c r="I46" s="125" cm="1">
        <f t="array" ref="I46">_xlfn.IFS(I47=K50,1,I47=J50,0.5,I47=I50,0)</f>
        <v>1</v>
      </c>
      <c r="J46" s="126"/>
      <c r="K46" s="127"/>
      <c r="L46" s="125">
        <f>MIN(1,  MAX(0, (L47*O47/1000-10)/(200-10)))</f>
        <v>1</v>
      </c>
      <c r="M46" s="126"/>
      <c r="N46" s="126"/>
      <c r="O46" s="126"/>
      <c r="P46" s="126"/>
      <c r="Q46" s="127"/>
      <c r="R46" s="27">
        <f>AVERAGE(C46:Q46)</f>
        <v>1</v>
      </c>
      <c r="AA46" s="5"/>
      <c r="AB46" s="104"/>
      <c r="AC46" s="104"/>
      <c r="AD46" s="104"/>
      <c r="AE46"/>
      <c r="AF46" s="104"/>
      <c r="AG46" s="104"/>
      <c r="AH46" s="104"/>
    </row>
    <row r="47" spans="2:34" s="1" customFormat="1" ht="16" x14ac:dyDescent="0.2">
      <c r="B47" s="57" t="s">
        <v>34</v>
      </c>
      <c r="C47" s="94">
        <v>4</v>
      </c>
      <c r="D47" s="94"/>
      <c r="E47" s="94"/>
      <c r="F47" s="94" t="s">
        <v>84</v>
      </c>
      <c r="G47" s="94"/>
      <c r="H47" s="94"/>
      <c r="I47" s="94" t="s">
        <v>15</v>
      </c>
      <c r="J47" s="94"/>
      <c r="K47" s="94"/>
      <c r="L47" s="123">
        <v>11000</v>
      </c>
      <c r="M47" s="123"/>
      <c r="N47" s="123"/>
      <c r="O47" s="124">
        <v>30</v>
      </c>
      <c r="P47" s="124"/>
      <c r="Q47" s="124"/>
      <c r="R47" s="49"/>
      <c r="AA47" s="5"/>
      <c r="AB47" s="104"/>
      <c r="AC47" s="104"/>
      <c r="AD47" s="104"/>
      <c r="AE47"/>
      <c r="AF47" s="104"/>
      <c r="AG47" s="104"/>
      <c r="AH47" s="104"/>
    </row>
    <row r="48" spans="2:34" s="1" customFormat="1" ht="16" x14ac:dyDescent="0.2">
      <c r="B48" s="57"/>
      <c r="C48" s="9"/>
      <c r="D48" s="9"/>
      <c r="E48" s="9"/>
      <c r="F48" s="9"/>
      <c r="G48" s="9"/>
      <c r="H48" s="9"/>
      <c r="I48" s="9"/>
      <c r="J48" s="9"/>
      <c r="K48" s="9"/>
      <c r="L48" s="104">
        <f>L47*O47/1000</f>
        <v>330</v>
      </c>
      <c r="M48" s="104"/>
      <c r="N48" s="104"/>
      <c r="O48" s="104"/>
      <c r="P48" s="104"/>
      <c r="Q48" s="104"/>
      <c r="R48" s="49"/>
      <c r="AA48" s="5"/>
      <c r="AB48" s="9"/>
      <c r="AC48" s="9"/>
      <c r="AD48" s="9"/>
      <c r="AE48"/>
      <c r="AF48" s="9"/>
      <c r="AG48" s="9"/>
      <c r="AH48" s="9"/>
    </row>
    <row r="49" spans="2:33" s="1" customFormat="1" ht="17" customHeight="1" x14ac:dyDescent="0.2">
      <c r="B49" s="57" t="s">
        <v>21</v>
      </c>
      <c r="C49" s="104" t="s">
        <v>16</v>
      </c>
      <c r="D49" s="104"/>
      <c r="E49" s="104"/>
      <c r="F49" s="104" t="s">
        <v>16</v>
      </c>
      <c r="G49" s="104"/>
      <c r="H49" s="104"/>
      <c r="I49" s="104" t="s">
        <v>16</v>
      </c>
      <c r="J49" s="104"/>
      <c r="K49" s="104"/>
      <c r="L49" s="104" t="s">
        <v>16</v>
      </c>
      <c r="M49" s="104"/>
      <c r="N49" s="104"/>
      <c r="O49" s="104" t="s">
        <v>16</v>
      </c>
      <c r="P49" s="104"/>
      <c r="Q49" s="104"/>
      <c r="R49" s="49"/>
      <c r="AA49" s="5"/>
    </row>
    <row r="50" spans="2:33" s="1" customFormat="1" ht="102" customHeight="1" x14ac:dyDescent="0.2">
      <c r="B50" s="69" t="s">
        <v>35</v>
      </c>
      <c r="C50" s="116" t="s">
        <v>101</v>
      </c>
      <c r="D50" s="117"/>
      <c r="E50" s="117"/>
      <c r="F50" s="47" t="s">
        <v>7</v>
      </c>
      <c r="G50" s="14" t="s">
        <v>44</v>
      </c>
      <c r="H50" s="15" t="s">
        <v>84</v>
      </c>
      <c r="I50" s="47" t="s">
        <v>85</v>
      </c>
      <c r="J50" s="14" t="s">
        <v>36</v>
      </c>
      <c r="K50" s="15" t="s">
        <v>15</v>
      </c>
      <c r="L50" s="47" t="s">
        <v>8</v>
      </c>
      <c r="M50" s="70" t="s">
        <v>9</v>
      </c>
      <c r="N50" s="15" t="s">
        <v>10</v>
      </c>
      <c r="O50" s="47" t="s">
        <v>38</v>
      </c>
      <c r="P50" s="70" t="s">
        <v>39</v>
      </c>
      <c r="Q50" s="15" t="s">
        <v>37</v>
      </c>
      <c r="R50" s="50"/>
    </row>
    <row r="51" spans="2:33" s="1" customFormat="1" ht="17" customHeight="1" x14ac:dyDescent="0.2">
      <c r="B51" s="121" t="s">
        <v>120</v>
      </c>
      <c r="C51" s="92"/>
      <c r="D51" s="92"/>
      <c r="E51" s="92"/>
      <c r="F51" s="92"/>
      <c r="G51" s="92"/>
      <c r="H51" s="92"/>
      <c r="I51" s="92"/>
      <c r="J51" s="92"/>
      <c r="K51" s="92"/>
      <c r="L51" s="92"/>
      <c r="M51" s="92"/>
      <c r="N51" s="92"/>
      <c r="O51" s="92"/>
      <c r="P51" s="92"/>
      <c r="Q51" s="92"/>
      <c r="R51" s="49"/>
      <c r="AA51" s="5"/>
    </row>
    <row r="52" spans="2:33" s="1" customFormat="1" ht="17" customHeight="1" x14ac:dyDescent="0.2">
      <c r="B52" s="122"/>
      <c r="C52" s="93"/>
      <c r="D52" s="93"/>
      <c r="E52" s="93"/>
      <c r="F52" s="93"/>
      <c r="G52" s="93"/>
      <c r="H52" s="93"/>
      <c r="I52" s="93"/>
      <c r="J52" s="93"/>
      <c r="K52" s="93"/>
      <c r="L52" s="93"/>
      <c r="M52" s="93"/>
      <c r="N52" s="93"/>
      <c r="O52" s="93"/>
      <c r="P52" s="93"/>
      <c r="Q52" s="93"/>
      <c r="R52" s="49"/>
      <c r="AA52" s="5"/>
    </row>
    <row r="53" spans="2:33" s="1" customFormat="1" ht="18" customHeight="1" x14ac:dyDescent="0.2">
      <c r="B53"/>
      <c r="C53"/>
      <c r="D53"/>
      <c r="E53"/>
      <c r="F53"/>
      <c r="G53"/>
      <c r="H53"/>
      <c r="I53"/>
      <c r="J53"/>
      <c r="K53"/>
      <c r="L53"/>
      <c r="M53"/>
      <c r="N53"/>
      <c r="O53"/>
      <c r="P53"/>
      <c r="Q53"/>
      <c r="S53" s="5"/>
      <c r="T53" s="5"/>
      <c r="U53" s="5"/>
      <c r="V53" s="5"/>
      <c r="W53" s="5"/>
      <c r="X53" s="5"/>
      <c r="Y53" s="5"/>
      <c r="Z53" s="5"/>
      <c r="AA53" s="5"/>
      <c r="AB53" s="5"/>
      <c r="AC53" s="5"/>
      <c r="AD53" s="5"/>
      <c r="AE53" s="5"/>
      <c r="AF53" s="5"/>
      <c r="AG53" s="5"/>
    </row>
    <row r="54" spans="2:33" ht="16" x14ac:dyDescent="0.2">
      <c r="I54" s="2"/>
      <c r="J54" s="2"/>
      <c r="K54" s="2"/>
    </row>
    <row r="55" spans="2:33" ht="18" customHeight="1" x14ac:dyDescent="0.2">
      <c r="B55" s="118" t="s">
        <v>59</v>
      </c>
      <c r="C55" s="119"/>
      <c r="D55" s="119"/>
      <c r="E55" s="119"/>
      <c r="F55" s="119"/>
      <c r="G55" s="119"/>
      <c r="H55" s="119"/>
      <c r="I55" s="119"/>
      <c r="J55" s="119"/>
      <c r="K55" s="119"/>
      <c r="L55" s="119"/>
      <c r="M55" s="119"/>
      <c r="N55" s="119"/>
      <c r="O55" s="119"/>
      <c r="P55" s="119"/>
      <c r="Q55" s="119"/>
      <c r="R55" s="119"/>
      <c r="S55" s="119"/>
      <c r="T55" s="119"/>
      <c r="U55" s="119"/>
      <c r="V55" s="65" t="s">
        <v>13</v>
      </c>
    </row>
    <row r="56" spans="2:33" ht="20" customHeight="1" x14ac:dyDescent="0.2">
      <c r="B56" s="110" t="s">
        <v>115</v>
      </c>
      <c r="C56" s="111"/>
      <c r="D56" s="111"/>
      <c r="E56" s="111"/>
      <c r="F56" s="111"/>
      <c r="G56" s="111"/>
      <c r="H56" s="111"/>
      <c r="I56" s="111"/>
      <c r="J56" s="111"/>
      <c r="K56" s="111"/>
      <c r="L56" s="111"/>
      <c r="M56" s="111"/>
      <c r="N56" s="111"/>
      <c r="O56" s="111"/>
      <c r="P56" s="111"/>
      <c r="Q56" s="111"/>
      <c r="R56" s="111"/>
      <c r="S56" s="111"/>
      <c r="T56" s="111"/>
      <c r="U56" s="120"/>
      <c r="V56" s="27">
        <f>MAX(C58:U58,C64:U64)</f>
        <v>1</v>
      </c>
    </row>
    <row r="57" spans="2:33" ht="20" customHeight="1" x14ac:dyDescent="0.2">
      <c r="B57" s="66"/>
      <c r="C57" s="104" t="s">
        <v>61</v>
      </c>
      <c r="D57" s="104"/>
      <c r="E57" s="104"/>
      <c r="F57" s="104"/>
      <c r="G57" s="104"/>
      <c r="H57" s="104"/>
      <c r="I57" s="104" t="s">
        <v>24</v>
      </c>
      <c r="J57" s="104"/>
      <c r="K57" s="104"/>
      <c r="L57" s="104"/>
      <c r="M57" s="104"/>
      <c r="N57" s="104"/>
      <c r="O57" s="104" t="s">
        <v>25</v>
      </c>
      <c r="P57" s="104"/>
      <c r="Q57" s="104"/>
      <c r="R57" s="104"/>
      <c r="S57" s="104"/>
      <c r="T57" s="104"/>
      <c r="U57" s="104"/>
      <c r="V57" s="62"/>
    </row>
    <row r="58" spans="2:33" ht="16" customHeight="1" x14ac:dyDescent="0.2">
      <c r="B58" s="73" t="s">
        <v>14</v>
      </c>
      <c r="C58" s="112">
        <f>(MIN(1,LOG10(C60+1)/LOG10(100000)*(0.5+0.9*LOG10(F60+1)/LOG10(100))))</f>
        <v>0.71470518540524142</v>
      </c>
      <c r="D58" s="113"/>
      <c r="E58" s="113"/>
      <c r="F58" s="113"/>
      <c r="G58" s="113"/>
      <c r="H58" s="114"/>
      <c r="I58" s="112">
        <f>(MIN(1, MAX(0, (I60)*L60/100/100)))</f>
        <v>0.5</v>
      </c>
      <c r="J58" s="113"/>
      <c r="K58" s="113"/>
      <c r="L58" s="113"/>
      <c r="M58" s="113"/>
      <c r="N58" s="114"/>
      <c r="O58" s="112">
        <f>MAX(O60*Q60+O60*S60 + O60*0.5)</f>
        <v>0.5</v>
      </c>
      <c r="P58" s="113"/>
      <c r="Q58" s="113"/>
      <c r="R58" s="113"/>
      <c r="S58" s="113"/>
      <c r="T58" s="113"/>
      <c r="U58" s="114"/>
      <c r="V58" s="62"/>
    </row>
    <row r="59" spans="2:33" ht="16" x14ac:dyDescent="0.2">
      <c r="B59" s="67"/>
      <c r="C59" s="104" t="s">
        <v>74</v>
      </c>
      <c r="D59" s="104"/>
      <c r="E59" s="104"/>
      <c r="F59" s="104" t="s">
        <v>118</v>
      </c>
      <c r="G59" s="104"/>
      <c r="H59" s="104"/>
      <c r="I59" s="104" t="s">
        <v>124</v>
      </c>
      <c r="J59" s="104"/>
      <c r="K59" s="104"/>
      <c r="L59" s="104" t="s">
        <v>73</v>
      </c>
      <c r="M59" s="104"/>
      <c r="N59" s="104"/>
      <c r="O59" s="104" t="s">
        <v>66</v>
      </c>
      <c r="P59" s="104"/>
      <c r="Q59" s="104" t="s">
        <v>67</v>
      </c>
      <c r="R59" s="104"/>
      <c r="S59" s="104" t="s">
        <v>68</v>
      </c>
      <c r="T59" s="104"/>
      <c r="U59" s="104"/>
      <c r="V59" s="62"/>
    </row>
    <row r="60" spans="2:33" ht="18" customHeight="1" x14ac:dyDescent="0.2">
      <c r="B60" s="57" t="s">
        <v>60</v>
      </c>
      <c r="C60" s="109">
        <v>100000</v>
      </c>
      <c r="D60" s="109"/>
      <c r="E60" s="109"/>
      <c r="F60" s="109">
        <v>2</v>
      </c>
      <c r="G60" s="109"/>
      <c r="H60" s="109"/>
      <c r="I60" s="109">
        <v>1000</v>
      </c>
      <c r="J60" s="109"/>
      <c r="K60" s="109"/>
      <c r="L60" s="109">
        <v>5</v>
      </c>
      <c r="M60" s="109"/>
      <c r="N60" s="109"/>
      <c r="O60" s="109">
        <v>1</v>
      </c>
      <c r="P60" s="109"/>
      <c r="Q60" s="109">
        <v>0</v>
      </c>
      <c r="R60" s="109"/>
      <c r="S60" s="109">
        <v>0</v>
      </c>
      <c r="T60" s="109"/>
      <c r="U60" s="109"/>
      <c r="V60" s="62"/>
    </row>
    <row r="61" spans="2:33" ht="96" customHeight="1" x14ac:dyDescent="0.2">
      <c r="B61" s="58" t="s">
        <v>35</v>
      </c>
      <c r="C61" s="115" t="s">
        <v>63</v>
      </c>
      <c r="D61" s="115"/>
      <c r="E61" s="115"/>
      <c r="F61" s="115" t="s">
        <v>62</v>
      </c>
      <c r="G61" s="115"/>
      <c r="H61" s="115"/>
      <c r="I61" s="115" t="s">
        <v>83</v>
      </c>
      <c r="J61" s="115"/>
      <c r="K61" s="115"/>
      <c r="L61" s="105"/>
      <c r="M61" s="105"/>
      <c r="N61" s="105"/>
      <c r="O61" s="106" t="s">
        <v>65</v>
      </c>
      <c r="P61" s="106"/>
      <c r="Q61" s="106" t="s">
        <v>69</v>
      </c>
      <c r="R61" s="106"/>
      <c r="S61" s="52" t="s">
        <v>72</v>
      </c>
      <c r="T61" s="53" t="s">
        <v>70</v>
      </c>
      <c r="U61" s="54" t="s">
        <v>71</v>
      </c>
      <c r="V61" s="62"/>
    </row>
    <row r="62" spans="2:33" customFormat="1" ht="24" customHeight="1" x14ac:dyDescent="0.2">
      <c r="B62" s="110" t="s">
        <v>116</v>
      </c>
      <c r="C62" s="111"/>
      <c r="D62" s="111"/>
      <c r="E62" s="111"/>
      <c r="F62" s="111"/>
      <c r="G62" s="111"/>
      <c r="H62" s="111"/>
      <c r="I62" s="111"/>
      <c r="J62" s="111"/>
      <c r="K62" s="111"/>
      <c r="L62" s="111"/>
      <c r="M62" s="111"/>
      <c r="N62" s="111"/>
      <c r="O62" s="111"/>
      <c r="P62" s="111"/>
      <c r="Q62" s="111"/>
      <c r="R62" s="111"/>
      <c r="S62" s="111"/>
      <c r="T62" s="111"/>
      <c r="U62" s="111"/>
      <c r="V62" s="62"/>
      <c r="W62" s="5"/>
      <c r="X62" s="5"/>
      <c r="Y62" s="5"/>
      <c r="Z62" s="5"/>
      <c r="AA62" s="5"/>
      <c r="AB62" s="5"/>
      <c r="AC62" s="5"/>
    </row>
    <row r="63" spans="2:33" ht="18" customHeight="1" x14ac:dyDescent="0.2">
      <c r="B63" s="66"/>
      <c r="C63" s="104" t="s">
        <v>61</v>
      </c>
      <c r="D63" s="104"/>
      <c r="E63" s="104"/>
      <c r="F63" s="104"/>
      <c r="G63" s="104"/>
      <c r="H63" s="104"/>
      <c r="I63" s="104" t="s">
        <v>24</v>
      </c>
      <c r="J63" s="104"/>
      <c r="K63" s="104"/>
      <c r="L63" s="104"/>
      <c r="M63" s="104"/>
      <c r="N63" s="104"/>
      <c r="O63" s="104" t="s">
        <v>25</v>
      </c>
      <c r="P63" s="104"/>
      <c r="Q63" s="104"/>
      <c r="R63" s="104"/>
      <c r="S63" s="104"/>
      <c r="T63" s="104"/>
      <c r="U63" s="104"/>
      <c r="V63" s="62"/>
    </row>
    <row r="64" spans="2:33" ht="18" customHeight="1" x14ac:dyDescent="0.2">
      <c r="B64" s="73" t="s">
        <v>14</v>
      </c>
      <c r="C64" s="112">
        <f>(MIN(1,LOG10(C66+1)/LOG10(1000)*(0.5+0.9*LOG10(F66+1)/LOG10(10))))</f>
        <v>1</v>
      </c>
      <c r="D64" s="113"/>
      <c r="E64" s="113"/>
      <c r="F64" s="113"/>
      <c r="G64" s="113"/>
      <c r="H64" s="114"/>
      <c r="I64" s="112">
        <f>(MIN(1, MAX(0, (I66)*L66/100/10)))</f>
        <v>0.5</v>
      </c>
      <c r="J64" s="113"/>
      <c r="K64" s="113"/>
      <c r="L64" s="113"/>
      <c r="M64" s="113"/>
      <c r="N64" s="114"/>
      <c r="O64" s="112">
        <f>MAX(O66*Q66+O66*S66 + O66*0.5)</f>
        <v>0</v>
      </c>
      <c r="P64" s="113"/>
      <c r="Q64" s="113"/>
      <c r="R64" s="113"/>
      <c r="S64" s="113"/>
      <c r="T64" s="113"/>
      <c r="U64" s="114"/>
      <c r="V64" s="62"/>
    </row>
    <row r="65" spans="2:22" ht="18" customHeight="1" x14ac:dyDescent="0.2">
      <c r="B65" s="67"/>
      <c r="C65" s="104" t="s">
        <v>74</v>
      </c>
      <c r="D65" s="104"/>
      <c r="E65" s="104"/>
      <c r="F65" s="104" t="s">
        <v>64</v>
      </c>
      <c r="G65" s="104"/>
      <c r="H65" s="104"/>
      <c r="I65" s="104" t="s">
        <v>124</v>
      </c>
      <c r="J65" s="104"/>
      <c r="K65" s="104"/>
      <c r="L65" s="104" t="s">
        <v>73</v>
      </c>
      <c r="M65" s="104"/>
      <c r="N65" s="104"/>
      <c r="O65" s="104" t="s">
        <v>66</v>
      </c>
      <c r="P65" s="104"/>
      <c r="Q65" s="104" t="s">
        <v>67</v>
      </c>
      <c r="R65" s="104"/>
      <c r="S65" s="104" t="s">
        <v>68</v>
      </c>
      <c r="T65" s="104"/>
      <c r="U65" s="104"/>
      <c r="V65" s="62"/>
    </row>
    <row r="66" spans="2:22" ht="18" customHeight="1" x14ac:dyDescent="0.2">
      <c r="B66" s="57" t="s">
        <v>60</v>
      </c>
      <c r="C66" s="109">
        <v>10000</v>
      </c>
      <c r="D66" s="109"/>
      <c r="E66" s="109"/>
      <c r="F66" s="109">
        <v>2</v>
      </c>
      <c r="G66" s="109"/>
      <c r="H66" s="109"/>
      <c r="I66" s="109">
        <v>100</v>
      </c>
      <c r="J66" s="109"/>
      <c r="K66" s="109"/>
      <c r="L66" s="109">
        <v>5</v>
      </c>
      <c r="M66" s="109"/>
      <c r="N66" s="109"/>
      <c r="O66" s="109">
        <v>0</v>
      </c>
      <c r="P66" s="109"/>
      <c r="Q66" s="109">
        <v>0</v>
      </c>
      <c r="R66" s="109"/>
      <c r="S66" s="109">
        <v>0</v>
      </c>
      <c r="T66" s="109"/>
      <c r="U66" s="109"/>
      <c r="V66" s="62"/>
    </row>
    <row r="67" spans="2:22" ht="77" customHeight="1" x14ac:dyDescent="0.2">
      <c r="B67" s="58" t="s">
        <v>35</v>
      </c>
      <c r="C67" s="105" t="s">
        <v>63</v>
      </c>
      <c r="D67" s="105"/>
      <c r="E67" s="105"/>
      <c r="F67" s="105" t="s">
        <v>77</v>
      </c>
      <c r="G67" s="105"/>
      <c r="H67" s="105"/>
      <c r="I67" s="105" t="s">
        <v>81</v>
      </c>
      <c r="J67" s="105"/>
      <c r="K67" s="105"/>
      <c r="L67" s="105"/>
      <c r="M67" s="105"/>
      <c r="N67" s="105"/>
      <c r="O67" s="106" t="s">
        <v>87</v>
      </c>
      <c r="P67" s="106"/>
      <c r="Q67" s="106" t="s">
        <v>69</v>
      </c>
      <c r="R67" s="106"/>
      <c r="S67" s="52" t="s">
        <v>72</v>
      </c>
      <c r="T67" s="53" t="s">
        <v>88</v>
      </c>
      <c r="U67" s="54" t="s">
        <v>71</v>
      </c>
      <c r="V67" s="62"/>
    </row>
    <row r="68" spans="2:22" ht="18" customHeight="1" x14ac:dyDescent="0.2">
      <c r="B68" s="97" t="s">
        <v>80</v>
      </c>
      <c r="C68" s="98"/>
      <c r="D68" s="98"/>
      <c r="E68" s="98"/>
      <c r="F68" s="98"/>
      <c r="G68" s="98"/>
      <c r="H68" s="98"/>
      <c r="I68" s="98"/>
      <c r="J68" s="98"/>
      <c r="K68" s="98"/>
      <c r="L68" s="98"/>
      <c r="V68" s="62"/>
    </row>
    <row r="69" spans="2:22" ht="18" customHeight="1" x14ac:dyDescent="0.2">
      <c r="B69" s="99" t="s">
        <v>89</v>
      </c>
      <c r="C69" s="100"/>
      <c r="D69" s="100"/>
      <c r="E69" s="100"/>
      <c r="F69" s="100"/>
      <c r="G69" s="100"/>
      <c r="H69" s="100"/>
      <c r="I69" s="100"/>
      <c r="J69" s="100"/>
      <c r="K69" s="100"/>
      <c r="L69" s="100"/>
      <c r="M69" s="68"/>
      <c r="N69" s="13"/>
      <c r="O69" s="13"/>
      <c r="P69" s="13"/>
      <c r="Q69" s="13"/>
      <c r="R69" s="13"/>
      <c r="S69" s="63"/>
      <c r="T69" s="63"/>
      <c r="U69" s="63"/>
      <c r="V69" s="64"/>
    </row>
    <row r="71" spans="2:22" ht="18" customHeight="1" x14ac:dyDescent="0.2">
      <c r="B71" s="55"/>
      <c r="C71" s="55"/>
      <c r="D71" s="55"/>
      <c r="E71" s="55"/>
      <c r="F71" s="55"/>
      <c r="G71" s="55"/>
      <c r="H71" s="55"/>
      <c r="I71" s="55"/>
      <c r="J71" s="55"/>
      <c r="K71" s="55"/>
      <c r="L71" s="55"/>
    </row>
    <row r="72" spans="2:22" ht="18" customHeight="1" x14ac:dyDescent="0.2">
      <c r="B72" s="101" t="s">
        <v>78</v>
      </c>
      <c r="C72" s="102"/>
      <c r="D72" s="102"/>
      <c r="E72" s="102"/>
      <c r="F72" s="102"/>
      <c r="G72" s="102"/>
      <c r="H72" s="102"/>
      <c r="I72" s="102"/>
      <c r="J72" s="102"/>
      <c r="K72" s="102"/>
      <c r="L72" s="102"/>
      <c r="M72" s="102"/>
      <c r="N72" s="102"/>
      <c r="O72" s="102"/>
      <c r="P72" s="102"/>
      <c r="Q72" s="102"/>
      <c r="R72" s="102"/>
      <c r="S72" s="102"/>
      <c r="T72" s="103"/>
    </row>
    <row r="73" spans="2:22" ht="17" customHeight="1" x14ac:dyDescent="0.2">
      <c r="B73" s="51"/>
      <c r="C73" s="104" t="s">
        <v>6</v>
      </c>
      <c r="D73" s="104"/>
      <c r="E73" s="104"/>
      <c r="F73" s="104" t="s">
        <v>5</v>
      </c>
      <c r="G73" s="104"/>
      <c r="H73" s="104"/>
      <c r="I73" s="104"/>
      <c r="J73" s="104"/>
      <c r="K73" s="104" t="s">
        <v>17</v>
      </c>
      <c r="L73" s="104"/>
      <c r="M73" s="104"/>
      <c r="N73" s="104"/>
      <c r="O73" s="104" t="s">
        <v>33</v>
      </c>
      <c r="P73" s="104"/>
      <c r="Q73" s="104"/>
      <c r="R73" s="104"/>
      <c r="S73" s="104"/>
      <c r="T73" s="56" t="s">
        <v>75</v>
      </c>
    </row>
    <row r="74" spans="2:22" ht="16" x14ac:dyDescent="0.2">
      <c r="B74" s="73" t="s">
        <v>14</v>
      </c>
      <c r="C74" s="94">
        <v>6</v>
      </c>
      <c r="D74" s="94"/>
      <c r="E74" s="94"/>
      <c r="F74" s="94">
        <v>3</v>
      </c>
      <c r="G74" s="94"/>
      <c r="H74" s="94"/>
      <c r="I74" s="94"/>
      <c r="J74" s="94"/>
      <c r="K74" s="94">
        <v>3</v>
      </c>
      <c r="L74" s="94"/>
      <c r="M74" s="94"/>
      <c r="N74" s="94"/>
      <c r="O74" s="94">
        <v>3</v>
      </c>
      <c r="P74" s="94"/>
      <c r="Q74" s="94"/>
      <c r="R74" s="94"/>
      <c r="S74" s="94"/>
      <c r="T74" s="75">
        <f>SUM(C74:R74)/(6+3+3+3)</f>
        <v>1</v>
      </c>
    </row>
    <row r="75" spans="2:22" ht="101" customHeight="1" x14ac:dyDescent="0.2">
      <c r="B75" s="58" t="s">
        <v>35</v>
      </c>
      <c r="C75" s="22" t="s">
        <v>0</v>
      </c>
      <c r="D75" s="23" t="s">
        <v>4</v>
      </c>
      <c r="E75" s="24" t="s">
        <v>1</v>
      </c>
      <c r="F75" s="95" t="s">
        <v>107</v>
      </c>
      <c r="G75" s="95"/>
      <c r="H75" s="96" t="s">
        <v>108</v>
      </c>
      <c r="I75" s="96"/>
      <c r="J75" s="24" t="s">
        <v>2</v>
      </c>
      <c r="K75" s="22" t="s">
        <v>110</v>
      </c>
      <c r="L75" s="96" t="s">
        <v>111</v>
      </c>
      <c r="M75" s="96"/>
      <c r="N75" s="24" t="s">
        <v>109</v>
      </c>
      <c r="O75" s="95" t="s">
        <v>112</v>
      </c>
      <c r="P75" s="95"/>
      <c r="Q75" s="96" t="s">
        <v>113</v>
      </c>
      <c r="R75" s="96"/>
      <c r="S75" s="24" t="s">
        <v>18</v>
      </c>
      <c r="T75" s="59"/>
    </row>
    <row r="76" spans="2:22" ht="16" x14ac:dyDescent="0.2">
      <c r="B76" s="60"/>
      <c r="C76" s="25">
        <v>6</v>
      </c>
      <c r="D76" s="25">
        <v>3</v>
      </c>
      <c r="E76" s="25">
        <v>0</v>
      </c>
      <c r="F76" s="25">
        <v>3</v>
      </c>
      <c r="G76" s="25">
        <v>2</v>
      </c>
      <c r="J76" s="25">
        <v>0</v>
      </c>
      <c r="K76" s="25">
        <v>3</v>
      </c>
      <c r="L76" s="81">
        <v>1</v>
      </c>
      <c r="M76" s="81"/>
      <c r="N76" s="25">
        <v>0</v>
      </c>
      <c r="O76" s="81">
        <v>3</v>
      </c>
      <c r="P76" s="81"/>
      <c r="Q76" s="81">
        <v>1</v>
      </c>
      <c r="R76" s="81"/>
      <c r="S76" s="25">
        <v>0</v>
      </c>
      <c r="T76" s="61"/>
    </row>
    <row r="77" spans="2:22" ht="16" customHeight="1" x14ac:dyDescent="0.2">
      <c r="B77" s="82" t="s">
        <v>3</v>
      </c>
      <c r="C77" s="83"/>
      <c r="D77" s="83"/>
      <c r="E77" s="83"/>
      <c r="F77" s="83"/>
      <c r="G77" s="83"/>
      <c r="H77" s="83"/>
      <c r="I77" s="83"/>
      <c r="J77" s="83"/>
      <c r="K77" s="83"/>
      <c r="L77" s="83"/>
      <c r="M77" s="83"/>
      <c r="N77" s="83"/>
      <c r="O77" s="83"/>
      <c r="P77" s="83"/>
      <c r="Q77" s="83"/>
      <c r="R77" s="83"/>
      <c r="S77" s="83"/>
      <c r="T77" s="84"/>
      <c r="U77" s="1"/>
      <c r="V77" s="1"/>
    </row>
    <row r="78" spans="2:22" ht="16" customHeight="1" x14ac:dyDescent="0.2">
      <c r="B78" s="82" t="s">
        <v>79</v>
      </c>
      <c r="C78" s="83"/>
      <c r="D78" s="83"/>
      <c r="E78" s="83"/>
      <c r="F78" s="83"/>
      <c r="G78" s="83"/>
      <c r="H78" s="83"/>
      <c r="I78" s="83"/>
      <c r="J78" s="83"/>
      <c r="K78" s="83"/>
      <c r="L78" s="83"/>
      <c r="M78" s="83"/>
      <c r="N78" s="83"/>
      <c r="O78" s="83"/>
      <c r="P78" s="83"/>
      <c r="Q78" s="83"/>
      <c r="R78" s="83"/>
      <c r="S78" s="83"/>
      <c r="T78" s="84"/>
    </row>
    <row r="79" spans="2:22" ht="16" x14ac:dyDescent="0.2">
      <c r="B79" s="85"/>
      <c r="C79" s="86"/>
      <c r="D79" s="86"/>
      <c r="E79" s="86"/>
      <c r="F79" s="86"/>
      <c r="G79" s="86"/>
      <c r="H79" s="86"/>
      <c r="I79" s="86"/>
      <c r="J79" s="86"/>
      <c r="K79" s="86"/>
      <c r="L79" s="86"/>
      <c r="M79" s="86"/>
      <c r="N79" s="86"/>
      <c r="O79" s="86"/>
      <c r="P79" s="86"/>
      <c r="Q79" s="86"/>
      <c r="R79" s="86"/>
      <c r="S79" s="86"/>
      <c r="T79" s="87"/>
    </row>
    <row r="83" spans="2:7" ht="18" customHeight="1" x14ac:dyDescent="0.2">
      <c r="B83" s="5"/>
      <c r="C83" s="5"/>
      <c r="D83" s="5"/>
      <c r="E83" s="5"/>
      <c r="F83" s="5"/>
      <c r="G83" s="5"/>
    </row>
    <row r="84" spans="2:7" ht="18" customHeight="1" x14ac:dyDescent="0.2">
      <c r="B84" s="5"/>
      <c r="C84" s="5"/>
      <c r="D84" s="5"/>
      <c r="E84" s="5"/>
      <c r="F84" s="5"/>
      <c r="G84" s="5"/>
    </row>
    <row r="85" spans="2:7" ht="18" customHeight="1" x14ac:dyDescent="0.2">
      <c r="B85" s="5"/>
      <c r="C85" s="5"/>
      <c r="D85" s="5"/>
      <c r="E85" s="5"/>
      <c r="F85" s="5"/>
      <c r="G85" s="5"/>
    </row>
  </sheetData>
  <sheetProtection selectLockedCells="1"/>
  <mergeCells count="176">
    <mergeCell ref="B72:T72"/>
    <mergeCell ref="B14:F14"/>
    <mergeCell ref="B16:F16"/>
    <mergeCell ref="B5:D5"/>
    <mergeCell ref="B6:F6"/>
    <mergeCell ref="B7:F7"/>
    <mergeCell ref="B8:F8"/>
    <mergeCell ref="B9:F9"/>
    <mergeCell ref="B10:F10"/>
    <mergeCell ref="B68:L68"/>
    <mergeCell ref="I57:N57"/>
    <mergeCell ref="F60:H60"/>
    <mergeCell ref="B40:B41"/>
    <mergeCell ref="C40:E41"/>
    <mergeCell ref="F40:H41"/>
    <mergeCell ref="I40:K41"/>
    <mergeCell ref="L40:N41"/>
    <mergeCell ref="O40:R41"/>
    <mergeCell ref="S40:V41"/>
    <mergeCell ref="B51:B52"/>
    <mergeCell ref="C51:E52"/>
    <mergeCell ref="F51:H52"/>
    <mergeCell ref="I51:K52"/>
    <mergeCell ref="L51:N52"/>
    <mergeCell ref="B1:H1"/>
    <mergeCell ref="C2:H2"/>
    <mergeCell ref="S35:V35"/>
    <mergeCell ref="B29:F29"/>
    <mergeCell ref="B30:F30"/>
    <mergeCell ref="B31:C31"/>
    <mergeCell ref="C35:E35"/>
    <mergeCell ref="F35:H35"/>
    <mergeCell ref="I35:K35"/>
    <mergeCell ref="B34:W34"/>
    <mergeCell ref="B23:F23"/>
    <mergeCell ref="B24:F24"/>
    <mergeCell ref="B25:F25"/>
    <mergeCell ref="B26:F26"/>
    <mergeCell ref="B27:F27"/>
    <mergeCell ref="B28:F28"/>
    <mergeCell ref="I2:L2"/>
    <mergeCell ref="B3:D3"/>
    <mergeCell ref="E3:H3"/>
    <mergeCell ref="B4:D4"/>
    <mergeCell ref="B11:F11"/>
    <mergeCell ref="B12:F12"/>
    <mergeCell ref="B13:F13"/>
    <mergeCell ref="AB46:AD46"/>
    <mergeCell ref="AF46:AH46"/>
    <mergeCell ref="C47:E47"/>
    <mergeCell ref="F47:H47"/>
    <mergeCell ref="I47:K47"/>
    <mergeCell ref="O47:Q47"/>
    <mergeCell ref="AB45:AD45"/>
    <mergeCell ref="AF45:AH45"/>
    <mergeCell ref="R44:R45"/>
    <mergeCell ref="C45:E45"/>
    <mergeCell ref="F45:H45"/>
    <mergeCell ref="I45:K45"/>
    <mergeCell ref="B44:Q44"/>
    <mergeCell ref="C46:E46"/>
    <mergeCell ref="F46:H46"/>
    <mergeCell ref="AB47:AD47"/>
    <mergeCell ref="AF47:AH47"/>
    <mergeCell ref="L46:Q46"/>
    <mergeCell ref="L45:Q45"/>
    <mergeCell ref="L47:N47"/>
    <mergeCell ref="C60:E60"/>
    <mergeCell ref="I59:K59"/>
    <mergeCell ref="C61:E61"/>
    <mergeCell ref="B62:U62"/>
    <mergeCell ref="O63:U63"/>
    <mergeCell ref="C67:E67"/>
    <mergeCell ref="F67:H67"/>
    <mergeCell ref="I67:K67"/>
    <mergeCell ref="L67:N67"/>
    <mergeCell ref="O67:P67"/>
    <mergeCell ref="Q67:R67"/>
    <mergeCell ref="C66:E66"/>
    <mergeCell ref="F66:H66"/>
    <mergeCell ref="I66:K66"/>
    <mergeCell ref="S59:U59"/>
    <mergeCell ref="C63:H63"/>
    <mergeCell ref="I63:N63"/>
    <mergeCell ref="L66:N66"/>
    <mergeCell ref="O66:P66"/>
    <mergeCell ref="Q66:R66"/>
    <mergeCell ref="C49:E49"/>
    <mergeCell ref="F49:H49"/>
    <mergeCell ref="I49:K49"/>
    <mergeCell ref="L49:N49"/>
    <mergeCell ref="O49:Q49"/>
    <mergeCell ref="C59:E59"/>
    <mergeCell ref="F59:H59"/>
    <mergeCell ref="C57:H57"/>
    <mergeCell ref="L59:N59"/>
    <mergeCell ref="Q59:R59"/>
    <mergeCell ref="O59:P59"/>
    <mergeCell ref="C58:H58"/>
    <mergeCell ref="I58:N58"/>
    <mergeCell ref="O58:U58"/>
    <mergeCell ref="O57:U57"/>
    <mergeCell ref="B56:U56"/>
    <mergeCell ref="B55:U55"/>
    <mergeCell ref="C50:E50"/>
    <mergeCell ref="O51:Q52"/>
    <mergeCell ref="C74:E74"/>
    <mergeCell ref="C73:E73"/>
    <mergeCell ref="L76:M76"/>
    <mergeCell ref="O75:P75"/>
    <mergeCell ref="O76:P76"/>
    <mergeCell ref="Q75:R75"/>
    <mergeCell ref="Q76:R76"/>
    <mergeCell ref="O74:S74"/>
    <mergeCell ref="F74:J74"/>
    <mergeCell ref="H75:I75"/>
    <mergeCell ref="F75:G75"/>
    <mergeCell ref="L75:M75"/>
    <mergeCell ref="K74:N74"/>
    <mergeCell ref="F73:J73"/>
    <mergeCell ref="K73:N73"/>
    <mergeCell ref="O73:S73"/>
    <mergeCell ref="B77:T77"/>
    <mergeCell ref="B78:T79"/>
    <mergeCell ref="B69:L69"/>
    <mergeCell ref="O60:P60"/>
    <mergeCell ref="Q60:R60"/>
    <mergeCell ref="S60:U60"/>
    <mergeCell ref="L60:N60"/>
    <mergeCell ref="I60:K60"/>
    <mergeCell ref="C64:H64"/>
    <mergeCell ref="I64:N64"/>
    <mergeCell ref="O64:U64"/>
    <mergeCell ref="S66:U66"/>
    <mergeCell ref="C65:E65"/>
    <mergeCell ref="F65:H65"/>
    <mergeCell ref="I65:K65"/>
    <mergeCell ref="L65:N65"/>
    <mergeCell ref="O65:P65"/>
    <mergeCell ref="Q65:R65"/>
    <mergeCell ref="S65:U65"/>
    <mergeCell ref="F61:H61"/>
    <mergeCell ref="I61:K61"/>
    <mergeCell ref="L61:N61"/>
    <mergeCell ref="O61:P61"/>
    <mergeCell ref="Q61:R61"/>
    <mergeCell ref="S36:V36"/>
    <mergeCell ref="C39:E39"/>
    <mergeCell ref="F39:H39"/>
    <mergeCell ref="S38:V38"/>
    <mergeCell ref="C37:E37"/>
    <mergeCell ref="I37:K37"/>
    <mergeCell ref="L37:N37"/>
    <mergeCell ref="O37:R37"/>
    <mergeCell ref="S37:V37"/>
    <mergeCell ref="C38:E38"/>
    <mergeCell ref="F38:H38"/>
    <mergeCell ref="I38:K38"/>
    <mergeCell ref="L38:N38"/>
    <mergeCell ref="O38:R38"/>
    <mergeCell ref="L48:Q48"/>
    <mergeCell ref="B15:F15"/>
    <mergeCell ref="I46:K46"/>
    <mergeCell ref="C36:E36"/>
    <mergeCell ref="F36:H36"/>
    <mergeCell ref="I36:K36"/>
    <mergeCell ref="L36:N36"/>
    <mergeCell ref="O36:R36"/>
    <mergeCell ref="L35:N35"/>
    <mergeCell ref="O35:R35"/>
    <mergeCell ref="B17:F17"/>
    <mergeCell ref="B18:F18"/>
    <mergeCell ref="B19:F19"/>
    <mergeCell ref="B20:F20"/>
    <mergeCell ref="B21:F21"/>
    <mergeCell ref="B22:F22"/>
  </mergeCells>
  <conditionalFormatting sqref="C36 F36 I36 L36 O36 S36 W36">
    <cfRule type="colorScale" priority="20">
      <colorScale>
        <cfvo type="num" val="0.3"/>
        <cfvo type="num" val="0.5"/>
        <cfvo type="num" val="1"/>
        <color theme="9" tint="-0.249977111117893"/>
        <color rgb="FFFFC000"/>
        <color rgb="FFFF0000"/>
      </colorScale>
    </cfRule>
    <cfRule type="colorScale" priority="21">
      <colorScale>
        <cfvo type="min"/>
        <cfvo type="percentile" val="50"/>
        <cfvo type="max"/>
        <color rgb="FFF8696B"/>
        <color rgb="FFFFEB84"/>
        <color rgb="FF63BE7B"/>
      </colorScale>
    </cfRule>
    <cfRule type="colorScale" priority="22">
      <colorScale>
        <cfvo type="num" val="0"/>
        <cfvo type="num" val="1"/>
        <color theme="9"/>
        <color rgb="FFFF0000"/>
      </colorScale>
    </cfRule>
  </conditionalFormatting>
  <conditionalFormatting sqref="C58">
    <cfRule type="colorScale" priority="1">
      <colorScale>
        <cfvo type="num" val="0.3"/>
        <cfvo type="num" val="0.5"/>
        <cfvo type="num" val="1"/>
        <color theme="9" tint="-0.249977111117893"/>
        <color rgb="FFFFC000"/>
        <color rgb="FFFF0000"/>
      </colorScale>
    </cfRule>
    <cfRule type="colorScale" priority="2">
      <colorScale>
        <cfvo type="min"/>
        <cfvo type="percentile" val="50"/>
        <cfvo type="max"/>
        <color rgb="FFF8696B"/>
        <color rgb="FFFFEB84"/>
        <color rgb="FF63BE7B"/>
      </colorScale>
    </cfRule>
    <cfRule type="colorScale" priority="3">
      <colorScale>
        <cfvo type="num" val="0"/>
        <cfvo type="num" val="1"/>
        <color theme="9"/>
        <color rgb="FFFF0000"/>
      </colorScale>
    </cfRule>
  </conditionalFormatting>
  <conditionalFormatting sqref="C46 F46 I46 L46 R46">
    <cfRule type="colorScale" priority="42">
      <colorScale>
        <cfvo type="num" val="0.3"/>
        <cfvo type="num" val="0.5"/>
        <cfvo type="num" val="1"/>
        <color theme="9" tint="-0.249977111117893"/>
        <color rgb="FFFFC000"/>
        <color rgb="FFFF0000"/>
      </colorScale>
    </cfRule>
    <cfRule type="colorScale" priority="43">
      <colorScale>
        <cfvo type="min"/>
        <cfvo type="percentile" val="50"/>
        <cfvo type="max"/>
        <color rgb="FFF8696B"/>
        <color rgb="FFFFEB84"/>
        <color rgb="FF63BE7B"/>
      </colorScale>
    </cfRule>
    <cfRule type="colorScale" priority="44">
      <colorScale>
        <cfvo type="num" val="0"/>
        <cfvo type="num" val="1"/>
        <color theme="9"/>
        <color rgb="FFFF0000"/>
      </colorScale>
    </cfRule>
  </conditionalFormatting>
  <conditionalFormatting sqref="G7">
    <cfRule type="colorScale" priority="36">
      <colorScale>
        <cfvo type="num" val="0.3"/>
        <cfvo type="num" val="0.5"/>
        <cfvo type="num" val="1"/>
        <color theme="9" tint="-0.249977111117893"/>
        <color rgb="FFFFC000"/>
        <color rgb="FFFF0000"/>
      </colorScale>
    </cfRule>
    <cfRule type="colorScale" priority="37">
      <colorScale>
        <cfvo type="min"/>
        <cfvo type="percentile" val="50"/>
        <cfvo type="max"/>
        <color rgb="FFF8696B"/>
        <color rgb="FFFFEB84"/>
        <color rgb="FF63BE7B"/>
      </colorScale>
    </cfRule>
    <cfRule type="colorScale" priority="38">
      <colorScale>
        <cfvo type="num" val="0"/>
        <cfvo type="num" val="1"/>
        <color theme="9"/>
        <color rgb="FFFF0000"/>
      </colorScale>
    </cfRule>
  </conditionalFormatting>
  <conditionalFormatting sqref="G15">
    <cfRule type="colorScale" priority="33">
      <colorScale>
        <cfvo type="num" val="0.3"/>
        <cfvo type="num" val="0.5"/>
        <cfvo type="num" val="1"/>
        <color theme="9" tint="-0.249977111117893"/>
        <color rgb="FFFFC000"/>
        <color rgb="FFFF0000"/>
      </colorScale>
    </cfRule>
    <cfRule type="colorScale" priority="34">
      <colorScale>
        <cfvo type="min"/>
        <cfvo type="percentile" val="50"/>
        <cfvo type="max"/>
        <color rgb="FFF8696B"/>
        <color rgb="FFFFEB84"/>
        <color rgb="FF63BE7B"/>
      </colorScale>
    </cfRule>
    <cfRule type="colorScale" priority="35">
      <colorScale>
        <cfvo type="num" val="0"/>
        <cfvo type="num" val="1"/>
        <color theme="9"/>
        <color rgb="FFFF0000"/>
      </colorScale>
    </cfRule>
  </conditionalFormatting>
  <conditionalFormatting sqref="G21">
    <cfRule type="colorScale" priority="30">
      <colorScale>
        <cfvo type="num" val="0.3"/>
        <cfvo type="num" val="0.5"/>
        <cfvo type="num" val="1"/>
        <color theme="9" tint="-0.249977111117893"/>
        <color rgb="FFFFC000"/>
        <color rgb="FFFF0000"/>
      </colorScale>
    </cfRule>
    <cfRule type="colorScale" priority="31">
      <colorScale>
        <cfvo type="min"/>
        <cfvo type="percentile" val="50"/>
        <cfvo type="max"/>
        <color rgb="FFF8696B"/>
        <color rgb="FFFFEB84"/>
        <color rgb="FF63BE7B"/>
      </colorScale>
    </cfRule>
    <cfRule type="colorScale" priority="32">
      <colorScale>
        <cfvo type="num" val="0"/>
        <cfvo type="num" val="1"/>
        <color theme="9"/>
        <color rgb="FFFF0000"/>
      </colorScale>
    </cfRule>
  </conditionalFormatting>
  <conditionalFormatting sqref="G26">
    <cfRule type="colorScale" priority="26">
      <colorScale>
        <cfvo type="num" val="0"/>
        <cfvo type="percentile" val="0.5"/>
        <cfvo type="num" val="1"/>
        <color rgb="FFFF0000"/>
        <color rgb="FFFFEB84"/>
        <color theme="9"/>
      </colorScale>
    </cfRule>
    <cfRule type="colorScale" priority="27">
      <colorScale>
        <cfvo type="num" val="0.3"/>
        <cfvo type="num" val="0.5"/>
        <cfvo type="num" val="1"/>
        <color rgb="FF63BE7B"/>
        <color rgb="FFFFEB84"/>
        <color rgb="FFF8696B"/>
      </colorScale>
    </cfRule>
    <cfRule type="colorScale" priority="28">
      <colorScale>
        <cfvo type="num" val="0"/>
        <cfvo type="percentile" val="0.5"/>
        <cfvo type="num" val="1"/>
        <color rgb="FFF8696B"/>
        <color rgb="FFFFEB84"/>
        <color rgb="FF63BE7B"/>
      </colorScale>
    </cfRule>
    <cfRule type="colorScale" priority="29">
      <colorScale>
        <cfvo type="num" val="0"/>
        <cfvo type="num" val="1"/>
        <color theme="9"/>
        <color rgb="FFFF0000"/>
      </colorScale>
    </cfRule>
  </conditionalFormatting>
  <conditionalFormatting sqref="G31">
    <cfRule type="colorScale" priority="23">
      <colorScale>
        <cfvo type="num" val="0.3"/>
        <cfvo type="num" val="0.5"/>
        <cfvo type="num" val="1"/>
        <color theme="9" tint="-0.249977111117893"/>
        <color rgb="FFFFC000"/>
        <color rgb="FFFF0000"/>
      </colorScale>
    </cfRule>
    <cfRule type="colorScale" priority="24">
      <colorScale>
        <cfvo type="min"/>
        <cfvo type="percentile" val="50"/>
        <cfvo type="max"/>
        <color rgb="FFF8696B"/>
        <color rgb="FFFFEB84"/>
        <color rgb="FF63BE7B"/>
      </colorScale>
    </cfRule>
    <cfRule type="colorScale" priority="25">
      <colorScale>
        <cfvo type="num" val="0"/>
        <cfvo type="num" val="1"/>
        <color theme="9"/>
        <color rgb="FFFF0000"/>
      </colorScale>
    </cfRule>
  </conditionalFormatting>
  <conditionalFormatting sqref="I64 C64 O64">
    <cfRule type="colorScale" priority="8">
      <colorScale>
        <cfvo type="num" val="0.3"/>
        <cfvo type="num" val="0.5"/>
        <cfvo type="num" val="1"/>
        <color theme="9" tint="-0.249977111117893"/>
        <color rgb="FFFFC000"/>
        <color rgb="FFFF0000"/>
      </colorScale>
    </cfRule>
    <cfRule type="colorScale" priority="9">
      <colorScale>
        <cfvo type="min"/>
        <cfvo type="percentile" val="50"/>
        <cfvo type="max"/>
        <color rgb="FFF8696B"/>
        <color rgb="FFFFEB84"/>
        <color rgb="FF63BE7B"/>
      </colorScale>
    </cfRule>
    <cfRule type="colorScale" priority="10">
      <colorScale>
        <cfvo type="num" val="0"/>
        <cfvo type="num" val="1"/>
        <color theme="9"/>
        <color rgb="FFFF0000"/>
      </colorScale>
    </cfRule>
  </conditionalFormatting>
  <conditionalFormatting sqref="T74">
    <cfRule type="colorScale" priority="4">
      <colorScale>
        <cfvo type="num" val="0"/>
        <cfvo type="percentile" val="0.5"/>
        <cfvo type="num" val="1"/>
        <color rgb="FFFF0000"/>
        <color rgb="FFFFEB84"/>
        <color theme="9"/>
      </colorScale>
    </cfRule>
    <cfRule type="colorScale" priority="5">
      <colorScale>
        <cfvo type="num" val="0.3"/>
        <cfvo type="num" val="0.5"/>
        <cfvo type="num" val="1"/>
        <color rgb="FF63BE7B"/>
        <color rgb="FFFFEB84"/>
        <color rgb="FFF8696B"/>
      </colorScale>
    </cfRule>
    <cfRule type="colorScale" priority="6">
      <colorScale>
        <cfvo type="num" val="0"/>
        <cfvo type="percentile" val="0.5"/>
        <cfvo type="num" val="1"/>
        <color rgb="FFF8696B"/>
        <color rgb="FFFFEB84"/>
        <color rgb="FF63BE7B"/>
      </colorScale>
    </cfRule>
    <cfRule type="colorScale" priority="7">
      <colorScale>
        <cfvo type="num" val="0"/>
        <cfvo type="num" val="1"/>
        <color theme="9"/>
        <color rgb="FFFF0000"/>
      </colorScale>
    </cfRule>
  </conditionalFormatting>
  <conditionalFormatting sqref="V56 I58 O58">
    <cfRule type="colorScale" priority="11">
      <colorScale>
        <cfvo type="num" val="0.3"/>
        <cfvo type="num" val="0.5"/>
        <cfvo type="num" val="1"/>
        <color theme="9" tint="-0.249977111117893"/>
        <color rgb="FFFFC000"/>
        <color rgb="FFFF0000"/>
      </colorScale>
    </cfRule>
    <cfRule type="colorScale" priority="12">
      <colorScale>
        <cfvo type="min"/>
        <cfvo type="percentile" val="50"/>
        <cfvo type="max"/>
        <color rgb="FFF8696B"/>
        <color rgb="FFFFEB84"/>
        <color rgb="FF63BE7B"/>
      </colorScale>
    </cfRule>
    <cfRule type="colorScale" priority="13">
      <colorScale>
        <cfvo type="num" val="0"/>
        <cfvo type="num" val="1"/>
        <color theme="9"/>
        <color rgb="FFFF0000"/>
      </colorScale>
    </cfRule>
  </conditionalFormatting>
  <dataValidations count="4">
    <dataValidation type="list" allowBlank="1" showInputMessage="1" showErrorMessage="1" sqref="I47:I48" xr:uid="{B20E6CBF-C609-7F42-B178-D873371FD883}">
      <formula1>$I$50:$K$50</formula1>
    </dataValidation>
    <dataValidation type="list" allowBlank="1" showInputMessage="1" showErrorMessage="1" sqref="F47:H48" xr:uid="{5B839295-A1F9-4045-AF19-B27589429B12}">
      <formula1>$F$50:$H$50</formula1>
    </dataValidation>
    <dataValidation type="list" allowBlank="1" showInputMessage="1" showErrorMessage="1" sqref="O37" xr:uid="{F4AAF3F5-8758-E746-B1AD-2A3708FF503D}">
      <formula1>$O$39:$R$39</formula1>
    </dataValidation>
    <dataValidation type="list" allowBlank="1" showInputMessage="1" showErrorMessage="1" sqref="S37:V37" xr:uid="{EB902F53-72F4-7540-AEE9-426B6CBB5499}">
      <formula1>$S$39:$V$39</formula1>
    </dataValidation>
  </dataValidations>
  <pageMargins left="0.7" right="0.7" top="0.75" bottom="0.75" header="0.3" footer="0.3"/>
  <pageSetup paperSize="9" orientation="portrait" horizontalDpi="0"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54C5-2D53-6C48-A52D-E172BC1FB6F5}">
  <sheetPr>
    <tabColor theme="1"/>
  </sheetPr>
  <dimension ref="B1:AL102"/>
  <sheetViews>
    <sheetView tabSelected="1" topLeftCell="A80" zoomScaleNormal="100" workbookViewId="0">
      <selection activeCell="L100" sqref="L100:M100"/>
    </sheetView>
  </sheetViews>
  <sheetFormatPr baseColWidth="10" defaultRowHeight="18" customHeight="1" x14ac:dyDescent="0.2"/>
  <cols>
    <col min="1" max="1" width="3.5" style="5" customWidth="1"/>
    <col min="2" max="2" width="10.83203125" style="7" customWidth="1"/>
    <col min="3" max="3" width="10.83203125" style="1" customWidth="1"/>
    <col min="4" max="4" width="10.83203125" style="3" customWidth="1"/>
    <col min="5" max="5" width="10.83203125" style="4" customWidth="1"/>
    <col min="6" max="6" width="10.83203125" style="2" customWidth="1"/>
    <col min="7" max="11" width="10.83203125" style="1" customWidth="1"/>
    <col min="12" max="12" width="10.83203125" style="12" customWidth="1"/>
    <col min="13" max="13" width="10.83203125" style="9" customWidth="1"/>
    <col min="14" max="18" width="10.83203125" style="1" customWidth="1"/>
    <col min="19" max="22" width="10.83203125" style="5" customWidth="1"/>
    <col min="23" max="23" width="12.5" style="5" bestFit="1" customWidth="1"/>
    <col min="24" max="24" width="11.6640625" style="5" bestFit="1" customWidth="1"/>
    <col min="25" max="25" width="10.83203125" style="5"/>
    <col min="26" max="32" width="10.83203125" style="5" customWidth="1"/>
    <col min="33" max="16384" width="10.83203125" style="5"/>
  </cols>
  <sheetData>
    <row r="1" spans="2:38" ht="37" customHeight="1" x14ac:dyDescent="0.2">
      <c r="B1" s="143" t="s">
        <v>54</v>
      </c>
      <c r="C1" s="144"/>
      <c r="D1" s="144"/>
      <c r="E1" s="144"/>
      <c r="F1" s="144"/>
      <c r="G1" s="144"/>
      <c r="H1" s="145"/>
      <c r="I1" s="44"/>
      <c r="J1" s="26"/>
      <c r="K1" s="26"/>
      <c r="L1" s="26"/>
      <c r="M1" s="26"/>
    </row>
    <row r="2" spans="2:38" ht="23" customHeight="1" x14ac:dyDescent="0.2">
      <c r="B2" s="28" t="s">
        <v>47</v>
      </c>
      <c r="C2" s="146" t="s">
        <v>125</v>
      </c>
      <c r="D2" s="147"/>
      <c r="E2" s="147"/>
      <c r="F2" s="147"/>
      <c r="G2" s="147"/>
      <c r="H2" s="148"/>
      <c r="I2" s="149" t="s">
        <v>51</v>
      </c>
      <c r="J2" s="150"/>
      <c r="K2" s="150"/>
      <c r="L2" s="150"/>
    </row>
    <row r="3" spans="2:38" ht="21" customHeight="1" x14ac:dyDescent="0.2">
      <c r="B3" s="151" t="s">
        <v>56</v>
      </c>
      <c r="C3" s="152"/>
      <c r="D3" s="153"/>
      <c r="E3" s="154"/>
      <c r="F3" s="154"/>
      <c r="G3" s="154"/>
      <c r="H3" s="154"/>
      <c r="I3" s="26"/>
      <c r="J3" s="26"/>
      <c r="K3" s="26"/>
      <c r="L3" s="26"/>
    </row>
    <row r="4" spans="2:38" ht="21" customHeight="1" x14ac:dyDescent="0.2">
      <c r="B4" s="151" t="s">
        <v>50</v>
      </c>
      <c r="C4" s="152"/>
      <c r="D4" s="153"/>
      <c r="E4" s="40"/>
      <c r="F4" s="40"/>
      <c r="G4" s="40"/>
      <c r="H4" s="41"/>
      <c r="I4" s="26"/>
      <c r="J4" s="26"/>
      <c r="K4" s="26"/>
      <c r="L4" s="26"/>
    </row>
    <row r="5" spans="2:38" ht="21" customHeight="1" x14ac:dyDescent="0.2">
      <c r="B5" s="158"/>
      <c r="C5" s="159"/>
      <c r="D5" s="159"/>
      <c r="E5" s="42"/>
      <c r="F5" s="42"/>
      <c r="G5" s="42"/>
      <c r="H5" s="43"/>
      <c r="I5" s="26"/>
      <c r="J5" s="26"/>
      <c r="K5" s="26"/>
      <c r="L5" s="26"/>
    </row>
    <row r="6" spans="2:38" ht="21" x14ac:dyDescent="0.2">
      <c r="B6" s="160" t="s">
        <v>40</v>
      </c>
      <c r="C6" s="160"/>
      <c r="D6" s="160"/>
      <c r="E6" s="160"/>
      <c r="F6" s="160"/>
      <c r="G6" s="38" t="s">
        <v>23</v>
      </c>
      <c r="H6" s="39" t="s">
        <v>19</v>
      </c>
      <c r="I6" s="5"/>
      <c r="J6" s="5"/>
      <c r="K6" s="12"/>
      <c r="P6" s="76"/>
    </row>
    <row r="7" spans="2:38" ht="18" customHeight="1" x14ac:dyDescent="0.2">
      <c r="B7" s="140" t="str">
        <f>B34</f>
        <v>Geological factors (G)</v>
      </c>
      <c r="C7" s="140"/>
      <c r="D7" s="140"/>
      <c r="E7" s="140"/>
      <c r="F7" s="140"/>
      <c r="G7" s="27">
        <f>HauteSorne!W36</f>
        <v>0.89583333333333337</v>
      </c>
      <c r="H7" s="11"/>
      <c r="I7" s="5"/>
      <c r="P7" s="77"/>
    </row>
    <row r="8" spans="2:38" ht="18" customHeight="1" x14ac:dyDescent="0.2">
      <c r="B8" s="141" t="str">
        <f>HauteSorne!C35</f>
        <v>Smallest distance to geologically known active or potentially-active faults [km]</v>
      </c>
      <c r="C8" s="141"/>
      <c r="D8" s="141"/>
      <c r="E8" s="141"/>
      <c r="F8" s="141"/>
      <c r="G8" s="19">
        <f>HauteSorne!C36</f>
        <v>0.66666666666666674</v>
      </c>
      <c r="H8" s="10" t="str">
        <f>HauteSorne!C38</f>
        <v>low</v>
      </c>
      <c r="I8" s="5"/>
      <c r="J8" s="5"/>
      <c r="K8" s="5"/>
      <c r="L8" s="5"/>
      <c r="P8" s="78"/>
    </row>
    <row r="9" spans="2:38" ht="18" customHeight="1" x14ac:dyDescent="0.2">
      <c r="B9" s="137" t="str">
        <f>HauteSorne!F35</f>
        <v>Earthquake activities</v>
      </c>
      <c r="C9" s="137"/>
      <c r="D9" s="137"/>
      <c r="E9" s="137"/>
      <c r="F9" s="137"/>
      <c r="G9" s="19">
        <f>HauteSorne!F36</f>
        <v>0.89583333333333337</v>
      </c>
      <c r="H9" s="10" t="str">
        <f>HauteSorne!F38</f>
        <v>medium</v>
      </c>
      <c r="I9" s="5"/>
      <c r="J9" s="5"/>
      <c r="P9" s="78"/>
    </row>
    <row r="10" spans="2:38" ht="18" customHeight="1" x14ac:dyDescent="0.2">
      <c r="B10" s="137" t="str">
        <f>HauteSorne!I35</f>
        <v>Smallest distance to any mapped inactive fault [km]</v>
      </c>
      <c r="C10" s="137"/>
      <c r="D10" s="137"/>
      <c r="E10" s="137"/>
      <c r="F10" s="137"/>
      <c r="G10" s="19">
        <f>HauteSorne!I36</f>
        <v>1</v>
      </c>
      <c r="H10" s="10" t="str">
        <f>HauteSorne!I38</f>
        <v>low</v>
      </c>
      <c r="I10" s="5"/>
      <c r="J10" s="5"/>
    </row>
    <row r="11" spans="2:38" ht="18" customHeight="1" x14ac:dyDescent="0.2">
      <c r="B11" s="141" t="str">
        <f>HauteSorne!O35</f>
        <v>mapped faults’ triggering potential (orientation with active faults)</v>
      </c>
      <c r="C11" s="141"/>
      <c r="D11" s="141"/>
      <c r="E11" s="141"/>
      <c r="F11" s="141"/>
      <c r="G11" s="10">
        <f>HauteSorne!O36</f>
        <v>0.5</v>
      </c>
      <c r="H11" s="10" t="str">
        <f>HauteSorne!O38</f>
        <v>low</v>
      </c>
      <c r="I11" s="5"/>
      <c r="J11" s="5"/>
    </row>
    <row r="12" spans="2:38" ht="18" customHeight="1" x14ac:dyDescent="0.2">
      <c r="B12" s="137" t="str">
        <f>HauteSorne!S35</f>
        <v>Fault or mapped fault plane and reservoir intersection</v>
      </c>
      <c r="C12" s="137"/>
      <c r="D12" s="137"/>
      <c r="E12" s="137"/>
      <c r="F12" s="137"/>
      <c r="G12" s="10">
        <f>HauteSorne!S36</f>
        <v>1</v>
      </c>
      <c r="H12" s="10"/>
      <c r="I12" s="5"/>
      <c r="J12" s="5"/>
      <c r="AA12"/>
      <c r="AB12"/>
      <c r="AC12"/>
      <c r="AD12"/>
      <c r="AE12"/>
      <c r="AF12"/>
      <c r="AG12"/>
      <c r="AH12"/>
      <c r="AI12"/>
      <c r="AJ12"/>
      <c r="AK12"/>
      <c r="AL12"/>
    </row>
    <row r="13" spans="2:38" ht="18" customHeight="1" x14ac:dyDescent="0.2">
      <c r="B13" s="141" t="str">
        <f>HauteSorne!L35</f>
        <v>Longest mapped fault length in the project facility[km]</v>
      </c>
      <c r="C13" s="141"/>
      <c r="D13" s="141"/>
      <c r="E13" s="141"/>
      <c r="F13" s="141"/>
      <c r="G13" s="10">
        <f>HauteSorne!L36</f>
        <v>1</v>
      </c>
      <c r="H13" s="10" t="str">
        <f>HauteSorne!L38</f>
        <v>High</v>
      </c>
      <c r="I13" s="5"/>
      <c r="J13" s="5"/>
      <c r="AB13"/>
      <c r="AC13"/>
      <c r="AD13"/>
      <c r="AE13"/>
      <c r="AF13"/>
      <c r="AG13"/>
      <c r="AH13"/>
      <c r="AI13"/>
      <c r="AJ13"/>
      <c r="AK13"/>
      <c r="AL13"/>
    </row>
    <row r="14" spans="2:38" ht="18" customHeight="1" x14ac:dyDescent="0.2">
      <c r="B14" s="141"/>
      <c r="C14" s="141"/>
      <c r="D14" s="141"/>
      <c r="E14" s="141"/>
      <c r="F14" s="141"/>
      <c r="G14" s="10"/>
      <c r="H14" s="10"/>
      <c r="I14" s="5"/>
      <c r="J14" s="5"/>
      <c r="AA14"/>
      <c r="AB14"/>
      <c r="AC14"/>
      <c r="AD14"/>
      <c r="AE14"/>
      <c r="AF14"/>
      <c r="AG14"/>
      <c r="AH14"/>
      <c r="AI14"/>
      <c r="AJ14"/>
      <c r="AK14"/>
      <c r="AL14"/>
    </row>
    <row r="15" spans="2:38" ht="18" customHeight="1" x14ac:dyDescent="0.2">
      <c r="B15" s="155" t="str">
        <f>B44</f>
        <v>Stimulation factors (O)</v>
      </c>
      <c r="C15" s="156"/>
      <c r="D15" s="156"/>
      <c r="E15" s="156"/>
      <c r="F15" s="157"/>
      <c r="G15" s="27">
        <f>HauteSorne!R46</f>
        <v>0.77631578947368418</v>
      </c>
      <c r="H15" s="11"/>
      <c r="I15" s="5"/>
      <c r="J15" s="5"/>
    </row>
    <row r="16" spans="2:38" ht="18" customHeight="1" x14ac:dyDescent="0.2">
      <c r="B16" s="141" t="str">
        <f>HauteSorne!C45</f>
        <v xml:space="preserve">Depth of stimulation </v>
      </c>
      <c r="C16" s="141"/>
      <c r="D16" s="141"/>
      <c r="E16" s="141"/>
      <c r="F16" s="141"/>
      <c r="G16" s="19">
        <f>HauteSorne!C46</f>
        <v>1</v>
      </c>
      <c r="H16" s="10" t="str">
        <f>HauteSorne!C49</f>
        <v>low</v>
      </c>
      <c r="I16" s="5"/>
      <c r="J16" s="5"/>
    </row>
    <row r="17" spans="2:10" ht="18" customHeight="1" x14ac:dyDescent="0.2">
      <c r="B17" s="141" t="str">
        <f>HauteSorne!F45</f>
        <v xml:space="preserve">Rock type </v>
      </c>
      <c r="C17" s="141"/>
      <c r="D17" s="141"/>
      <c r="E17" s="141"/>
      <c r="F17" s="141"/>
      <c r="G17" s="19">
        <f>HauteSorne!F46</f>
        <v>1</v>
      </c>
      <c r="H17" s="10" t="str">
        <f>HauteSorne!F49</f>
        <v>low</v>
      </c>
      <c r="I17" s="5"/>
      <c r="J17" s="5"/>
    </row>
    <row r="18" spans="2:10" ht="18" customHeight="1" x14ac:dyDescent="0.2">
      <c r="B18" s="141" t="str">
        <f>HauteSorne!I45</f>
        <v>Host reservoir original porosity</v>
      </c>
      <c r="C18" s="141"/>
      <c r="D18" s="141"/>
      <c r="E18" s="141"/>
      <c r="F18" s="141"/>
      <c r="G18" s="19">
        <f>HauteSorne!I46</f>
        <v>1</v>
      </c>
      <c r="H18" s="10" t="str">
        <f>HauteSorne!I49</f>
        <v>low</v>
      </c>
      <c r="I18" s="5"/>
      <c r="J18" s="5"/>
    </row>
    <row r="19" spans="2:10" ht="18" customHeight="1" x14ac:dyDescent="0.2">
      <c r="B19" s="141" t="str">
        <f>HauteSorne!L45</f>
        <v>Net injection volume per 100 m times Fluid injection (wellhead) pressure</v>
      </c>
      <c r="C19" s="141"/>
      <c r="D19" s="141"/>
      <c r="E19" s="141"/>
      <c r="F19" s="141"/>
      <c r="G19" s="19">
        <f>HauteSorne!L46</f>
        <v>0.10526315789473684</v>
      </c>
      <c r="H19" s="10" t="str">
        <f>HauteSorne!L49</f>
        <v>low</v>
      </c>
      <c r="I19" s="5"/>
      <c r="J19" s="5"/>
    </row>
    <row r="20" spans="2:10" ht="18" customHeight="1" x14ac:dyDescent="0.2">
      <c r="B20" s="141"/>
      <c r="C20" s="141"/>
      <c r="D20" s="141"/>
      <c r="E20" s="141"/>
      <c r="F20" s="141"/>
      <c r="G20" s="19"/>
      <c r="H20" s="10"/>
      <c r="I20" s="5"/>
      <c r="J20" s="5"/>
    </row>
    <row r="21" spans="2:10" s="6" customFormat="1" ht="18" customHeight="1" x14ac:dyDescent="0.2">
      <c r="B21" s="142" t="str">
        <f>B55</f>
        <v>Seismic Exposure factors (E)</v>
      </c>
      <c r="C21" s="142"/>
      <c r="D21" s="142"/>
      <c r="E21" s="142"/>
      <c r="F21" s="142"/>
      <c r="G21" s="27">
        <f>V56</f>
        <v>0.77103854344665146</v>
      </c>
      <c r="H21" s="11"/>
    </row>
    <row r="22" spans="2:10" ht="18" customHeight="1" x14ac:dyDescent="0.2">
      <c r="B22" s="137" t="str">
        <f>C57</f>
        <v>Population exposure</v>
      </c>
      <c r="C22" s="137"/>
      <c r="D22" s="137"/>
      <c r="E22" s="137"/>
      <c r="F22" s="137"/>
      <c r="G22" s="10">
        <f>C58</f>
        <v>0.71470518540524142</v>
      </c>
      <c r="H22" s="10" t="s">
        <v>12</v>
      </c>
      <c r="I22" s="5"/>
      <c r="J22" s="5"/>
    </row>
    <row r="23" spans="2:10" ht="18" customHeight="1" x14ac:dyDescent="0.2">
      <c r="B23" s="137" t="str">
        <f>I57</f>
        <v>Economic exposure (ee)</v>
      </c>
      <c r="C23" s="137"/>
      <c r="D23" s="137"/>
      <c r="E23" s="137"/>
      <c r="F23" s="137"/>
      <c r="G23" s="10">
        <f>I58</f>
        <v>0.5</v>
      </c>
      <c r="H23" s="10" t="s">
        <v>12</v>
      </c>
      <c r="I23" s="5"/>
      <c r="J23" s="5"/>
    </row>
    <row r="24" spans="2:10" ht="18" customHeight="1" x14ac:dyDescent="0.2">
      <c r="B24" s="137" t="str">
        <f>O57</f>
        <v>Critical infrastructure exposure (ce)</v>
      </c>
      <c r="C24" s="137"/>
      <c r="D24" s="137"/>
      <c r="E24" s="137"/>
      <c r="F24" s="137"/>
      <c r="G24" s="10">
        <f>O58</f>
        <v>0.5</v>
      </c>
      <c r="H24" s="10" t="s">
        <v>12</v>
      </c>
      <c r="I24" s="5"/>
      <c r="J24" s="5"/>
    </row>
    <row r="25" spans="2:10" ht="18" customHeight="1" x14ac:dyDescent="0.2">
      <c r="B25" s="162" t="s">
        <v>41</v>
      </c>
      <c r="C25" s="162"/>
      <c r="D25" s="162"/>
      <c r="E25" s="162"/>
      <c r="F25" s="162"/>
      <c r="G25" s="36" t="s">
        <v>23</v>
      </c>
      <c r="H25" s="37"/>
      <c r="I25" s="5"/>
      <c r="J25" s="20"/>
    </row>
    <row r="26" spans="2:10" ht="18" customHeight="1" x14ac:dyDescent="0.2">
      <c r="B26" s="140" t="str">
        <f>B76</f>
        <v>Data Quality penalty (Q)</v>
      </c>
      <c r="C26" s="140"/>
      <c r="D26" s="140"/>
      <c r="E26" s="140"/>
      <c r="F26" s="140"/>
      <c r="G26" s="27">
        <f>SUM(G27:G30)/15</f>
        <v>1</v>
      </c>
      <c r="H26" s="11" t="s">
        <v>12</v>
      </c>
      <c r="I26" s="5"/>
      <c r="J26" s="5"/>
    </row>
    <row r="27" spans="2:10" ht="18" customHeight="1" x14ac:dyDescent="0.2">
      <c r="B27" s="137" t="str">
        <f>HauteSorne!C77</f>
        <v>Seismic images (6)</v>
      </c>
      <c r="C27" s="137"/>
      <c r="D27" s="137"/>
      <c r="E27" s="137"/>
      <c r="F27" s="137"/>
      <c r="G27" s="10">
        <f>HauteSorne!C78</f>
        <v>6</v>
      </c>
      <c r="H27" s="10" t="s">
        <v>12</v>
      </c>
      <c r="I27" s="5"/>
      <c r="J27" s="5"/>
    </row>
    <row r="28" spans="2:10" ht="18" customHeight="1" x14ac:dyDescent="0.2">
      <c r="B28" s="137" t="str">
        <f>HauteSorne!F77</f>
        <v>stress field (3)</v>
      </c>
      <c r="C28" s="137"/>
      <c r="D28" s="137"/>
      <c r="E28" s="137"/>
      <c r="F28" s="137"/>
      <c r="G28" s="10">
        <f>HauteSorne!F78</f>
        <v>3</v>
      </c>
      <c r="H28" s="10" t="s">
        <v>12</v>
      </c>
      <c r="I28" s="5"/>
      <c r="J28" s="5"/>
    </row>
    <row r="29" spans="2:10" ht="18" customHeight="1" x14ac:dyDescent="0.2">
      <c r="B29" s="137" t="str">
        <f>HauteSorne!K77</f>
        <v>Geology maps (3)</v>
      </c>
      <c r="C29" s="137"/>
      <c r="D29" s="137"/>
      <c r="E29" s="137"/>
      <c r="F29" s="137"/>
      <c r="G29" s="10">
        <f>HauteSorne!K78</f>
        <v>3</v>
      </c>
      <c r="H29" s="10" t="s">
        <v>12</v>
      </c>
      <c r="I29" s="5">
        <f>( (G7+G15+G21)/3 + MIN(G15,G7,G21))/2 + 1-(G26 + 0.0000001)</f>
        <v>0.79271711609893725</v>
      </c>
      <c r="J29" s="5"/>
    </row>
    <row r="30" spans="2:10" ht="18" customHeight="1" x14ac:dyDescent="0.2">
      <c r="B30" s="137" t="str">
        <f>HauteSorne!O77</f>
        <v>Historical seismicity (3)</v>
      </c>
      <c r="C30" s="137"/>
      <c r="D30" s="137"/>
      <c r="E30" s="137"/>
      <c r="F30" s="137"/>
      <c r="G30" s="10">
        <f>HauteSorne!O78</f>
        <v>3</v>
      </c>
      <c r="H30" s="10" t="s">
        <v>12</v>
      </c>
      <c r="I30" s="5"/>
      <c r="J30" s="5"/>
    </row>
    <row r="31" spans="2:10" ht="18" customHeight="1" x14ac:dyDescent="0.2">
      <c r="B31" s="138" t="s">
        <v>22</v>
      </c>
      <c r="C31" s="139"/>
      <c r="D31" s="29" t="s">
        <v>42</v>
      </c>
      <c r="E31" s="30" t="s">
        <v>43</v>
      </c>
      <c r="F31" s="31" t="s">
        <v>106</v>
      </c>
      <c r="G31" s="27">
        <f>AVERAGE(G15,G7)*G21+ 1-G26</f>
        <v>0.64464571203735943</v>
      </c>
      <c r="H31" s="32"/>
      <c r="I31" s="5"/>
      <c r="J31" s="5"/>
    </row>
    <row r="32" spans="2:10" ht="18" customHeight="1" x14ac:dyDescent="0.2">
      <c r="B32" s="9"/>
      <c r="D32" s="1"/>
      <c r="E32" s="1"/>
      <c r="F32" s="1"/>
      <c r="H32" s="5"/>
      <c r="I32"/>
      <c r="J32" s="5"/>
    </row>
    <row r="33" spans="2:34" ht="18" customHeight="1" x14ac:dyDescent="0.2">
      <c r="B33" s="9"/>
      <c r="D33" s="1"/>
      <c r="E33" s="1"/>
      <c r="F33" s="1"/>
      <c r="H33"/>
      <c r="I33"/>
      <c r="J33" s="5"/>
    </row>
    <row r="34" spans="2:34" ht="18" customHeight="1" x14ac:dyDescent="0.2">
      <c r="B34" s="163" t="s">
        <v>58</v>
      </c>
      <c r="C34" s="163"/>
      <c r="D34" s="163"/>
      <c r="E34" s="163"/>
      <c r="F34" s="163"/>
      <c r="G34" s="163"/>
      <c r="H34" s="163"/>
      <c r="I34" s="163"/>
      <c r="J34" s="163"/>
      <c r="K34" s="163"/>
      <c r="L34" s="163"/>
      <c r="M34" s="163"/>
      <c r="N34" s="163"/>
      <c r="O34" s="163"/>
      <c r="P34" s="163"/>
      <c r="Q34" s="163"/>
      <c r="R34" s="163"/>
      <c r="S34" s="163"/>
      <c r="T34" s="163"/>
      <c r="U34" s="163"/>
      <c r="V34" s="163"/>
      <c r="W34" s="163"/>
    </row>
    <row r="35" spans="2:34" s="21" customFormat="1" ht="67" customHeight="1" x14ac:dyDescent="0.2">
      <c r="B35" s="201" t="s">
        <v>20</v>
      </c>
      <c r="C35" s="202" t="s">
        <v>93</v>
      </c>
      <c r="D35" s="202"/>
      <c r="E35" s="202"/>
      <c r="F35" s="202" t="s">
        <v>94</v>
      </c>
      <c r="G35" s="202"/>
      <c r="H35" s="202"/>
      <c r="I35" s="202" t="s">
        <v>95</v>
      </c>
      <c r="J35" s="202"/>
      <c r="K35" s="202"/>
      <c r="L35" s="202" t="s">
        <v>96</v>
      </c>
      <c r="M35" s="202"/>
      <c r="N35" s="202"/>
      <c r="O35" s="202" t="s">
        <v>97</v>
      </c>
      <c r="P35" s="202"/>
      <c r="Q35" s="202"/>
      <c r="R35" s="202"/>
      <c r="S35" s="202" t="s">
        <v>98</v>
      </c>
      <c r="T35" s="202"/>
      <c r="U35" s="202"/>
      <c r="V35" s="202"/>
      <c r="W35" s="203" t="s">
        <v>75</v>
      </c>
      <c r="X35" s="46"/>
      <c r="Y35" s="46"/>
      <c r="Z35" s="46"/>
      <c r="AA35" s="46"/>
    </row>
    <row r="36" spans="2:34" ht="18" customHeight="1" x14ac:dyDescent="0.2">
      <c r="B36" s="167" t="s">
        <v>14</v>
      </c>
      <c r="C36" s="192">
        <f>MIN(1, 1- MAX(0, (C37-5)/(50-5)))</f>
        <v>0.66666666666666674</v>
      </c>
      <c r="D36" s="192"/>
      <c r="E36" s="192"/>
      <c r="F36" s="192">
        <f>MIN(1, 1- MAX(0, (F37-2)*5/((50-2)*H37)))</f>
        <v>0.89583333333333337</v>
      </c>
      <c r="G36" s="192"/>
      <c r="H36" s="192"/>
      <c r="I36" s="192">
        <f>MAX(MIN(1, 1- MAX(0, (I37-0.1)/(1.5-0.1))),0)</f>
        <v>1</v>
      </c>
      <c r="J36" s="192"/>
      <c r="K36" s="192"/>
      <c r="L36" s="192">
        <v>1</v>
      </c>
      <c r="M36" s="192"/>
      <c r="N36" s="192"/>
      <c r="O36" s="192" cm="1">
        <f t="array" ref="O36">_xlfn.IFS(O37=R39,1,O37=Q39,0.8,O37=P39,0.5,O37=O39,0.2)</f>
        <v>0.5</v>
      </c>
      <c r="P36" s="192"/>
      <c r="Q36" s="192"/>
      <c r="R36" s="192"/>
      <c r="S36" s="192" cm="1">
        <f t="array" ref="S36">_xlfn.IFS(S37=V39,1,S37=U39,0.8,S37=T39,0.5,S37=S39,0.2)</f>
        <v>1</v>
      </c>
      <c r="T36" s="192"/>
      <c r="U36" s="192"/>
      <c r="V36" s="192"/>
      <c r="W36" s="27">
        <f>MAX(MAX(C36:H36),AVERAGE(I36:V36))</f>
        <v>0.89583333333333337</v>
      </c>
      <c r="X36" s="79"/>
      <c r="Y36" s="8"/>
      <c r="Z36" s="8"/>
      <c r="AA36" s="8"/>
    </row>
    <row r="37" spans="2:34" customFormat="1" ht="18" customHeight="1" x14ac:dyDescent="0.2">
      <c r="B37" s="167" t="s">
        <v>26</v>
      </c>
      <c r="C37" s="204">
        <v>20</v>
      </c>
      <c r="D37" s="204"/>
      <c r="E37" s="204"/>
      <c r="F37" s="205">
        <v>5</v>
      </c>
      <c r="G37" s="176"/>
      <c r="H37" s="206">
        <v>3</v>
      </c>
      <c r="I37" s="204">
        <v>0</v>
      </c>
      <c r="J37" s="204"/>
      <c r="K37" s="204"/>
      <c r="L37" s="204">
        <v>10</v>
      </c>
      <c r="M37" s="204"/>
      <c r="N37" s="204"/>
      <c r="O37" s="207" t="s">
        <v>45</v>
      </c>
      <c r="P37" s="207"/>
      <c r="Q37" s="207"/>
      <c r="R37" s="207"/>
      <c r="S37" s="207" t="s">
        <v>46</v>
      </c>
      <c r="T37" s="207"/>
      <c r="U37" s="207"/>
      <c r="V37" s="207"/>
      <c r="W37" s="32"/>
      <c r="X37" s="5"/>
      <c r="Y37" s="5"/>
      <c r="Z37" s="5"/>
      <c r="AA37" s="5"/>
      <c r="AB37" s="5"/>
    </row>
    <row r="38" spans="2:34" ht="18" customHeight="1" x14ac:dyDescent="0.2">
      <c r="B38" s="167" t="s">
        <v>19</v>
      </c>
      <c r="C38" s="202" t="s">
        <v>16</v>
      </c>
      <c r="D38" s="202"/>
      <c r="E38" s="202"/>
      <c r="F38" s="202" t="s">
        <v>27</v>
      </c>
      <c r="G38" s="202"/>
      <c r="H38" s="202"/>
      <c r="I38" s="202" t="s">
        <v>16</v>
      </c>
      <c r="J38" s="202"/>
      <c r="K38" s="202"/>
      <c r="L38" s="202" t="s">
        <v>31</v>
      </c>
      <c r="M38" s="202"/>
      <c r="N38" s="202"/>
      <c r="O38" s="202" t="s">
        <v>16</v>
      </c>
      <c r="P38" s="202"/>
      <c r="Q38" s="202"/>
      <c r="R38" s="202"/>
      <c r="S38" s="202" t="s">
        <v>11</v>
      </c>
      <c r="T38" s="202"/>
      <c r="U38" s="202"/>
      <c r="V38" s="202"/>
      <c r="W38" s="208"/>
      <c r="X38" s="8"/>
      <c r="Y38" s="8"/>
      <c r="Z38" s="8"/>
      <c r="AA38" s="8"/>
    </row>
    <row r="39" spans="2:34" ht="95" customHeight="1" x14ac:dyDescent="0.2">
      <c r="B39" s="190" t="s">
        <v>86</v>
      </c>
      <c r="C39" s="165" t="s">
        <v>99</v>
      </c>
      <c r="D39" s="165"/>
      <c r="E39" s="165"/>
      <c r="F39" s="165" t="s">
        <v>100</v>
      </c>
      <c r="G39" s="165"/>
      <c r="H39" s="165"/>
      <c r="I39" s="209"/>
      <c r="J39" s="210"/>
      <c r="K39" s="211"/>
      <c r="L39" s="209"/>
      <c r="M39" s="210"/>
      <c r="N39" s="211"/>
      <c r="O39" s="197" t="s">
        <v>90</v>
      </c>
      <c r="P39" s="198" t="s">
        <v>45</v>
      </c>
      <c r="Q39" s="212" t="s">
        <v>91</v>
      </c>
      <c r="R39" s="199" t="s">
        <v>92</v>
      </c>
      <c r="S39" s="197" t="s">
        <v>30</v>
      </c>
      <c r="T39" s="198" t="s">
        <v>29</v>
      </c>
      <c r="U39" s="212" t="s">
        <v>28</v>
      </c>
      <c r="V39" s="199" t="s">
        <v>46</v>
      </c>
      <c r="W39" s="32"/>
    </row>
    <row r="40" spans="2:34" ht="18" customHeight="1" x14ac:dyDescent="0.2">
      <c r="B40" s="161" t="s">
        <v>120</v>
      </c>
      <c r="C40" s="213"/>
      <c r="D40" s="213"/>
      <c r="E40" s="213"/>
      <c r="F40" s="214"/>
      <c r="G40" s="214"/>
      <c r="H40" s="214"/>
      <c r="I40" s="178"/>
      <c r="J40" s="178"/>
      <c r="K40" s="178"/>
      <c r="L40" s="178"/>
      <c r="M40" s="178"/>
      <c r="N40" s="178"/>
      <c r="O40" s="215"/>
      <c r="P40" s="215"/>
      <c r="Q40" s="215"/>
      <c r="R40" s="215"/>
      <c r="S40" s="215"/>
      <c r="T40" s="215"/>
      <c r="U40" s="215"/>
      <c r="V40" s="215"/>
      <c r="W40" s="32"/>
    </row>
    <row r="41" spans="2:34" ht="18" customHeight="1" x14ac:dyDescent="0.2">
      <c r="B41" s="161"/>
      <c r="C41" s="213"/>
      <c r="D41" s="213"/>
      <c r="E41" s="213"/>
      <c r="F41" s="214"/>
      <c r="G41" s="214"/>
      <c r="H41" s="214"/>
      <c r="I41" s="178"/>
      <c r="J41" s="178"/>
      <c r="K41" s="178"/>
      <c r="L41" s="178"/>
      <c r="M41" s="178"/>
      <c r="N41" s="178"/>
      <c r="O41" s="215"/>
      <c r="P41" s="215"/>
      <c r="Q41" s="215"/>
      <c r="R41" s="215"/>
      <c r="S41" s="215"/>
      <c r="T41" s="215"/>
      <c r="U41" s="215"/>
      <c r="V41" s="215"/>
      <c r="W41" s="32"/>
    </row>
    <row r="42" spans="2:34" ht="18" customHeight="1" x14ac:dyDescent="0.2">
      <c r="B42"/>
      <c r="C42" s="48"/>
      <c r="D42" s="48"/>
      <c r="E42" s="48"/>
      <c r="F42" s="48"/>
      <c r="G42" s="48"/>
      <c r="H42"/>
      <c r="I42"/>
      <c r="J42"/>
      <c r="K42"/>
      <c r="L42"/>
      <c r="M42"/>
      <c r="N42"/>
      <c r="O42" s="20"/>
      <c r="P42"/>
      <c r="Q42"/>
      <c r="R42"/>
      <c r="S42"/>
      <c r="T42"/>
    </row>
    <row r="44" spans="2:34" ht="19" customHeight="1" x14ac:dyDescent="0.2">
      <c r="B44" s="163" t="s">
        <v>102</v>
      </c>
      <c r="C44" s="163"/>
      <c r="D44" s="163"/>
      <c r="E44" s="163"/>
      <c r="F44" s="163"/>
      <c r="G44" s="163"/>
      <c r="H44" s="163"/>
      <c r="I44" s="163"/>
      <c r="J44" s="163"/>
      <c r="K44" s="163"/>
      <c r="L44" s="163"/>
      <c r="M44" s="163"/>
      <c r="N44" s="163"/>
      <c r="O44" s="163"/>
      <c r="P44" s="163"/>
      <c r="Q44" s="163"/>
      <c r="R44" s="191" t="s">
        <v>82</v>
      </c>
    </row>
    <row r="45" spans="2:34" ht="16" customHeight="1" x14ac:dyDescent="0.2">
      <c r="B45" s="164"/>
      <c r="C45" s="165" t="s">
        <v>103</v>
      </c>
      <c r="D45" s="165"/>
      <c r="E45" s="165"/>
      <c r="F45" s="165" t="s">
        <v>32</v>
      </c>
      <c r="G45" s="165"/>
      <c r="H45" s="165"/>
      <c r="I45" s="165" t="s">
        <v>104</v>
      </c>
      <c r="J45" s="165"/>
      <c r="K45" s="165"/>
      <c r="L45" s="165" t="s">
        <v>105</v>
      </c>
      <c r="M45" s="165"/>
      <c r="N45" s="165"/>
      <c r="O45" s="165"/>
      <c r="P45" s="165"/>
      <c r="Q45" s="165"/>
      <c r="R45" s="191"/>
      <c r="AB45" s="104"/>
      <c r="AC45" s="104"/>
      <c r="AD45" s="104"/>
      <c r="AE45"/>
      <c r="AF45" s="104"/>
      <c r="AG45" s="104"/>
      <c r="AH45" s="104"/>
    </row>
    <row r="46" spans="2:34" s="1" customFormat="1" ht="16" x14ac:dyDescent="0.2">
      <c r="B46" s="167" t="s">
        <v>14</v>
      </c>
      <c r="C46" s="192">
        <f>(MIN(1, MAX(0, (C47-1)/(3-1))))</f>
        <v>1</v>
      </c>
      <c r="D46" s="192"/>
      <c r="E46" s="192"/>
      <c r="F46" s="192" cm="1">
        <f t="array" ref="F46">_xlfn.IFS(F47=H50,1,F47=G50,0.5,F47=F50,0)</f>
        <v>1</v>
      </c>
      <c r="G46" s="192"/>
      <c r="H46" s="192"/>
      <c r="I46" s="192" cm="1">
        <f t="array" ref="I46">_xlfn.IFS(I47=K50,1,I47=J50,0.5,I47=I50,0)</f>
        <v>1</v>
      </c>
      <c r="J46" s="192"/>
      <c r="K46" s="192"/>
      <c r="L46" s="192">
        <f>MIN(1,  MAX(0, (L47*O47/1000-10)/(200-10)))</f>
        <v>0.10526315789473684</v>
      </c>
      <c r="M46" s="192"/>
      <c r="N46" s="192"/>
      <c r="O46" s="192"/>
      <c r="P46" s="192"/>
      <c r="Q46" s="192"/>
      <c r="R46" s="27">
        <f>AVERAGE(C46:Q46)</f>
        <v>0.77631578947368418</v>
      </c>
      <c r="AA46" s="5"/>
      <c r="AB46" s="104"/>
      <c r="AC46" s="104"/>
      <c r="AD46" s="104"/>
      <c r="AE46"/>
      <c r="AF46" s="104"/>
      <c r="AG46" s="104"/>
      <c r="AH46" s="104"/>
    </row>
    <row r="47" spans="2:34" s="1" customFormat="1" ht="16" x14ac:dyDescent="0.2">
      <c r="B47" s="176" t="s">
        <v>34</v>
      </c>
      <c r="C47" s="109">
        <v>4</v>
      </c>
      <c r="D47" s="109"/>
      <c r="E47" s="109"/>
      <c r="F47" s="109" t="s">
        <v>84</v>
      </c>
      <c r="G47" s="109"/>
      <c r="H47" s="109"/>
      <c r="I47" s="109" t="s">
        <v>15</v>
      </c>
      <c r="J47" s="109"/>
      <c r="K47" s="109"/>
      <c r="L47" s="193">
        <v>1000</v>
      </c>
      <c r="M47" s="193"/>
      <c r="N47" s="193"/>
      <c r="O47" s="194">
        <v>30</v>
      </c>
      <c r="P47" s="194"/>
      <c r="Q47" s="194"/>
      <c r="R47" s="164"/>
      <c r="AA47" s="5"/>
      <c r="AB47" s="104"/>
      <c r="AC47" s="104"/>
      <c r="AD47" s="104"/>
      <c r="AE47"/>
      <c r="AF47" s="104"/>
      <c r="AG47" s="104"/>
      <c r="AH47" s="104"/>
    </row>
    <row r="48" spans="2:34" s="1" customFormat="1" ht="16" x14ac:dyDescent="0.2">
      <c r="B48" s="176"/>
      <c r="C48" s="190"/>
      <c r="D48" s="190"/>
      <c r="E48" s="190"/>
      <c r="F48" s="190"/>
      <c r="G48" s="190"/>
      <c r="H48" s="190"/>
      <c r="I48" s="190"/>
      <c r="J48" s="190"/>
      <c r="K48" s="190"/>
      <c r="L48" s="165">
        <f>L47*O47/1000</f>
        <v>30</v>
      </c>
      <c r="M48" s="165"/>
      <c r="N48" s="165"/>
      <c r="O48" s="165"/>
      <c r="P48" s="165"/>
      <c r="Q48" s="165"/>
      <c r="R48" s="164"/>
      <c r="AA48" s="5"/>
      <c r="AB48" s="9"/>
      <c r="AC48" s="9"/>
      <c r="AD48" s="9"/>
      <c r="AE48"/>
      <c r="AF48" s="9"/>
      <c r="AG48" s="9"/>
      <c r="AH48" s="9"/>
    </row>
    <row r="49" spans="2:33" s="1" customFormat="1" ht="17" customHeight="1" x14ac:dyDescent="0.2">
      <c r="B49" s="176" t="s">
        <v>21</v>
      </c>
      <c r="C49" s="165" t="s">
        <v>16</v>
      </c>
      <c r="D49" s="165"/>
      <c r="E49" s="165"/>
      <c r="F49" s="165" t="s">
        <v>16</v>
      </c>
      <c r="G49" s="165"/>
      <c r="H49" s="165"/>
      <c r="I49" s="165" t="s">
        <v>16</v>
      </c>
      <c r="J49" s="165"/>
      <c r="K49" s="165"/>
      <c r="L49" s="165" t="s">
        <v>16</v>
      </c>
      <c r="M49" s="165"/>
      <c r="N49" s="165"/>
      <c r="O49" s="165" t="s">
        <v>16</v>
      </c>
      <c r="P49" s="165"/>
      <c r="Q49" s="165"/>
      <c r="R49" s="164"/>
      <c r="AA49" s="5"/>
    </row>
    <row r="50" spans="2:33" s="1" customFormat="1" ht="102" customHeight="1" x14ac:dyDescent="0.2">
      <c r="B50" s="80" t="s">
        <v>35</v>
      </c>
      <c r="C50" s="195" t="s">
        <v>101</v>
      </c>
      <c r="D50" s="196"/>
      <c r="E50" s="196"/>
      <c r="F50" s="197" t="s">
        <v>7</v>
      </c>
      <c r="G50" s="198" t="s">
        <v>44</v>
      </c>
      <c r="H50" s="199" t="s">
        <v>84</v>
      </c>
      <c r="I50" s="197" t="s">
        <v>85</v>
      </c>
      <c r="J50" s="198" t="s">
        <v>36</v>
      </c>
      <c r="K50" s="199" t="s">
        <v>15</v>
      </c>
      <c r="L50" s="197" t="s">
        <v>8</v>
      </c>
      <c r="M50" s="200" t="s">
        <v>9</v>
      </c>
      <c r="N50" s="199" t="s">
        <v>10</v>
      </c>
      <c r="O50" s="197" t="s">
        <v>38</v>
      </c>
      <c r="P50" s="200" t="s">
        <v>39</v>
      </c>
      <c r="Q50" s="199" t="s">
        <v>37</v>
      </c>
      <c r="R50" s="164"/>
    </row>
    <row r="51" spans="2:33" s="1" customFormat="1" ht="17" customHeight="1" x14ac:dyDescent="0.2">
      <c r="B51" s="177" t="s">
        <v>120</v>
      </c>
      <c r="C51" s="178"/>
      <c r="D51" s="178"/>
      <c r="E51" s="178"/>
      <c r="F51" s="178"/>
      <c r="G51" s="178"/>
      <c r="H51" s="178"/>
      <c r="I51" s="178"/>
      <c r="J51" s="178"/>
      <c r="K51" s="178"/>
      <c r="L51" s="178"/>
      <c r="M51" s="178"/>
      <c r="N51" s="178"/>
      <c r="O51" s="178"/>
      <c r="P51" s="178"/>
      <c r="Q51" s="178"/>
      <c r="R51" s="164"/>
      <c r="AA51" s="5"/>
    </row>
    <row r="52" spans="2:33" s="1" customFormat="1" ht="17" customHeight="1" x14ac:dyDescent="0.2">
      <c r="B52" s="177"/>
      <c r="C52" s="178"/>
      <c r="D52" s="178"/>
      <c r="E52" s="178"/>
      <c r="F52" s="178"/>
      <c r="G52" s="178"/>
      <c r="H52" s="178"/>
      <c r="I52" s="178"/>
      <c r="J52" s="178"/>
      <c r="K52" s="178"/>
      <c r="L52" s="178"/>
      <c r="M52" s="178"/>
      <c r="N52" s="178"/>
      <c r="O52" s="178"/>
      <c r="P52" s="178"/>
      <c r="Q52" s="178"/>
      <c r="R52" s="164"/>
      <c r="AA52" s="5"/>
    </row>
    <row r="53" spans="2:33" s="1" customFormat="1" ht="18" customHeight="1" x14ac:dyDescent="0.2">
      <c r="B53"/>
      <c r="C53"/>
      <c r="D53"/>
      <c r="E53"/>
      <c r="F53"/>
      <c r="G53"/>
      <c r="H53"/>
      <c r="I53"/>
      <c r="J53"/>
      <c r="K53"/>
      <c r="L53"/>
      <c r="M53"/>
      <c r="N53"/>
      <c r="O53"/>
      <c r="P53"/>
      <c r="Q53"/>
      <c r="S53" s="5"/>
      <c r="T53" s="5"/>
      <c r="U53" s="5"/>
      <c r="V53" s="5"/>
      <c r="W53" s="5"/>
      <c r="X53" s="5"/>
      <c r="Y53" s="5"/>
      <c r="Z53" s="5"/>
      <c r="AA53" s="5"/>
      <c r="AB53" s="5"/>
      <c r="AC53" s="5"/>
      <c r="AD53" s="5"/>
      <c r="AE53" s="5"/>
      <c r="AF53" s="5"/>
      <c r="AG53" s="5"/>
    </row>
    <row r="54" spans="2:33" ht="16" x14ac:dyDescent="0.2">
      <c r="I54" s="2"/>
      <c r="J54" s="2"/>
      <c r="K54" s="2"/>
    </row>
    <row r="55" spans="2:33" ht="18" customHeight="1" x14ac:dyDescent="0.2">
      <c r="B55" s="180" t="s">
        <v>59</v>
      </c>
      <c r="C55" s="180"/>
      <c r="D55" s="180"/>
      <c r="E55" s="180"/>
      <c r="F55" s="180"/>
      <c r="G55" s="180"/>
      <c r="H55" s="180"/>
      <c r="I55" s="180"/>
      <c r="J55" s="180"/>
      <c r="K55" s="180"/>
      <c r="L55" s="180"/>
      <c r="M55" s="180"/>
      <c r="N55" s="180"/>
      <c r="O55" s="180"/>
      <c r="P55" s="180"/>
      <c r="Q55" s="180"/>
      <c r="R55" s="180"/>
      <c r="S55" s="180"/>
      <c r="T55" s="180"/>
      <c r="U55" s="180"/>
      <c r="V55" s="166" t="s">
        <v>13</v>
      </c>
    </row>
    <row r="56" spans="2:33" ht="20" customHeight="1" x14ac:dyDescent="0.2">
      <c r="B56" s="181" t="s">
        <v>115</v>
      </c>
      <c r="C56" s="181"/>
      <c r="D56" s="181"/>
      <c r="E56" s="181"/>
      <c r="F56" s="181"/>
      <c r="G56" s="181"/>
      <c r="H56" s="181"/>
      <c r="I56" s="181"/>
      <c r="J56" s="181"/>
      <c r="K56" s="181"/>
      <c r="L56" s="181"/>
      <c r="M56" s="181"/>
      <c r="N56" s="181"/>
      <c r="O56" s="181"/>
      <c r="P56" s="181"/>
      <c r="Q56" s="181"/>
      <c r="R56" s="181"/>
      <c r="S56" s="181"/>
      <c r="T56" s="181"/>
      <c r="U56" s="181"/>
      <c r="V56" s="27">
        <f>MAX(C58:U58,C66:U66)</f>
        <v>0.77103854344665146</v>
      </c>
    </row>
    <row r="57" spans="2:33" ht="20" customHeight="1" x14ac:dyDescent="0.2">
      <c r="B57" s="32"/>
      <c r="C57" s="165" t="s">
        <v>61</v>
      </c>
      <c r="D57" s="165"/>
      <c r="E57" s="165"/>
      <c r="F57" s="165"/>
      <c r="G57" s="165"/>
      <c r="H57" s="165"/>
      <c r="I57" s="165" t="s">
        <v>24</v>
      </c>
      <c r="J57" s="165"/>
      <c r="K57" s="165"/>
      <c r="L57" s="165"/>
      <c r="M57" s="165"/>
      <c r="N57" s="165"/>
      <c r="O57" s="165" t="s">
        <v>25</v>
      </c>
      <c r="P57" s="165"/>
      <c r="Q57" s="165"/>
      <c r="R57" s="165"/>
      <c r="S57" s="165"/>
      <c r="T57" s="165"/>
      <c r="U57" s="165"/>
      <c r="V57" s="32"/>
    </row>
    <row r="58" spans="2:33" ht="16" customHeight="1" x14ac:dyDescent="0.2">
      <c r="B58" s="167" t="s">
        <v>14</v>
      </c>
      <c r="C58" s="182">
        <f>(MIN(1,LOG10(C60+1)/LOG10(100000)*(0.5+0.9*LOG10(F60+1)/LOG10(100))))</f>
        <v>0.71470518540524142</v>
      </c>
      <c r="D58" s="182"/>
      <c r="E58" s="182"/>
      <c r="F58" s="182"/>
      <c r="G58" s="182"/>
      <c r="H58" s="182"/>
      <c r="I58" s="182">
        <f>(MIN(1, MAX(0, (I60)*L60/100/100)))</f>
        <v>0.5</v>
      </c>
      <c r="J58" s="182"/>
      <c r="K58" s="182"/>
      <c r="L58" s="182"/>
      <c r="M58" s="182"/>
      <c r="N58" s="182"/>
      <c r="O58" s="182">
        <f>MAX(O60*Q60+O60*S60 + O60*0.5)</f>
        <v>0.5</v>
      </c>
      <c r="P58" s="182"/>
      <c r="Q58" s="182"/>
      <c r="R58" s="182"/>
      <c r="S58" s="182"/>
      <c r="T58" s="182"/>
      <c r="U58" s="182"/>
      <c r="V58" s="32"/>
    </row>
    <row r="59" spans="2:33" ht="16" x14ac:dyDescent="0.2">
      <c r="B59" s="183"/>
      <c r="C59" s="165" t="s">
        <v>74</v>
      </c>
      <c r="D59" s="165"/>
      <c r="E59" s="165"/>
      <c r="F59" s="165" t="s">
        <v>118</v>
      </c>
      <c r="G59" s="165"/>
      <c r="H59" s="165"/>
      <c r="I59" s="165" t="s">
        <v>124</v>
      </c>
      <c r="J59" s="165"/>
      <c r="K59" s="165"/>
      <c r="L59" s="165" t="s">
        <v>73</v>
      </c>
      <c r="M59" s="165"/>
      <c r="N59" s="165"/>
      <c r="O59" s="165" t="s">
        <v>66</v>
      </c>
      <c r="P59" s="165"/>
      <c r="Q59" s="165" t="s">
        <v>67</v>
      </c>
      <c r="R59" s="165"/>
      <c r="S59" s="165" t="s">
        <v>68</v>
      </c>
      <c r="T59" s="165"/>
      <c r="U59" s="165"/>
      <c r="V59" s="32"/>
    </row>
    <row r="60" spans="2:33" ht="18" customHeight="1" x14ac:dyDescent="0.2">
      <c r="B60" s="176" t="s">
        <v>60</v>
      </c>
      <c r="C60" s="109">
        <v>100000</v>
      </c>
      <c r="D60" s="109"/>
      <c r="E60" s="109"/>
      <c r="F60" s="109">
        <v>2</v>
      </c>
      <c r="G60" s="109"/>
      <c r="H60" s="109"/>
      <c r="I60" s="109">
        <v>1000</v>
      </c>
      <c r="J60" s="109"/>
      <c r="K60" s="109"/>
      <c r="L60" s="109">
        <v>5</v>
      </c>
      <c r="M60" s="109"/>
      <c r="N60" s="109"/>
      <c r="O60" s="109">
        <v>1</v>
      </c>
      <c r="P60" s="109"/>
      <c r="Q60" s="109">
        <v>0</v>
      </c>
      <c r="R60" s="109"/>
      <c r="S60" s="109">
        <v>0</v>
      </c>
      <c r="T60" s="109"/>
      <c r="U60" s="109"/>
      <c r="V60" s="32"/>
    </row>
    <row r="61" spans="2:33" ht="96" customHeight="1" x14ac:dyDescent="0.2">
      <c r="B61" s="80" t="s">
        <v>35</v>
      </c>
      <c r="C61" s="184" t="s">
        <v>63</v>
      </c>
      <c r="D61" s="184"/>
      <c r="E61" s="184"/>
      <c r="F61" s="184" t="s">
        <v>62</v>
      </c>
      <c r="G61" s="184"/>
      <c r="H61" s="184"/>
      <c r="I61" s="184" t="s">
        <v>83</v>
      </c>
      <c r="J61" s="184"/>
      <c r="K61" s="184"/>
      <c r="L61" s="184"/>
      <c r="M61" s="184"/>
      <c r="N61" s="184"/>
      <c r="O61" s="185" t="s">
        <v>65</v>
      </c>
      <c r="P61" s="185"/>
      <c r="Q61" s="185" t="s">
        <v>69</v>
      </c>
      <c r="R61" s="185"/>
      <c r="S61" s="186" t="s">
        <v>72</v>
      </c>
      <c r="T61" s="187" t="s">
        <v>70</v>
      </c>
      <c r="U61" s="188" t="s">
        <v>71</v>
      </c>
      <c r="V61" s="32"/>
    </row>
    <row r="62" spans="2:33" s="1" customFormat="1" ht="17" customHeight="1" x14ac:dyDescent="0.2">
      <c r="B62" s="177" t="s">
        <v>120</v>
      </c>
      <c r="C62" s="178"/>
      <c r="D62" s="178"/>
      <c r="E62" s="178"/>
      <c r="F62" s="178"/>
      <c r="G62" s="178"/>
      <c r="H62" s="178"/>
      <c r="I62" s="178"/>
      <c r="J62" s="178"/>
      <c r="K62" s="178"/>
      <c r="L62" s="178"/>
      <c r="M62" s="178"/>
      <c r="N62" s="178"/>
      <c r="O62" s="178"/>
      <c r="P62" s="178"/>
      <c r="Q62" s="178"/>
      <c r="R62" s="164"/>
      <c r="S62" s="164"/>
      <c r="T62" s="164"/>
      <c r="U62" s="164"/>
      <c r="V62" s="164"/>
      <c r="AA62" s="5"/>
    </row>
    <row r="63" spans="2:33" s="1" customFormat="1" ht="17" customHeight="1" x14ac:dyDescent="0.2">
      <c r="B63" s="177"/>
      <c r="C63" s="178"/>
      <c r="D63" s="178"/>
      <c r="E63" s="178"/>
      <c r="F63" s="178"/>
      <c r="G63" s="178"/>
      <c r="H63" s="178"/>
      <c r="I63" s="178"/>
      <c r="J63" s="178"/>
      <c r="K63" s="178"/>
      <c r="L63" s="178"/>
      <c r="M63" s="178"/>
      <c r="N63" s="178"/>
      <c r="O63" s="178"/>
      <c r="P63" s="178"/>
      <c r="Q63" s="178"/>
      <c r="R63" s="164"/>
      <c r="S63" s="164"/>
      <c r="T63" s="164"/>
      <c r="U63" s="164"/>
      <c r="V63" s="164"/>
      <c r="AA63" s="5"/>
    </row>
    <row r="64" spans="2:33" customFormat="1" ht="24" customHeight="1" x14ac:dyDescent="0.2">
      <c r="B64" s="181" t="s">
        <v>116</v>
      </c>
      <c r="C64" s="181"/>
      <c r="D64" s="181"/>
      <c r="E64" s="181"/>
      <c r="F64" s="181"/>
      <c r="G64" s="181"/>
      <c r="H64" s="181"/>
      <c r="I64" s="181"/>
      <c r="J64" s="181"/>
      <c r="K64" s="181"/>
      <c r="L64" s="181"/>
      <c r="M64" s="181"/>
      <c r="N64" s="181"/>
      <c r="O64" s="181"/>
      <c r="P64" s="181"/>
      <c r="Q64" s="181"/>
      <c r="R64" s="181"/>
      <c r="S64" s="181"/>
      <c r="T64" s="181"/>
      <c r="U64" s="181"/>
      <c r="V64" s="32"/>
      <c r="W64" s="5"/>
      <c r="X64" s="5"/>
      <c r="Y64" s="5"/>
      <c r="Z64" s="5"/>
      <c r="AA64" s="5"/>
      <c r="AB64" s="5"/>
      <c r="AC64" s="5"/>
    </row>
    <row r="65" spans="2:27" ht="18" customHeight="1" x14ac:dyDescent="0.2">
      <c r="B65" s="32"/>
      <c r="C65" s="165" t="s">
        <v>61</v>
      </c>
      <c r="D65" s="165"/>
      <c r="E65" s="165"/>
      <c r="F65" s="165"/>
      <c r="G65" s="165"/>
      <c r="H65" s="165"/>
      <c r="I65" s="165" t="s">
        <v>24</v>
      </c>
      <c r="J65" s="165"/>
      <c r="K65" s="165"/>
      <c r="L65" s="165"/>
      <c r="M65" s="165"/>
      <c r="N65" s="165"/>
      <c r="O65" s="165" t="s">
        <v>25</v>
      </c>
      <c r="P65" s="165"/>
      <c r="Q65" s="165"/>
      <c r="R65" s="165"/>
      <c r="S65" s="165"/>
      <c r="T65" s="165"/>
      <c r="U65" s="165"/>
      <c r="V65" s="32"/>
    </row>
    <row r="66" spans="2:27" ht="18" customHeight="1" x14ac:dyDescent="0.2">
      <c r="B66" s="167" t="s">
        <v>14</v>
      </c>
      <c r="C66" s="182">
        <f>(MIN(1,LOG10(C68+1)/LOG10(1000)*(0.5+0.9*LOG10(F68+1)/LOG10(10))))</f>
        <v>0.77103854344665146</v>
      </c>
      <c r="D66" s="182"/>
      <c r="E66" s="182"/>
      <c r="F66" s="182"/>
      <c r="G66" s="182"/>
      <c r="H66" s="182"/>
      <c r="I66" s="182">
        <f>(MIN(1, MAX(0, (I68)*L68/100/10)))</f>
        <v>0.1</v>
      </c>
      <c r="J66" s="182"/>
      <c r="K66" s="182"/>
      <c r="L66" s="182"/>
      <c r="M66" s="182"/>
      <c r="N66" s="182"/>
      <c r="O66" s="182">
        <f>MAX(O68*Q68+O68*S68 + O68*0.5)</f>
        <v>0</v>
      </c>
      <c r="P66" s="182"/>
      <c r="Q66" s="182"/>
      <c r="R66" s="182"/>
      <c r="S66" s="182"/>
      <c r="T66" s="182"/>
      <c r="U66" s="182"/>
      <c r="V66" s="32"/>
    </row>
    <row r="67" spans="2:27" ht="18" customHeight="1" x14ac:dyDescent="0.2">
      <c r="B67" s="183"/>
      <c r="C67" s="165" t="s">
        <v>74</v>
      </c>
      <c r="D67" s="165"/>
      <c r="E67" s="165"/>
      <c r="F67" s="165" t="s">
        <v>64</v>
      </c>
      <c r="G67" s="165"/>
      <c r="H67" s="165"/>
      <c r="I67" s="165" t="s">
        <v>124</v>
      </c>
      <c r="J67" s="165"/>
      <c r="K67" s="165"/>
      <c r="L67" s="165" t="s">
        <v>73</v>
      </c>
      <c r="M67" s="165"/>
      <c r="N67" s="165"/>
      <c r="O67" s="165" t="s">
        <v>66</v>
      </c>
      <c r="P67" s="165"/>
      <c r="Q67" s="165" t="s">
        <v>67</v>
      </c>
      <c r="R67" s="165"/>
      <c r="S67" s="165" t="s">
        <v>68</v>
      </c>
      <c r="T67" s="165"/>
      <c r="U67" s="165"/>
      <c r="V67" s="32"/>
    </row>
    <row r="68" spans="2:27" ht="18" customHeight="1" x14ac:dyDescent="0.2">
      <c r="B68" s="176" t="s">
        <v>60</v>
      </c>
      <c r="C68" s="109">
        <v>1000</v>
      </c>
      <c r="D68" s="109"/>
      <c r="E68" s="109"/>
      <c r="F68" s="109">
        <v>1</v>
      </c>
      <c r="G68" s="109"/>
      <c r="H68" s="109"/>
      <c r="I68" s="109">
        <v>20</v>
      </c>
      <c r="J68" s="109"/>
      <c r="K68" s="109"/>
      <c r="L68" s="109">
        <v>5</v>
      </c>
      <c r="M68" s="109"/>
      <c r="N68" s="109"/>
      <c r="O68" s="109">
        <v>0</v>
      </c>
      <c r="P68" s="109"/>
      <c r="Q68" s="109">
        <v>0</v>
      </c>
      <c r="R68" s="109"/>
      <c r="S68" s="109">
        <v>0</v>
      </c>
      <c r="T68" s="109"/>
      <c r="U68" s="109"/>
      <c r="V68" s="32"/>
    </row>
    <row r="69" spans="2:27" ht="77" customHeight="1" x14ac:dyDescent="0.2">
      <c r="B69" s="80" t="s">
        <v>35</v>
      </c>
      <c r="C69" s="184" t="s">
        <v>63</v>
      </c>
      <c r="D69" s="184"/>
      <c r="E69" s="184"/>
      <c r="F69" s="184" t="s">
        <v>77</v>
      </c>
      <c r="G69" s="184"/>
      <c r="H69" s="184"/>
      <c r="I69" s="184" t="s">
        <v>81</v>
      </c>
      <c r="J69" s="184"/>
      <c r="K69" s="184"/>
      <c r="L69" s="184"/>
      <c r="M69" s="184"/>
      <c r="N69" s="184"/>
      <c r="O69" s="185" t="s">
        <v>87</v>
      </c>
      <c r="P69" s="185"/>
      <c r="Q69" s="185" t="s">
        <v>69</v>
      </c>
      <c r="R69" s="185"/>
      <c r="S69" s="186" t="s">
        <v>72</v>
      </c>
      <c r="T69" s="187" t="s">
        <v>88</v>
      </c>
      <c r="U69" s="188" t="s">
        <v>71</v>
      </c>
      <c r="V69" s="32"/>
    </row>
    <row r="70" spans="2:27" s="1" customFormat="1" ht="17" customHeight="1" x14ac:dyDescent="0.2">
      <c r="B70" s="177" t="s">
        <v>120</v>
      </c>
      <c r="C70" s="178"/>
      <c r="D70" s="178"/>
      <c r="E70" s="178"/>
      <c r="F70" s="178"/>
      <c r="G70" s="178"/>
      <c r="H70" s="178"/>
      <c r="I70" s="178"/>
      <c r="J70" s="178"/>
      <c r="K70" s="178"/>
      <c r="L70" s="178"/>
      <c r="M70" s="178"/>
      <c r="N70" s="178"/>
      <c r="O70" s="178"/>
      <c r="P70" s="178"/>
      <c r="Q70" s="178"/>
      <c r="R70" s="178"/>
      <c r="S70" s="178"/>
      <c r="T70" s="178"/>
      <c r="U70" s="178"/>
      <c r="V70" s="164"/>
      <c r="AA70" s="5"/>
    </row>
    <row r="71" spans="2:27" s="1" customFormat="1" ht="17" customHeight="1" x14ac:dyDescent="0.2">
      <c r="B71" s="177"/>
      <c r="C71" s="178"/>
      <c r="D71" s="178"/>
      <c r="E71" s="178"/>
      <c r="F71" s="178"/>
      <c r="G71" s="178"/>
      <c r="H71" s="178"/>
      <c r="I71" s="178"/>
      <c r="J71" s="178"/>
      <c r="K71" s="178"/>
      <c r="L71" s="178"/>
      <c r="M71" s="178"/>
      <c r="N71" s="178"/>
      <c r="O71" s="178"/>
      <c r="P71" s="178"/>
      <c r="Q71" s="178"/>
      <c r="R71" s="178"/>
      <c r="S71" s="178"/>
      <c r="T71" s="178"/>
      <c r="U71" s="178"/>
      <c r="V71" s="164"/>
      <c r="AA71" s="5"/>
    </row>
    <row r="72" spans="2:27" ht="18" customHeight="1" x14ac:dyDescent="0.2">
      <c r="B72" s="189" t="s">
        <v>80</v>
      </c>
      <c r="C72" s="189"/>
      <c r="D72" s="189"/>
      <c r="E72" s="189"/>
      <c r="F72" s="189"/>
      <c r="G72" s="189"/>
      <c r="H72" s="189"/>
      <c r="I72" s="189"/>
      <c r="J72" s="189"/>
      <c r="K72" s="189"/>
      <c r="L72" s="189"/>
      <c r="M72" s="190"/>
      <c r="N72" s="164"/>
      <c r="O72" s="164"/>
      <c r="P72" s="164"/>
      <c r="Q72" s="164"/>
      <c r="R72" s="164"/>
      <c r="S72" s="32"/>
      <c r="T72" s="32"/>
      <c r="U72" s="32"/>
      <c r="V72" s="32"/>
    </row>
    <row r="73" spans="2:27" ht="18" customHeight="1" x14ac:dyDescent="0.2">
      <c r="B73" s="189" t="s">
        <v>89</v>
      </c>
      <c r="C73" s="189"/>
      <c r="D73" s="189"/>
      <c r="E73" s="189"/>
      <c r="F73" s="189"/>
      <c r="G73" s="189"/>
      <c r="H73" s="189"/>
      <c r="I73" s="189"/>
      <c r="J73" s="189"/>
      <c r="K73" s="189"/>
      <c r="L73" s="189"/>
      <c r="M73" s="190"/>
      <c r="N73" s="164"/>
      <c r="O73" s="164"/>
      <c r="P73" s="164"/>
      <c r="Q73" s="164"/>
      <c r="R73" s="164"/>
      <c r="S73" s="32"/>
      <c r="T73" s="32"/>
      <c r="U73" s="32"/>
      <c r="V73" s="32"/>
    </row>
    <row r="75" spans="2:27" ht="18" customHeight="1" x14ac:dyDescent="0.2">
      <c r="B75" s="55"/>
      <c r="C75" s="55"/>
      <c r="D75" s="55"/>
      <c r="E75" s="55"/>
      <c r="F75" s="55"/>
      <c r="G75" s="55"/>
      <c r="H75" s="55"/>
      <c r="I75" s="55"/>
      <c r="J75" s="55"/>
      <c r="K75" s="55"/>
      <c r="L75" s="55"/>
    </row>
    <row r="76" spans="2:27" ht="18" customHeight="1" x14ac:dyDescent="0.2">
      <c r="B76" s="163" t="s">
        <v>78</v>
      </c>
      <c r="C76" s="163"/>
      <c r="D76" s="163"/>
      <c r="E76" s="163"/>
      <c r="F76" s="163"/>
      <c r="G76" s="163"/>
      <c r="H76" s="163"/>
      <c r="I76" s="163"/>
      <c r="J76" s="163"/>
      <c r="K76" s="163"/>
      <c r="L76" s="163"/>
      <c r="M76" s="163"/>
      <c r="N76" s="163"/>
      <c r="O76" s="163"/>
      <c r="P76" s="163"/>
      <c r="Q76" s="163"/>
      <c r="R76" s="163"/>
      <c r="S76" s="163"/>
      <c r="T76" s="163"/>
    </row>
    <row r="77" spans="2:27" ht="17" customHeight="1" x14ac:dyDescent="0.2">
      <c r="B77" s="164"/>
      <c r="C77" s="165" t="s">
        <v>6</v>
      </c>
      <c r="D77" s="165"/>
      <c r="E77" s="165"/>
      <c r="F77" s="165" t="s">
        <v>5</v>
      </c>
      <c r="G77" s="165"/>
      <c r="H77" s="165"/>
      <c r="I77" s="165"/>
      <c r="J77" s="165"/>
      <c r="K77" s="165" t="s">
        <v>17</v>
      </c>
      <c r="L77" s="165"/>
      <c r="M77" s="165"/>
      <c r="N77" s="165"/>
      <c r="O77" s="165" t="s">
        <v>33</v>
      </c>
      <c r="P77" s="165"/>
      <c r="Q77" s="165"/>
      <c r="R77" s="165"/>
      <c r="S77" s="165"/>
      <c r="T77" s="166" t="s">
        <v>75</v>
      </c>
    </row>
    <row r="78" spans="2:27" ht="16" x14ac:dyDescent="0.2">
      <c r="B78" s="167" t="s">
        <v>14</v>
      </c>
      <c r="C78" s="109">
        <v>6</v>
      </c>
      <c r="D78" s="109"/>
      <c r="E78" s="109"/>
      <c r="F78" s="109">
        <v>3</v>
      </c>
      <c r="G78" s="109"/>
      <c r="H78" s="109"/>
      <c r="I78" s="109"/>
      <c r="J78" s="109"/>
      <c r="K78" s="109">
        <v>3</v>
      </c>
      <c r="L78" s="109"/>
      <c r="M78" s="109"/>
      <c r="N78" s="109"/>
      <c r="O78" s="109">
        <v>3</v>
      </c>
      <c r="P78" s="109"/>
      <c r="Q78" s="109"/>
      <c r="R78" s="109"/>
      <c r="S78" s="109"/>
      <c r="T78" s="27">
        <f>SUM(C78:R78)/(6+3+3+3)</f>
        <v>1</v>
      </c>
    </row>
    <row r="79" spans="2:27" ht="101" customHeight="1" x14ac:dyDescent="0.2">
      <c r="B79" s="80" t="s">
        <v>35</v>
      </c>
      <c r="C79" s="168" t="s">
        <v>0</v>
      </c>
      <c r="D79" s="169" t="s">
        <v>4</v>
      </c>
      <c r="E79" s="170" t="s">
        <v>1</v>
      </c>
      <c r="F79" s="171" t="s">
        <v>107</v>
      </c>
      <c r="G79" s="171"/>
      <c r="H79" s="172" t="s">
        <v>108</v>
      </c>
      <c r="I79" s="172"/>
      <c r="J79" s="170" t="s">
        <v>2</v>
      </c>
      <c r="K79" s="168" t="s">
        <v>110</v>
      </c>
      <c r="L79" s="172" t="s">
        <v>111</v>
      </c>
      <c r="M79" s="172"/>
      <c r="N79" s="170" t="s">
        <v>109</v>
      </c>
      <c r="O79" s="171" t="s">
        <v>112</v>
      </c>
      <c r="P79" s="171"/>
      <c r="Q79" s="172" t="s">
        <v>113</v>
      </c>
      <c r="R79" s="172"/>
      <c r="S79" s="170" t="s">
        <v>18</v>
      </c>
      <c r="T79" s="173"/>
    </row>
    <row r="80" spans="2:27" ht="16" x14ac:dyDescent="0.2">
      <c r="B80" s="174"/>
      <c r="C80" s="174">
        <v>6</v>
      </c>
      <c r="D80" s="174">
        <v>3</v>
      </c>
      <c r="E80" s="174">
        <v>0</v>
      </c>
      <c r="F80" s="174">
        <v>3</v>
      </c>
      <c r="G80" s="174">
        <v>2</v>
      </c>
      <c r="H80" s="164"/>
      <c r="I80" s="164"/>
      <c r="J80" s="174">
        <v>0</v>
      </c>
      <c r="K80" s="174">
        <v>3</v>
      </c>
      <c r="L80" s="175">
        <v>1</v>
      </c>
      <c r="M80" s="175"/>
      <c r="N80" s="174">
        <v>0</v>
      </c>
      <c r="O80" s="175">
        <v>3</v>
      </c>
      <c r="P80" s="175"/>
      <c r="Q80" s="175">
        <v>1</v>
      </c>
      <c r="R80" s="175"/>
      <c r="S80" s="174">
        <v>0</v>
      </c>
      <c r="T80" s="176"/>
    </row>
    <row r="81" spans="2:27" s="1" customFormat="1" ht="17" customHeight="1" x14ac:dyDescent="0.2">
      <c r="B81" s="177" t="s">
        <v>120</v>
      </c>
      <c r="C81" s="178"/>
      <c r="D81" s="178"/>
      <c r="E81" s="178"/>
      <c r="F81" s="178"/>
      <c r="G81" s="178"/>
      <c r="H81" s="178"/>
      <c r="I81" s="178"/>
      <c r="J81" s="178"/>
      <c r="K81" s="178"/>
      <c r="L81" s="178"/>
      <c r="M81" s="178"/>
      <c r="N81" s="178"/>
      <c r="O81" s="178"/>
      <c r="P81" s="178"/>
      <c r="Q81" s="178"/>
      <c r="R81" s="178"/>
      <c r="S81" s="178"/>
      <c r="T81" s="164"/>
      <c r="AA81" s="5"/>
    </row>
    <row r="82" spans="2:27" s="1" customFormat="1" ht="17" customHeight="1" x14ac:dyDescent="0.2">
      <c r="B82" s="177"/>
      <c r="C82" s="178"/>
      <c r="D82" s="178"/>
      <c r="E82" s="178"/>
      <c r="F82" s="178"/>
      <c r="G82" s="178"/>
      <c r="H82" s="178"/>
      <c r="I82" s="178"/>
      <c r="J82" s="178"/>
      <c r="K82" s="178"/>
      <c r="L82" s="178"/>
      <c r="M82" s="178"/>
      <c r="N82" s="178"/>
      <c r="O82" s="178"/>
      <c r="P82" s="178"/>
      <c r="Q82" s="178"/>
      <c r="R82" s="178"/>
      <c r="S82" s="178"/>
      <c r="T82" s="164"/>
      <c r="AA82" s="5"/>
    </row>
    <row r="83" spans="2:27" ht="16" customHeight="1" x14ac:dyDescent="0.2">
      <c r="B83" s="179" t="s">
        <v>3</v>
      </c>
      <c r="C83" s="179"/>
      <c r="D83" s="179"/>
      <c r="E83" s="179"/>
      <c r="F83" s="179"/>
      <c r="G83" s="179"/>
      <c r="H83" s="179"/>
      <c r="I83" s="179"/>
      <c r="J83" s="179"/>
      <c r="K83" s="179"/>
      <c r="L83" s="179"/>
      <c r="M83" s="179"/>
      <c r="N83" s="179"/>
      <c r="O83" s="179"/>
      <c r="P83" s="179"/>
      <c r="Q83" s="179"/>
      <c r="R83" s="179"/>
      <c r="S83" s="179"/>
      <c r="T83" s="179"/>
      <c r="U83" s="1"/>
      <c r="V83" s="1"/>
    </row>
    <row r="84" spans="2:27" ht="16" customHeight="1" x14ac:dyDescent="0.2">
      <c r="B84" s="179" t="s">
        <v>79</v>
      </c>
      <c r="C84" s="179"/>
      <c r="D84" s="179"/>
      <c r="E84" s="179"/>
      <c r="F84" s="179"/>
      <c r="G84" s="179"/>
      <c r="H84" s="179"/>
      <c r="I84" s="179"/>
      <c r="J84" s="179"/>
      <c r="K84" s="179"/>
      <c r="L84" s="179"/>
      <c r="M84" s="179"/>
      <c r="N84" s="179"/>
      <c r="O84" s="179"/>
      <c r="P84" s="179"/>
      <c r="Q84" s="179"/>
      <c r="R84" s="179"/>
      <c r="S84" s="179"/>
      <c r="T84" s="179"/>
    </row>
    <row r="85" spans="2:27" ht="16" x14ac:dyDescent="0.2">
      <c r="B85" s="179"/>
      <c r="C85" s="179"/>
      <c r="D85" s="179"/>
      <c r="E85" s="179"/>
      <c r="F85" s="179"/>
      <c r="G85" s="179"/>
      <c r="H85" s="179"/>
      <c r="I85" s="179"/>
      <c r="J85" s="179"/>
      <c r="K85" s="179"/>
      <c r="L85" s="179"/>
      <c r="M85" s="179"/>
      <c r="N85" s="179"/>
      <c r="O85" s="179"/>
      <c r="P85" s="179"/>
      <c r="Q85" s="179"/>
      <c r="R85" s="179"/>
      <c r="S85" s="179"/>
      <c r="T85" s="179"/>
    </row>
    <row r="88" spans="2:27" ht="18" customHeight="1" x14ac:dyDescent="0.2">
      <c r="B88" s="223" t="s">
        <v>59</v>
      </c>
      <c r="C88" s="224"/>
      <c r="D88" s="224"/>
      <c r="E88" s="224"/>
      <c r="F88" s="224"/>
      <c r="G88" s="224"/>
      <c r="H88" s="224"/>
      <c r="I88" s="224"/>
      <c r="J88" s="224"/>
      <c r="K88" s="224"/>
      <c r="L88" s="224"/>
      <c r="M88" s="224"/>
      <c r="N88" s="224"/>
      <c r="O88" s="224"/>
      <c r="P88" s="224"/>
      <c r="Q88" s="224"/>
      <c r="R88" s="224"/>
      <c r="S88" s="65" t="s">
        <v>13</v>
      </c>
    </row>
    <row r="89" spans="2:27" ht="20" customHeight="1" x14ac:dyDescent="0.2">
      <c r="B89" s="110" t="s">
        <v>132</v>
      </c>
      <c r="C89" s="225"/>
      <c r="D89" s="225"/>
      <c r="E89" s="225"/>
      <c r="F89" s="225"/>
      <c r="G89" s="225"/>
      <c r="H89" s="225"/>
      <c r="I89" s="225"/>
      <c r="J89" s="225"/>
      <c r="K89" s="225"/>
      <c r="L89" s="225"/>
      <c r="M89" s="225"/>
      <c r="N89" s="225"/>
      <c r="O89" s="225"/>
      <c r="P89" s="225"/>
      <c r="Q89" s="225"/>
      <c r="R89" s="120"/>
      <c r="S89" s="27">
        <f>MAX(C91:S91,F97:R97)</f>
        <v>0.80000868545537251</v>
      </c>
    </row>
    <row r="90" spans="2:27" ht="20" customHeight="1" x14ac:dyDescent="0.2">
      <c r="B90" s="66"/>
      <c r="C90" s="131" t="s">
        <v>126</v>
      </c>
      <c r="D90" s="131"/>
      <c r="E90" s="131"/>
      <c r="F90" s="131" t="s">
        <v>127</v>
      </c>
      <c r="G90" s="131"/>
      <c r="H90" s="131"/>
      <c r="I90" s="131" t="s">
        <v>131</v>
      </c>
      <c r="J90" s="131"/>
      <c r="K90" s="131"/>
      <c r="L90" s="104" t="s">
        <v>25</v>
      </c>
      <c r="M90" s="104"/>
      <c r="N90" s="104"/>
      <c r="O90" s="104"/>
      <c r="P90" s="104"/>
      <c r="Q90" s="104"/>
      <c r="R90" s="104"/>
      <c r="S90" s="62"/>
    </row>
    <row r="91" spans="2:27" ht="16" customHeight="1" x14ac:dyDescent="0.2">
      <c r="B91" s="73" t="s">
        <v>14</v>
      </c>
      <c r="C91" s="112">
        <f>(MIN(1,LOG10(C93+1)/LOG10(100000)))</f>
        <v>0.80000868545537251</v>
      </c>
      <c r="D91" s="113"/>
      <c r="E91" s="113"/>
      <c r="F91" s="112">
        <f>(MIN(1,LOG10(C93*I93/100+1)/LOG10(10000)))</f>
        <v>0.50108034344566066</v>
      </c>
      <c r="G91" s="113"/>
      <c r="H91" s="113"/>
      <c r="I91" s="112">
        <f>(MIN(1, MAX(0, (0.3*I93/100*F93 + 0.05*(1-I93/100)*F93)/100)))</f>
        <v>0.78749999999999998</v>
      </c>
      <c r="J91" s="113"/>
      <c r="K91" s="113"/>
      <c r="L91" s="112">
        <f>MAX(L93*N93+L93*P93 + L93*0.5)</f>
        <v>0.5</v>
      </c>
      <c r="M91" s="113"/>
      <c r="N91" s="113"/>
      <c r="O91" s="113"/>
      <c r="P91" s="113"/>
      <c r="Q91" s="113"/>
      <c r="R91" s="114"/>
      <c r="S91" s="62"/>
    </row>
    <row r="92" spans="2:27" ht="16" x14ac:dyDescent="0.2">
      <c r="B92" s="67"/>
      <c r="C92" s="104" t="s">
        <v>74</v>
      </c>
      <c r="D92" s="104"/>
      <c r="E92" s="104"/>
      <c r="F92" s="104" t="s">
        <v>128</v>
      </c>
      <c r="G92" s="104"/>
      <c r="H92" s="104"/>
      <c r="I92" s="104" t="s">
        <v>73</v>
      </c>
      <c r="J92" s="104"/>
      <c r="K92" s="104"/>
      <c r="L92" s="104" t="s">
        <v>66</v>
      </c>
      <c r="M92" s="104"/>
      <c r="N92" s="104" t="s">
        <v>67</v>
      </c>
      <c r="O92" s="104"/>
      <c r="P92" s="104" t="s">
        <v>68</v>
      </c>
      <c r="Q92" s="104"/>
      <c r="R92" s="104"/>
      <c r="S92" s="62"/>
    </row>
    <row r="93" spans="2:27" ht="18" customHeight="1" x14ac:dyDescent="0.2">
      <c r="B93" s="57" t="s">
        <v>60</v>
      </c>
      <c r="C93" s="109">
        <v>10000</v>
      </c>
      <c r="D93" s="109"/>
      <c r="E93" s="109"/>
      <c r="F93" s="109">
        <v>1500</v>
      </c>
      <c r="G93" s="109"/>
      <c r="H93" s="109"/>
      <c r="I93" s="109">
        <v>1</v>
      </c>
      <c r="J93" s="109"/>
      <c r="K93" s="109"/>
      <c r="L93" s="109">
        <v>1</v>
      </c>
      <c r="M93" s="109"/>
      <c r="N93" s="109">
        <v>0</v>
      </c>
      <c r="O93" s="109"/>
      <c r="P93" s="109">
        <v>0</v>
      </c>
      <c r="Q93" s="109"/>
      <c r="R93" s="109"/>
      <c r="S93" s="62"/>
    </row>
    <row r="94" spans="2:27" ht="96" customHeight="1" x14ac:dyDescent="0.2">
      <c r="B94" s="58" t="s">
        <v>35</v>
      </c>
      <c r="C94" s="115" t="s">
        <v>63</v>
      </c>
      <c r="D94" s="115"/>
      <c r="E94" s="115"/>
      <c r="F94" s="115" t="s">
        <v>129</v>
      </c>
      <c r="G94" s="115"/>
      <c r="H94" s="115"/>
      <c r="I94" s="105" t="s">
        <v>130</v>
      </c>
      <c r="J94" s="105"/>
      <c r="K94" s="105"/>
      <c r="L94" s="106" t="s">
        <v>65</v>
      </c>
      <c r="M94" s="106"/>
      <c r="N94" s="106" t="s">
        <v>69</v>
      </c>
      <c r="O94" s="106"/>
      <c r="P94" s="52" t="s">
        <v>72</v>
      </c>
      <c r="Q94" s="53" t="s">
        <v>70</v>
      </c>
      <c r="R94" s="54" t="s">
        <v>71</v>
      </c>
      <c r="S94" s="62"/>
    </row>
    <row r="95" spans="2:27" customFormat="1" ht="24" customHeight="1" x14ac:dyDescent="0.2">
      <c r="B95" s="110" t="s">
        <v>133</v>
      </c>
      <c r="C95" s="225"/>
      <c r="D95" s="225"/>
      <c r="E95" s="225"/>
      <c r="F95" s="225"/>
      <c r="G95" s="225"/>
      <c r="H95" s="225"/>
      <c r="I95" s="225"/>
      <c r="J95" s="225"/>
      <c r="K95" s="225"/>
      <c r="L95" s="225"/>
      <c r="M95" s="225"/>
      <c r="N95" s="225"/>
      <c r="O95" s="225"/>
      <c r="P95" s="225"/>
      <c r="Q95" s="225"/>
      <c r="R95" s="225"/>
      <c r="S95" s="62"/>
      <c r="T95" s="5"/>
      <c r="U95" s="5"/>
      <c r="V95" s="5"/>
      <c r="W95" s="5"/>
      <c r="X95" s="5"/>
      <c r="Y95" s="5"/>
      <c r="Z95" s="5"/>
    </row>
    <row r="96" spans="2:27" ht="18" customHeight="1" x14ac:dyDescent="0.2">
      <c r="B96" s="66"/>
      <c r="C96" s="131" t="s">
        <v>126</v>
      </c>
      <c r="D96" s="131"/>
      <c r="E96" s="131"/>
      <c r="F96" s="131" t="s">
        <v>127</v>
      </c>
      <c r="G96" s="131"/>
      <c r="H96" s="131"/>
      <c r="I96" s="131" t="s">
        <v>131</v>
      </c>
      <c r="J96" s="131"/>
      <c r="K96" s="131"/>
      <c r="L96" s="104" t="s">
        <v>25</v>
      </c>
      <c r="M96" s="104"/>
      <c r="N96" s="104"/>
      <c r="O96" s="104"/>
      <c r="P96" s="104"/>
      <c r="Q96" s="104"/>
      <c r="R96" s="104"/>
      <c r="S96" s="62"/>
    </row>
    <row r="97" spans="2:19" ht="18" customHeight="1" x14ac:dyDescent="0.2">
      <c r="B97" s="73" t="s">
        <v>14</v>
      </c>
      <c r="C97" s="112">
        <f>(MIN(1,LOG10(C99+1)/LOG10(10000)))</f>
        <v>0.7501085193698297</v>
      </c>
      <c r="D97" s="113"/>
      <c r="E97" s="113"/>
      <c r="F97" s="112">
        <f>(MIN(1,LOG10(C99*I99/100+1)/LOG10(1000)))</f>
        <v>0.34713089505274169</v>
      </c>
      <c r="G97" s="113"/>
      <c r="H97" s="113"/>
      <c r="I97" s="112">
        <f>(MIN(1, MAX(0, (0.3*I99/100*F99 + 0.05*(1-I99/100)*F99)/10)))</f>
        <v>0.52500000000000002</v>
      </c>
      <c r="J97" s="113"/>
      <c r="K97" s="113"/>
      <c r="L97" s="112">
        <f>MAX(L99*N99+L99*P99 + L99*0.5)</f>
        <v>0.5</v>
      </c>
      <c r="M97" s="113"/>
      <c r="N97" s="113"/>
      <c r="O97" s="113"/>
      <c r="P97" s="113"/>
      <c r="Q97" s="113"/>
      <c r="R97" s="114"/>
      <c r="S97" s="62"/>
    </row>
    <row r="98" spans="2:19" ht="18" customHeight="1" x14ac:dyDescent="0.2">
      <c r="B98" s="67"/>
      <c r="C98" s="104" t="s">
        <v>74</v>
      </c>
      <c r="D98" s="104"/>
      <c r="E98" s="104"/>
      <c r="F98" s="104" t="s">
        <v>128</v>
      </c>
      <c r="G98" s="104"/>
      <c r="H98" s="104"/>
      <c r="I98" s="104" t="s">
        <v>73</v>
      </c>
      <c r="J98" s="104"/>
      <c r="K98" s="104"/>
      <c r="L98" s="104" t="s">
        <v>66</v>
      </c>
      <c r="M98" s="104"/>
      <c r="N98" s="104" t="s">
        <v>67</v>
      </c>
      <c r="O98" s="104"/>
      <c r="P98" s="104" t="s">
        <v>68</v>
      </c>
      <c r="Q98" s="104"/>
      <c r="R98" s="104"/>
      <c r="S98" s="62"/>
    </row>
    <row r="99" spans="2:19" ht="18" customHeight="1" x14ac:dyDescent="0.2">
      <c r="B99" s="57" t="s">
        <v>60</v>
      </c>
      <c r="C99" s="109">
        <v>1000</v>
      </c>
      <c r="D99" s="109"/>
      <c r="E99" s="109"/>
      <c r="F99" s="109">
        <v>100</v>
      </c>
      <c r="G99" s="109"/>
      <c r="H99" s="109"/>
      <c r="I99" s="109">
        <v>1</v>
      </c>
      <c r="J99" s="109"/>
      <c r="K99" s="109"/>
      <c r="L99" s="109">
        <v>1</v>
      </c>
      <c r="M99" s="109"/>
      <c r="N99" s="109">
        <v>0</v>
      </c>
      <c r="O99" s="109"/>
      <c r="P99" s="109">
        <v>0</v>
      </c>
      <c r="Q99" s="109"/>
      <c r="R99" s="109"/>
      <c r="S99" s="62"/>
    </row>
    <row r="100" spans="2:19" ht="77" customHeight="1" x14ac:dyDescent="0.2">
      <c r="B100" s="58" t="s">
        <v>35</v>
      </c>
      <c r="C100" s="105" t="s">
        <v>76</v>
      </c>
      <c r="D100" s="105"/>
      <c r="E100" s="105"/>
      <c r="F100" s="115" t="s">
        <v>129</v>
      </c>
      <c r="G100" s="115"/>
      <c r="H100" s="115"/>
      <c r="I100" s="105" t="s">
        <v>130</v>
      </c>
      <c r="J100" s="105"/>
      <c r="K100" s="105"/>
      <c r="L100" s="106" t="s">
        <v>87</v>
      </c>
      <c r="M100" s="106"/>
      <c r="N100" s="106" t="s">
        <v>69</v>
      </c>
      <c r="O100" s="106"/>
      <c r="P100" s="52" t="s">
        <v>72</v>
      </c>
      <c r="Q100" s="53" t="s">
        <v>88</v>
      </c>
      <c r="R100" s="54" t="s">
        <v>71</v>
      </c>
      <c r="S100" s="62"/>
    </row>
    <row r="101" spans="2:19" ht="18" customHeight="1" x14ac:dyDescent="0.2">
      <c r="B101" s="97" t="s">
        <v>80</v>
      </c>
      <c r="C101" s="98"/>
      <c r="D101" s="98"/>
      <c r="E101" s="98"/>
      <c r="F101" s="98"/>
      <c r="G101" s="98"/>
      <c r="H101" s="98"/>
      <c r="I101" s="98"/>
      <c r="J101" s="98"/>
      <c r="K101" s="98"/>
      <c r="L101" s="98"/>
      <c r="S101" s="62"/>
    </row>
    <row r="102" spans="2:19" ht="18" customHeight="1" x14ac:dyDescent="0.2">
      <c r="B102" s="99" t="s">
        <v>89</v>
      </c>
      <c r="C102" s="100"/>
      <c r="D102" s="100"/>
      <c r="E102" s="100"/>
      <c r="F102" s="100"/>
      <c r="G102" s="100"/>
      <c r="H102" s="100"/>
      <c r="I102" s="100"/>
      <c r="J102" s="100"/>
      <c r="K102" s="100"/>
      <c r="L102" s="100"/>
      <c r="M102" s="68"/>
      <c r="N102" s="13"/>
      <c r="O102" s="13"/>
      <c r="P102" s="13"/>
      <c r="Q102" s="13"/>
      <c r="R102" s="13"/>
      <c r="S102" s="64"/>
    </row>
  </sheetData>
  <sheetProtection selectLockedCells="1"/>
  <mergeCells count="248">
    <mergeCell ref="B101:L101"/>
    <mergeCell ref="B102:L102"/>
    <mergeCell ref="C99:E99"/>
    <mergeCell ref="F99:H99"/>
    <mergeCell ref="I99:K99"/>
    <mergeCell ref="L99:M99"/>
    <mergeCell ref="N99:O99"/>
    <mergeCell ref="P99:R99"/>
    <mergeCell ref="C100:E100"/>
    <mergeCell ref="F100:H100"/>
    <mergeCell ref="I100:K100"/>
    <mergeCell ref="L100:M100"/>
    <mergeCell ref="N100:O100"/>
    <mergeCell ref="C97:E97"/>
    <mergeCell ref="F97:H97"/>
    <mergeCell ref="I97:K97"/>
    <mergeCell ref="L97:R97"/>
    <mergeCell ref="C98:E98"/>
    <mergeCell ref="F98:H98"/>
    <mergeCell ref="I98:K98"/>
    <mergeCell ref="L98:M98"/>
    <mergeCell ref="N98:O98"/>
    <mergeCell ref="P98:R98"/>
    <mergeCell ref="C94:E94"/>
    <mergeCell ref="F94:H94"/>
    <mergeCell ref="I94:K94"/>
    <mergeCell ref="L94:M94"/>
    <mergeCell ref="N94:O94"/>
    <mergeCell ref="B95:R95"/>
    <mergeCell ref="C96:E96"/>
    <mergeCell ref="F96:H96"/>
    <mergeCell ref="I96:K96"/>
    <mergeCell ref="L96:R96"/>
    <mergeCell ref="C92:E92"/>
    <mergeCell ref="F92:H92"/>
    <mergeCell ref="I92:K92"/>
    <mergeCell ref="L92:M92"/>
    <mergeCell ref="N92:O92"/>
    <mergeCell ref="P92:R92"/>
    <mergeCell ref="C93:E93"/>
    <mergeCell ref="F93:H93"/>
    <mergeCell ref="I93:K93"/>
    <mergeCell ref="L93:M93"/>
    <mergeCell ref="N93:O93"/>
    <mergeCell ref="P93:R93"/>
    <mergeCell ref="B88:R88"/>
    <mergeCell ref="B89:R89"/>
    <mergeCell ref="C90:E90"/>
    <mergeCell ref="F90:H90"/>
    <mergeCell ref="I90:K90"/>
    <mergeCell ref="L90:R90"/>
    <mergeCell ref="C91:E91"/>
    <mergeCell ref="F91:H91"/>
    <mergeCell ref="I91:K91"/>
    <mergeCell ref="L91:R91"/>
    <mergeCell ref="L62:N63"/>
    <mergeCell ref="O62:Q63"/>
    <mergeCell ref="B70:B71"/>
    <mergeCell ref="C70:E71"/>
    <mergeCell ref="F70:H71"/>
    <mergeCell ref="I70:K71"/>
    <mergeCell ref="L70:N71"/>
    <mergeCell ref="O70:U71"/>
    <mergeCell ref="L80:M80"/>
    <mergeCell ref="O80:P80"/>
    <mergeCell ref="Q80:R80"/>
    <mergeCell ref="B83:T83"/>
    <mergeCell ref="B84:T85"/>
    <mergeCell ref="C78:E78"/>
    <mergeCell ref="F78:J78"/>
    <mergeCell ref="K78:N78"/>
    <mergeCell ref="O78:S78"/>
    <mergeCell ref="F79:G79"/>
    <mergeCell ref="H79:I79"/>
    <mergeCell ref="L79:M79"/>
    <mergeCell ref="O79:P79"/>
    <mergeCell ref="Q79:R79"/>
    <mergeCell ref="B81:B82"/>
    <mergeCell ref="C81:E82"/>
    <mergeCell ref="F81:J82"/>
    <mergeCell ref="K81:N82"/>
    <mergeCell ref="O81:S82"/>
    <mergeCell ref="B72:L72"/>
    <mergeCell ref="B73:L73"/>
    <mergeCell ref="B76:T76"/>
    <mergeCell ref="C77:E77"/>
    <mergeCell ref="F77:J77"/>
    <mergeCell ref="K77:N77"/>
    <mergeCell ref="O77:S77"/>
    <mergeCell ref="C69:E69"/>
    <mergeCell ref="F69:H69"/>
    <mergeCell ref="I69:K69"/>
    <mergeCell ref="L69:N69"/>
    <mergeCell ref="O69:P69"/>
    <mergeCell ref="Q69:R69"/>
    <mergeCell ref="S67:U67"/>
    <mergeCell ref="C68:E68"/>
    <mergeCell ref="F68:H68"/>
    <mergeCell ref="I68:K68"/>
    <mergeCell ref="L68:N68"/>
    <mergeCell ref="O68:P68"/>
    <mergeCell ref="Q68:R68"/>
    <mergeCell ref="S68:U68"/>
    <mergeCell ref="C67:E67"/>
    <mergeCell ref="F67:H67"/>
    <mergeCell ref="I67:K67"/>
    <mergeCell ref="L67:N67"/>
    <mergeCell ref="O67:P67"/>
    <mergeCell ref="Q67:R67"/>
    <mergeCell ref="B64:U64"/>
    <mergeCell ref="C65:H65"/>
    <mergeCell ref="I65:N65"/>
    <mergeCell ref="O65:U65"/>
    <mergeCell ref="C66:H66"/>
    <mergeCell ref="I66:N66"/>
    <mergeCell ref="O66:U66"/>
    <mergeCell ref="S60:U60"/>
    <mergeCell ref="C61:E61"/>
    <mergeCell ref="F61:H61"/>
    <mergeCell ref="I61:K61"/>
    <mergeCell ref="L61:N61"/>
    <mergeCell ref="O61:P61"/>
    <mergeCell ref="Q61:R61"/>
    <mergeCell ref="C60:E60"/>
    <mergeCell ref="F60:H60"/>
    <mergeCell ref="I60:K60"/>
    <mergeCell ref="L60:N60"/>
    <mergeCell ref="O60:P60"/>
    <mergeCell ref="Q60:R60"/>
    <mergeCell ref="B62:B63"/>
    <mergeCell ref="C62:E63"/>
    <mergeCell ref="F62:H63"/>
    <mergeCell ref="I62:K63"/>
    <mergeCell ref="C58:H58"/>
    <mergeCell ref="I58:N58"/>
    <mergeCell ref="O58:U58"/>
    <mergeCell ref="C59:E59"/>
    <mergeCell ref="F59:H59"/>
    <mergeCell ref="I59:K59"/>
    <mergeCell ref="L59:N59"/>
    <mergeCell ref="O59:P59"/>
    <mergeCell ref="Q59:R59"/>
    <mergeCell ref="S59:U59"/>
    <mergeCell ref="O51:Q52"/>
    <mergeCell ref="B55:U55"/>
    <mergeCell ref="B56:U56"/>
    <mergeCell ref="C57:H57"/>
    <mergeCell ref="I57:N57"/>
    <mergeCell ref="O57:U57"/>
    <mergeCell ref="C50:E50"/>
    <mergeCell ref="B51:B52"/>
    <mergeCell ref="C51:E52"/>
    <mergeCell ref="F51:H52"/>
    <mergeCell ref="I51:K52"/>
    <mergeCell ref="L51:N52"/>
    <mergeCell ref="AF47:AH47"/>
    <mergeCell ref="L48:Q48"/>
    <mergeCell ref="C49:E49"/>
    <mergeCell ref="F49:H49"/>
    <mergeCell ref="I49:K49"/>
    <mergeCell ref="L49:N49"/>
    <mergeCell ref="O49:Q49"/>
    <mergeCell ref="C47:E47"/>
    <mergeCell ref="F47:H47"/>
    <mergeCell ref="I47:K47"/>
    <mergeCell ref="L47:N47"/>
    <mergeCell ref="O47:Q47"/>
    <mergeCell ref="AB47:AD47"/>
    <mergeCell ref="AB45:AD45"/>
    <mergeCell ref="AF45:AH45"/>
    <mergeCell ref="C46:E46"/>
    <mergeCell ref="F46:H46"/>
    <mergeCell ref="I46:K46"/>
    <mergeCell ref="L46:Q46"/>
    <mergeCell ref="AB46:AD46"/>
    <mergeCell ref="AF46:AH46"/>
    <mergeCell ref="B44:Q44"/>
    <mergeCell ref="R44:R45"/>
    <mergeCell ref="C45:E45"/>
    <mergeCell ref="F45:H45"/>
    <mergeCell ref="I45:K45"/>
    <mergeCell ref="L45:Q45"/>
    <mergeCell ref="C39:E39"/>
    <mergeCell ref="F39:H39"/>
    <mergeCell ref="B40:B41"/>
    <mergeCell ref="C40:E41"/>
    <mergeCell ref="F40:H41"/>
    <mergeCell ref="I40:K41"/>
    <mergeCell ref="L40:N41"/>
    <mergeCell ref="O40:R41"/>
    <mergeCell ref="S40:V41"/>
    <mergeCell ref="C37:E37"/>
    <mergeCell ref="I37:K37"/>
    <mergeCell ref="L37:N37"/>
    <mergeCell ref="O37:R37"/>
    <mergeCell ref="S37:V37"/>
    <mergeCell ref="C38:E38"/>
    <mergeCell ref="F38:H38"/>
    <mergeCell ref="I38:K38"/>
    <mergeCell ref="L38:N38"/>
    <mergeCell ref="O38:R38"/>
    <mergeCell ref="S38:V38"/>
    <mergeCell ref="C36:E36"/>
    <mergeCell ref="F36:H36"/>
    <mergeCell ref="I36:K36"/>
    <mergeCell ref="L36:N36"/>
    <mergeCell ref="O36:R36"/>
    <mergeCell ref="S36:V36"/>
    <mergeCell ref="B29:F29"/>
    <mergeCell ref="B30:F30"/>
    <mergeCell ref="B31:C31"/>
    <mergeCell ref="B34:W34"/>
    <mergeCell ref="C35:E35"/>
    <mergeCell ref="F35:H35"/>
    <mergeCell ref="I35:K35"/>
    <mergeCell ref="L35:N35"/>
    <mergeCell ref="O35:R35"/>
    <mergeCell ref="S35:V35"/>
    <mergeCell ref="B23:F23"/>
    <mergeCell ref="B24:F24"/>
    <mergeCell ref="B25:F25"/>
    <mergeCell ref="B26:F26"/>
    <mergeCell ref="B27:F27"/>
    <mergeCell ref="B28:F28"/>
    <mergeCell ref="B17:F17"/>
    <mergeCell ref="B18:F18"/>
    <mergeCell ref="B19:F19"/>
    <mergeCell ref="B20:F20"/>
    <mergeCell ref="B21:F21"/>
    <mergeCell ref="B22:F22"/>
    <mergeCell ref="B14:F14"/>
    <mergeCell ref="B15:F15"/>
    <mergeCell ref="B16:F16"/>
    <mergeCell ref="B5:D5"/>
    <mergeCell ref="B6:F6"/>
    <mergeCell ref="B7:F7"/>
    <mergeCell ref="B8:F8"/>
    <mergeCell ref="B9:F9"/>
    <mergeCell ref="B10:F10"/>
    <mergeCell ref="B1:H1"/>
    <mergeCell ref="C2:H2"/>
    <mergeCell ref="I2:L2"/>
    <mergeCell ref="B3:D3"/>
    <mergeCell ref="E3:H3"/>
    <mergeCell ref="B4:D4"/>
    <mergeCell ref="B11:F11"/>
    <mergeCell ref="B12:F12"/>
    <mergeCell ref="B13:F13"/>
  </mergeCells>
  <conditionalFormatting sqref="C58">
    <cfRule type="colorScale" priority="16">
      <colorScale>
        <cfvo type="num" val="0.3"/>
        <cfvo type="num" val="0.5"/>
        <cfvo type="num" val="1"/>
        <color theme="9" tint="-0.249977111117893"/>
        <color rgb="FFFFC000"/>
        <color rgb="FFFF0000"/>
      </colorScale>
    </cfRule>
    <cfRule type="colorScale" priority="17">
      <colorScale>
        <cfvo type="min"/>
        <cfvo type="percentile" val="50"/>
        <cfvo type="max"/>
        <color rgb="FFF8696B"/>
        <color rgb="FFFFEB84"/>
        <color rgb="FF63BE7B"/>
      </colorScale>
    </cfRule>
    <cfRule type="colorScale" priority="18">
      <colorScale>
        <cfvo type="num" val="0"/>
        <cfvo type="num" val="1"/>
        <color theme="9"/>
        <color rgb="FFFF0000"/>
      </colorScale>
    </cfRule>
  </conditionalFormatting>
  <conditionalFormatting sqref="C36 F36 I36 L36 O36 S36 W36">
    <cfRule type="colorScale" priority="29">
      <colorScale>
        <cfvo type="num" val="0.3"/>
        <cfvo type="num" val="0.5"/>
        <cfvo type="num" val="1"/>
        <color theme="9" tint="-0.249977111117893"/>
        <color rgb="FFFFC000"/>
        <color rgb="FFFF0000"/>
      </colorScale>
    </cfRule>
    <cfRule type="colorScale" priority="30">
      <colorScale>
        <cfvo type="min"/>
        <cfvo type="percentile" val="50"/>
        <cfvo type="max"/>
        <color rgb="FFF8696B"/>
        <color rgb="FFFFEB84"/>
        <color rgb="FF63BE7B"/>
      </colorScale>
    </cfRule>
    <cfRule type="colorScale" priority="31">
      <colorScale>
        <cfvo type="num" val="0"/>
        <cfvo type="num" val="1"/>
        <color theme="9"/>
        <color rgb="FFFF0000"/>
      </colorScale>
    </cfRule>
  </conditionalFormatting>
  <conditionalFormatting sqref="C46 F46 I46 L46 R46">
    <cfRule type="colorScale" priority="48">
      <colorScale>
        <cfvo type="num" val="0.3"/>
        <cfvo type="num" val="0.5"/>
        <cfvo type="num" val="1"/>
        <color theme="9" tint="-0.249977111117893"/>
        <color rgb="FFFFC000"/>
        <color rgb="FFFF0000"/>
      </colorScale>
    </cfRule>
    <cfRule type="colorScale" priority="49">
      <colorScale>
        <cfvo type="min"/>
        <cfvo type="percentile" val="50"/>
        <cfvo type="max"/>
        <color rgb="FFF8696B"/>
        <color rgb="FFFFEB84"/>
        <color rgb="FF63BE7B"/>
      </colorScale>
    </cfRule>
    <cfRule type="colorScale" priority="50">
      <colorScale>
        <cfvo type="num" val="0"/>
        <cfvo type="num" val="1"/>
        <color theme="9"/>
        <color rgb="FFFF0000"/>
      </colorScale>
    </cfRule>
  </conditionalFormatting>
  <conditionalFormatting sqref="G7">
    <cfRule type="colorScale" priority="45">
      <colorScale>
        <cfvo type="num" val="0.3"/>
        <cfvo type="num" val="0.5"/>
        <cfvo type="num" val="1"/>
        <color theme="9" tint="-0.249977111117893"/>
        <color rgb="FFFFC000"/>
        <color rgb="FFFF0000"/>
      </colorScale>
    </cfRule>
    <cfRule type="colorScale" priority="46">
      <colorScale>
        <cfvo type="min"/>
        <cfvo type="percentile" val="50"/>
        <cfvo type="max"/>
        <color rgb="FFF8696B"/>
        <color rgb="FFFFEB84"/>
        <color rgb="FF63BE7B"/>
      </colorScale>
    </cfRule>
    <cfRule type="colorScale" priority="47">
      <colorScale>
        <cfvo type="num" val="0"/>
        <cfvo type="num" val="1"/>
        <color theme="9"/>
        <color rgb="FFFF0000"/>
      </colorScale>
    </cfRule>
  </conditionalFormatting>
  <conditionalFormatting sqref="G15">
    <cfRule type="colorScale" priority="42">
      <colorScale>
        <cfvo type="num" val="0.3"/>
        <cfvo type="num" val="0.5"/>
        <cfvo type="num" val="1"/>
        <color theme="9" tint="-0.249977111117893"/>
        <color rgb="FFFFC000"/>
        <color rgb="FFFF0000"/>
      </colorScale>
    </cfRule>
    <cfRule type="colorScale" priority="43">
      <colorScale>
        <cfvo type="min"/>
        <cfvo type="percentile" val="50"/>
        <cfvo type="max"/>
        <color rgb="FFF8696B"/>
        <color rgb="FFFFEB84"/>
        <color rgb="FF63BE7B"/>
      </colorScale>
    </cfRule>
    <cfRule type="colorScale" priority="44">
      <colorScale>
        <cfvo type="num" val="0"/>
        <cfvo type="num" val="1"/>
        <color theme="9"/>
        <color rgb="FFFF0000"/>
      </colorScale>
    </cfRule>
  </conditionalFormatting>
  <conditionalFormatting sqref="G21">
    <cfRule type="colorScale" priority="39">
      <colorScale>
        <cfvo type="num" val="0.3"/>
        <cfvo type="num" val="0.5"/>
        <cfvo type="num" val="1"/>
        <color theme="9" tint="-0.249977111117893"/>
        <color rgb="FFFFC000"/>
        <color rgb="FFFF0000"/>
      </colorScale>
    </cfRule>
    <cfRule type="colorScale" priority="40">
      <colorScale>
        <cfvo type="min"/>
        <cfvo type="percentile" val="50"/>
        <cfvo type="max"/>
        <color rgb="FFF8696B"/>
        <color rgb="FFFFEB84"/>
        <color rgb="FF63BE7B"/>
      </colorScale>
    </cfRule>
    <cfRule type="colorScale" priority="41">
      <colorScale>
        <cfvo type="num" val="0"/>
        <cfvo type="num" val="1"/>
        <color theme="9"/>
        <color rgb="FFFF0000"/>
      </colorScale>
    </cfRule>
  </conditionalFormatting>
  <conditionalFormatting sqref="G26">
    <cfRule type="colorScale" priority="35">
      <colorScale>
        <cfvo type="num" val="0"/>
        <cfvo type="percentile" val="0.5"/>
        <cfvo type="num" val="1"/>
        <color rgb="FFFF0000"/>
        <color rgb="FFFFEB84"/>
        <color theme="9"/>
      </colorScale>
    </cfRule>
    <cfRule type="colorScale" priority="36">
      <colorScale>
        <cfvo type="num" val="0.3"/>
        <cfvo type="num" val="0.5"/>
        <cfvo type="num" val="1"/>
        <color rgb="FF63BE7B"/>
        <color rgb="FFFFEB84"/>
        <color rgb="FFF8696B"/>
      </colorScale>
    </cfRule>
    <cfRule type="colorScale" priority="37">
      <colorScale>
        <cfvo type="num" val="0"/>
        <cfvo type="percentile" val="0.5"/>
        <cfvo type="num" val="1"/>
        <color rgb="FFF8696B"/>
        <color rgb="FFFFEB84"/>
        <color rgb="FF63BE7B"/>
      </colorScale>
    </cfRule>
    <cfRule type="colorScale" priority="38">
      <colorScale>
        <cfvo type="num" val="0"/>
        <cfvo type="num" val="1"/>
        <color theme="9"/>
        <color rgb="FFFF0000"/>
      </colorScale>
    </cfRule>
  </conditionalFormatting>
  <conditionalFormatting sqref="G31">
    <cfRule type="colorScale" priority="32">
      <colorScale>
        <cfvo type="num" val="0.3"/>
        <cfvo type="num" val="0.5"/>
        <cfvo type="num" val="1"/>
        <color theme="9" tint="-0.249977111117893"/>
        <color rgb="FFFFC000"/>
        <color rgb="FFFF0000"/>
      </colorScale>
    </cfRule>
    <cfRule type="colorScale" priority="33">
      <colorScale>
        <cfvo type="min"/>
        <cfvo type="percentile" val="50"/>
        <cfvo type="max"/>
        <color rgb="FFF8696B"/>
        <color rgb="FFFFEB84"/>
        <color rgb="FF63BE7B"/>
      </colorScale>
    </cfRule>
    <cfRule type="colorScale" priority="34">
      <colorScale>
        <cfvo type="num" val="0"/>
        <cfvo type="num" val="1"/>
        <color theme="9"/>
        <color rgb="FFFF0000"/>
      </colorScale>
    </cfRule>
  </conditionalFormatting>
  <conditionalFormatting sqref="I66 C66 O66">
    <cfRule type="colorScale" priority="23">
      <colorScale>
        <cfvo type="num" val="0.3"/>
        <cfvo type="num" val="0.5"/>
        <cfvo type="num" val="1"/>
        <color theme="9" tint="-0.249977111117893"/>
        <color rgb="FFFFC000"/>
        <color rgb="FFFF0000"/>
      </colorScale>
    </cfRule>
    <cfRule type="colorScale" priority="24">
      <colorScale>
        <cfvo type="min"/>
        <cfvo type="percentile" val="50"/>
        <cfvo type="max"/>
        <color rgb="FFF8696B"/>
        <color rgb="FFFFEB84"/>
        <color rgb="FF63BE7B"/>
      </colorScale>
    </cfRule>
    <cfRule type="colorScale" priority="25">
      <colorScale>
        <cfvo type="num" val="0"/>
        <cfvo type="num" val="1"/>
        <color theme="9"/>
        <color rgb="FFFF0000"/>
      </colorScale>
    </cfRule>
  </conditionalFormatting>
  <conditionalFormatting sqref="T78">
    <cfRule type="colorScale" priority="19">
      <colorScale>
        <cfvo type="num" val="0"/>
        <cfvo type="percentile" val="0.5"/>
        <cfvo type="num" val="1"/>
        <color rgb="FFFF0000"/>
        <color rgb="FFFFEB84"/>
        <color theme="9"/>
      </colorScale>
    </cfRule>
    <cfRule type="colorScale" priority="20">
      <colorScale>
        <cfvo type="num" val="0.3"/>
        <cfvo type="num" val="0.5"/>
        <cfvo type="num" val="1"/>
        <color rgb="FF63BE7B"/>
        <color rgb="FFFFEB84"/>
        <color rgb="FFF8696B"/>
      </colorScale>
    </cfRule>
    <cfRule type="colorScale" priority="21">
      <colorScale>
        <cfvo type="num" val="0"/>
        <cfvo type="percentile" val="0.5"/>
        <cfvo type="num" val="1"/>
        <color rgb="FFF8696B"/>
        <color rgb="FFFFEB84"/>
        <color rgb="FF63BE7B"/>
      </colorScale>
    </cfRule>
    <cfRule type="colorScale" priority="22">
      <colorScale>
        <cfvo type="num" val="0"/>
        <cfvo type="num" val="1"/>
        <color theme="9"/>
        <color rgb="FFFF0000"/>
      </colorScale>
    </cfRule>
  </conditionalFormatting>
  <conditionalFormatting sqref="V56 I58 O58">
    <cfRule type="colorScale" priority="26">
      <colorScale>
        <cfvo type="num" val="0.3"/>
        <cfvo type="num" val="0.5"/>
        <cfvo type="num" val="1"/>
        <color theme="9" tint="-0.249977111117893"/>
        <color rgb="FFFFC000"/>
        <color rgb="FFFF0000"/>
      </colorScale>
    </cfRule>
    <cfRule type="colorScale" priority="27">
      <colorScale>
        <cfvo type="min"/>
        <cfvo type="percentile" val="50"/>
        <cfvo type="max"/>
        <color rgb="FFF8696B"/>
        <color rgb="FFFFEB84"/>
        <color rgb="FF63BE7B"/>
      </colorScale>
    </cfRule>
    <cfRule type="colorScale" priority="28">
      <colorScale>
        <cfvo type="num" val="0"/>
        <cfvo type="num" val="1"/>
        <color theme="9"/>
        <color rgb="FFFF0000"/>
      </colorScale>
    </cfRule>
  </conditionalFormatting>
  <conditionalFormatting sqref="F97 L97 I97">
    <cfRule type="colorScale" priority="10">
      <colorScale>
        <cfvo type="num" val="0.3"/>
        <cfvo type="num" val="0.5"/>
        <cfvo type="num" val="1"/>
        <color theme="9" tint="-0.249977111117893"/>
        <color rgb="FFFFC000"/>
        <color rgb="FFFF0000"/>
      </colorScale>
    </cfRule>
    <cfRule type="colorScale" priority="11">
      <colorScale>
        <cfvo type="min"/>
        <cfvo type="percentile" val="50"/>
        <cfvo type="max"/>
        <color rgb="FFF8696B"/>
        <color rgb="FFFFEB84"/>
        <color rgb="FF63BE7B"/>
      </colorScale>
    </cfRule>
    <cfRule type="colorScale" priority="12">
      <colorScale>
        <cfvo type="num" val="0"/>
        <cfvo type="num" val="1"/>
        <color theme="9"/>
        <color rgb="FFFF0000"/>
      </colorScale>
    </cfRule>
  </conditionalFormatting>
  <conditionalFormatting sqref="S89 L91 I91">
    <cfRule type="colorScale" priority="13">
      <colorScale>
        <cfvo type="num" val="0.3"/>
        <cfvo type="num" val="0.5"/>
        <cfvo type="num" val="1"/>
        <color theme="9" tint="-0.249977111117893"/>
        <color rgb="FFFFC000"/>
        <color rgb="FFFF0000"/>
      </colorScale>
    </cfRule>
    <cfRule type="colorScale" priority="14">
      <colorScale>
        <cfvo type="min"/>
        <cfvo type="percentile" val="50"/>
        <cfvo type="max"/>
        <color rgb="FFF8696B"/>
        <color rgb="FFFFEB84"/>
        <color rgb="FF63BE7B"/>
      </colorScale>
    </cfRule>
    <cfRule type="colorScale" priority="15">
      <colorScale>
        <cfvo type="num" val="0"/>
        <cfvo type="num" val="1"/>
        <color theme="9"/>
        <color rgb="FFFF0000"/>
      </colorScale>
    </cfRule>
  </conditionalFormatting>
  <conditionalFormatting sqref="C91">
    <cfRule type="colorScale" priority="7">
      <colorScale>
        <cfvo type="num" val="0.3"/>
        <cfvo type="num" val="0.5"/>
        <cfvo type="num" val="1"/>
        <color theme="9" tint="-0.249977111117893"/>
        <color rgb="FFFFC000"/>
        <color rgb="FFFF0000"/>
      </colorScale>
    </cfRule>
    <cfRule type="colorScale" priority="8">
      <colorScale>
        <cfvo type="min"/>
        <cfvo type="percentile" val="50"/>
        <cfvo type="max"/>
        <color rgb="FFF8696B"/>
        <color rgb="FFFFEB84"/>
        <color rgb="FF63BE7B"/>
      </colorScale>
    </cfRule>
    <cfRule type="colorScale" priority="9">
      <colorScale>
        <cfvo type="num" val="0"/>
        <cfvo type="num" val="1"/>
        <color theme="9"/>
        <color rgb="FFFF0000"/>
      </colorScale>
    </cfRule>
  </conditionalFormatting>
  <conditionalFormatting sqref="C97">
    <cfRule type="colorScale" priority="4">
      <colorScale>
        <cfvo type="num" val="0.3"/>
        <cfvo type="num" val="0.5"/>
        <cfvo type="num" val="1"/>
        <color theme="9" tint="-0.249977111117893"/>
        <color rgb="FFFFC000"/>
        <color rgb="FFFF0000"/>
      </colorScale>
    </cfRule>
    <cfRule type="colorScale" priority="5">
      <colorScale>
        <cfvo type="min"/>
        <cfvo type="percentile" val="50"/>
        <cfvo type="max"/>
        <color rgb="FFF8696B"/>
        <color rgb="FFFFEB84"/>
        <color rgb="FF63BE7B"/>
      </colorScale>
    </cfRule>
    <cfRule type="colorScale" priority="6">
      <colorScale>
        <cfvo type="num" val="0"/>
        <cfvo type="num" val="1"/>
        <color theme="9"/>
        <color rgb="FFFF0000"/>
      </colorScale>
    </cfRule>
  </conditionalFormatting>
  <conditionalFormatting sqref="F91">
    <cfRule type="colorScale" priority="1">
      <colorScale>
        <cfvo type="num" val="0.3"/>
        <cfvo type="num" val="0.5"/>
        <cfvo type="num" val="1"/>
        <color theme="9" tint="-0.249977111117893"/>
        <color rgb="FFFFC000"/>
        <color rgb="FFFF0000"/>
      </colorScale>
    </cfRule>
    <cfRule type="colorScale" priority="2">
      <colorScale>
        <cfvo type="min"/>
        <cfvo type="percentile" val="50"/>
        <cfvo type="max"/>
        <color rgb="FFF8696B"/>
        <color rgb="FFFFEB84"/>
        <color rgb="FF63BE7B"/>
      </colorScale>
    </cfRule>
    <cfRule type="colorScale" priority="3">
      <colorScale>
        <cfvo type="num" val="0"/>
        <cfvo type="num" val="1"/>
        <color theme="9"/>
        <color rgb="FFFF0000"/>
      </colorScale>
    </cfRule>
  </conditionalFormatting>
  <dataValidations count="4">
    <dataValidation type="list" allowBlank="1" showInputMessage="1" showErrorMessage="1" sqref="S37:V37" xr:uid="{13434895-1291-EB4C-AD11-45C79EA335BB}">
      <formula1>$S$39:$V$39</formula1>
    </dataValidation>
    <dataValidation type="list" allowBlank="1" showInputMessage="1" showErrorMessage="1" sqref="O37" xr:uid="{8A0DAB0D-32F9-7E4F-8F6C-07EC82D97D38}">
      <formula1>$O$39:$R$39</formula1>
    </dataValidation>
    <dataValidation type="list" allowBlank="1" showInputMessage="1" showErrorMessage="1" sqref="F47:H48" xr:uid="{E197761B-D180-E249-AB35-083C126C7D67}">
      <formula1>$F$50:$H$50</formula1>
    </dataValidation>
    <dataValidation type="list" allowBlank="1" showInputMessage="1" showErrorMessage="1" sqref="I47:I48" xr:uid="{55A66B6B-4B1D-F144-91F3-C7A11084E3A4}">
      <formula1>$I$50:$K$50</formula1>
    </dataValidation>
  </dataValidations>
  <pageMargins left="0.7" right="0.7" top="0.75" bottom="0.75" header="0.3" footer="0.3"/>
  <pageSetup paperSize="9" orientation="portrait" horizontalDpi="0" verticalDpi="0"/>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ED4DF-DB74-FD48-A3B9-7D7F5919456D}">
  <dimension ref="A1:F8"/>
  <sheetViews>
    <sheetView zoomScale="120" zoomScaleNormal="120" workbookViewId="0">
      <selection sqref="A1:F6"/>
    </sheetView>
  </sheetViews>
  <sheetFormatPr baseColWidth="10" defaultRowHeight="16" x14ac:dyDescent="0.2"/>
  <cols>
    <col min="1" max="1" width="19.83203125" style="221" customWidth="1"/>
    <col min="2" max="2" width="19.1640625" customWidth="1"/>
    <col min="3" max="3" width="20.5" customWidth="1"/>
    <col min="4" max="4" width="23.33203125" customWidth="1"/>
    <col min="5" max="5" width="21.33203125" customWidth="1"/>
  </cols>
  <sheetData>
    <row r="1" spans="1:6" s="221" customFormat="1" x14ac:dyDescent="0.2">
      <c r="A1" s="221" t="s">
        <v>55</v>
      </c>
      <c r="B1" s="221" t="str">
        <f>Basel!$B$7</f>
        <v>Geological factors (G)</v>
      </c>
      <c r="C1" s="221" t="str">
        <f>Basel!$B$15</f>
        <v>Stimulation factors (O)</v>
      </c>
      <c r="D1" s="221" t="str">
        <f>Basel!$B$21</f>
        <v>Seismic Exposure factors (E)</v>
      </c>
      <c r="E1" s="221" t="str">
        <f>Basel!$B$26</f>
        <v>Data Quality penalty (Q)</v>
      </c>
      <c r="F1" s="221" t="str">
        <f>Basel!$B$31</f>
        <v>Risk score (R)</v>
      </c>
    </row>
    <row r="2" spans="1:6" x14ac:dyDescent="0.2">
      <c r="A2" s="222" t="str">
        <f>Pohang!C2</f>
        <v>Pohang EGS</v>
      </c>
      <c r="B2" s="27">
        <f>Pohang!$G$7</f>
        <v>0.88888888888888884</v>
      </c>
      <c r="C2" s="27">
        <f>Pohang!$G$15</f>
        <v>1</v>
      </c>
      <c r="D2" s="27">
        <f>Pohang!$G$21</f>
        <v>1</v>
      </c>
      <c r="E2" s="27">
        <f>Pohang!$G$27</f>
        <v>0.8</v>
      </c>
      <c r="F2" s="27">
        <f>Pohang!$G$32</f>
        <v>1.1444444444444444</v>
      </c>
    </row>
    <row r="3" spans="1:6" x14ac:dyDescent="0.2">
      <c r="A3" s="221" t="str">
        <f>Basel!C2</f>
        <v>Basel EGS</v>
      </c>
      <c r="B3" s="27">
        <f>Basel!$G$7</f>
        <v>0.89583333333333337</v>
      </c>
      <c r="C3" s="27">
        <f>Basel!$G$15</f>
        <v>1</v>
      </c>
      <c r="D3" s="27">
        <f>Basel!$G$21</f>
        <v>1</v>
      </c>
      <c r="E3" s="27">
        <f>Basel!$G$26</f>
        <v>1</v>
      </c>
      <c r="F3" s="27">
        <f>Basel!$G$31</f>
        <v>0.94791666666666674</v>
      </c>
    </row>
    <row r="4" spans="1:6" x14ac:dyDescent="0.2">
      <c r="A4" s="221" t="str">
        <f>SoultzP1!C2</f>
        <v>Soult GKP1 stimulation</v>
      </c>
      <c r="B4" s="27">
        <f>SoultzP1!$G$7</f>
        <v>1</v>
      </c>
      <c r="C4" s="27">
        <f>SoultzP1!$G$15</f>
        <v>0.86842105263157898</v>
      </c>
      <c r="D4" s="27">
        <f>SoultzP1!$G$21</f>
        <v>0.34312966508873888</v>
      </c>
      <c r="E4" s="27">
        <f>SoultzP1!$G$26</f>
        <v>1</v>
      </c>
      <c r="F4" s="27">
        <f>SoultzP1!$G$31</f>
        <v>0.32055534501711125</v>
      </c>
    </row>
    <row r="5" spans="1:6" x14ac:dyDescent="0.2">
      <c r="A5" s="221" t="str">
        <f>FORGE!C2</f>
        <v>FORGE EGS</v>
      </c>
      <c r="B5" s="27">
        <f>FORGE!$G$7</f>
        <v>1</v>
      </c>
      <c r="C5" s="27">
        <f>FORGE!$G$15</f>
        <v>0.71381578947368418</v>
      </c>
      <c r="D5" s="27">
        <f>FORGE!$G$21</f>
        <v>0.5</v>
      </c>
      <c r="E5" s="27">
        <f>FORGE!$G$26</f>
        <v>1</v>
      </c>
      <c r="F5" s="27">
        <f>FORGE!$G$31</f>
        <v>0.42845394736842102</v>
      </c>
    </row>
    <row r="6" spans="1:6" x14ac:dyDescent="0.2">
      <c r="A6" s="221" t="str">
        <f>HauteSorne!C2</f>
        <v>Haute Sorne EGS</v>
      </c>
      <c r="B6" s="27">
        <f>HauteSorne!$G$7</f>
        <v>0.89583333333333337</v>
      </c>
      <c r="C6" s="27">
        <f>HauteSorne!$G$15</f>
        <v>0.77631578947368418</v>
      </c>
      <c r="D6" s="27">
        <f>HauteSorne!$G$21</f>
        <v>0.77103854344665146</v>
      </c>
      <c r="E6" s="27">
        <f>HauteSorne!$G$26</f>
        <v>1</v>
      </c>
      <c r="F6" s="27">
        <f>HauteSorne!$G$31</f>
        <v>0.64464571203735943</v>
      </c>
    </row>
    <row r="7" spans="1:6" x14ac:dyDescent="0.2">
      <c r="A7" s="221" t="str">
        <f>StGallen!C2</f>
        <v>StGallen</v>
      </c>
      <c r="B7" s="27">
        <f>StGallen!$G$7</f>
        <v>0.89583333333333337</v>
      </c>
      <c r="C7" s="27">
        <f>StGallen!$G$15</f>
        <v>0.5</v>
      </c>
      <c r="D7" s="27">
        <f>StGallen!$G$21</f>
        <v>0.57176985923367907</v>
      </c>
      <c r="E7" s="27">
        <f>StGallen!$G$26</f>
        <v>1</v>
      </c>
      <c r="F7" s="27">
        <f>StGallen!$G$31</f>
        <v>0.39904771425683849</v>
      </c>
    </row>
    <row r="8" spans="1:6" x14ac:dyDescent="0.2">
      <c r="A8" s="221" t="str">
        <f>Riehen!C2</f>
        <v>Riehen hydrothermal</v>
      </c>
      <c r="B8" s="27">
        <f>Riehen!$G$7</f>
        <v>1</v>
      </c>
      <c r="C8" s="27">
        <f>Riehen!$G$15</f>
        <v>6.25E-2</v>
      </c>
      <c r="D8" s="27">
        <f>Riehen!$G$21</f>
        <v>0.50837631772888636</v>
      </c>
      <c r="E8" s="27">
        <f>Riehen!$G$26</f>
        <v>0.8</v>
      </c>
      <c r="F8" s="27">
        <f>Riehen!$G$31</f>
        <v>0.47007491879347074</v>
      </c>
    </row>
  </sheetData>
  <conditionalFormatting sqref="B3:B8">
    <cfRule type="colorScale" priority="68">
      <colorScale>
        <cfvo type="num" val="0.3"/>
        <cfvo type="num" val="0.5"/>
        <cfvo type="num" val="1"/>
        <color theme="9" tint="-0.249977111117893"/>
        <color rgb="FFFFC000"/>
        <color rgb="FFFF0000"/>
      </colorScale>
    </cfRule>
    <cfRule type="colorScale" priority="69">
      <colorScale>
        <cfvo type="min"/>
        <cfvo type="percentile" val="50"/>
        <cfvo type="max"/>
        <color rgb="FFF8696B"/>
        <color rgb="FFFFEB84"/>
        <color rgb="FF63BE7B"/>
      </colorScale>
    </cfRule>
    <cfRule type="colorScale" priority="70">
      <colorScale>
        <cfvo type="num" val="0"/>
        <cfvo type="num" val="1"/>
        <color theme="9"/>
        <color rgb="FFFF0000"/>
      </colorScale>
    </cfRule>
  </conditionalFormatting>
  <conditionalFormatting sqref="B2:D2">
    <cfRule type="colorScale" priority="7">
      <colorScale>
        <cfvo type="num" val="0.3"/>
        <cfvo type="num" val="0.5"/>
        <cfvo type="num" val="1"/>
        <color theme="9" tint="-0.249977111117893"/>
        <color rgb="FFFFC000"/>
        <color rgb="FFFF0000"/>
      </colorScale>
    </cfRule>
    <cfRule type="colorScale" priority="8">
      <colorScale>
        <cfvo type="min"/>
        <cfvo type="percentile" val="50"/>
        <cfvo type="max"/>
        <color rgb="FFF8696B"/>
        <color rgb="FFFFEB84"/>
        <color rgb="FF63BE7B"/>
      </colorScale>
    </cfRule>
    <cfRule type="colorScale" priority="9">
      <colorScale>
        <cfvo type="num" val="0"/>
        <cfvo type="num" val="1"/>
        <color theme="9"/>
        <color rgb="FFFF0000"/>
      </colorScale>
    </cfRule>
  </conditionalFormatting>
  <conditionalFormatting sqref="C3:C8">
    <cfRule type="colorScale" priority="4">
      <colorScale>
        <cfvo type="num" val="0.3"/>
        <cfvo type="num" val="0.5"/>
        <cfvo type="num" val="1"/>
        <color theme="9" tint="-0.249977111117893"/>
        <color rgb="FFFFC000"/>
        <color rgb="FFFF0000"/>
      </colorScale>
    </cfRule>
    <cfRule type="colorScale" priority="5">
      <colorScale>
        <cfvo type="min"/>
        <cfvo type="percentile" val="50"/>
        <cfvo type="max"/>
        <color rgb="FFF8696B"/>
        <color rgb="FFFFEB84"/>
        <color rgb="FF63BE7B"/>
      </colorScale>
    </cfRule>
    <cfRule type="colorScale" priority="6">
      <colorScale>
        <cfvo type="num" val="0"/>
        <cfvo type="num" val="1"/>
        <color theme="9"/>
        <color rgb="FFFF0000"/>
      </colorScale>
    </cfRule>
  </conditionalFormatting>
  <conditionalFormatting sqref="D3:D8">
    <cfRule type="colorScale" priority="1">
      <colorScale>
        <cfvo type="num" val="0.3"/>
        <cfvo type="num" val="0.5"/>
        <cfvo type="num" val="1"/>
        <color theme="9" tint="-0.249977111117893"/>
        <color rgb="FFFFC000"/>
        <color rgb="FFFF0000"/>
      </colorScale>
    </cfRule>
    <cfRule type="colorScale" priority="2">
      <colorScale>
        <cfvo type="min"/>
        <cfvo type="percentile" val="50"/>
        <cfvo type="max"/>
        <color rgb="FFF8696B"/>
        <color rgb="FFFFEB84"/>
        <color rgb="FF63BE7B"/>
      </colorScale>
    </cfRule>
    <cfRule type="colorScale" priority="3">
      <colorScale>
        <cfvo type="num" val="0"/>
        <cfvo type="num" val="1"/>
        <color theme="9"/>
        <color rgb="FFFF0000"/>
      </colorScale>
    </cfRule>
  </conditionalFormatting>
  <conditionalFormatting sqref="E2:E8">
    <cfRule type="colorScale" priority="10">
      <colorScale>
        <cfvo type="num" val="0"/>
        <cfvo type="percentile" val="0.5"/>
        <cfvo type="num" val="1"/>
        <color rgb="FFFF0000"/>
        <color rgb="FFFFEB84"/>
        <color theme="9"/>
      </colorScale>
    </cfRule>
    <cfRule type="colorScale" priority="11">
      <colorScale>
        <cfvo type="num" val="0.3"/>
        <cfvo type="num" val="0.5"/>
        <cfvo type="num" val="1"/>
        <color rgb="FF63BE7B"/>
        <color rgb="FFFFEB84"/>
        <color rgb="FFF8696B"/>
      </colorScale>
    </cfRule>
    <cfRule type="colorScale" priority="12">
      <colorScale>
        <cfvo type="num" val="0"/>
        <cfvo type="percentile" val="0.5"/>
        <cfvo type="num" val="1"/>
        <color rgb="FFF8696B"/>
        <color rgb="FFFFEB84"/>
        <color rgb="FF63BE7B"/>
      </colorScale>
    </cfRule>
    <cfRule type="colorScale" priority="13">
      <colorScale>
        <cfvo type="num" val="0"/>
        <cfvo type="num" val="1"/>
        <color theme="9"/>
        <color rgb="FFFF0000"/>
      </colorScale>
    </cfRule>
  </conditionalFormatting>
  <conditionalFormatting sqref="F2:F8">
    <cfRule type="colorScale" priority="71">
      <colorScale>
        <cfvo type="num" val="0.3"/>
        <cfvo type="num" val="0.5"/>
        <cfvo type="num" val="1"/>
        <color theme="9" tint="-0.249977111117893"/>
        <color rgb="FFFFC000"/>
        <color rgb="FFFF0000"/>
      </colorScale>
    </cfRule>
    <cfRule type="colorScale" priority="72">
      <colorScale>
        <cfvo type="min"/>
        <cfvo type="percentile" val="50"/>
        <cfvo type="max"/>
        <color rgb="FFF8696B"/>
        <color rgb="FFFFEB84"/>
        <color rgb="FF63BE7B"/>
      </colorScale>
    </cfRule>
    <cfRule type="colorScale" priority="73">
      <colorScale>
        <cfvo type="num" val="0"/>
        <cfvo type="num" val="1"/>
        <color theme="9"/>
        <color rgb="FFFF0000"/>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Pohang</vt:lpstr>
      <vt:lpstr>FORGE</vt:lpstr>
      <vt:lpstr>Riehen</vt:lpstr>
      <vt:lpstr>SoultzP1</vt:lpstr>
      <vt:lpstr>StGallen</vt:lpstr>
      <vt:lpstr>Basel</vt:lpstr>
      <vt:lpstr>HauteSorne</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Wen Zhou</cp:lastModifiedBy>
  <dcterms:created xsi:type="dcterms:W3CDTF">2022-06-07T13:41:47Z</dcterms:created>
  <dcterms:modified xsi:type="dcterms:W3CDTF">2024-02-02T15:00:55Z</dcterms:modified>
</cp:coreProperties>
</file>