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4742506750c54cd7/Desktop/PGDM Finance/TRIM 3/IAPM/HUL/"/>
    </mc:Choice>
  </mc:AlternateContent>
  <xr:revisionPtr revIDLastSave="2313" documentId="8_{F4BBB332-349B-4D70-9CBB-4ACCB35630B7}" xr6:coauthVersionLast="47" xr6:coauthVersionMax="47" xr10:uidLastSave="{E6979D3A-2987-427D-9BBC-A518D105E326}"/>
  <bookViews>
    <workbookView xWindow="-108" yWindow="-108" windowWidth="23256" windowHeight="12456" activeTab="11" xr2:uid="{D4886810-D9CC-4231-AA87-2302A306BB27}"/>
  </bookViews>
  <sheets>
    <sheet name="DCF" sheetId="21" r:id="rId1"/>
    <sheet name="Comps_Val" sheetId="22" r:id="rId2"/>
    <sheet name="Dupont Analysis" sheetId="23" r:id="rId3"/>
    <sheet name="Intrinsic Growth" sheetId="19" r:id="rId4"/>
    <sheet name="Peers Comparison" sheetId="12" r:id="rId5"/>
    <sheet name="Common Size Statememt" sheetId="15" r:id="rId6"/>
    <sheet name="RM" sheetId="14" r:id="rId7"/>
    <sheet name="Beta Calculation" sheetId="13" r:id="rId8"/>
    <sheet name="Sales Forecast" sheetId="11" state="hidden" r:id="rId9"/>
    <sheet name="Ratio Analysis" sheetId="7" r:id="rId10"/>
    <sheet name="Financials&gt;" sheetId="1" r:id="rId11"/>
    <sheet name="HistoricalFS" sheetId="3" r:id="rId12"/>
    <sheet name="Data&gt;" sheetId="4" r:id="rId13"/>
    <sheet name="Data Sheet" sheetId="2" r:id="rId14"/>
    <sheet name="Balance Sheet Data" sheetId="8" r:id="rId15"/>
    <sheet name="Cash Flow Data" sheetId="5" r:id="rId16"/>
  </sheets>
  <externalReferences>
    <externalReference r:id="rId17"/>
  </externalReference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"01/26/2023 09:21:20"</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2">'Dupont Analysis'!$A$1:$J$142</definedName>
    <definedName name="UPDATE">'Data Sheet'!$E$1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3" i="3" l="1"/>
  <c r="N104" i="3" s="1"/>
  <c r="N102" i="3"/>
  <c r="N98" i="3"/>
  <c r="N97" i="3"/>
  <c r="N96" i="3"/>
  <c r="N95" i="3"/>
  <c r="N94" i="3"/>
  <c r="N93" i="3"/>
  <c r="N99" i="3" s="1"/>
  <c r="N90" i="3"/>
  <c r="N89" i="3"/>
  <c r="N88" i="3"/>
  <c r="N87" i="3"/>
  <c r="N86" i="3"/>
  <c r="N85" i="3"/>
  <c r="N84" i="3"/>
  <c r="N83" i="3"/>
  <c r="N82" i="3"/>
  <c r="N91" i="3" s="1"/>
  <c r="N100" i="3" s="1"/>
  <c r="N78" i="3"/>
  <c r="N79" i="3" s="1"/>
  <c r="N77" i="3"/>
  <c r="N76" i="3"/>
  <c r="N75" i="3"/>
  <c r="N74" i="3"/>
  <c r="N71" i="3"/>
  <c r="N70" i="3"/>
  <c r="N69" i="3"/>
  <c r="N72" i="3" s="1"/>
  <c r="N66" i="3"/>
  <c r="N62" i="3"/>
  <c r="M62" i="3"/>
  <c r="N63" i="3" s="1"/>
  <c r="M66" i="3"/>
  <c r="N59" i="3"/>
  <c r="N60" i="3" s="1"/>
  <c r="M63" i="3"/>
  <c r="M60" i="3"/>
  <c r="M59" i="3"/>
  <c r="M103" i="3"/>
  <c r="M100" i="3"/>
  <c r="M99" i="3"/>
  <c r="M98" i="3"/>
  <c r="M97" i="3"/>
  <c r="M96" i="3"/>
  <c r="M95" i="3"/>
  <c r="M94" i="3"/>
  <c r="M93" i="3"/>
  <c r="M91" i="3"/>
  <c r="M90" i="3"/>
  <c r="M89" i="3"/>
  <c r="M88" i="3"/>
  <c r="M87" i="3"/>
  <c r="M86" i="3"/>
  <c r="M85" i="3"/>
  <c r="M84" i="3"/>
  <c r="M83" i="3"/>
  <c r="M82" i="3"/>
  <c r="M78" i="3"/>
  <c r="M77" i="3"/>
  <c r="M76" i="3"/>
  <c r="M75" i="3"/>
  <c r="M74" i="3"/>
  <c r="M72" i="3"/>
  <c r="M71" i="3"/>
  <c r="M70" i="3"/>
  <c r="M69" i="3"/>
  <c r="C40" i="21"/>
  <c r="I92" i="23"/>
  <c r="I98" i="23" s="1"/>
  <c r="I114" i="23" s="1"/>
  <c r="I120" i="23" s="1"/>
  <c r="G92" i="23"/>
  <c r="G98" i="23" s="1"/>
  <c r="G114" i="23" s="1"/>
  <c r="G120" i="23" s="1"/>
  <c r="F92" i="23"/>
  <c r="F98" i="23" s="1"/>
  <c r="F114" i="23" s="1"/>
  <c r="F120" i="23" s="1"/>
  <c r="E92" i="23"/>
  <c r="E98" i="23" s="1"/>
  <c r="E114" i="23" s="1"/>
  <c r="E120" i="23" s="1"/>
  <c r="D92" i="23"/>
  <c r="D98" i="23" s="1"/>
  <c r="D114" i="23" s="1"/>
  <c r="D120" i="23" s="1"/>
  <c r="C92" i="23"/>
  <c r="C98" i="23" s="1"/>
  <c r="C114" i="23" s="1"/>
  <c r="C120" i="23" s="1"/>
  <c r="B121" i="23"/>
  <c r="B108" i="23"/>
  <c r="B107" i="23"/>
  <c r="B116" i="23" s="1"/>
  <c r="B99" i="23"/>
  <c r="H92" i="23"/>
  <c r="H98" i="23" s="1"/>
  <c r="H114" i="23" s="1"/>
  <c r="H120" i="23" s="1"/>
  <c r="A4" i="23"/>
  <c r="N65" i="3" l="1"/>
  <c r="M65" i="3"/>
  <c r="M79" i="3" s="1"/>
  <c r="M102" i="3" s="1"/>
  <c r="M104" i="3"/>
  <c r="N25" i="22"/>
  <c r="O25" i="22" s="1"/>
  <c r="P25" i="22" s="1"/>
  <c r="F10" i="22"/>
  <c r="F9" i="22"/>
  <c r="F8" i="22"/>
  <c r="F7" i="22"/>
  <c r="N23" i="22" s="1"/>
  <c r="E10" i="22"/>
  <c r="G10" i="22" s="1"/>
  <c r="E9" i="22"/>
  <c r="E8" i="22"/>
  <c r="E7" i="22"/>
  <c r="J46" i="11"/>
  <c r="J45" i="11"/>
  <c r="J44" i="11"/>
  <c r="J43" i="11"/>
  <c r="O23" i="22" l="1"/>
  <c r="G7" i="22"/>
  <c r="P23" i="22"/>
  <c r="G8" i="22"/>
  <c r="P8" i="22" s="1"/>
  <c r="G9" i="22"/>
  <c r="P9" i="22" s="1"/>
  <c r="P10" i="22"/>
  <c r="N10" i="22"/>
  <c r="O10" i="22"/>
  <c r="N9" i="22" l="1"/>
  <c r="O8" i="22"/>
  <c r="N8" i="22"/>
  <c r="O9" i="22"/>
  <c r="J27" i="12" l="1"/>
  <c r="C41" i="21"/>
  <c r="E16" i="21" l="1"/>
  <c r="F16" i="21" s="1"/>
  <c r="G16" i="21" s="1"/>
  <c r="H16" i="21" s="1"/>
  <c r="C65" i="3"/>
  <c r="D65" i="3"/>
  <c r="E65" i="3"/>
  <c r="F65" i="3"/>
  <c r="G65" i="3"/>
  <c r="H65" i="3"/>
  <c r="I65" i="3"/>
  <c r="J65" i="3"/>
  <c r="K65" i="3"/>
  <c r="G2" i="19"/>
  <c r="F2" i="19"/>
  <c r="E2" i="19"/>
  <c r="D2" i="19"/>
  <c r="C2" i="19"/>
  <c r="E41" i="19" l="1"/>
  <c r="E56" i="19" s="1"/>
  <c r="C41" i="19"/>
  <c r="C56" i="19" s="1"/>
  <c r="G41" i="19"/>
  <c r="G56" i="19" s="1"/>
  <c r="D41" i="19"/>
  <c r="D56" i="19" s="1"/>
  <c r="F41" i="19"/>
  <c r="F56" i="19" s="1"/>
  <c r="L68" i="15"/>
  <c r="K68" i="15"/>
  <c r="J68" i="15"/>
  <c r="I68" i="15"/>
  <c r="H68" i="15"/>
  <c r="G68" i="15"/>
  <c r="F68" i="15"/>
  <c r="E68" i="15"/>
  <c r="D68" i="15"/>
  <c r="C68" i="15"/>
  <c r="L67" i="15"/>
  <c r="K67" i="15"/>
  <c r="J67" i="15"/>
  <c r="I67" i="15"/>
  <c r="H67" i="15"/>
  <c r="G67" i="15"/>
  <c r="F67" i="15"/>
  <c r="E67" i="15"/>
  <c r="D67" i="15"/>
  <c r="C67" i="15"/>
  <c r="L66" i="15"/>
  <c r="K66" i="15"/>
  <c r="J66" i="15"/>
  <c r="I66" i="15"/>
  <c r="H66" i="15"/>
  <c r="G66" i="15"/>
  <c r="F66" i="15"/>
  <c r="E66" i="15"/>
  <c r="D66" i="15"/>
  <c r="C66" i="15"/>
  <c r="L65" i="15"/>
  <c r="K65" i="15"/>
  <c r="J65" i="15"/>
  <c r="I65" i="15"/>
  <c r="H65" i="15"/>
  <c r="G65" i="15"/>
  <c r="F65" i="15"/>
  <c r="E65" i="15"/>
  <c r="D65" i="15"/>
  <c r="C65" i="15"/>
  <c r="L64" i="15"/>
  <c r="K64" i="15"/>
  <c r="J64" i="15"/>
  <c r="I64" i="15"/>
  <c r="H64" i="15"/>
  <c r="G64" i="15"/>
  <c r="F64" i="15"/>
  <c r="E64" i="15"/>
  <c r="D64" i="15"/>
  <c r="C64" i="15"/>
  <c r="L63" i="15"/>
  <c r="K63" i="15"/>
  <c r="J63" i="15"/>
  <c r="I63" i="15"/>
  <c r="H63" i="15"/>
  <c r="G63" i="15"/>
  <c r="F63" i="15"/>
  <c r="E63" i="15"/>
  <c r="D63" i="15"/>
  <c r="C63" i="15"/>
  <c r="L62" i="15"/>
  <c r="K62" i="15"/>
  <c r="J62" i="15"/>
  <c r="I62" i="15"/>
  <c r="H62" i="15"/>
  <c r="G62" i="15"/>
  <c r="F62" i="15"/>
  <c r="E62" i="15"/>
  <c r="D62" i="15"/>
  <c r="C62" i="15"/>
  <c r="L60" i="15"/>
  <c r="K60" i="15"/>
  <c r="J60" i="15"/>
  <c r="I60" i="15"/>
  <c r="H60" i="15"/>
  <c r="G60" i="15"/>
  <c r="F60" i="15"/>
  <c r="E60" i="15"/>
  <c r="D60" i="15"/>
  <c r="C60" i="15"/>
  <c r="L59" i="15"/>
  <c r="K59" i="15"/>
  <c r="J59" i="15"/>
  <c r="I59" i="15"/>
  <c r="H59" i="15"/>
  <c r="G59" i="15"/>
  <c r="F59" i="15"/>
  <c r="E59" i="15"/>
  <c r="D59" i="15"/>
  <c r="C59" i="15"/>
  <c r="L58" i="15"/>
  <c r="K58" i="15"/>
  <c r="J58" i="15"/>
  <c r="I58" i="15"/>
  <c r="H58" i="15"/>
  <c r="G58" i="15"/>
  <c r="F58" i="15"/>
  <c r="E58" i="15"/>
  <c r="D58" i="15"/>
  <c r="C58" i="15"/>
  <c r="L57" i="15"/>
  <c r="K57" i="15"/>
  <c r="J57" i="15"/>
  <c r="I57" i="15"/>
  <c r="H57" i="15"/>
  <c r="G57" i="15"/>
  <c r="F57" i="15"/>
  <c r="E57" i="15"/>
  <c r="D57" i="15"/>
  <c r="C57" i="15"/>
  <c r="L56" i="15"/>
  <c r="K56" i="15"/>
  <c r="J56" i="15"/>
  <c r="I56" i="15"/>
  <c r="H56" i="15"/>
  <c r="G56" i="15"/>
  <c r="F56" i="15"/>
  <c r="E56" i="15"/>
  <c r="D56" i="15"/>
  <c r="C56" i="15"/>
  <c r="L55" i="15"/>
  <c r="K55" i="15"/>
  <c r="J55" i="15"/>
  <c r="I55" i="15"/>
  <c r="H55" i="15"/>
  <c r="G55" i="15"/>
  <c r="F55" i="15"/>
  <c r="E55" i="15"/>
  <c r="D55" i="15"/>
  <c r="C55" i="15"/>
  <c r="L54" i="15"/>
  <c r="K54" i="15"/>
  <c r="J54" i="15"/>
  <c r="I54" i="15"/>
  <c r="H54" i="15"/>
  <c r="G54" i="15"/>
  <c r="F54" i="15"/>
  <c r="E54" i="15"/>
  <c r="D54" i="15"/>
  <c r="C54" i="15"/>
  <c r="L53" i="15"/>
  <c r="K53" i="15"/>
  <c r="J53" i="15"/>
  <c r="I53" i="15"/>
  <c r="H53" i="15"/>
  <c r="G53" i="15"/>
  <c r="F53" i="15"/>
  <c r="E53" i="15"/>
  <c r="D53" i="15"/>
  <c r="C53" i="15"/>
  <c r="L52" i="15"/>
  <c r="K52" i="15"/>
  <c r="J52" i="15"/>
  <c r="I52" i="15"/>
  <c r="H52" i="15"/>
  <c r="G52" i="15"/>
  <c r="F52" i="15"/>
  <c r="E52" i="15"/>
  <c r="D52" i="15"/>
  <c r="C52" i="15"/>
  <c r="L48" i="15"/>
  <c r="K48" i="15"/>
  <c r="J48" i="15"/>
  <c r="I48" i="15"/>
  <c r="H48" i="15"/>
  <c r="G48" i="15"/>
  <c r="F48" i="15"/>
  <c r="E48" i="15"/>
  <c r="D48" i="15"/>
  <c r="C48" i="15"/>
  <c r="L47" i="15"/>
  <c r="K47" i="15"/>
  <c r="J47" i="15"/>
  <c r="I47" i="15"/>
  <c r="H47" i="15"/>
  <c r="G47" i="15"/>
  <c r="F47" i="15"/>
  <c r="E47" i="15"/>
  <c r="D47" i="15"/>
  <c r="C47" i="15"/>
  <c r="L46" i="15"/>
  <c r="K46" i="15"/>
  <c r="J46" i="15"/>
  <c r="I46" i="15"/>
  <c r="H46" i="15"/>
  <c r="G46" i="15"/>
  <c r="F46" i="15"/>
  <c r="E46" i="15"/>
  <c r="D46" i="15"/>
  <c r="C46" i="15"/>
  <c r="L45" i="15"/>
  <c r="K45" i="15"/>
  <c r="J45" i="15"/>
  <c r="I45" i="15"/>
  <c r="H45" i="15"/>
  <c r="G45" i="15"/>
  <c r="F45" i="15"/>
  <c r="E45" i="15"/>
  <c r="D45" i="15"/>
  <c r="C45" i="15"/>
  <c r="L44" i="15"/>
  <c r="K44" i="15"/>
  <c r="J44" i="15"/>
  <c r="I44" i="15"/>
  <c r="H44" i="15"/>
  <c r="G44" i="15"/>
  <c r="F44" i="15"/>
  <c r="E44" i="15"/>
  <c r="D44" i="15"/>
  <c r="C44" i="15"/>
  <c r="L42" i="15"/>
  <c r="K42" i="15"/>
  <c r="J42" i="15"/>
  <c r="I42" i="15"/>
  <c r="H42" i="15"/>
  <c r="G42" i="15"/>
  <c r="F42" i="15"/>
  <c r="E42" i="15"/>
  <c r="D42" i="15"/>
  <c r="C42" i="15"/>
  <c r="L41" i="15"/>
  <c r="K41" i="15"/>
  <c r="J41" i="15"/>
  <c r="I41" i="15"/>
  <c r="H41" i="15"/>
  <c r="G41" i="15"/>
  <c r="F41" i="15"/>
  <c r="E41" i="15"/>
  <c r="D41" i="15"/>
  <c r="C41" i="15"/>
  <c r="L40" i="15"/>
  <c r="K40" i="15"/>
  <c r="J40" i="15"/>
  <c r="I40" i="15"/>
  <c r="H40" i="15"/>
  <c r="G40" i="15"/>
  <c r="F40" i="15"/>
  <c r="E40" i="15"/>
  <c r="D40" i="15"/>
  <c r="C40" i="15"/>
  <c r="L39" i="15"/>
  <c r="K39" i="15"/>
  <c r="J39" i="15"/>
  <c r="I39" i="15"/>
  <c r="H39" i="15"/>
  <c r="G39" i="15"/>
  <c r="F39" i="15"/>
  <c r="E39" i="15"/>
  <c r="D39" i="15"/>
  <c r="C39" i="15"/>
  <c r="L38" i="15"/>
  <c r="K38" i="15"/>
  <c r="J38" i="15"/>
  <c r="I38" i="15"/>
  <c r="H38" i="15"/>
  <c r="G38" i="15"/>
  <c r="F38" i="15"/>
  <c r="E38" i="15"/>
  <c r="D38" i="15"/>
  <c r="C38" i="15"/>
  <c r="L36" i="15"/>
  <c r="K36" i="15"/>
  <c r="J36" i="15"/>
  <c r="I36" i="15"/>
  <c r="H36" i="15"/>
  <c r="G36" i="15"/>
  <c r="F36" i="15"/>
  <c r="E36" i="15"/>
  <c r="D36" i="15"/>
  <c r="C36" i="15"/>
  <c r="L35" i="15"/>
  <c r="K35" i="15"/>
  <c r="J35" i="15"/>
  <c r="I35" i="15"/>
  <c r="H35" i="15"/>
  <c r="G35" i="15"/>
  <c r="F35" i="15"/>
  <c r="E35" i="15"/>
  <c r="D35" i="15"/>
  <c r="C35" i="15"/>
  <c r="L34" i="15"/>
  <c r="K34" i="15"/>
  <c r="J34" i="15"/>
  <c r="I34" i="15"/>
  <c r="H34" i="15"/>
  <c r="G34" i="15"/>
  <c r="F34" i="15"/>
  <c r="E34" i="15"/>
  <c r="D34" i="15"/>
  <c r="C34" i="15"/>
  <c r="L33" i="15"/>
  <c r="K33" i="15"/>
  <c r="J33" i="15"/>
  <c r="I33" i="15"/>
  <c r="H33" i="15"/>
  <c r="G33" i="15"/>
  <c r="F33" i="15"/>
  <c r="E33" i="15"/>
  <c r="D33" i="15"/>
  <c r="C33" i="15"/>
  <c r="L32" i="15"/>
  <c r="K32" i="15"/>
  <c r="J32" i="15"/>
  <c r="I32" i="15"/>
  <c r="H32" i="15"/>
  <c r="G32" i="15"/>
  <c r="F32" i="15"/>
  <c r="E32" i="15"/>
  <c r="D32" i="15"/>
  <c r="C32" i="15"/>
  <c r="L31" i="15"/>
  <c r="K31" i="15"/>
  <c r="J31" i="15"/>
  <c r="I31" i="15"/>
  <c r="H31" i="15"/>
  <c r="G31" i="15"/>
  <c r="F31" i="15"/>
  <c r="E31" i="15"/>
  <c r="D31" i="15"/>
  <c r="C31" i="15"/>
  <c r="L30" i="15"/>
  <c r="K30" i="15"/>
  <c r="J30" i="15"/>
  <c r="I30" i="15"/>
  <c r="H30" i="15"/>
  <c r="G30" i="15"/>
  <c r="F30" i="15"/>
  <c r="E30" i="15"/>
  <c r="D30" i="15"/>
  <c r="C30" i="15"/>
  <c r="L49" i="15"/>
  <c r="K49" i="15"/>
  <c r="J49" i="15"/>
  <c r="I49" i="15"/>
  <c r="H49" i="15"/>
  <c r="G49" i="15"/>
  <c r="F49" i="15"/>
  <c r="E49" i="15"/>
  <c r="D49" i="15"/>
  <c r="C49" i="15"/>
  <c r="L69" i="15"/>
  <c r="K69" i="15"/>
  <c r="J69" i="15"/>
  <c r="I69" i="15"/>
  <c r="H69" i="15"/>
  <c r="G69" i="15"/>
  <c r="F69" i="15"/>
  <c r="E69" i="15"/>
  <c r="D69" i="15"/>
  <c r="C69" i="15"/>
  <c r="L29" i="15"/>
  <c r="K29" i="15"/>
  <c r="J29" i="15"/>
  <c r="I29" i="15"/>
  <c r="H29" i="15"/>
  <c r="G29" i="15"/>
  <c r="F29" i="15"/>
  <c r="E29" i="15"/>
  <c r="D29" i="15"/>
  <c r="C29" i="15"/>
  <c r="L20" i="15"/>
  <c r="K20" i="15"/>
  <c r="J20" i="15"/>
  <c r="I20" i="15"/>
  <c r="H20" i="15"/>
  <c r="G20" i="15"/>
  <c r="F20" i="15"/>
  <c r="E20" i="15"/>
  <c r="L18" i="15"/>
  <c r="K18" i="15"/>
  <c r="J18" i="15"/>
  <c r="I18" i="15"/>
  <c r="H18" i="15"/>
  <c r="G18" i="15"/>
  <c r="F18" i="15"/>
  <c r="E18" i="15"/>
  <c r="L17" i="15"/>
  <c r="K17" i="15"/>
  <c r="J17" i="15"/>
  <c r="I17" i="15"/>
  <c r="H17" i="15"/>
  <c r="G17" i="15"/>
  <c r="F17" i="15"/>
  <c r="E17" i="15"/>
  <c r="L16" i="15"/>
  <c r="K16" i="15"/>
  <c r="J16" i="15"/>
  <c r="I16" i="15"/>
  <c r="H16" i="15"/>
  <c r="G16" i="15"/>
  <c r="F16" i="15"/>
  <c r="E16" i="15"/>
  <c r="L15" i="15"/>
  <c r="K15" i="15"/>
  <c r="J15" i="15"/>
  <c r="I15" i="15"/>
  <c r="H15" i="15"/>
  <c r="G15" i="15"/>
  <c r="F15" i="15"/>
  <c r="E15" i="15"/>
  <c r="L14" i="15"/>
  <c r="K14" i="15"/>
  <c r="J14" i="15"/>
  <c r="I14" i="15"/>
  <c r="H14" i="15"/>
  <c r="G14" i="15"/>
  <c r="F14" i="15"/>
  <c r="E14" i="15"/>
  <c r="L13" i="15"/>
  <c r="K13" i="15"/>
  <c r="J13" i="15"/>
  <c r="I13" i="15"/>
  <c r="H13" i="15"/>
  <c r="G13" i="15"/>
  <c r="F13" i="15"/>
  <c r="E13" i="15"/>
  <c r="L12" i="15"/>
  <c r="K12" i="15"/>
  <c r="J12" i="15"/>
  <c r="I12" i="15"/>
  <c r="H12" i="15"/>
  <c r="G12" i="15"/>
  <c r="F12" i="15"/>
  <c r="E12" i="15"/>
  <c r="L11" i="15"/>
  <c r="K11" i="15"/>
  <c r="J11" i="15"/>
  <c r="I11" i="15"/>
  <c r="H11" i="15"/>
  <c r="G11" i="15"/>
  <c r="F11" i="15"/>
  <c r="E11" i="15"/>
  <c r="L10" i="15"/>
  <c r="K10" i="15"/>
  <c r="J10" i="15"/>
  <c r="I10" i="15"/>
  <c r="H10" i="15"/>
  <c r="G10" i="15"/>
  <c r="F10" i="15"/>
  <c r="E10" i="15"/>
  <c r="L9" i="15"/>
  <c r="K9" i="15"/>
  <c r="J9" i="15"/>
  <c r="I9" i="15"/>
  <c r="H9" i="15"/>
  <c r="G9" i="15"/>
  <c r="F9" i="15"/>
  <c r="E9" i="15"/>
  <c r="L8" i="15"/>
  <c r="K8" i="15"/>
  <c r="J8" i="15"/>
  <c r="I8" i="15"/>
  <c r="H8" i="15"/>
  <c r="G8" i="15"/>
  <c r="F8" i="15"/>
  <c r="E8" i="15"/>
  <c r="L7" i="15"/>
  <c r="K7" i="15"/>
  <c r="J7" i="15"/>
  <c r="I7" i="15"/>
  <c r="H7" i="15"/>
  <c r="G7" i="15"/>
  <c r="F7" i="15"/>
  <c r="E7" i="15"/>
  <c r="L6" i="15"/>
  <c r="K6" i="15"/>
  <c r="J6" i="15"/>
  <c r="I6" i="15"/>
  <c r="H6" i="15"/>
  <c r="G6" i="15"/>
  <c r="F6" i="15"/>
  <c r="E6" i="15"/>
  <c r="L5" i="15"/>
  <c r="K5" i="15"/>
  <c r="J5" i="15"/>
  <c r="I5" i="15"/>
  <c r="H5" i="15"/>
  <c r="G5" i="15"/>
  <c r="F5" i="15"/>
  <c r="E5" i="15"/>
  <c r="L4" i="15"/>
  <c r="K4" i="15"/>
  <c r="J4" i="15"/>
  <c r="I4" i="15"/>
  <c r="H4" i="15"/>
  <c r="G4" i="15"/>
  <c r="F4" i="15"/>
  <c r="E4" i="15"/>
  <c r="L3" i="15"/>
  <c r="K3" i="15"/>
  <c r="J3" i="15"/>
  <c r="I3" i="15"/>
  <c r="H3" i="15"/>
  <c r="G3" i="15"/>
  <c r="F3" i="15"/>
  <c r="E3" i="15"/>
  <c r="D20" i="15"/>
  <c r="D18" i="15"/>
  <c r="D17" i="15"/>
  <c r="D16" i="15"/>
  <c r="D15" i="15"/>
  <c r="D14" i="15"/>
  <c r="D13" i="15"/>
  <c r="D12" i="15"/>
  <c r="D11" i="15"/>
  <c r="D10" i="15"/>
  <c r="D9" i="15"/>
  <c r="D8" i="15"/>
  <c r="D7" i="15"/>
  <c r="D6" i="15"/>
  <c r="D5" i="15"/>
  <c r="D4" i="15"/>
  <c r="D3" i="15"/>
  <c r="C20" i="15"/>
  <c r="C18" i="15"/>
  <c r="C17" i="15"/>
  <c r="C16" i="15"/>
  <c r="C15" i="15"/>
  <c r="C14" i="15"/>
  <c r="C13" i="15"/>
  <c r="C12" i="15"/>
  <c r="C11" i="15"/>
  <c r="C10" i="15"/>
  <c r="C9" i="15"/>
  <c r="C8" i="15"/>
  <c r="C7" i="15"/>
  <c r="C6" i="15"/>
  <c r="C5" i="15"/>
  <c r="C4" i="15"/>
  <c r="C3" i="15"/>
  <c r="J23" i="12"/>
  <c r="G5" i="14"/>
  <c r="D26" i="14"/>
  <c r="D25" i="14"/>
  <c r="D24" i="14"/>
  <c r="D23" i="14"/>
  <c r="D22" i="14"/>
  <c r="D21" i="14"/>
  <c r="D20" i="14"/>
  <c r="D19" i="14"/>
  <c r="D18" i="14"/>
  <c r="D17" i="14"/>
  <c r="D16" i="14"/>
  <c r="D15" i="14"/>
  <c r="D14" i="14"/>
  <c r="D13" i="14"/>
  <c r="D12" i="14"/>
  <c r="D11" i="14"/>
  <c r="D10" i="14"/>
  <c r="D9" i="14"/>
  <c r="D8" i="14"/>
  <c r="D7" i="14"/>
  <c r="D6" i="14"/>
  <c r="D5" i="14"/>
  <c r="D4" i="14"/>
  <c r="D3" i="14"/>
  <c r="C32" i="12"/>
  <c r="C31" i="12"/>
  <c r="I14" i="12"/>
  <c r="I13" i="12"/>
  <c r="I12" i="12"/>
  <c r="I11" i="12"/>
  <c r="I10" i="12"/>
  <c r="K49" i="13"/>
  <c r="AA164" i="13"/>
  <c r="AA163" i="13"/>
  <c r="AA162" i="13"/>
  <c r="AA161" i="13"/>
  <c r="AA160" i="13"/>
  <c r="AA159" i="13"/>
  <c r="AA158" i="13"/>
  <c r="AA157" i="13"/>
  <c r="AA156" i="13"/>
  <c r="AA155" i="13"/>
  <c r="AA154" i="13"/>
  <c r="AA153" i="13"/>
  <c r="AA152" i="13"/>
  <c r="AA151" i="13"/>
  <c r="AA150" i="13"/>
  <c r="AA149" i="13"/>
  <c r="AA148" i="13"/>
  <c r="AA147" i="13"/>
  <c r="AA146" i="13"/>
  <c r="AA145" i="13"/>
  <c r="AA144" i="13"/>
  <c r="AA143" i="13"/>
  <c r="AA142" i="13"/>
  <c r="AA141" i="13"/>
  <c r="AA140" i="13"/>
  <c r="AA139" i="13"/>
  <c r="AA138" i="13"/>
  <c r="AA137" i="13"/>
  <c r="AA136" i="13"/>
  <c r="AA135" i="13"/>
  <c r="AA134" i="13"/>
  <c r="AA133" i="13"/>
  <c r="AA132" i="13"/>
  <c r="AA131" i="13"/>
  <c r="AA130" i="13"/>
  <c r="AA129" i="13"/>
  <c r="AA128" i="13"/>
  <c r="AA127" i="13"/>
  <c r="AA126" i="13"/>
  <c r="AA125" i="13"/>
  <c r="AA124" i="13"/>
  <c r="AA123" i="13"/>
  <c r="AA122" i="13"/>
  <c r="AA121" i="13"/>
  <c r="AA120" i="13"/>
  <c r="AA119" i="13"/>
  <c r="AA118" i="13"/>
  <c r="AA117" i="13"/>
  <c r="AA116" i="13"/>
  <c r="AA115" i="13"/>
  <c r="AA114" i="13"/>
  <c r="AA113" i="13"/>
  <c r="AA112" i="13"/>
  <c r="AA111" i="13"/>
  <c r="AA110" i="13"/>
  <c r="AA109" i="13"/>
  <c r="AA108" i="13"/>
  <c r="AA107" i="13"/>
  <c r="AA106" i="13"/>
  <c r="AA105" i="13"/>
  <c r="AA104" i="13"/>
  <c r="AA103" i="13"/>
  <c r="AA102" i="13"/>
  <c r="AA101" i="13"/>
  <c r="AA100" i="13"/>
  <c r="AA99" i="13"/>
  <c r="AA98" i="13"/>
  <c r="AA97" i="13"/>
  <c r="AA96" i="13"/>
  <c r="AA95" i="13"/>
  <c r="AA94" i="13"/>
  <c r="AA93" i="13"/>
  <c r="AA92" i="13"/>
  <c r="AA91" i="13"/>
  <c r="AA90" i="13"/>
  <c r="AA89" i="13"/>
  <c r="AA88" i="13"/>
  <c r="AA87" i="13"/>
  <c r="AA86" i="13"/>
  <c r="AA85" i="13"/>
  <c r="AA84" i="13"/>
  <c r="AA83" i="13"/>
  <c r="AA82" i="13"/>
  <c r="AA81" i="13"/>
  <c r="AA80" i="13"/>
  <c r="AA79" i="13"/>
  <c r="AA78" i="13"/>
  <c r="AA77" i="13"/>
  <c r="AA76" i="13"/>
  <c r="AA75" i="13"/>
  <c r="AA74" i="13"/>
  <c r="AA73" i="13"/>
  <c r="AA72" i="13"/>
  <c r="AA71" i="13"/>
  <c r="AA70" i="13"/>
  <c r="AA69" i="13"/>
  <c r="AA68" i="13"/>
  <c r="AA67" i="13"/>
  <c r="AA66" i="13"/>
  <c r="AA65" i="13"/>
  <c r="AA64" i="13"/>
  <c r="AA63" i="13"/>
  <c r="AA62" i="13"/>
  <c r="AA61" i="13"/>
  <c r="AA60" i="13"/>
  <c r="AA59" i="13"/>
  <c r="AA58" i="13"/>
  <c r="AA57" i="13"/>
  <c r="AA56" i="13"/>
  <c r="AA55" i="13"/>
  <c r="AA54" i="13"/>
  <c r="AA53" i="13"/>
  <c r="AA52" i="13"/>
  <c r="AA51" i="13"/>
  <c r="AA50" i="13"/>
  <c r="AA49" i="13"/>
  <c r="AA48" i="13"/>
  <c r="AA47" i="13"/>
  <c r="AA46" i="13"/>
  <c r="AA45" i="13"/>
  <c r="AA44" i="13"/>
  <c r="AA43" i="13"/>
  <c r="AA42" i="13"/>
  <c r="AA41" i="13"/>
  <c r="AA40" i="13"/>
  <c r="AA39" i="13"/>
  <c r="AA38" i="13"/>
  <c r="AA37" i="13"/>
  <c r="AA36" i="13"/>
  <c r="AA35" i="13"/>
  <c r="AA34" i="13"/>
  <c r="AA33" i="13"/>
  <c r="AA32" i="13"/>
  <c r="AA31" i="13"/>
  <c r="AA30" i="13"/>
  <c r="AA29" i="13"/>
  <c r="AA28" i="13"/>
  <c r="AA27" i="13"/>
  <c r="AA26" i="13"/>
  <c r="AA25" i="13"/>
  <c r="AA24" i="13"/>
  <c r="AA23" i="13"/>
  <c r="AA22" i="13"/>
  <c r="AA21" i="13"/>
  <c r="AA20" i="13"/>
  <c r="AA19" i="13"/>
  <c r="AA18" i="13"/>
  <c r="AA17" i="13"/>
  <c r="AA16" i="13"/>
  <c r="AA15" i="13"/>
  <c r="AA14" i="13"/>
  <c r="AA13" i="13"/>
  <c r="AA12" i="13"/>
  <c r="AA11" i="13"/>
  <c r="AA10" i="13"/>
  <c r="AA9" i="13"/>
  <c r="AA8" i="13"/>
  <c r="K55" i="13"/>
  <c r="K38" i="13"/>
  <c r="W164" i="13"/>
  <c r="W163" i="13"/>
  <c r="W162" i="13"/>
  <c r="W161" i="13"/>
  <c r="W160" i="13"/>
  <c r="W159" i="13"/>
  <c r="W158" i="13"/>
  <c r="W157" i="13"/>
  <c r="W156" i="13"/>
  <c r="W155" i="13"/>
  <c r="W154" i="13"/>
  <c r="W153" i="13"/>
  <c r="W152" i="13"/>
  <c r="W151" i="13"/>
  <c r="W150" i="13"/>
  <c r="W149" i="13"/>
  <c r="W148" i="13"/>
  <c r="W147" i="13"/>
  <c r="W146" i="13"/>
  <c r="W145" i="13"/>
  <c r="W144" i="13"/>
  <c r="W143" i="13"/>
  <c r="W142" i="13"/>
  <c r="W141" i="13"/>
  <c r="W140" i="13"/>
  <c r="W139" i="13"/>
  <c r="W138" i="13"/>
  <c r="W137" i="13"/>
  <c r="W136" i="13"/>
  <c r="W135" i="13"/>
  <c r="W134" i="13"/>
  <c r="W133" i="13"/>
  <c r="W132" i="13"/>
  <c r="W131" i="13"/>
  <c r="W130" i="13"/>
  <c r="W129" i="13"/>
  <c r="W128" i="13"/>
  <c r="W127" i="13"/>
  <c r="W126" i="13"/>
  <c r="W125" i="13"/>
  <c r="W124" i="13"/>
  <c r="W123" i="13"/>
  <c r="W122" i="13"/>
  <c r="W121" i="13"/>
  <c r="W120" i="13"/>
  <c r="W119" i="13"/>
  <c r="W118" i="13"/>
  <c r="W117" i="13"/>
  <c r="W116" i="13"/>
  <c r="W115" i="13"/>
  <c r="W114" i="13"/>
  <c r="W113" i="13"/>
  <c r="W112" i="13"/>
  <c r="W111" i="13"/>
  <c r="W110" i="13"/>
  <c r="W109" i="13"/>
  <c r="W108" i="13"/>
  <c r="W107" i="13"/>
  <c r="W106" i="13"/>
  <c r="W105" i="13"/>
  <c r="W104" i="13"/>
  <c r="W103" i="13"/>
  <c r="W102" i="13"/>
  <c r="W101" i="13"/>
  <c r="W100" i="13"/>
  <c r="W99" i="13"/>
  <c r="W98" i="13"/>
  <c r="W97" i="13"/>
  <c r="W96" i="13"/>
  <c r="W95" i="13"/>
  <c r="W94" i="13"/>
  <c r="W93" i="13"/>
  <c r="W92" i="13"/>
  <c r="W91" i="13"/>
  <c r="W90" i="13"/>
  <c r="W89" i="13"/>
  <c r="W88" i="13"/>
  <c r="W87" i="13"/>
  <c r="W86" i="13"/>
  <c r="W85" i="13"/>
  <c r="W84" i="13"/>
  <c r="W83" i="13"/>
  <c r="W82" i="13"/>
  <c r="W81" i="13"/>
  <c r="W80" i="13"/>
  <c r="W79" i="13"/>
  <c r="W78" i="13"/>
  <c r="W77" i="13"/>
  <c r="W76" i="13"/>
  <c r="W75" i="13"/>
  <c r="W74" i="13"/>
  <c r="W73" i="13"/>
  <c r="W72" i="13"/>
  <c r="W71" i="13"/>
  <c r="W70" i="13"/>
  <c r="W69" i="13"/>
  <c r="W68" i="13"/>
  <c r="W67" i="13"/>
  <c r="W66" i="13"/>
  <c r="W65" i="13"/>
  <c r="W64" i="13"/>
  <c r="W63" i="13"/>
  <c r="W62" i="13"/>
  <c r="W61" i="13"/>
  <c r="W60" i="13"/>
  <c r="W59" i="13"/>
  <c r="W58" i="13"/>
  <c r="W57" i="13"/>
  <c r="W56" i="13"/>
  <c r="W55" i="13"/>
  <c r="W54" i="13"/>
  <c r="W53" i="13"/>
  <c r="W52" i="13"/>
  <c r="W51" i="13"/>
  <c r="W50" i="13"/>
  <c r="W49" i="13"/>
  <c r="W48" i="13"/>
  <c r="W47" i="13"/>
  <c r="W46" i="13"/>
  <c r="W45" i="13"/>
  <c r="W44" i="13"/>
  <c r="W43" i="13"/>
  <c r="W42" i="13"/>
  <c r="W41" i="13"/>
  <c r="W40" i="13"/>
  <c r="W39" i="13"/>
  <c r="W38" i="13"/>
  <c r="W37" i="13"/>
  <c r="W36" i="13"/>
  <c r="W35" i="13"/>
  <c r="W34" i="13"/>
  <c r="W33" i="13"/>
  <c r="W32" i="13"/>
  <c r="W31" i="13"/>
  <c r="W30" i="13"/>
  <c r="W29" i="13"/>
  <c r="W28" i="13"/>
  <c r="W27" i="13"/>
  <c r="W26" i="13"/>
  <c r="W25" i="13"/>
  <c r="W24" i="13"/>
  <c r="W23" i="13"/>
  <c r="W22" i="13"/>
  <c r="W21" i="13"/>
  <c r="W20" i="13"/>
  <c r="W19" i="13"/>
  <c r="W18" i="13"/>
  <c r="W17" i="13"/>
  <c r="W16" i="13"/>
  <c r="W15" i="13"/>
  <c r="W14" i="13"/>
  <c r="W13" i="13"/>
  <c r="W12" i="13"/>
  <c r="W11" i="13"/>
  <c r="W10" i="13"/>
  <c r="W9" i="13"/>
  <c r="W8" i="13"/>
  <c r="K44" i="13"/>
  <c r="K28" i="13"/>
  <c r="K34" i="13"/>
  <c r="K17" i="13"/>
  <c r="K23" i="13" s="1"/>
  <c r="S164" i="13"/>
  <c r="S163" i="13"/>
  <c r="S162" i="13"/>
  <c r="S161" i="13"/>
  <c r="S160" i="13"/>
  <c r="S159" i="13"/>
  <c r="S158" i="13"/>
  <c r="S157" i="13"/>
  <c r="S156" i="13"/>
  <c r="S155" i="13"/>
  <c r="S154" i="13"/>
  <c r="S153" i="13"/>
  <c r="S152" i="13"/>
  <c r="S151" i="13"/>
  <c r="S150" i="13"/>
  <c r="S149" i="13"/>
  <c r="S148" i="13"/>
  <c r="S147" i="13"/>
  <c r="S146" i="13"/>
  <c r="S145" i="13"/>
  <c r="S144" i="13"/>
  <c r="S143" i="13"/>
  <c r="S142" i="13"/>
  <c r="S141" i="13"/>
  <c r="S140" i="13"/>
  <c r="S139" i="13"/>
  <c r="S138" i="13"/>
  <c r="S137" i="13"/>
  <c r="S136" i="13"/>
  <c r="S135" i="13"/>
  <c r="S134" i="13"/>
  <c r="S133" i="13"/>
  <c r="S132" i="13"/>
  <c r="S131" i="13"/>
  <c r="S130" i="13"/>
  <c r="S129" i="13"/>
  <c r="S128" i="13"/>
  <c r="S127" i="13"/>
  <c r="S126" i="13"/>
  <c r="S125" i="13"/>
  <c r="S124" i="13"/>
  <c r="S123" i="13"/>
  <c r="S122" i="13"/>
  <c r="S121" i="13"/>
  <c r="S120" i="13"/>
  <c r="S119" i="13"/>
  <c r="S118" i="13"/>
  <c r="S117" i="13"/>
  <c r="S116" i="13"/>
  <c r="S115" i="13"/>
  <c r="S114" i="13"/>
  <c r="S113" i="13"/>
  <c r="S112" i="13"/>
  <c r="S111" i="13"/>
  <c r="S110" i="13"/>
  <c r="S109" i="13"/>
  <c r="S108" i="13"/>
  <c r="S107" i="13"/>
  <c r="S106" i="13"/>
  <c r="S105" i="13"/>
  <c r="S104" i="13"/>
  <c r="S103" i="13"/>
  <c r="S102" i="13"/>
  <c r="S101" i="13"/>
  <c r="S100" i="13"/>
  <c r="S99" i="13"/>
  <c r="S98" i="13"/>
  <c r="S97" i="13"/>
  <c r="S96" i="13"/>
  <c r="S95" i="13"/>
  <c r="S94" i="13"/>
  <c r="S93" i="13"/>
  <c r="S92" i="13"/>
  <c r="S91" i="13"/>
  <c r="S90" i="13"/>
  <c r="S89" i="13"/>
  <c r="S88" i="13"/>
  <c r="S87" i="13"/>
  <c r="S86" i="13"/>
  <c r="S85" i="13"/>
  <c r="S84" i="13"/>
  <c r="S83" i="13"/>
  <c r="S82" i="13"/>
  <c r="S81" i="13"/>
  <c r="S80" i="13"/>
  <c r="S79" i="13"/>
  <c r="S78" i="13"/>
  <c r="S77" i="13"/>
  <c r="S76" i="13"/>
  <c r="S75" i="13"/>
  <c r="S74" i="13"/>
  <c r="S73" i="13"/>
  <c r="S72" i="13"/>
  <c r="S71" i="13"/>
  <c r="S70" i="13"/>
  <c r="S69" i="13"/>
  <c r="S68" i="13"/>
  <c r="S67" i="13"/>
  <c r="S66" i="13"/>
  <c r="S65" i="13"/>
  <c r="S64" i="13"/>
  <c r="S63" i="13"/>
  <c r="S62" i="13"/>
  <c r="S61" i="13"/>
  <c r="S60" i="13"/>
  <c r="S59" i="13"/>
  <c r="S58" i="13"/>
  <c r="S57" i="13"/>
  <c r="S56" i="13"/>
  <c r="S55" i="13"/>
  <c r="S54" i="13"/>
  <c r="S53" i="13"/>
  <c r="S52" i="13"/>
  <c r="S51" i="13"/>
  <c r="S50" i="13"/>
  <c r="S49" i="13"/>
  <c r="S48" i="13"/>
  <c r="S47" i="13"/>
  <c r="S46" i="13"/>
  <c r="S45" i="13"/>
  <c r="S44" i="13"/>
  <c r="S43" i="13"/>
  <c r="S42" i="13"/>
  <c r="S41" i="13"/>
  <c r="S40" i="13"/>
  <c r="S39" i="13"/>
  <c r="S38" i="13"/>
  <c r="S37" i="13"/>
  <c r="S36" i="13"/>
  <c r="S35" i="13"/>
  <c r="S34" i="13"/>
  <c r="S33" i="13"/>
  <c r="S32" i="13"/>
  <c r="S31" i="13"/>
  <c r="S30" i="13"/>
  <c r="S29" i="13"/>
  <c r="S28" i="13"/>
  <c r="S27" i="13"/>
  <c r="S26" i="13"/>
  <c r="S25" i="13"/>
  <c r="S24" i="13"/>
  <c r="S23" i="13"/>
  <c r="S22" i="13"/>
  <c r="S21" i="13"/>
  <c r="S20" i="13"/>
  <c r="S19" i="13"/>
  <c r="S18" i="13"/>
  <c r="S17" i="13"/>
  <c r="S16" i="13"/>
  <c r="S15" i="13"/>
  <c r="S14" i="13"/>
  <c r="S13" i="13"/>
  <c r="S12" i="13"/>
  <c r="S11" i="13"/>
  <c r="S10" i="13"/>
  <c r="S9" i="13"/>
  <c r="S8" i="13"/>
  <c r="O164" i="13"/>
  <c r="O163" i="13"/>
  <c r="O162" i="13"/>
  <c r="O161" i="13"/>
  <c r="O160" i="13"/>
  <c r="O159" i="13"/>
  <c r="O158" i="13"/>
  <c r="O157" i="13"/>
  <c r="O156" i="13"/>
  <c r="O155" i="13"/>
  <c r="O154" i="13"/>
  <c r="O153" i="13"/>
  <c r="O152" i="13"/>
  <c r="O151" i="13"/>
  <c r="O150" i="13"/>
  <c r="O149" i="13"/>
  <c r="O148" i="13"/>
  <c r="O147" i="13"/>
  <c r="O146" i="13"/>
  <c r="O145" i="13"/>
  <c r="O144" i="13"/>
  <c r="O143" i="13"/>
  <c r="O142" i="13"/>
  <c r="O141" i="13"/>
  <c r="O140" i="13"/>
  <c r="O139" i="13"/>
  <c r="O138" i="13"/>
  <c r="O137" i="13"/>
  <c r="O136" i="13"/>
  <c r="O135" i="13"/>
  <c r="O134" i="13"/>
  <c r="O133" i="13"/>
  <c r="O132" i="13"/>
  <c r="O131" i="13"/>
  <c r="O130" i="13"/>
  <c r="O129" i="13"/>
  <c r="O128" i="13"/>
  <c r="O127" i="13"/>
  <c r="O126" i="13"/>
  <c r="O125" i="13"/>
  <c r="O124" i="13"/>
  <c r="O123" i="13"/>
  <c r="O122" i="13"/>
  <c r="O121" i="13"/>
  <c r="O120" i="13"/>
  <c r="O119" i="13"/>
  <c r="O118" i="13"/>
  <c r="O117" i="13"/>
  <c r="O116" i="13"/>
  <c r="O115" i="13"/>
  <c r="O114" i="13"/>
  <c r="O113" i="13"/>
  <c r="O112" i="13"/>
  <c r="O111" i="13"/>
  <c r="O110" i="13"/>
  <c r="O109" i="13"/>
  <c r="O108" i="13"/>
  <c r="O107" i="13"/>
  <c r="O106" i="13"/>
  <c r="O105" i="13"/>
  <c r="O104" i="13"/>
  <c r="O103" i="13"/>
  <c r="O102" i="13"/>
  <c r="O101" i="13"/>
  <c r="O100" i="13"/>
  <c r="O99" i="13"/>
  <c r="O98" i="13"/>
  <c r="O97" i="13"/>
  <c r="O96" i="13"/>
  <c r="O95" i="13"/>
  <c r="O94" i="13"/>
  <c r="O93" i="13"/>
  <c r="O92" i="13"/>
  <c r="O91" i="13"/>
  <c r="O90" i="13"/>
  <c r="O89" i="13"/>
  <c r="O88" i="13"/>
  <c r="O87" i="13"/>
  <c r="O86" i="13"/>
  <c r="O85" i="13"/>
  <c r="O84" i="13"/>
  <c r="O83" i="13"/>
  <c r="O82" i="13"/>
  <c r="O81" i="13"/>
  <c r="O80" i="13"/>
  <c r="O79" i="13"/>
  <c r="O78" i="13"/>
  <c r="O77" i="13"/>
  <c r="O76" i="13"/>
  <c r="O75" i="13"/>
  <c r="O74" i="13"/>
  <c r="O73" i="13"/>
  <c r="O72" i="13"/>
  <c r="O71" i="13"/>
  <c r="O70" i="13"/>
  <c r="O69" i="13"/>
  <c r="O68" i="13"/>
  <c r="O67" i="13"/>
  <c r="O66" i="13"/>
  <c r="O65" i="13"/>
  <c r="O64" i="13"/>
  <c r="O63" i="13"/>
  <c r="O62" i="13"/>
  <c r="O61" i="13"/>
  <c r="O60" i="13"/>
  <c r="O59" i="13"/>
  <c r="O58" i="13"/>
  <c r="O57" i="13"/>
  <c r="O56" i="13"/>
  <c r="O55" i="13"/>
  <c r="O54" i="13"/>
  <c r="O53" i="13"/>
  <c r="O52" i="13"/>
  <c r="O51" i="13"/>
  <c r="O50" i="13"/>
  <c r="O49" i="13"/>
  <c r="O48" i="13"/>
  <c r="O47" i="13"/>
  <c r="O46" i="13"/>
  <c r="O45" i="13"/>
  <c r="O44" i="13"/>
  <c r="O43" i="13"/>
  <c r="O42" i="13"/>
  <c r="O41" i="13"/>
  <c r="O40" i="13"/>
  <c r="O39" i="13"/>
  <c r="O38" i="13"/>
  <c r="O37" i="13"/>
  <c r="O36" i="13"/>
  <c r="O35" i="13"/>
  <c r="O34" i="13"/>
  <c r="O33" i="13"/>
  <c r="O32" i="13"/>
  <c r="O31" i="13"/>
  <c r="O30" i="13"/>
  <c r="O29" i="13"/>
  <c r="O28" i="13"/>
  <c r="O27" i="13"/>
  <c r="O26" i="13"/>
  <c r="O25" i="13"/>
  <c r="O24" i="13"/>
  <c r="O23" i="13"/>
  <c r="O22" i="13"/>
  <c r="O21" i="13"/>
  <c r="O20" i="13"/>
  <c r="O19" i="13"/>
  <c r="O18" i="13"/>
  <c r="O17" i="13"/>
  <c r="O16" i="13"/>
  <c r="O15" i="13"/>
  <c r="O14" i="13"/>
  <c r="O13" i="13"/>
  <c r="O12" i="13"/>
  <c r="O11" i="13"/>
  <c r="O10" i="13"/>
  <c r="O9" i="13"/>
  <c r="O8" i="13"/>
  <c r="H164" i="13"/>
  <c r="H163" i="13"/>
  <c r="H162" i="13"/>
  <c r="H161" i="13"/>
  <c r="H160" i="13"/>
  <c r="H159" i="13"/>
  <c r="H158" i="13"/>
  <c r="H157" i="13"/>
  <c r="H156" i="13"/>
  <c r="H155" i="13"/>
  <c r="H154" i="13"/>
  <c r="H153" i="13"/>
  <c r="H152" i="13"/>
  <c r="H151" i="13"/>
  <c r="H150" i="13"/>
  <c r="H149" i="13"/>
  <c r="H148" i="13"/>
  <c r="H147" i="13"/>
  <c r="H146" i="13"/>
  <c r="H145" i="13"/>
  <c r="H144" i="13"/>
  <c r="H143" i="13"/>
  <c r="H142" i="13"/>
  <c r="H141" i="13"/>
  <c r="H140" i="13"/>
  <c r="H139" i="13"/>
  <c r="H138" i="13"/>
  <c r="H137" i="13"/>
  <c r="H136" i="13"/>
  <c r="H135" i="13"/>
  <c r="H134" i="13"/>
  <c r="H133" i="13"/>
  <c r="H132" i="13"/>
  <c r="H131" i="13"/>
  <c r="H130" i="13"/>
  <c r="H129" i="13"/>
  <c r="H128" i="13"/>
  <c r="H127" i="13"/>
  <c r="H126" i="13"/>
  <c r="H125" i="13"/>
  <c r="H124" i="13"/>
  <c r="H123" i="13"/>
  <c r="H122" i="13"/>
  <c r="H121" i="13"/>
  <c r="H120" i="13"/>
  <c r="H119" i="13"/>
  <c r="H118" i="13"/>
  <c r="H117" i="13"/>
  <c r="H116" i="13"/>
  <c r="H115" i="13"/>
  <c r="H114" i="13"/>
  <c r="H113" i="13"/>
  <c r="H112" i="13"/>
  <c r="H111" i="13"/>
  <c r="H110" i="13"/>
  <c r="H109" i="13"/>
  <c r="H108" i="13"/>
  <c r="H107" i="13"/>
  <c r="H106" i="13"/>
  <c r="H105" i="13"/>
  <c r="H104" i="13"/>
  <c r="H103" i="13"/>
  <c r="H102" i="13"/>
  <c r="H101" i="13"/>
  <c r="H100" i="13"/>
  <c r="H99" i="13"/>
  <c r="H98" i="13"/>
  <c r="H97" i="13"/>
  <c r="H96" i="13"/>
  <c r="H95" i="13"/>
  <c r="H94" i="13"/>
  <c r="H93" i="13"/>
  <c r="H92" i="13"/>
  <c r="H91" i="13"/>
  <c r="H90" i="13"/>
  <c r="H89" i="13"/>
  <c r="H88" i="13"/>
  <c r="H87" i="13"/>
  <c r="H86" i="13"/>
  <c r="H85" i="13"/>
  <c r="H84" i="13"/>
  <c r="H83" i="13"/>
  <c r="H82" i="13"/>
  <c r="H81" i="13"/>
  <c r="H80" i="13"/>
  <c r="H79" i="13"/>
  <c r="H78" i="13"/>
  <c r="H77" i="13"/>
  <c r="H76" i="13"/>
  <c r="H75" i="13"/>
  <c r="H74" i="13"/>
  <c r="H73" i="13"/>
  <c r="H72" i="13"/>
  <c r="H71" i="13"/>
  <c r="H70" i="13"/>
  <c r="H69" i="13"/>
  <c r="H68" i="13"/>
  <c r="H67" i="13"/>
  <c r="H66" i="13"/>
  <c r="H65" i="13"/>
  <c r="H64" i="13"/>
  <c r="H63" i="13"/>
  <c r="H62" i="13"/>
  <c r="H61" i="13"/>
  <c r="H60" i="13"/>
  <c r="H59" i="13"/>
  <c r="H58" i="13"/>
  <c r="H57" i="13"/>
  <c r="H56" i="13"/>
  <c r="H55" i="13"/>
  <c r="H54" i="13"/>
  <c r="H53" i="13"/>
  <c r="H52" i="13"/>
  <c r="H51" i="13"/>
  <c r="H50" i="13"/>
  <c r="H49" i="13"/>
  <c r="H48" i="13"/>
  <c r="H47" i="13"/>
  <c r="H46" i="13"/>
  <c r="H45" i="13"/>
  <c r="H44" i="13"/>
  <c r="H43" i="13"/>
  <c r="H42" i="13"/>
  <c r="H41" i="13"/>
  <c r="H40" i="13"/>
  <c r="H39" i="13"/>
  <c r="H38" i="13"/>
  <c r="H37" i="13"/>
  <c r="H36" i="13"/>
  <c r="H35" i="13"/>
  <c r="H34" i="13"/>
  <c r="H33" i="13"/>
  <c r="H32" i="13"/>
  <c r="H31" i="13"/>
  <c r="H30" i="13"/>
  <c r="H29" i="13"/>
  <c r="H28" i="13"/>
  <c r="H27" i="13"/>
  <c r="H26" i="13"/>
  <c r="H25" i="13"/>
  <c r="H24" i="13"/>
  <c r="H23" i="13"/>
  <c r="H22" i="13"/>
  <c r="H21" i="13"/>
  <c r="H20" i="13"/>
  <c r="H19" i="13"/>
  <c r="H18" i="13"/>
  <c r="H17" i="13"/>
  <c r="H16" i="13"/>
  <c r="H15" i="13"/>
  <c r="H14" i="13"/>
  <c r="H13" i="13"/>
  <c r="H12" i="13"/>
  <c r="H11" i="13"/>
  <c r="H10" i="13"/>
  <c r="H9" i="13"/>
  <c r="H8"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G10" i="12"/>
  <c r="J34" i="12"/>
  <c r="E24" i="12"/>
  <c r="J42" i="12" s="1"/>
  <c r="F17" i="12"/>
  <c r="F16" i="12"/>
  <c r="H14" i="12"/>
  <c r="G14" i="12"/>
  <c r="J14" i="12" s="1"/>
  <c r="H13" i="12"/>
  <c r="G13" i="12"/>
  <c r="H12" i="12"/>
  <c r="G12" i="12"/>
  <c r="H11" i="12"/>
  <c r="G11" i="12"/>
  <c r="I17" i="12" l="1"/>
  <c r="J13" i="12"/>
  <c r="C33" i="12"/>
  <c r="J11" i="12"/>
  <c r="J12" i="12"/>
  <c r="I16" i="12"/>
  <c r="K6" i="13"/>
  <c r="K12" i="13" s="1"/>
  <c r="H10" i="12"/>
  <c r="H17" i="12" s="1"/>
  <c r="G16" i="12"/>
  <c r="J10" i="12"/>
  <c r="G17" i="12"/>
  <c r="J16" i="12" l="1"/>
  <c r="D32" i="12"/>
  <c r="D31" i="12"/>
  <c r="H16" i="12"/>
  <c r="E31" i="12" s="1"/>
  <c r="J43" i="12" s="1"/>
  <c r="J17" i="12"/>
  <c r="J32" i="12" s="1"/>
  <c r="D35" i="12" l="1"/>
  <c r="D33" i="12"/>
  <c r="E32" i="12"/>
  <c r="C6" i="11"/>
  <c r="C7" i="11" s="1"/>
  <c r="C8" i="11" s="1"/>
  <c r="C9" i="11" s="1"/>
  <c r="C10" i="11" s="1"/>
  <c r="C11" i="11" s="1"/>
  <c r="C12" i="11" s="1"/>
  <c r="C13" i="11" s="1"/>
  <c r="C14" i="11" s="1"/>
  <c r="C15" i="11" s="1"/>
  <c r="C16" i="11" s="1"/>
  <c r="C17" i="11" s="1"/>
  <c r="C18" i="11" s="1"/>
  <c r="C19" i="11" s="1"/>
  <c r="E14" i="11"/>
  <c r="E13" i="11"/>
  <c r="E12" i="11"/>
  <c r="E11" i="11"/>
  <c r="E10" i="11"/>
  <c r="E9" i="11"/>
  <c r="E8" i="11"/>
  <c r="E7" i="11"/>
  <c r="E6" i="11"/>
  <c r="B6" i="11"/>
  <c r="B7" i="11" s="1"/>
  <c r="B8" i="11" s="1"/>
  <c r="B9" i="11" s="1"/>
  <c r="B10" i="11" s="1"/>
  <c r="B11" i="11" s="1"/>
  <c r="B12" i="11" s="1"/>
  <c r="B13" i="11" s="1"/>
  <c r="B14" i="11" s="1"/>
  <c r="B15" i="11" s="1"/>
  <c r="L98" i="3"/>
  <c r="G10" i="19" s="1"/>
  <c r="K98" i="3"/>
  <c r="F10" i="19" s="1"/>
  <c r="J98" i="3"/>
  <c r="E10" i="19" s="1"/>
  <c r="I98" i="3"/>
  <c r="D10" i="19" s="1"/>
  <c r="H98" i="3"/>
  <c r="C10" i="19" s="1"/>
  <c r="G98" i="3"/>
  <c r="F98" i="3"/>
  <c r="E98" i="3"/>
  <c r="D98" i="3"/>
  <c r="L97" i="3"/>
  <c r="G9" i="19" s="1"/>
  <c r="K97" i="3"/>
  <c r="F9" i="19" s="1"/>
  <c r="J97" i="3"/>
  <c r="E9" i="19" s="1"/>
  <c r="I97" i="3"/>
  <c r="D9" i="19" s="1"/>
  <c r="H97" i="3"/>
  <c r="C9" i="19" s="1"/>
  <c r="G97" i="3"/>
  <c r="F97" i="3"/>
  <c r="E97" i="3"/>
  <c r="D97" i="3"/>
  <c r="L96" i="3"/>
  <c r="K96" i="3"/>
  <c r="F8" i="19" s="1"/>
  <c r="J96" i="3"/>
  <c r="E8" i="19" s="1"/>
  <c r="I96" i="3"/>
  <c r="D8" i="19" s="1"/>
  <c r="H96" i="3"/>
  <c r="C8" i="19" s="1"/>
  <c r="G96" i="3"/>
  <c r="F96" i="3"/>
  <c r="E96" i="3"/>
  <c r="D96" i="3"/>
  <c r="L95" i="3"/>
  <c r="G7" i="19" s="1"/>
  <c r="K95" i="3"/>
  <c r="F7" i="19" s="1"/>
  <c r="J95" i="3"/>
  <c r="E7" i="19" s="1"/>
  <c r="I95" i="3"/>
  <c r="D7" i="19" s="1"/>
  <c r="H95" i="3"/>
  <c r="C7" i="19" s="1"/>
  <c r="G95" i="3"/>
  <c r="F95" i="3"/>
  <c r="E95" i="3"/>
  <c r="D95" i="3"/>
  <c r="L94" i="3"/>
  <c r="G6" i="19" s="1"/>
  <c r="K94" i="3"/>
  <c r="F6" i="19" s="1"/>
  <c r="J94" i="3"/>
  <c r="E6" i="19" s="1"/>
  <c r="I94" i="3"/>
  <c r="D6" i="19" s="1"/>
  <c r="H94" i="3"/>
  <c r="C6" i="19" s="1"/>
  <c r="G94" i="3"/>
  <c r="F94" i="3"/>
  <c r="E94" i="3"/>
  <c r="D94" i="3"/>
  <c r="L93" i="3"/>
  <c r="G5" i="19" s="1"/>
  <c r="K93" i="3"/>
  <c r="J93" i="3"/>
  <c r="E5" i="19" s="1"/>
  <c r="I93" i="3"/>
  <c r="D5" i="19" s="1"/>
  <c r="H93" i="3"/>
  <c r="C5" i="19" s="1"/>
  <c r="G93" i="3"/>
  <c r="F93" i="3"/>
  <c r="E93" i="3"/>
  <c r="D93" i="3"/>
  <c r="L92" i="3"/>
  <c r="K92" i="3"/>
  <c r="J92" i="3"/>
  <c r="I92" i="3"/>
  <c r="H92" i="3"/>
  <c r="G92" i="3"/>
  <c r="F92" i="3"/>
  <c r="E92" i="3"/>
  <c r="D92" i="3"/>
  <c r="L89" i="3"/>
  <c r="G31" i="19" s="1"/>
  <c r="K89" i="3"/>
  <c r="F31" i="19" s="1"/>
  <c r="J89" i="3"/>
  <c r="E31" i="19" s="1"/>
  <c r="I89" i="3"/>
  <c r="D31" i="19" s="1"/>
  <c r="H89" i="3"/>
  <c r="C31" i="19" s="1"/>
  <c r="G89" i="3"/>
  <c r="F89" i="3"/>
  <c r="E89" i="3"/>
  <c r="D89" i="3"/>
  <c r="L88" i="3"/>
  <c r="G30" i="19" s="1"/>
  <c r="K88" i="3"/>
  <c r="F30" i="19" s="1"/>
  <c r="J88" i="3"/>
  <c r="E30" i="19" s="1"/>
  <c r="I88" i="3"/>
  <c r="D30" i="19" s="1"/>
  <c r="H88" i="3"/>
  <c r="C30" i="19" s="1"/>
  <c r="G88" i="3"/>
  <c r="F88" i="3"/>
  <c r="E88" i="3"/>
  <c r="D88" i="3"/>
  <c r="L87" i="3"/>
  <c r="G29" i="19" s="1"/>
  <c r="K87" i="3"/>
  <c r="F29" i="19" s="1"/>
  <c r="J87" i="3"/>
  <c r="E29" i="19" s="1"/>
  <c r="I87" i="3"/>
  <c r="D29" i="19" s="1"/>
  <c r="H87" i="3"/>
  <c r="C29" i="19" s="1"/>
  <c r="G87" i="3"/>
  <c r="F87" i="3"/>
  <c r="E87" i="3"/>
  <c r="D87" i="3"/>
  <c r="L86" i="3"/>
  <c r="G28" i="19" s="1"/>
  <c r="K86" i="3"/>
  <c r="F28" i="19" s="1"/>
  <c r="J86" i="3"/>
  <c r="E28" i="19" s="1"/>
  <c r="I86" i="3"/>
  <c r="D28" i="19" s="1"/>
  <c r="H86" i="3"/>
  <c r="C28" i="19" s="1"/>
  <c r="G86" i="3"/>
  <c r="F86" i="3"/>
  <c r="E86" i="3"/>
  <c r="D86" i="3"/>
  <c r="L85" i="3"/>
  <c r="G27" i="19" s="1"/>
  <c r="K85" i="3"/>
  <c r="F27" i="19" s="1"/>
  <c r="J85" i="3"/>
  <c r="E27" i="19" s="1"/>
  <c r="I85" i="3"/>
  <c r="D27" i="19" s="1"/>
  <c r="H85" i="3"/>
  <c r="C27" i="19" s="1"/>
  <c r="G85" i="3"/>
  <c r="F85" i="3"/>
  <c r="E85" i="3"/>
  <c r="D85" i="3"/>
  <c r="L84" i="3"/>
  <c r="G26" i="19" s="1"/>
  <c r="K84" i="3"/>
  <c r="F26" i="19" s="1"/>
  <c r="J84" i="3"/>
  <c r="E26" i="19" s="1"/>
  <c r="I84" i="3"/>
  <c r="D26" i="19" s="1"/>
  <c r="H84" i="3"/>
  <c r="C26" i="19" s="1"/>
  <c r="G84" i="3"/>
  <c r="F84" i="3"/>
  <c r="E84" i="3"/>
  <c r="D84" i="3"/>
  <c r="L83" i="3"/>
  <c r="G25" i="19" s="1"/>
  <c r="K83" i="3"/>
  <c r="F25" i="19" s="1"/>
  <c r="J83" i="3"/>
  <c r="E25" i="19" s="1"/>
  <c r="I83" i="3"/>
  <c r="D25" i="19" s="1"/>
  <c r="H83" i="3"/>
  <c r="C25" i="19" s="1"/>
  <c r="G83" i="3"/>
  <c r="F83" i="3"/>
  <c r="E83" i="3"/>
  <c r="D83" i="3"/>
  <c r="L82" i="3"/>
  <c r="K82" i="3"/>
  <c r="J82" i="3"/>
  <c r="I82" i="3"/>
  <c r="H82" i="3"/>
  <c r="G82" i="3"/>
  <c r="F82" i="3"/>
  <c r="E82" i="3"/>
  <c r="D82" i="3"/>
  <c r="L81" i="3"/>
  <c r="K81" i="3"/>
  <c r="J81" i="3"/>
  <c r="I81" i="3"/>
  <c r="H81" i="3"/>
  <c r="G81" i="3"/>
  <c r="F81" i="3"/>
  <c r="E81" i="3"/>
  <c r="D81" i="3"/>
  <c r="L80" i="3"/>
  <c r="K80" i="3"/>
  <c r="J80" i="3"/>
  <c r="I80" i="3"/>
  <c r="H80" i="3"/>
  <c r="G80" i="3"/>
  <c r="F80" i="3"/>
  <c r="E80" i="3"/>
  <c r="D80" i="3"/>
  <c r="L77" i="3"/>
  <c r="G17" i="19" s="1"/>
  <c r="K77" i="3"/>
  <c r="F17" i="19" s="1"/>
  <c r="J77" i="3"/>
  <c r="E17" i="19" s="1"/>
  <c r="I77" i="3"/>
  <c r="D17" i="19" s="1"/>
  <c r="H77" i="3"/>
  <c r="C17" i="19" s="1"/>
  <c r="G77" i="3"/>
  <c r="F77" i="3"/>
  <c r="E77" i="3"/>
  <c r="D77" i="3"/>
  <c r="L76" i="3"/>
  <c r="G16" i="19" s="1"/>
  <c r="K76" i="3"/>
  <c r="F16" i="19" s="1"/>
  <c r="J76" i="3"/>
  <c r="E16" i="19" s="1"/>
  <c r="I76" i="3"/>
  <c r="D16" i="19" s="1"/>
  <c r="H76" i="3"/>
  <c r="C16" i="19" s="1"/>
  <c r="G76" i="3"/>
  <c r="F76" i="3"/>
  <c r="E76" i="3"/>
  <c r="D76" i="3"/>
  <c r="L75" i="3"/>
  <c r="G15" i="19" s="1"/>
  <c r="K75" i="3"/>
  <c r="F15" i="19" s="1"/>
  <c r="J75" i="3"/>
  <c r="E15" i="19" s="1"/>
  <c r="I75" i="3"/>
  <c r="D15" i="19" s="1"/>
  <c r="H75" i="3"/>
  <c r="C15" i="19" s="1"/>
  <c r="G75" i="3"/>
  <c r="F75" i="3"/>
  <c r="E75" i="3"/>
  <c r="D75" i="3"/>
  <c r="L74" i="3"/>
  <c r="G14" i="19" s="1"/>
  <c r="K74" i="3"/>
  <c r="F14" i="19" s="1"/>
  <c r="J74" i="3"/>
  <c r="I74" i="3"/>
  <c r="D14" i="19" s="1"/>
  <c r="H74" i="3"/>
  <c r="C14" i="19" s="1"/>
  <c r="G74" i="3"/>
  <c r="F74" i="3"/>
  <c r="E74" i="3"/>
  <c r="D74" i="3"/>
  <c r="L73" i="3"/>
  <c r="K73" i="3"/>
  <c r="J73" i="3"/>
  <c r="I73" i="3"/>
  <c r="H73" i="3"/>
  <c r="G73" i="3"/>
  <c r="F73" i="3"/>
  <c r="E73" i="3"/>
  <c r="D73" i="3"/>
  <c r="L71" i="3"/>
  <c r="K71" i="3"/>
  <c r="J71" i="3"/>
  <c r="I71" i="3"/>
  <c r="H71" i="3"/>
  <c r="G71" i="3"/>
  <c r="F71" i="3"/>
  <c r="E71" i="3"/>
  <c r="D71" i="3"/>
  <c r="L70" i="3"/>
  <c r="K70" i="3"/>
  <c r="J70" i="3"/>
  <c r="I70" i="3"/>
  <c r="H70" i="3"/>
  <c r="G70" i="3"/>
  <c r="F70" i="3"/>
  <c r="E70" i="3"/>
  <c r="D70" i="3"/>
  <c r="L69" i="3"/>
  <c r="K69" i="3"/>
  <c r="J69" i="3"/>
  <c r="I69" i="3"/>
  <c r="H69" i="3"/>
  <c r="G69" i="3"/>
  <c r="F69" i="3"/>
  <c r="E69" i="3"/>
  <c r="D69" i="3"/>
  <c r="L68" i="3"/>
  <c r="K68" i="3"/>
  <c r="J68" i="3"/>
  <c r="I68" i="3"/>
  <c r="H68" i="3"/>
  <c r="G68" i="3"/>
  <c r="F68" i="3"/>
  <c r="E68" i="3"/>
  <c r="D68" i="3"/>
  <c r="L67" i="3"/>
  <c r="K67" i="3"/>
  <c r="J67" i="3"/>
  <c r="I67" i="3"/>
  <c r="H67" i="3"/>
  <c r="G67" i="3"/>
  <c r="F67" i="3"/>
  <c r="E67" i="3"/>
  <c r="D67" i="3"/>
  <c r="L66" i="3"/>
  <c r="K66" i="3"/>
  <c r="J66" i="3"/>
  <c r="I66" i="3"/>
  <c r="H66" i="3"/>
  <c r="G66" i="3"/>
  <c r="F66" i="3"/>
  <c r="E66" i="3"/>
  <c r="D66" i="3"/>
  <c r="L64" i="3"/>
  <c r="K64" i="3"/>
  <c r="J64" i="3"/>
  <c r="I64" i="3"/>
  <c r="H64" i="3"/>
  <c r="G64" i="3"/>
  <c r="F64" i="3"/>
  <c r="E64" i="3"/>
  <c r="D64" i="3"/>
  <c r="L63" i="3"/>
  <c r="K63" i="3"/>
  <c r="J63" i="3"/>
  <c r="I63" i="3"/>
  <c r="H63" i="3"/>
  <c r="F94" i="23" s="1"/>
  <c r="F108" i="23" s="1"/>
  <c r="G63" i="3"/>
  <c r="F63" i="3"/>
  <c r="E63" i="3"/>
  <c r="D63" i="3"/>
  <c r="L62" i="3"/>
  <c r="K62" i="3"/>
  <c r="J62" i="3"/>
  <c r="I62" i="3"/>
  <c r="H62" i="3"/>
  <c r="G62" i="3"/>
  <c r="F62" i="3"/>
  <c r="E62" i="3"/>
  <c r="D62" i="3"/>
  <c r="L61" i="3"/>
  <c r="K61" i="3"/>
  <c r="J61" i="3"/>
  <c r="I61" i="3"/>
  <c r="H61" i="3"/>
  <c r="G61" i="3"/>
  <c r="F61" i="3"/>
  <c r="E61" i="3"/>
  <c r="D61" i="3"/>
  <c r="L60" i="3"/>
  <c r="K60" i="3"/>
  <c r="J60" i="3"/>
  <c r="I60" i="3"/>
  <c r="H60" i="3"/>
  <c r="G60" i="3"/>
  <c r="F60" i="3"/>
  <c r="E60" i="3"/>
  <c r="D60" i="3"/>
  <c r="L59" i="3"/>
  <c r="K59" i="3"/>
  <c r="J59" i="3"/>
  <c r="I59" i="3"/>
  <c r="H59" i="3"/>
  <c r="G59" i="3"/>
  <c r="F59" i="3"/>
  <c r="E59" i="3"/>
  <c r="D59" i="3"/>
  <c r="C98" i="3"/>
  <c r="C97" i="3"/>
  <c r="C96" i="3"/>
  <c r="C95" i="3"/>
  <c r="C94" i="3"/>
  <c r="C93" i="3"/>
  <c r="C92" i="3"/>
  <c r="C89" i="3"/>
  <c r="C88" i="3"/>
  <c r="C87" i="3"/>
  <c r="C86" i="3"/>
  <c r="C85" i="3"/>
  <c r="C84" i="3"/>
  <c r="C83" i="3"/>
  <c r="C82" i="3"/>
  <c r="C81" i="3"/>
  <c r="C80" i="3"/>
  <c r="C77" i="3"/>
  <c r="C76" i="3"/>
  <c r="C75" i="3"/>
  <c r="C74" i="3"/>
  <c r="C73" i="3"/>
  <c r="C71" i="3"/>
  <c r="C70" i="3"/>
  <c r="C69" i="3"/>
  <c r="C68" i="3"/>
  <c r="C67" i="3"/>
  <c r="C66" i="3"/>
  <c r="C64" i="3"/>
  <c r="C63" i="3"/>
  <c r="C62" i="3"/>
  <c r="C61" i="3"/>
  <c r="C60" i="3"/>
  <c r="C59" i="3"/>
  <c r="L6" i="8"/>
  <c r="K6" i="8"/>
  <c r="J6" i="8"/>
  <c r="I6" i="8"/>
  <c r="K39" i="3"/>
  <c r="J39" i="3"/>
  <c r="I39" i="3"/>
  <c r="H39" i="3"/>
  <c r="G39" i="3"/>
  <c r="F39" i="3"/>
  <c r="E39" i="3"/>
  <c r="D39" i="3"/>
  <c r="C39" i="3"/>
  <c r="L39" i="3"/>
  <c r="L3" i="7"/>
  <c r="K3" i="7"/>
  <c r="J3" i="7"/>
  <c r="I3" i="7"/>
  <c r="H3" i="7"/>
  <c r="G3" i="7"/>
  <c r="F3" i="7"/>
  <c r="E3" i="7"/>
  <c r="D3" i="7"/>
  <c r="C3" i="7"/>
  <c r="B2" i="7"/>
  <c r="E24" i="7" l="1"/>
  <c r="D24" i="7"/>
  <c r="D94" i="23"/>
  <c r="D108" i="23" s="1"/>
  <c r="H94" i="23"/>
  <c r="H108" i="23" s="1"/>
  <c r="D18" i="19"/>
  <c r="G90" i="3"/>
  <c r="G91" i="3" s="1"/>
  <c r="E11" i="19"/>
  <c r="E94" i="23"/>
  <c r="E108" i="23" s="1"/>
  <c r="I94" i="23"/>
  <c r="I108" i="23" s="1"/>
  <c r="E63" i="23"/>
  <c r="E93" i="23"/>
  <c r="G72" i="3"/>
  <c r="K72" i="3"/>
  <c r="F78" i="3"/>
  <c r="J78" i="3"/>
  <c r="E14" i="19"/>
  <c r="E18" i="19" s="1"/>
  <c r="D90" i="3"/>
  <c r="D91" i="3" s="1"/>
  <c r="C24" i="19"/>
  <c r="H90" i="3"/>
  <c r="C32" i="19" s="1"/>
  <c r="G24" i="19"/>
  <c r="L90" i="3"/>
  <c r="G99" i="3"/>
  <c r="K99" i="3"/>
  <c r="F5" i="19"/>
  <c r="F11" i="19" s="1"/>
  <c r="C39" i="21"/>
  <c r="G8" i="19"/>
  <c r="G11" i="19" s="1"/>
  <c r="H24" i="7"/>
  <c r="K90" i="3"/>
  <c r="F24" i="19"/>
  <c r="F24" i="7"/>
  <c r="C63" i="23"/>
  <c r="C93" i="23"/>
  <c r="F18" i="19"/>
  <c r="E90" i="3"/>
  <c r="E91" i="3" s="1"/>
  <c r="D24" i="19"/>
  <c r="I90" i="3"/>
  <c r="C11" i="19"/>
  <c r="I24" i="7"/>
  <c r="F63" i="23"/>
  <c r="F93" i="23"/>
  <c r="I63" i="23"/>
  <c r="I93" i="23"/>
  <c r="L24" i="7"/>
  <c r="J24" i="7"/>
  <c r="G63" i="23"/>
  <c r="G93" i="23"/>
  <c r="G24" i="7"/>
  <c r="D63" i="23"/>
  <c r="D93" i="23"/>
  <c r="K24" i="7"/>
  <c r="H63" i="23"/>
  <c r="H93" i="23"/>
  <c r="C90" i="3"/>
  <c r="C91" i="3" s="1"/>
  <c r="C94" i="23"/>
  <c r="C108" i="23" s="1"/>
  <c r="G94" i="23"/>
  <c r="G108" i="23" s="1"/>
  <c r="C18" i="19"/>
  <c r="C20" i="19" s="1"/>
  <c r="G18" i="19"/>
  <c r="F90" i="3"/>
  <c r="F91" i="3" s="1"/>
  <c r="J90" i="3"/>
  <c r="E32" i="19" s="1"/>
  <c r="E24" i="19"/>
  <c r="D11" i="19"/>
  <c r="D15" i="11"/>
  <c r="E15" i="11" s="1"/>
  <c r="B16" i="11"/>
  <c r="E35" i="12"/>
  <c r="J33" i="12" s="1"/>
  <c r="J35" i="12" s="1"/>
  <c r="J24" i="12" s="1"/>
  <c r="J39" i="12" s="1"/>
  <c r="J40" i="12"/>
  <c r="C72" i="3"/>
  <c r="L65" i="3"/>
  <c r="D72" i="3"/>
  <c r="H72" i="3"/>
  <c r="L72" i="3"/>
  <c r="G78" i="3"/>
  <c r="K78" i="3"/>
  <c r="D99" i="3"/>
  <c r="H99" i="3"/>
  <c r="L99" i="3"/>
  <c r="C78" i="3"/>
  <c r="C99" i="3"/>
  <c r="E72" i="3"/>
  <c r="I72" i="3"/>
  <c r="D78" i="3"/>
  <c r="H78" i="3"/>
  <c r="L78" i="3"/>
  <c r="E99" i="3"/>
  <c r="I99" i="3"/>
  <c r="F72" i="3"/>
  <c r="J72" i="3"/>
  <c r="E78" i="3"/>
  <c r="I78" i="3"/>
  <c r="F99" i="3"/>
  <c r="J99" i="3"/>
  <c r="E20" i="19" l="1"/>
  <c r="F79" i="3"/>
  <c r="D20" i="19"/>
  <c r="D79" i="3"/>
  <c r="J79" i="3"/>
  <c r="J91" i="3"/>
  <c r="O24" i="7"/>
  <c r="E33" i="19"/>
  <c r="E79" i="3"/>
  <c r="N24" i="7"/>
  <c r="F100" i="3"/>
  <c r="D100" i="3"/>
  <c r="D103" i="3" s="1"/>
  <c r="G20" i="19"/>
  <c r="G100" i="3"/>
  <c r="G103" i="3" s="1"/>
  <c r="F103" i="3"/>
  <c r="F104" i="3" s="1"/>
  <c r="C100" i="3"/>
  <c r="C103" i="3" s="1"/>
  <c r="D95" i="23"/>
  <c r="D99" i="23"/>
  <c r="L91" i="3"/>
  <c r="L100" i="3" s="1"/>
  <c r="L103" i="3" s="1"/>
  <c r="L104" i="3" s="1"/>
  <c r="G32" i="19"/>
  <c r="G33" i="19" s="1"/>
  <c r="H91" i="3"/>
  <c r="H100" i="3" s="1"/>
  <c r="I99" i="23"/>
  <c r="I95" i="23"/>
  <c r="I91" i="3"/>
  <c r="I100" i="3" s="1"/>
  <c r="D32" i="19"/>
  <c r="D33" i="19" s="1"/>
  <c r="D35" i="19" s="1"/>
  <c r="C99" i="23"/>
  <c r="C95" i="23"/>
  <c r="J100" i="3"/>
  <c r="H95" i="23"/>
  <c r="H99" i="23"/>
  <c r="F99" i="23"/>
  <c r="F95" i="23"/>
  <c r="E100" i="3"/>
  <c r="C104" i="23" s="1"/>
  <c r="F20" i="19"/>
  <c r="C33" i="19"/>
  <c r="C35" i="19" s="1"/>
  <c r="E95" i="23"/>
  <c r="E99" i="23"/>
  <c r="G99" i="23"/>
  <c r="G95" i="23"/>
  <c r="K91" i="3"/>
  <c r="K100" i="3" s="1"/>
  <c r="K103" i="3" s="1"/>
  <c r="K104" i="3" s="1"/>
  <c r="F32" i="19"/>
  <c r="F33" i="19" s="1"/>
  <c r="D102" i="3"/>
  <c r="C79" i="3"/>
  <c r="D44" i="19"/>
  <c r="B17" i="11"/>
  <c r="D16" i="11"/>
  <c r="E16" i="11" s="1"/>
  <c r="J45" i="12"/>
  <c r="C24" i="21" s="1"/>
  <c r="H17" i="21" s="1"/>
  <c r="L79" i="3"/>
  <c r="K79" i="3"/>
  <c r="I79" i="3"/>
  <c r="H79" i="3"/>
  <c r="G79" i="3"/>
  <c r="G102" i="3" s="1"/>
  <c r="K142" i="3"/>
  <c r="J142" i="3"/>
  <c r="I142" i="3"/>
  <c r="H142" i="3"/>
  <c r="G142" i="3"/>
  <c r="F142" i="3"/>
  <c r="E142" i="3"/>
  <c r="D142" i="3"/>
  <c r="C142" i="3"/>
  <c r="K141" i="3"/>
  <c r="J141" i="3"/>
  <c r="I141" i="3"/>
  <c r="H141" i="3"/>
  <c r="G141" i="3"/>
  <c r="F141" i="3"/>
  <c r="E141" i="3"/>
  <c r="D141" i="3"/>
  <c r="C141" i="3"/>
  <c r="K140" i="3"/>
  <c r="J140" i="3"/>
  <c r="I140" i="3"/>
  <c r="H140" i="3"/>
  <c r="G140" i="3"/>
  <c r="F140" i="3"/>
  <c r="E140" i="3"/>
  <c r="D140" i="3"/>
  <c r="C140" i="3"/>
  <c r="K139" i="3"/>
  <c r="J139" i="3"/>
  <c r="I139" i="3"/>
  <c r="H139" i="3"/>
  <c r="G139" i="3"/>
  <c r="F139" i="3"/>
  <c r="E139" i="3"/>
  <c r="D139" i="3"/>
  <c r="C139" i="3"/>
  <c r="K138" i="3"/>
  <c r="J138" i="3"/>
  <c r="I138" i="3"/>
  <c r="H138" i="3"/>
  <c r="G138" i="3"/>
  <c r="F138" i="3"/>
  <c r="E138" i="3"/>
  <c r="D138" i="3"/>
  <c r="C138" i="3"/>
  <c r="K137" i="3"/>
  <c r="J137" i="3"/>
  <c r="I137" i="3"/>
  <c r="H137" i="3"/>
  <c r="G137" i="3"/>
  <c r="F137" i="3"/>
  <c r="E137" i="3"/>
  <c r="D137" i="3"/>
  <c r="C137" i="3"/>
  <c r="K136" i="3"/>
  <c r="J136" i="3"/>
  <c r="I136" i="3"/>
  <c r="H136" i="3"/>
  <c r="G136" i="3"/>
  <c r="F136" i="3"/>
  <c r="E136" i="3"/>
  <c r="D136" i="3"/>
  <c r="C136" i="3"/>
  <c r="L142" i="3"/>
  <c r="L141" i="3"/>
  <c r="L140" i="3"/>
  <c r="L139" i="3"/>
  <c r="L138" i="3"/>
  <c r="L137" i="3"/>
  <c r="L136" i="3"/>
  <c r="K132" i="3"/>
  <c r="J132" i="3"/>
  <c r="I132" i="3"/>
  <c r="H132" i="3"/>
  <c r="G132" i="3"/>
  <c r="F132" i="3"/>
  <c r="E132" i="3"/>
  <c r="D132" i="3"/>
  <c r="C132" i="3"/>
  <c r="K131" i="3"/>
  <c r="J131" i="3"/>
  <c r="I131" i="3"/>
  <c r="H131" i="3"/>
  <c r="G131" i="3"/>
  <c r="F131" i="3"/>
  <c r="E131" i="3"/>
  <c r="D131" i="3"/>
  <c r="C131" i="3"/>
  <c r="K130" i="3"/>
  <c r="J130" i="3"/>
  <c r="I130" i="3"/>
  <c r="H130" i="3"/>
  <c r="G130" i="3"/>
  <c r="F130" i="3"/>
  <c r="E130" i="3"/>
  <c r="D130" i="3"/>
  <c r="C130" i="3"/>
  <c r="K129" i="3"/>
  <c r="J129" i="3"/>
  <c r="I129" i="3"/>
  <c r="H129" i="3"/>
  <c r="G129" i="3"/>
  <c r="F129" i="3"/>
  <c r="E129" i="3"/>
  <c r="D129" i="3"/>
  <c r="C129" i="3"/>
  <c r="K128" i="3"/>
  <c r="J128" i="3"/>
  <c r="I128" i="3"/>
  <c r="H128" i="3"/>
  <c r="G128" i="3"/>
  <c r="F128" i="3"/>
  <c r="E128" i="3"/>
  <c r="D128" i="3"/>
  <c r="C128" i="3"/>
  <c r="K127" i="3"/>
  <c r="J127" i="3"/>
  <c r="I127" i="3"/>
  <c r="H127" i="3"/>
  <c r="G127" i="3"/>
  <c r="F127" i="3"/>
  <c r="E127" i="3"/>
  <c r="D127" i="3"/>
  <c r="C127" i="3"/>
  <c r="K126" i="3"/>
  <c r="J126" i="3"/>
  <c r="I126" i="3"/>
  <c r="H126" i="3"/>
  <c r="G126" i="3"/>
  <c r="F126" i="3"/>
  <c r="E126" i="3"/>
  <c r="D126" i="3"/>
  <c r="C126" i="3"/>
  <c r="K125" i="3"/>
  <c r="J125" i="3"/>
  <c r="I125" i="3"/>
  <c r="H125" i="3"/>
  <c r="G125" i="3"/>
  <c r="F125" i="3"/>
  <c r="E125" i="3"/>
  <c r="D125" i="3"/>
  <c r="C125" i="3"/>
  <c r="K124" i="3"/>
  <c r="J124" i="3"/>
  <c r="I124" i="3"/>
  <c r="H124" i="3"/>
  <c r="G124" i="3"/>
  <c r="F124" i="3"/>
  <c r="E124" i="3"/>
  <c r="D124" i="3"/>
  <c r="C124" i="3"/>
  <c r="K123" i="3"/>
  <c r="J123" i="3"/>
  <c r="I123" i="3"/>
  <c r="H123" i="3"/>
  <c r="G123" i="3"/>
  <c r="F123" i="3"/>
  <c r="E123" i="3"/>
  <c r="D123" i="3"/>
  <c r="C123" i="3"/>
  <c r="K122" i="3"/>
  <c r="J122" i="3"/>
  <c r="I122" i="3"/>
  <c r="H122" i="3"/>
  <c r="G122" i="3"/>
  <c r="F122" i="3"/>
  <c r="E122" i="3"/>
  <c r="D122" i="3"/>
  <c r="C122" i="3"/>
  <c r="L132" i="3"/>
  <c r="L131" i="3"/>
  <c r="L130" i="3"/>
  <c r="L129" i="3"/>
  <c r="L128" i="3"/>
  <c r="L127" i="3"/>
  <c r="L126" i="3"/>
  <c r="L125" i="3"/>
  <c r="L124" i="3"/>
  <c r="L123" i="3"/>
  <c r="L122" i="3"/>
  <c r="L117" i="3"/>
  <c r="K117" i="3"/>
  <c r="J117" i="3"/>
  <c r="I117" i="3"/>
  <c r="H117" i="3"/>
  <c r="G117" i="3"/>
  <c r="F117" i="3"/>
  <c r="E117" i="3"/>
  <c r="D117" i="3"/>
  <c r="C117" i="3"/>
  <c r="L116" i="3"/>
  <c r="K116" i="3"/>
  <c r="J116" i="3"/>
  <c r="I116" i="3"/>
  <c r="H116" i="3"/>
  <c r="G116" i="3"/>
  <c r="F116" i="3"/>
  <c r="E116" i="3"/>
  <c r="D116" i="3"/>
  <c r="C116" i="3"/>
  <c r="N11" i="5"/>
  <c r="N10" i="5"/>
  <c r="M11" i="5"/>
  <c r="M10" i="5"/>
  <c r="L118" i="3"/>
  <c r="K118" i="3"/>
  <c r="J118" i="3"/>
  <c r="I118" i="3"/>
  <c r="H118" i="3"/>
  <c r="G118" i="3"/>
  <c r="F118" i="3"/>
  <c r="E118" i="3"/>
  <c r="D118" i="3"/>
  <c r="C118" i="3"/>
  <c r="K115" i="3"/>
  <c r="J115" i="3"/>
  <c r="I115" i="3"/>
  <c r="H115" i="3"/>
  <c r="G115" i="3"/>
  <c r="F115" i="3"/>
  <c r="E115" i="3"/>
  <c r="D115" i="3"/>
  <c r="C115" i="3"/>
  <c r="L115" i="3"/>
  <c r="L114" i="3"/>
  <c r="K114" i="3"/>
  <c r="J114" i="3"/>
  <c r="I114" i="3"/>
  <c r="H114" i="3"/>
  <c r="G114" i="3"/>
  <c r="F114" i="3"/>
  <c r="E114" i="3"/>
  <c r="D114" i="3"/>
  <c r="C114" i="3"/>
  <c r="L109" i="3"/>
  <c r="K18" i="3"/>
  <c r="J18" i="3"/>
  <c r="I18" i="3"/>
  <c r="H18" i="3"/>
  <c r="G18" i="3"/>
  <c r="F18" i="3"/>
  <c r="E18" i="3"/>
  <c r="D18" i="3"/>
  <c r="C18" i="3"/>
  <c r="L18" i="3"/>
  <c r="L113" i="3"/>
  <c r="K113" i="3"/>
  <c r="J113" i="3"/>
  <c r="I113" i="3"/>
  <c r="H113" i="3"/>
  <c r="G113" i="3"/>
  <c r="F113" i="3"/>
  <c r="E113" i="3"/>
  <c r="D113" i="3"/>
  <c r="C113" i="3"/>
  <c r="L112" i="3"/>
  <c r="K112" i="3"/>
  <c r="J112" i="3"/>
  <c r="I112" i="3"/>
  <c r="H112" i="3"/>
  <c r="G112" i="3"/>
  <c r="F112" i="3"/>
  <c r="E112" i="3"/>
  <c r="D112" i="3"/>
  <c r="C112" i="3"/>
  <c r="L111" i="3"/>
  <c r="K111" i="3"/>
  <c r="J111" i="3"/>
  <c r="I111" i="3"/>
  <c r="H111" i="3"/>
  <c r="G111" i="3"/>
  <c r="F111" i="3"/>
  <c r="E111" i="3"/>
  <c r="D111" i="3"/>
  <c r="C111" i="3"/>
  <c r="L110" i="3"/>
  <c r="K110" i="3"/>
  <c r="J110" i="3"/>
  <c r="I110" i="3"/>
  <c r="H110" i="3"/>
  <c r="G110" i="3"/>
  <c r="F110" i="3"/>
  <c r="E110" i="3"/>
  <c r="D110" i="3"/>
  <c r="C110" i="3"/>
  <c r="K109" i="3"/>
  <c r="J109" i="3"/>
  <c r="I109" i="3"/>
  <c r="H109" i="3"/>
  <c r="G109" i="3"/>
  <c r="F109" i="3"/>
  <c r="E109" i="3"/>
  <c r="D109" i="3"/>
  <c r="C109" i="3"/>
  <c r="L43" i="3"/>
  <c r="C44" i="21" s="1"/>
  <c r="K43" i="3"/>
  <c r="J43" i="3"/>
  <c r="I43" i="3"/>
  <c r="H43" i="3"/>
  <c r="G43" i="3"/>
  <c r="F43" i="3"/>
  <c r="E43" i="3"/>
  <c r="D43" i="3"/>
  <c r="C43" i="3"/>
  <c r="L33" i="3"/>
  <c r="K33" i="3"/>
  <c r="J33" i="3"/>
  <c r="I33" i="3"/>
  <c r="H33" i="3"/>
  <c r="G33" i="3"/>
  <c r="F33" i="3"/>
  <c r="E33" i="3"/>
  <c r="D33" i="3"/>
  <c r="C33" i="3"/>
  <c r="L27" i="3"/>
  <c r="C11" i="21" s="1"/>
  <c r="K27" i="3"/>
  <c r="J27" i="3"/>
  <c r="I27" i="3"/>
  <c r="H27" i="3"/>
  <c r="G27" i="3"/>
  <c r="F27" i="3"/>
  <c r="E27" i="3"/>
  <c r="D27" i="3"/>
  <c r="C27" i="3"/>
  <c r="L24" i="3"/>
  <c r="K24" i="3"/>
  <c r="J24" i="3"/>
  <c r="I24" i="3"/>
  <c r="H24" i="3"/>
  <c r="G24" i="3"/>
  <c r="F24" i="3"/>
  <c r="E24" i="3"/>
  <c r="D24" i="3"/>
  <c r="C24" i="3"/>
  <c r="L15" i="3"/>
  <c r="K15" i="3"/>
  <c r="J15" i="3"/>
  <c r="I15" i="3"/>
  <c r="H15" i="3"/>
  <c r="G15" i="3"/>
  <c r="F15" i="3"/>
  <c r="E15" i="3"/>
  <c r="D15" i="3"/>
  <c r="C15" i="3"/>
  <c r="L9" i="3"/>
  <c r="K9" i="3"/>
  <c r="J9" i="3"/>
  <c r="I9" i="3"/>
  <c r="H9" i="3"/>
  <c r="G9" i="3"/>
  <c r="F9" i="3"/>
  <c r="E9" i="3"/>
  <c r="D9" i="3"/>
  <c r="C9" i="3"/>
  <c r="L6" i="3"/>
  <c r="K6" i="3"/>
  <c r="H100" i="23" s="1"/>
  <c r="H103" i="23" s="1"/>
  <c r="J6" i="3"/>
  <c r="G100" i="23" s="1"/>
  <c r="G103" i="23" s="1"/>
  <c r="I6" i="3"/>
  <c r="F100" i="23" s="1"/>
  <c r="F103" i="23" s="1"/>
  <c r="H6" i="3"/>
  <c r="E100" i="23" s="1"/>
  <c r="E103" i="23" s="1"/>
  <c r="G6" i="3"/>
  <c r="D100" i="23" s="1"/>
  <c r="D103" i="23" s="1"/>
  <c r="F6" i="3"/>
  <c r="C100" i="23" s="1"/>
  <c r="C103" i="23" s="1"/>
  <c r="E6" i="3"/>
  <c r="D6" i="3"/>
  <c r="C6" i="3"/>
  <c r="L3" i="3"/>
  <c r="C3" i="21" s="1"/>
  <c r="D3" i="21" s="1"/>
  <c r="E3" i="21" s="1"/>
  <c r="F3" i="21" s="1"/>
  <c r="G3" i="21" s="1"/>
  <c r="H3" i="21" s="1"/>
  <c r="D3" i="3"/>
  <c r="E3" i="3"/>
  <c r="F3" i="3"/>
  <c r="G3" i="3"/>
  <c r="H3" i="3"/>
  <c r="I3" i="3"/>
  <c r="J3" i="3"/>
  <c r="K3" i="3"/>
  <c r="C3" i="3"/>
  <c r="K73" i="2"/>
  <c r="J73" i="2"/>
  <c r="I73" i="2"/>
  <c r="H73" i="2"/>
  <c r="K51" i="2"/>
  <c r="J51" i="2"/>
  <c r="I51" i="2"/>
  <c r="H51" i="2"/>
  <c r="G51" i="2"/>
  <c r="F51" i="2"/>
  <c r="E51" i="2"/>
  <c r="D51" i="2"/>
  <c r="C51" i="2"/>
  <c r="B51" i="2"/>
  <c r="K34" i="2"/>
  <c r="J34" i="2"/>
  <c r="I34" i="2"/>
  <c r="H34" i="2"/>
  <c r="G34" i="2"/>
  <c r="F34" i="2"/>
  <c r="E34" i="2"/>
  <c r="D34" i="2"/>
  <c r="C34" i="2"/>
  <c r="B34" i="2"/>
  <c r="K32" i="2"/>
  <c r="J32" i="2"/>
  <c r="I32" i="2"/>
  <c r="H32" i="2"/>
  <c r="G32" i="2"/>
  <c r="F32" i="2"/>
  <c r="E32" i="2"/>
  <c r="D32" i="2"/>
  <c r="C32" i="2"/>
  <c r="B32" i="2"/>
  <c r="K15" i="2"/>
  <c r="B15" i="2"/>
  <c r="B6" i="2"/>
  <c r="E1" i="2"/>
  <c r="E44" i="19" l="1"/>
  <c r="E35" i="19"/>
  <c r="F102" i="3"/>
  <c r="C102" i="3"/>
  <c r="E104" i="23"/>
  <c r="E105" i="23" s="1"/>
  <c r="L102" i="3"/>
  <c r="E102" i="3"/>
  <c r="E103" i="3"/>
  <c r="E104" i="3" s="1"/>
  <c r="G35" i="19"/>
  <c r="D104" i="23"/>
  <c r="D116" i="23" s="1"/>
  <c r="D126" i="23" s="1"/>
  <c r="F42" i="19"/>
  <c r="H102" i="3"/>
  <c r="K102" i="3"/>
  <c r="G42" i="19"/>
  <c r="C42" i="19"/>
  <c r="C43" i="19" s="1"/>
  <c r="I102" i="3"/>
  <c r="F122" i="23"/>
  <c r="F125" i="23" s="1"/>
  <c r="F30" i="7"/>
  <c r="F37" i="7" s="1"/>
  <c r="F29" i="7"/>
  <c r="F36" i="7" s="1"/>
  <c r="C122" i="23"/>
  <c r="C125" i="23" s="1"/>
  <c r="C105" i="23"/>
  <c r="G122" i="23"/>
  <c r="G125" i="23" s="1"/>
  <c r="G30" i="7"/>
  <c r="G37" i="7" s="1"/>
  <c r="G29" i="7"/>
  <c r="G36" i="7" s="1"/>
  <c r="K30" i="7"/>
  <c r="K37" i="7" s="1"/>
  <c r="K29" i="7"/>
  <c r="K36" i="7" s="1"/>
  <c r="G43" i="19"/>
  <c r="G115" i="23"/>
  <c r="G101" i="23"/>
  <c r="F101" i="23"/>
  <c r="F115" i="23"/>
  <c r="H104" i="23"/>
  <c r="J103" i="3"/>
  <c r="J104" i="3" s="1"/>
  <c r="C115" i="23"/>
  <c r="C101" i="23"/>
  <c r="I115" i="23"/>
  <c r="D101" i="23"/>
  <c r="D115" i="23"/>
  <c r="E122" i="23"/>
  <c r="E125" i="23" s="1"/>
  <c r="J30" i="7"/>
  <c r="J37" i="7" s="1"/>
  <c r="J29" i="7"/>
  <c r="J36" i="7" s="1"/>
  <c r="D122" i="23"/>
  <c r="D125" i="23" s="1"/>
  <c r="H122" i="23"/>
  <c r="H125" i="23" s="1"/>
  <c r="D30" i="7"/>
  <c r="D37" i="7" s="1"/>
  <c r="D29" i="7"/>
  <c r="H30" i="7"/>
  <c r="H37" i="7" s="1"/>
  <c r="H29" i="7"/>
  <c r="H36" i="7" s="1"/>
  <c r="L30" i="7"/>
  <c r="L37" i="7" s="1"/>
  <c r="L29" i="7"/>
  <c r="L36" i="7" s="1"/>
  <c r="D42" i="19"/>
  <c r="E101" i="23"/>
  <c r="E115" i="23"/>
  <c r="F44" i="19"/>
  <c r="F35" i="19"/>
  <c r="H115" i="23"/>
  <c r="H101" i="23"/>
  <c r="I100" i="23"/>
  <c r="I103" i="23" s="1"/>
  <c r="J7" i="22"/>
  <c r="N7" i="22" s="1"/>
  <c r="C5" i="21"/>
  <c r="E30" i="7"/>
  <c r="E37" i="7" s="1"/>
  <c r="E29" i="7"/>
  <c r="E36" i="7" s="1"/>
  <c r="I30" i="7"/>
  <c r="I37" i="7" s="1"/>
  <c r="I29" i="7"/>
  <c r="I36" i="7" s="1"/>
  <c r="E42" i="19"/>
  <c r="I104" i="23"/>
  <c r="C116" i="23"/>
  <c r="C126" i="23" s="1"/>
  <c r="C107" i="23"/>
  <c r="C109" i="23" s="1"/>
  <c r="J102" i="3"/>
  <c r="G104" i="23"/>
  <c r="I103" i="3"/>
  <c r="I104" i="3" s="1"/>
  <c r="F104" i="23"/>
  <c r="H103" i="3"/>
  <c r="H104" i="3" s="1"/>
  <c r="G44" i="19"/>
  <c r="B18" i="11"/>
  <c r="D17" i="11"/>
  <c r="E17" i="11" s="1"/>
  <c r="C28" i="21"/>
  <c r="G17" i="21"/>
  <c r="D17" i="21"/>
  <c r="F17" i="21"/>
  <c r="E17" i="21"/>
  <c r="J32" i="7"/>
  <c r="J31" i="7"/>
  <c r="J28" i="7"/>
  <c r="J35" i="7" s="1"/>
  <c r="G32" i="7"/>
  <c r="G31" i="7"/>
  <c r="G28" i="7"/>
  <c r="G35" i="7" s="1"/>
  <c r="K32" i="7"/>
  <c r="K31" i="7"/>
  <c r="K28" i="7"/>
  <c r="K35" i="7" s="1"/>
  <c r="G104" i="3"/>
  <c r="C104" i="3"/>
  <c r="E32" i="7"/>
  <c r="E31" i="7"/>
  <c r="E28" i="7"/>
  <c r="E35" i="7" s="1"/>
  <c r="I32" i="7"/>
  <c r="I31" i="7"/>
  <c r="I28" i="7"/>
  <c r="I35" i="7" s="1"/>
  <c r="F32" i="7"/>
  <c r="F31" i="7"/>
  <c r="F28" i="7"/>
  <c r="F35" i="7" s="1"/>
  <c r="D32" i="7"/>
  <c r="D28" i="7"/>
  <c r="D31" i="7"/>
  <c r="H32" i="7"/>
  <c r="H31" i="7"/>
  <c r="H28" i="7"/>
  <c r="H35" i="7" s="1"/>
  <c r="L32" i="7"/>
  <c r="L31" i="7"/>
  <c r="L28" i="7"/>
  <c r="L35" i="7" s="1"/>
  <c r="D104" i="3"/>
  <c r="I48" i="3"/>
  <c r="I45" i="3"/>
  <c r="F48" i="3"/>
  <c r="F45" i="3"/>
  <c r="D48" i="3"/>
  <c r="D45" i="3"/>
  <c r="H48" i="3"/>
  <c r="H45" i="3"/>
  <c r="M43" i="3"/>
  <c r="N43" i="3" s="1"/>
  <c r="L45" i="3"/>
  <c r="E48" i="3"/>
  <c r="E45" i="3"/>
  <c r="J48" i="3"/>
  <c r="J10" i="7" s="1"/>
  <c r="J45" i="3"/>
  <c r="C48" i="3"/>
  <c r="C45" i="3"/>
  <c r="G48" i="3"/>
  <c r="G45" i="3"/>
  <c r="K48" i="3"/>
  <c r="K45" i="3"/>
  <c r="E19" i="3"/>
  <c r="F19" i="3"/>
  <c r="C19" i="3"/>
  <c r="G19" i="3"/>
  <c r="K19" i="3"/>
  <c r="L19" i="3"/>
  <c r="D19" i="3"/>
  <c r="I19" i="3"/>
  <c r="H19" i="3"/>
  <c r="J19" i="3"/>
  <c r="F119" i="3"/>
  <c r="J119" i="3"/>
  <c r="F133" i="3"/>
  <c r="J133" i="3"/>
  <c r="F143" i="3"/>
  <c r="J143" i="3"/>
  <c r="C119" i="3"/>
  <c r="G119" i="3"/>
  <c r="K119" i="3"/>
  <c r="C133" i="3"/>
  <c r="G133" i="3"/>
  <c r="K133" i="3"/>
  <c r="D119" i="3"/>
  <c r="H119" i="3"/>
  <c r="L119" i="3"/>
  <c r="D133" i="3"/>
  <c r="H133" i="3"/>
  <c r="L133" i="3"/>
  <c r="D143" i="3"/>
  <c r="H143" i="3"/>
  <c r="L143" i="3"/>
  <c r="E119" i="3"/>
  <c r="I119" i="3"/>
  <c r="E133" i="3"/>
  <c r="I133" i="3"/>
  <c r="E143" i="3"/>
  <c r="I143" i="3"/>
  <c r="C143" i="3"/>
  <c r="G143" i="3"/>
  <c r="K143" i="3"/>
  <c r="L48" i="3"/>
  <c r="F10" i="3"/>
  <c r="K12" i="3"/>
  <c r="D10" i="3"/>
  <c r="C12" i="3"/>
  <c r="J12" i="3"/>
  <c r="C16" i="3"/>
  <c r="C18" i="7" s="1"/>
  <c r="C25" i="3"/>
  <c r="K25" i="3"/>
  <c r="K7" i="3"/>
  <c r="K5" i="7" s="1"/>
  <c r="G16" i="3"/>
  <c r="G18" i="7" s="1"/>
  <c r="E25" i="3"/>
  <c r="F28" i="3"/>
  <c r="F19" i="7" s="1"/>
  <c r="G7" i="3"/>
  <c r="G5" i="7" s="1"/>
  <c r="L10" i="3"/>
  <c r="H16" i="3"/>
  <c r="H18" i="7" s="1"/>
  <c r="G28" i="3"/>
  <c r="G19" i="7" s="1"/>
  <c r="I7" i="3"/>
  <c r="I5" i="7" s="1"/>
  <c r="G12" i="3"/>
  <c r="G21" i="3" s="1"/>
  <c r="D60" i="23" s="1"/>
  <c r="G25" i="3"/>
  <c r="H25" i="3"/>
  <c r="E16" i="3"/>
  <c r="E18" i="7" s="1"/>
  <c r="F25" i="3"/>
  <c r="F16" i="3"/>
  <c r="F18" i="7" s="1"/>
  <c r="L28" i="3"/>
  <c r="L19" i="7" s="1"/>
  <c r="I10" i="3"/>
  <c r="J16" i="3"/>
  <c r="J18" i="7" s="1"/>
  <c r="E10" i="3"/>
  <c r="I16" i="3"/>
  <c r="I18" i="7" s="1"/>
  <c r="I25" i="3"/>
  <c r="F12" i="3"/>
  <c r="F21" i="3" s="1"/>
  <c r="C60" i="23" s="1"/>
  <c r="H10" i="3"/>
  <c r="J10" i="3"/>
  <c r="K16" i="3"/>
  <c r="K18" i="7" s="1"/>
  <c r="J25" i="3"/>
  <c r="J7" i="3"/>
  <c r="J5" i="7" s="1"/>
  <c r="J28" i="3"/>
  <c r="J19" i="7" s="1"/>
  <c r="D28" i="3"/>
  <c r="D19" i="7" s="1"/>
  <c r="H28" i="3"/>
  <c r="H19" i="7" s="1"/>
  <c r="D16" i="3"/>
  <c r="D18" i="7" s="1"/>
  <c r="L16" i="3"/>
  <c r="L18" i="7" s="1"/>
  <c r="C28" i="3"/>
  <c r="C19" i="7" s="1"/>
  <c r="K28" i="3"/>
  <c r="K19" i="7" s="1"/>
  <c r="L12" i="3"/>
  <c r="L21" i="3" s="1"/>
  <c r="L30" i="3" s="1"/>
  <c r="E12" i="3"/>
  <c r="E21" i="3" s="1"/>
  <c r="D25" i="3"/>
  <c r="L25" i="3"/>
  <c r="D12" i="3"/>
  <c r="D21" i="3" s="1"/>
  <c r="E28" i="3"/>
  <c r="E19" i="7" s="1"/>
  <c r="D7" i="3"/>
  <c r="D5" i="7" s="1"/>
  <c r="L7" i="3"/>
  <c r="L5" i="7" s="1"/>
  <c r="G10" i="3"/>
  <c r="E7" i="3"/>
  <c r="E5" i="7" s="1"/>
  <c r="F7" i="3"/>
  <c r="F5" i="7" s="1"/>
  <c r="H12" i="3"/>
  <c r="H21" i="3" s="1"/>
  <c r="E60" i="23" s="1"/>
  <c r="I28" i="3"/>
  <c r="I19" i="7" s="1"/>
  <c r="H7" i="3"/>
  <c r="H5" i="7" s="1"/>
  <c r="C10" i="3"/>
  <c r="K10" i="3"/>
  <c r="I12" i="3"/>
  <c r="I21" i="3" s="1"/>
  <c r="F60" i="23" s="1"/>
  <c r="G50" i="19" l="1"/>
  <c r="D43" i="19"/>
  <c r="D50" i="19"/>
  <c r="E43" i="19"/>
  <c r="E50" i="19"/>
  <c r="F43" i="19"/>
  <c r="F50" i="19"/>
  <c r="D105" i="23"/>
  <c r="D107" i="23"/>
  <c r="D109" i="23" s="1"/>
  <c r="E107" i="23"/>
  <c r="E109" i="23" s="1"/>
  <c r="E111" i="23" s="1"/>
  <c r="E116" i="23"/>
  <c r="E126" i="23" s="1"/>
  <c r="C111" i="23"/>
  <c r="O30" i="7"/>
  <c r="I101" i="23"/>
  <c r="N13" i="22"/>
  <c r="N17" i="22"/>
  <c r="N15" i="22"/>
  <c r="N16" i="22"/>
  <c r="N22" i="22" s="1"/>
  <c r="N24" i="22" s="1"/>
  <c r="N27" i="22" s="1"/>
  <c r="N14" i="22"/>
  <c r="N18" i="22"/>
  <c r="H107" i="23"/>
  <c r="H109" i="23" s="1"/>
  <c r="H116" i="23"/>
  <c r="H126" i="23" s="1"/>
  <c r="H127" i="23" s="1"/>
  <c r="G121" i="23"/>
  <c r="G123" i="23" s="1"/>
  <c r="G116" i="23"/>
  <c r="G126" i="23" s="1"/>
  <c r="G127" i="23" s="1"/>
  <c r="G107" i="23"/>
  <c r="G109" i="23" s="1"/>
  <c r="I116" i="23"/>
  <c r="I126" i="23" s="1"/>
  <c r="I107" i="23"/>
  <c r="I109" i="23" s="1"/>
  <c r="I122" i="23"/>
  <c r="I125" i="23" s="1"/>
  <c r="I105" i="23"/>
  <c r="E121" i="23"/>
  <c r="E123" i="23" s="1"/>
  <c r="D127" i="23"/>
  <c r="E127" i="23"/>
  <c r="D117" i="23"/>
  <c r="D121" i="23"/>
  <c r="D123" i="23" s="1"/>
  <c r="F121" i="23"/>
  <c r="F123" i="23" s="1"/>
  <c r="G105" i="23"/>
  <c r="N30" i="7"/>
  <c r="H121" i="23"/>
  <c r="H123" i="23" s="1"/>
  <c r="C117" i="23"/>
  <c r="C121" i="23"/>
  <c r="C123" i="23" s="1"/>
  <c r="I60" i="23"/>
  <c r="K7" i="22"/>
  <c r="O7" i="22" s="1"/>
  <c r="L7" i="22"/>
  <c r="P7" i="22" s="1"/>
  <c r="L38" i="7"/>
  <c r="F116" i="23"/>
  <c r="F126" i="23" s="1"/>
  <c r="F127" i="23" s="1"/>
  <c r="F107" i="23"/>
  <c r="F109" i="23" s="1"/>
  <c r="H105" i="23"/>
  <c r="I121" i="23"/>
  <c r="C127" i="23"/>
  <c r="F105" i="23"/>
  <c r="B19" i="11"/>
  <c r="D19" i="11" s="1"/>
  <c r="D18" i="11"/>
  <c r="E18" i="11" s="1"/>
  <c r="F38" i="7"/>
  <c r="I38" i="7"/>
  <c r="E38" i="7"/>
  <c r="C41" i="7"/>
  <c r="C40" i="7"/>
  <c r="C42" i="7"/>
  <c r="O29" i="7"/>
  <c r="N29" i="7"/>
  <c r="D36" i="7"/>
  <c r="H42" i="7"/>
  <c r="H41" i="7"/>
  <c r="H40" i="7"/>
  <c r="J40" i="7"/>
  <c r="J42" i="7"/>
  <c r="J41" i="7"/>
  <c r="H38" i="7"/>
  <c r="N37" i="7"/>
  <c r="O37" i="7"/>
  <c r="D42" i="7"/>
  <c r="D41" i="7"/>
  <c r="D40" i="7"/>
  <c r="K42" i="7"/>
  <c r="K41" i="7"/>
  <c r="K40" i="7"/>
  <c r="F40" i="7"/>
  <c r="F41" i="7"/>
  <c r="F42" i="7"/>
  <c r="D35" i="7"/>
  <c r="O28" i="7"/>
  <c r="N28" i="7"/>
  <c r="I41" i="7"/>
  <c r="I40" i="7"/>
  <c r="I42" i="7"/>
  <c r="L42" i="7"/>
  <c r="L41" i="7"/>
  <c r="L40" i="7"/>
  <c r="N18" i="7"/>
  <c r="O18" i="7"/>
  <c r="E41" i="7"/>
  <c r="E40" i="7"/>
  <c r="E42" i="7"/>
  <c r="N31" i="7"/>
  <c r="O31" i="7"/>
  <c r="O5" i="7"/>
  <c r="N5" i="7"/>
  <c r="N19" i="7"/>
  <c r="O19" i="7"/>
  <c r="G42" i="7"/>
  <c r="G40" i="7"/>
  <c r="G41" i="7"/>
  <c r="N32" i="7"/>
  <c r="O32" i="7"/>
  <c r="K38" i="7"/>
  <c r="G38" i="7"/>
  <c r="J38" i="7"/>
  <c r="K10" i="7"/>
  <c r="E10" i="7"/>
  <c r="H10" i="7"/>
  <c r="G10" i="7"/>
  <c r="F10" i="7"/>
  <c r="L10" i="7"/>
  <c r="D10" i="7"/>
  <c r="I10" i="7"/>
  <c r="H7" i="7"/>
  <c r="I7" i="7"/>
  <c r="F7" i="7"/>
  <c r="G7" i="7"/>
  <c r="E7" i="7"/>
  <c r="G145" i="3"/>
  <c r="C21" i="3"/>
  <c r="C22" i="3" s="1"/>
  <c r="C13" i="7" s="1"/>
  <c r="J13" i="3"/>
  <c r="J21" i="3"/>
  <c r="G60" i="23" s="1"/>
  <c r="K13" i="3"/>
  <c r="K21" i="3"/>
  <c r="C145" i="3"/>
  <c r="K145" i="3"/>
  <c r="J145" i="3"/>
  <c r="F145" i="3"/>
  <c r="L145" i="3"/>
  <c r="I145" i="3"/>
  <c r="E145" i="3"/>
  <c r="H145" i="3"/>
  <c r="D145" i="3"/>
  <c r="C13" i="3"/>
  <c r="E13" i="3"/>
  <c r="G13" i="3"/>
  <c r="F13" i="3"/>
  <c r="L13" i="3"/>
  <c r="H13" i="3"/>
  <c r="I13" i="3"/>
  <c r="D13" i="3"/>
  <c r="D111" i="23" l="1"/>
  <c r="E117" i="23"/>
  <c r="I117" i="23"/>
  <c r="H117" i="23"/>
  <c r="I127" i="23"/>
  <c r="F111" i="23"/>
  <c r="D129" i="23"/>
  <c r="E129" i="23"/>
  <c r="I111" i="23"/>
  <c r="H111" i="23"/>
  <c r="G111" i="23"/>
  <c r="G129" i="23"/>
  <c r="C129" i="23"/>
  <c r="H129" i="23"/>
  <c r="I123" i="23"/>
  <c r="O17" i="22"/>
  <c r="O18" i="22"/>
  <c r="O15" i="22"/>
  <c r="O16" i="22"/>
  <c r="O22" i="22" s="1"/>
  <c r="O24" i="22" s="1"/>
  <c r="O27" i="22" s="1"/>
  <c r="O13" i="22"/>
  <c r="O14" i="22"/>
  <c r="F129" i="23"/>
  <c r="K22" i="3"/>
  <c r="H60" i="23"/>
  <c r="P14" i="22"/>
  <c r="P18" i="22"/>
  <c r="P16" i="22"/>
  <c r="P24" i="22" s="1"/>
  <c r="P13" i="22"/>
  <c r="P17" i="22"/>
  <c r="P15" i="22"/>
  <c r="G117" i="23"/>
  <c r="F117" i="23"/>
  <c r="P30" i="22"/>
  <c r="N30" i="22"/>
  <c r="O30" i="22"/>
  <c r="E19" i="11"/>
  <c r="O10" i="7"/>
  <c r="N10" i="7"/>
  <c r="N42" i="7"/>
  <c r="O42" i="7"/>
  <c r="O36" i="7"/>
  <c r="N36" i="7"/>
  <c r="O40" i="7"/>
  <c r="N40" i="7"/>
  <c r="O35" i="7"/>
  <c r="D38" i="7"/>
  <c r="N35" i="7"/>
  <c r="N41" i="7"/>
  <c r="O41" i="7"/>
  <c r="K6" i="7" a="1"/>
  <c r="K6" i="7" s="1"/>
  <c r="K12" i="7"/>
  <c r="D6" i="7" a="1"/>
  <c r="D6" i="7" s="1"/>
  <c r="D12" i="7"/>
  <c r="G6" i="7" a="1"/>
  <c r="G6" i="7" s="1"/>
  <c r="G12" i="7"/>
  <c r="I6" i="7" a="1"/>
  <c r="I6" i="7" s="1"/>
  <c r="I12" i="7"/>
  <c r="H6" i="7" a="1"/>
  <c r="H6" i="7" s="1"/>
  <c r="H12" i="7"/>
  <c r="E6" i="7" a="1"/>
  <c r="E6" i="7" s="1"/>
  <c r="E12" i="7"/>
  <c r="J6" i="7" a="1"/>
  <c r="J6" i="7" s="1"/>
  <c r="J12" i="7"/>
  <c r="F6" i="7" a="1"/>
  <c r="F6" i="7" s="1"/>
  <c r="F12" i="7"/>
  <c r="L6" i="7" a="1"/>
  <c r="L6" i="7" s="1"/>
  <c r="L12" i="7"/>
  <c r="C6" i="7" a="1"/>
  <c r="C6" i="7" s="1"/>
  <c r="C12" i="7"/>
  <c r="C30" i="3"/>
  <c r="J22" i="3"/>
  <c r="J7" i="7"/>
  <c r="K7" i="7"/>
  <c r="L7" i="7"/>
  <c r="D7" i="7"/>
  <c r="J30" i="3"/>
  <c r="K30" i="3"/>
  <c r="G22" i="3"/>
  <c r="G30" i="3"/>
  <c r="F22" i="3"/>
  <c r="F30" i="3"/>
  <c r="I22" i="3"/>
  <c r="I30" i="3"/>
  <c r="D22" i="3"/>
  <c r="D13" i="7" s="1"/>
  <c r="D30" i="3"/>
  <c r="H22" i="3"/>
  <c r="H30" i="3"/>
  <c r="E22" i="3"/>
  <c r="E13" i="7" s="1"/>
  <c r="E30" i="3"/>
  <c r="L22" i="3"/>
  <c r="I129" i="23" l="1"/>
  <c r="P22" i="22"/>
  <c r="P27" i="22"/>
  <c r="J13" i="7"/>
  <c r="G61" i="23"/>
  <c r="K13" i="7"/>
  <c r="H61" i="23"/>
  <c r="L13" i="7"/>
  <c r="I61" i="23"/>
  <c r="H13" i="7"/>
  <c r="E61" i="23"/>
  <c r="I13" i="7"/>
  <c r="F61" i="23"/>
  <c r="G13" i="7"/>
  <c r="D61" i="23"/>
  <c r="F13" i="7"/>
  <c r="C61" i="23"/>
  <c r="C31" i="3"/>
  <c r="C15" i="7" s="1"/>
  <c r="C52" i="3"/>
  <c r="D52" i="3"/>
  <c r="D26" i="7" s="1"/>
  <c r="D22" i="7"/>
  <c r="K14" i="7"/>
  <c r="K20" i="7" s="1"/>
  <c r="K52" i="3"/>
  <c r="K22" i="7"/>
  <c r="N12" i="7"/>
  <c r="O12" i="7"/>
  <c r="O38" i="7"/>
  <c r="N38" i="7"/>
  <c r="E52" i="3"/>
  <c r="E26" i="7" s="1"/>
  <c r="E22" i="7"/>
  <c r="F14" i="7"/>
  <c r="F20" i="7" s="1"/>
  <c r="F52" i="3"/>
  <c r="F22" i="7"/>
  <c r="J14" i="7"/>
  <c r="J20" i="7" s="1"/>
  <c r="J52" i="3"/>
  <c r="J22" i="7"/>
  <c r="L14" i="7"/>
  <c r="L20" i="7" s="1"/>
  <c r="L52" i="3"/>
  <c r="L22" i="7"/>
  <c r="H14" i="7"/>
  <c r="H20" i="7" s="1"/>
  <c r="H52" i="3"/>
  <c r="H22" i="7"/>
  <c r="I52" i="3"/>
  <c r="I22" i="7"/>
  <c r="G52" i="3"/>
  <c r="G22" i="7"/>
  <c r="O7" i="7"/>
  <c r="N7" i="7"/>
  <c r="N6" i="7"/>
  <c r="O6" i="7"/>
  <c r="C36" i="3"/>
  <c r="C37" i="3" s="1"/>
  <c r="C16" i="7" s="1"/>
  <c r="J36" i="3"/>
  <c r="J40" i="3" s="1"/>
  <c r="I8" i="7"/>
  <c r="I14" i="7"/>
  <c r="I20" i="7" s="1"/>
  <c r="G8" i="7"/>
  <c r="G14" i="7"/>
  <c r="G20" i="7" s="1"/>
  <c r="D8" i="7"/>
  <c r="D14" i="7"/>
  <c r="D20" i="7" s="1"/>
  <c r="E8" i="7"/>
  <c r="E14" i="7"/>
  <c r="E20" i="7" s="1"/>
  <c r="C34" i="3"/>
  <c r="C14" i="7"/>
  <c r="H8" i="7"/>
  <c r="J34" i="3"/>
  <c r="E47" i="19" s="1"/>
  <c r="J8" i="7"/>
  <c r="L8" i="7"/>
  <c r="F8" i="7"/>
  <c r="K31" i="3"/>
  <c r="K15" i="7" s="1"/>
  <c r="K8" i="7"/>
  <c r="J31" i="3"/>
  <c r="J15" i="7" s="1"/>
  <c r="K36" i="3"/>
  <c r="K40" i="3" s="1"/>
  <c r="K34" i="3"/>
  <c r="F47" i="19" s="1"/>
  <c r="C49" i="3"/>
  <c r="C51" i="3" s="1"/>
  <c r="L34" i="3"/>
  <c r="L36" i="3"/>
  <c r="L40" i="3" s="1"/>
  <c r="L31" i="3"/>
  <c r="L15" i="7" s="1"/>
  <c r="E34" i="3"/>
  <c r="E36" i="3"/>
  <c r="E40" i="3" s="1"/>
  <c r="E31" i="3"/>
  <c r="E15" i="7" s="1"/>
  <c r="D34" i="3"/>
  <c r="D36" i="3"/>
  <c r="D31" i="3"/>
  <c r="D15" i="7" s="1"/>
  <c r="F31" i="3"/>
  <c r="F15" i="7" s="1"/>
  <c r="F36" i="3"/>
  <c r="F34" i="3"/>
  <c r="H31" i="3"/>
  <c r="H15" i="7" s="1"/>
  <c r="H34" i="3"/>
  <c r="H36" i="3"/>
  <c r="H40" i="3" s="1"/>
  <c r="G36" i="3"/>
  <c r="G40" i="3" s="1"/>
  <c r="G31" i="3"/>
  <c r="G15" i="7" s="1"/>
  <c r="G34" i="3"/>
  <c r="I36" i="3"/>
  <c r="I31" i="3"/>
  <c r="I15" i="7" s="1"/>
  <c r="I34" i="3"/>
  <c r="D47" i="19" s="1"/>
  <c r="N13" i="7" l="1"/>
  <c r="C47" i="19"/>
  <c r="D8" i="21"/>
  <c r="E8" i="21" s="1"/>
  <c r="F8" i="21" s="1"/>
  <c r="G8" i="21" s="1"/>
  <c r="H8" i="21" s="1"/>
  <c r="F26" i="7"/>
  <c r="C62" i="23"/>
  <c r="G26" i="7"/>
  <c r="D62" i="23"/>
  <c r="G47" i="19"/>
  <c r="C8" i="21"/>
  <c r="I26" i="7"/>
  <c r="F62" i="23"/>
  <c r="D36" i="19"/>
  <c r="J26" i="7"/>
  <c r="G62" i="23"/>
  <c r="E36" i="19"/>
  <c r="H26" i="7"/>
  <c r="E62" i="23"/>
  <c r="C36" i="19"/>
  <c r="L26" i="7"/>
  <c r="I62" i="23"/>
  <c r="G36" i="19"/>
  <c r="C6" i="21"/>
  <c r="O13" i="7"/>
  <c r="K26" i="7"/>
  <c r="H62" i="23"/>
  <c r="F36" i="19"/>
  <c r="O22" i="7"/>
  <c r="N22" i="7"/>
  <c r="C20" i="7"/>
  <c r="N14" i="7"/>
  <c r="O14" i="7"/>
  <c r="N8" i="7"/>
  <c r="O8" i="7"/>
  <c r="O15" i="7"/>
  <c r="N15" i="7"/>
  <c r="C40" i="3"/>
  <c r="J37" i="3"/>
  <c r="D9" i="7"/>
  <c r="D40" i="3"/>
  <c r="I9" i="7"/>
  <c r="I40" i="3"/>
  <c r="F9" i="7"/>
  <c r="F40" i="3"/>
  <c r="G9" i="7"/>
  <c r="L9" i="7"/>
  <c r="E9" i="7"/>
  <c r="K37" i="3"/>
  <c r="K9" i="7"/>
  <c r="H9" i="7"/>
  <c r="J9" i="7"/>
  <c r="K46" i="3"/>
  <c r="J51" i="3"/>
  <c r="J23" i="7" s="1"/>
  <c r="J25" i="7" s="1"/>
  <c r="J49" i="3"/>
  <c r="F37" i="3"/>
  <c r="J46" i="3"/>
  <c r="I37" i="3"/>
  <c r="D37" i="3"/>
  <c r="D16" i="7" s="1"/>
  <c r="H37" i="3"/>
  <c r="E37" i="3"/>
  <c r="E16" i="7" s="1"/>
  <c r="G37" i="3"/>
  <c r="L37" i="3"/>
  <c r="O26" i="7" l="1"/>
  <c r="N26" i="7"/>
  <c r="H16" i="7"/>
  <c r="E64" i="23"/>
  <c r="J16" i="7"/>
  <c r="G64" i="23"/>
  <c r="D46" i="19"/>
  <c r="D48" i="19" s="1"/>
  <c r="D51" i="19" s="1"/>
  <c r="D38" i="19"/>
  <c r="D59" i="19" s="1"/>
  <c r="E46" i="19"/>
  <c r="E48" i="19" s="1"/>
  <c r="E51" i="19" s="1"/>
  <c r="E58" i="19" s="1"/>
  <c r="E38" i="19"/>
  <c r="E59" i="19" s="1"/>
  <c r="F16" i="7"/>
  <c r="C64" i="23"/>
  <c r="G46" i="19"/>
  <c r="G48" i="19" s="1"/>
  <c r="G51" i="19" s="1"/>
  <c r="G58" i="19" s="1"/>
  <c r="G38" i="19"/>
  <c r="G59" i="19" s="1"/>
  <c r="L16" i="7"/>
  <c r="I64" i="23"/>
  <c r="G16" i="7"/>
  <c r="D64" i="23"/>
  <c r="I16" i="7"/>
  <c r="F64" i="23"/>
  <c r="K16" i="7"/>
  <c r="H64" i="23"/>
  <c r="F46" i="19"/>
  <c r="F48" i="19" s="1"/>
  <c r="F51" i="19" s="1"/>
  <c r="F58" i="19" s="1"/>
  <c r="F38" i="19"/>
  <c r="F59" i="19" s="1"/>
  <c r="C10" i="21"/>
  <c r="C46" i="19"/>
  <c r="C48" i="19" s="1"/>
  <c r="C38" i="19"/>
  <c r="N9" i="7"/>
  <c r="O9" i="7"/>
  <c r="O20" i="7"/>
  <c r="N20" i="7"/>
  <c r="K49" i="3"/>
  <c r="K51" i="3" s="1"/>
  <c r="K23" i="7" s="1"/>
  <c r="K25" i="7" s="1"/>
  <c r="E46" i="3"/>
  <c r="E49" i="3"/>
  <c r="E51" i="3" s="1"/>
  <c r="E23" i="7" s="1"/>
  <c r="E25" i="7" s="1"/>
  <c r="H46" i="3"/>
  <c r="H49" i="3"/>
  <c r="H51" i="3" s="1"/>
  <c r="H23" i="7" s="1"/>
  <c r="H25" i="7" s="1"/>
  <c r="G46" i="3"/>
  <c r="G49" i="3"/>
  <c r="G51" i="3" s="1"/>
  <c r="G23" i="7" s="1"/>
  <c r="G25" i="7" s="1"/>
  <c r="I46" i="3"/>
  <c r="I49" i="3"/>
  <c r="I51" i="3" s="1"/>
  <c r="I23" i="7" s="1"/>
  <c r="I25" i="7" s="1"/>
  <c r="F46" i="3"/>
  <c r="F49" i="3"/>
  <c r="F51" i="3" s="1"/>
  <c r="F23" i="7" s="1"/>
  <c r="F25" i="7" s="1"/>
  <c r="L46" i="3"/>
  <c r="L49" i="3"/>
  <c r="L51" i="3" s="1"/>
  <c r="L23" i="7" s="1"/>
  <c r="L25" i="7" s="1"/>
  <c r="D46" i="3"/>
  <c r="D49" i="3"/>
  <c r="D51" i="3" s="1"/>
  <c r="D23" i="7" s="1"/>
  <c r="G61" i="19" l="1"/>
  <c r="E61" i="19"/>
  <c r="N16" i="7"/>
  <c r="O16" i="7"/>
  <c r="F61" i="19"/>
  <c r="D58" i="19"/>
  <c r="D61" i="19" s="1"/>
  <c r="G54" i="19"/>
  <c r="C12" i="21" s="1"/>
  <c r="D12" i="21" s="1"/>
  <c r="E12" i="21" s="1"/>
  <c r="F12" i="21" s="1"/>
  <c r="G12" i="21" s="1"/>
  <c r="H12" i="21" s="1"/>
  <c r="G53" i="19"/>
  <c r="N23" i="7"/>
  <c r="D25" i="7"/>
  <c r="O23" i="7"/>
  <c r="G63" i="19" l="1"/>
  <c r="M6" i="3" s="1"/>
  <c r="G64" i="19"/>
  <c r="C14" i="21"/>
  <c r="N25" i="7"/>
  <c r="O25" i="7"/>
  <c r="M15" i="3" l="1"/>
  <c r="N6" i="3"/>
  <c r="N7" i="3" s="1"/>
  <c r="C22" i="21"/>
  <c r="M18" i="3"/>
  <c r="N18" i="3" s="1"/>
  <c r="D6" i="21" l="1"/>
  <c r="D5" i="21"/>
  <c r="M9" i="3"/>
  <c r="M12" i="3" s="1"/>
  <c r="M7" i="3"/>
  <c r="M24" i="3"/>
  <c r="M13" i="3" l="1"/>
  <c r="M21" i="3"/>
  <c r="D11" i="21"/>
  <c r="M27" i="3" s="1"/>
  <c r="E5" i="21"/>
  <c r="E6" i="21"/>
  <c r="D10" i="21"/>
  <c r="M10" i="3"/>
  <c r="N9" i="3" s="1"/>
  <c r="M19" i="3"/>
  <c r="M25" i="3"/>
  <c r="N24" i="3" s="1"/>
  <c r="N25" i="3" s="1"/>
  <c r="M16" i="3"/>
  <c r="N15" i="3" s="1"/>
  <c r="N16" i="3" s="1"/>
  <c r="N10" i="3" l="1"/>
  <c r="N19" i="3"/>
  <c r="N12" i="3"/>
  <c r="F5" i="21"/>
  <c r="E11" i="21"/>
  <c r="M22" i="3"/>
  <c r="D14" i="21"/>
  <c r="D19" i="21" s="1"/>
  <c r="M28" i="3"/>
  <c r="N27" i="3" s="1"/>
  <c r="E10" i="21"/>
  <c r="F6" i="21"/>
  <c r="N28" i="3" l="1"/>
  <c r="N13" i="3"/>
  <c r="N21" i="3"/>
  <c r="E14" i="21"/>
  <c r="E19" i="21" s="1"/>
  <c r="F10" i="21"/>
  <c r="G6" i="21"/>
  <c r="M30" i="3"/>
  <c r="M33" i="3" s="1"/>
  <c r="G5" i="21"/>
  <c r="F11" i="21"/>
  <c r="N22" i="3" l="1"/>
  <c r="N30" i="3"/>
  <c r="H5" i="21"/>
  <c r="H11" i="21" s="1"/>
  <c r="G11" i="21"/>
  <c r="F14" i="21"/>
  <c r="F19" i="21" s="1"/>
  <c r="M52" i="3"/>
  <c r="M31" i="3"/>
  <c r="M34" i="3"/>
  <c r="M36" i="3"/>
  <c r="H6" i="21"/>
  <c r="H10" i="21" s="1"/>
  <c r="G10" i="21"/>
  <c r="N33" i="3" l="1"/>
  <c r="N36" i="3" s="1"/>
  <c r="N52" i="3"/>
  <c r="N31" i="3"/>
  <c r="M37" i="3"/>
  <c r="M39" i="3"/>
  <c r="M45" i="3" s="1"/>
  <c r="H14" i="21"/>
  <c r="H19" i="21" s="1"/>
  <c r="G14" i="21"/>
  <c r="G19" i="21" s="1"/>
  <c r="N34" i="3" l="1"/>
  <c r="N39" i="3"/>
  <c r="N45" i="3" s="1"/>
  <c r="N37" i="3"/>
  <c r="M48" i="3"/>
  <c r="M49" i="3" s="1"/>
  <c r="M46" i="3"/>
  <c r="M40" i="3"/>
  <c r="C27" i="21"/>
  <c r="C31" i="21" s="1"/>
  <c r="C36" i="21" s="1"/>
  <c r="C35" i="21"/>
  <c r="N40" i="3" l="1"/>
  <c r="N46" i="3"/>
  <c r="N48" i="3"/>
  <c r="N49" i="3" s="1"/>
  <c r="M51" i="3"/>
  <c r="C37" i="21"/>
  <c r="C43" i="21" l="1"/>
  <c r="C45" i="21" s="1"/>
  <c r="C48" i="21" s="1"/>
  <c r="N5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<sst xmlns="http://schemas.openxmlformats.org/spreadsheetml/2006/main" count="693" uniqueCount="447">
  <si>
    <t>COMPANY NAME</t>
  </si>
  <si>
    <t>HINDUSTAN UNILEVER LTD</t>
  </si>
  <si>
    <t>LATEST VERSION</t>
  </si>
  <si>
    <t>PLEASE DO NOT MAKE ANY CHANGES TO THIS SHEET</t>
  </si>
  <si>
    <t>CURRENT VERSION</t>
  </si>
  <si>
    <t>META</t>
  </si>
  <si>
    <t>Number of shares</t>
  </si>
  <si>
    <t>Face Value</t>
  </si>
  <si>
    <t>Current Price</t>
  </si>
  <si>
    <t>Market Capitalization</t>
  </si>
  <si>
    <t>PROFIT &amp; LOSS</t>
  </si>
  <si>
    <t>Report Date</t>
  </si>
  <si>
    <t>Sales</t>
  </si>
  <si>
    <t>Raw Material Cost</t>
  </si>
  <si>
    <t>Change in Inventory</t>
  </si>
  <si>
    <t>Power and Fuel</t>
  </si>
  <si>
    <t>Other Mfr. Exp</t>
  </si>
  <si>
    <t>Employee Cost</t>
  </si>
  <si>
    <t>Selling and admin</t>
  </si>
  <si>
    <t>Other Expenses</t>
  </si>
  <si>
    <t>Other Income</t>
  </si>
  <si>
    <t>Depreciation</t>
  </si>
  <si>
    <t>Interest</t>
  </si>
  <si>
    <t>Profit before tax</t>
  </si>
  <si>
    <t>Tax</t>
  </si>
  <si>
    <t>Net profit</t>
  </si>
  <si>
    <t>Dividend Amount</t>
  </si>
  <si>
    <t>Effective Tax Rate</t>
  </si>
  <si>
    <t>EBITDA</t>
  </si>
  <si>
    <t>Quarters</t>
  </si>
  <si>
    <t>Expenses</t>
  </si>
  <si>
    <t>Operating Profit</t>
  </si>
  <si>
    <t>BALANCE SHEET</t>
  </si>
  <si>
    <t>Equity Share Capital</t>
  </si>
  <si>
    <t>Reserves</t>
  </si>
  <si>
    <t>Borrowings</t>
  </si>
  <si>
    <t>Other Liabilities</t>
  </si>
  <si>
    <t>Total</t>
  </si>
  <si>
    <t>Net Block</t>
  </si>
  <si>
    <t>Capital Work in Progress</t>
  </si>
  <si>
    <t>Investments</t>
  </si>
  <si>
    <t>Other Assets</t>
  </si>
  <si>
    <t>Receivables</t>
  </si>
  <si>
    <t>Inventory</t>
  </si>
  <si>
    <t>Cash &amp; Bank</t>
  </si>
  <si>
    <t>No. of Equity Shares</t>
  </si>
  <si>
    <t>New Bonus Shares</t>
  </si>
  <si>
    <t>Face value</t>
  </si>
  <si>
    <t>CASH FLOW:</t>
  </si>
  <si>
    <t>Cash from Operating Activity</t>
  </si>
  <si>
    <t>Cash from Investing Activity</t>
  </si>
  <si>
    <t>Cash from Financing Activity</t>
  </si>
  <si>
    <t>Net Cash Flow</t>
  </si>
  <si>
    <t>PRICE:</t>
  </si>
  <si>
    <t>DERIVED:</t>
  </si>
  <si>
    <t>Adjusted Equity Shares in Cr</t>
  </si>
  <si>
    <t>Years</t>
  </si>
  <si>
    <t>Income Statement</t>
  </si>
  <si>
    <t>#</t>
  </si>
  <si>
    <t>Sales Growth</t>
  </si>
  <si>
    <t>-</t>
  </si>
  <si>
    <t>COGS</t>
  </si>
  <si>
    <t>COGS % Sales</t>
  </si>
  <si>
    <t>Gross Profit</t>
  </si>
  <si>
    <t>Selling &amp; General Expenses</t>
  </si>
  <si>
    <t>S&amp;G Exp % Sales</t>
  </si>
  <si>
    <t>EBITDA Margins</t>
  </si>
  <si>
    <t>Interest % Sales</t>
  </si>
  <si>
    <t>Depreciation%Sales</t>
  </si>
  <si>
    <t>Gross Margins</t>
  </si>
  <si>
    <t>Earnings Before Tax</t>
  </si>
  <si>
    <t>EBT % Sales</t>
  </si>
  <si>
    <t>Net Profit</t>
  </si>
  <si>
    <t>Net Margins</t>
  </si>
  <si>
    <t>No of Equity Shares</t>
  </si>
  <si>
    <t>Dividend per Share</t>
  </si>
  <si>
    <t>Earnings per Share</t>
  </si>
  <si>
    <t>EPS Growth %</t>
  </si>
  <si>
    <t>Dividend payout ratio</t>
  </si>
  <si>
    <t>Retained Earnings</t>
  </si>
  <si>
    <t>Balance Sheet</t>
  </si>
  <si>
    <t>Total Current Assets</t>
  </si>
  <si>
    <t>Total Assets</t>
  </si>
  <si>
    <t>Check</t>
  </si>
  <si>
    <t>Profit from operations</t>
  </si>
  <si>
    <t>Payables</t>
  </si>
  <si>
    <t>Loans Advances</t>
  </si>
  <si>
    <t>Other WC items</t>
  </si>
  <si>
    <t>Working capital changes</t>
  </si>
  <si>
    <t>Direct taxes</t>
  </si>
  <si>
    <t>Fixed assets purchased</t>
  </si>
  <si>
    <t>Fixed assets sold</t>
  </si>
  <si>
    <t>Investments purchased</t>
  </si>
  <si>
    <t>Investments sold</t>
  </si>
  <si>
    <t>Interest received</t>
  </si>
  <si>
    <t>Dividends received</t>
  </si>
  <si>
    <t>Invest in subsidiaries</t>
  </si>
  <si>
    <t>Redemp n Canc of Shares</t>
  </si>
  <si>
    <t>Acquisition of companies</t>
  </si>
  <si>
    <t>Inter corporate deposits</t>
  </si>
  <si>
    <t>Other investing items</t>
  </si>
  <si>
    <t>Proceeds from shares</t>
  </si>
  <si>
    <t>Proceeds from borrowings</t>
  </si>
  <si>
    <t>Repayment of borrowings</t>
  </si>
  <si>
    <t>Interest paid fin</t>
  </si>
  <si>
    <t>Dividends paid</t>
  </si>
  <si>
    <t>Financial liabilities</t>
  </si>
  <si>
    <t>Other financing items</t>
  </si>
  <si>
    <t>Cash Flow Statements</t>
  </si>
  <si>
    <t>Cash from Operating Activities</t>
  </si>
  <si>
    <t>Operating Activities</t>
  </si>
  <si>
    <t>Investing Activities</t>
  </si>
  <si>
    <t>Cash from Investing Activities</t>
  </si>
  <si>
    <t>Financing Activities</t>
  </si>
  <si>
    <t>Cash from Financing Activities</t>
  </si>
  <si>
    <t>Cash from Operating Activity -</t>
  </si>
  <si>
    <t>Deposits</t>
  </si>
  <si>
    <t>Other operating items</t>
  </si>
  <si>
    <t>Exceptional CF items</t>
  </si>
  <si>
    <t>Cash from Investing Activity -</t>
  </si>
  <si>
    <t>Loans to subsidiaries</t>
  </si>
  <si>
    <t>Cash from Financing Activity -</t>
  </si>
  <si>
    <t>SalesGrowth</t>
  </si>
  <si>
    <t>GrossMargin</t>
  </si>
  <si>
    <t>EBITDA Growth</t>
  </si>
  <si>
    <t>EBIT Growth</t>
  </si>
  <si>
    <t>Net Profit Growth</t>
  </si>
  <si>
    <t>Dividend Growth</t>
  </si>
  <si>
    <t>Gross Margin</t>
  </si>
  <si>
    <t>EBITDA Margin</t>
  </si>
  <si>
    <t>EBIT Margin</t>
  </si>
  <si>
    <t>EBT Margin</t>
  </si>
  <si>
    <t>Net Profit Margin</t>
  </si>
  <si>
    <t>SalesExpenses%Sales</t>
  </si>
  <si>
    <t>OperatingIncome%Sales</t>
  </si>
  <si>
    <t>Return on Capital Employed</t>
  </si>
  <si>
    <t>Retained Earnings%</t>
  </si>
  <si>
    <t>Return on Equity%</t>
  </si>
  <si>
    <t>Self Sustained Growth Rate</t>
  </si>
  <si>
    <t>Interest Coverage Ratio</t>
  </si>
  <si>
    <t>Debtor Turnover Ratio</t>
  </si>
  <si>
    <t>Creditor Turnover Ratio</t>
  </si>
  <si>
    <t>Inventory Turnover</t>
  </si>
  <si>
    <t>Fixed Asset Turnover</t>
  </si>
  <si>
    <t>Capital Turnover Ratio</t>
  </si>
  <si>
    <t>Debtor Days</t>
  </si>
  <si>
    <t>Payable Days</t>
  </si>
  <si>
    <t>Inventory Days</t>
  </si>
  <si>
    <t>Cash Conversion Cycle</t>
  </si>
  <si>
    <t>CFO/Sales</t>
  </si>
  <si>
    <t>CFO/Total Assets</t>
  </si>
  <si>
    <t>CFO/Total Debt</t>
  </si>
  <si>
    <t>Particular</t>
  </si>
  <si>
    <t>Profit attributable to owner</t>
  </si>
  <si>
    <t>Profit attributable to NCI</t>
  </si>
  <si>
    <r>
      <rPr>
        <b/>
        <sz val="9"/>
        <rFont val="Arial"/>
        <family val="2"/>
      </rPr>
      <t>EQUITIES AND LIABILITIES</t>
    </r>
  </si>
  <si>
    <r>
      <rPr>
        <b/>
        <sz val="9"/>
        <rFont val="Arial"/>
        <family val="2"/>
      </rPr>
      <t>SHAREHOLDER'S FUNDS</t>
    </r>
  </si>
  <si>
    <r>
      <rPr>
        <sz val="9"/>
        <rFont val="Arial"/>
        <family val="2"/>
      </rPr>
      <t>Equity Share Capital</t>
    </r>
  </si>
  <si>
    <r>
      <rPr>
        <b/>
        <sz val="9"/>
        <rFont val="Arial"/>
        <family val="2"/>
      </rPr>
      <t>Total Share Capital</t>
    </r>
  </si>
  <si>
    <r>
      <rPr>
        <sz val="9"/>
        <rFont val="Arial"/>
        <family val="2"/>
      </rPr>
      <t>Revaluation Reserves</t>
    </r>
  </si>
  <si>
    <r>
      <rPr>
        <sz val="9"/>
        <rFont val="Arial"/>
        <family val="2"/>
      </rPr>
      <t>Reserves and Surplus</t>
    </r>
  </si>
  <si>
    <r>
      <rPr>
        <b/>
        <sz val="9"/>
        <rFont val="Arial"/>
        <family val="2"/>
      </rPr>
      <t>Total Reserves and Surplus</t>
    </r>
  </si>
  <si>
    <r>
      <rPr>
        <b/>
        <sz val="9"/>
        <rFont val="Arial"/>
        <family val="2"/>
      </rPr>
      <t>Total Shareholders Funds</t>
    </r>
  </si>
  <si>
    <r>
      <rPr>
        <sz val="9"/>
        <rFont val="Arial"/>
        <family val="2"/>
      </rPr>
      <t>Minority Interest</t>
    </r>
  </si>
  <si>
    <r>
      <rPr>
        <b/>
        <sz val="9"/>
        <rFont val="Arial"/>
        <family val="2"/>
      </rPr>
      <t>NON-CURRENT LIABILITIES</t>
    </r>
  </si>
  <si>
    <r>
      <rPr>
        <sz val="9"/>
        <rFont val="Arial"/>
        <family val="2"/>
      </rPr>
      <t>Long Term Borrowings</t>
    </r>
  </si>
  <si>
    <r>
      <rPr>
        <sz val="9"/>
        <rFont val="Arial"/>
        <family val="2"/>
      </rPr>
      <t>Deferred Tax Liabilities [Net]</t>
    </r>
  </si>
  <si>
    <r>
      <rPr>
        <sz val="9"/>
        <rFont val="Arial"/>
        <family val="2"/>
      </rPr>
      <t>Other Long Term Liabilities</t>
    </r>
  </si>
  <si>
    <r>
      <rPr>
        <sz val="9"/>
        <rFont val="Arial"/>
        <family val="2"/>
      </rPr>
      <t>Long Term Provisions</t>
    </r>
  </si>
  <si>
    <r>
      <rPr>
        <b/>
        <sz val="9"/>
        <rFont val="Arial"/>
        <family val="2"/>
      </rPr>
      <t>Total Non-Current Liabilities</t>
    </r>
  </si>
  <si>
    <r>
      <rPr>
        <b/>
        <sz val="9"/>
        <rFont val="Arial"/>
        <family val="2"/>
      </rPr>
      <t>CURRENT LIABILITIES</t>
    </r>
  </si>
  <si>
    <r>
      <rPr>
        <sz val="9"/>
        <rFont val="Arial"/>
        <family val="2"/>
      </rPr>
      <t>Short Term Borrowings</t>
    </r>
  </si>
  <si>
    <r>
      <rPr>
        <sz val="9"/>
        <rFont val="Arial"/>
        <family val="2"/>
      </rPr>
      <t>Trade Payables</t>
    </r>
  </si>
  <si>
    <r>
      <rPr>
        <sz val="9"/>
        <rFont val="Arial"/>
        <family val="2"/>
      </rPr>
      <t>Other Current Liabilities</t>
    </r>
  </si>
  <si>
    <r>
      <rPr>
        <sz val="9"/>
        <rFont val="Arial"/>
        <family val="2"/>
      </rPr>
      <t>Short Term Provisions</t>
    </r>
  </si>
  <si>
    <r>
      <rPr>
        <b/>
        <sz val="9"/>
        <rFont val="Arial"/>
        <family val="2"/>
      </rPr>
      <t>Total Current Liabilities</t>
    </r>
  </si>
  <si>
    <r>
      <rPr>
        <b/>
        <sz val="9"/>
        <rFont val="Arial"/>
        <family val="2"/>
      </rPr>
      <t>Total Capital And Liabilities</t>
    </r>
  </si>
  <si>
    <r>
      <rPr>
        <b/>
        <sz val="9"/>
        <rFont val="Arial"/>
        <family val="2"/>
      </rPr>
      <t>ASSETS</t>
    </r>
  </si>
  <si>
    <r>
      <rPr>
        <b/>
        <sz val="9"/>
        <rFont val="Arial"/>
        <family val="2"/>
      </rPr>
      <t>NON-CURRENT ASSETS</t>
    </r>
  </si>
  <si>
    <r>
      <rPr>
        <sz val="9"/>
        <rFont val="Arial"/>
        <family val="2"/>
      </rPr>
      <t>Tangible Assets</t>
    </r>
  </si>
  <si>
    <r>
      <rPr>
        <sz val="9"/>
        <rFont val="Arial"/>
        <family val="2"/>
      </rPr>
      <t>Intangible Assets</t>
    </r>
  </si>
  <si>
    <r>
      <rPr>
        <sz val="9"/>
        <rFont val="Arial"/>
        <family val="2"/>
      </rPr>
      <t>Capital Work-In-Progress</t>
    </r>
  </si>
  <si>
    <r>
      <rPr>
        <sz val="9"/>
        <rFont val="Arial"/>
        <family val="2"/>
      </rPr>
      <t>Intangible Assets Under Development</t>
    </r>
  </si>
  <si>
    <r>
      <rPr>
        <sz val="9"/>
        <rFont val="Arial"/>
        <family val="2"/>
      </rPr>
      <t>Non-Current Investments</t>
    </r>
  </si>
  <si>
    <r>
      <rPr>
        <sz val="9"/>
        <rFont val="Arial"/>
        <family val="2"/>
      </rPr>
      <t>Deferred Tax Assets [Net]</t>
    </r>
  </si>
  <si>
    <r>
      <rPr>
        <sz val="9"/>
        <rFont val="Arial"/>
        <family val="2"/>
      </rPr>
      <t>Long Term Loans And Advances</t>
    </r>
  </si>
  <si>
    <r>
      <rPr>
        <sz val="9"/>
        <rFont val="Arial"/>
        <family val="2"/>
      </rPr>
      <t>Other Non-Current Assets</t>
    </r>
  </si>
  <si>
    <r>
      <rPr>
        <b/>
        <sz val="9"/>
        <rFont val="Arial"/>
        <family val="2"/>
      </rPr>
      <t>Total Non-Current Assets</t>
    </r>
  </si>
  <si>
    <r>
      <rPr>
        <b/>
        <sz val="9"/>
        <rFont val="Arial"/>
        <family val="2"/>
      </rPr>
      <t>CURRENT ASSETS</t>
    </r>
  </si>
  <si>
    <r>
      <rPr>
        <sz val="9"/>
        <rFont val="Arial"/>
        <family val="2"/>
      </rPr>
      <t>Current Investments</t>
    </r>
  </si>
  <si>
    <r>
      <rPr>
        <sz val="9"/>
        <rFont val="Arial"/>
        <family val="2"/>
      </rPr>
      <t>Inventories</t>
    </r>
  </si>
  <si>
    <r>
      <rPr>
        <sz val="9"/>
        <rFont val="Arial"/>
        <family val="2"/>
      </rPr>
      <t>Trade Receivables</t>
    </r>
  </si>
  <si>
    <r>
      <rPr>
        <sz val="9"/>
        <rFont val="Arial"/>
        <family val="2"/>
      </rPr>
      <t>Cash And Cash Equivalents</t>
    </r>
  </si>
  <si>
    <r>
      <rPr>
        <sz val="9"/>
        <rFont val="Arial"/>
        <family val="2"/>
      </rPr>
      <t>Short Term Loans And Advances</t>
    </r>
  </si>
  <si>
    <r>
      <rPr>
        <sz val="9"/>
        <rFont val="Arial"/>
        <family val="2"/>
      </rPr>
      <t>OtherCurrentAssets</t>
    </r>
  </si>
  <si>
    <r>
      <rPr>
        <b/>
        <sz val="9"/>
        <rFont val="Arial"/>
        <family val="2"/>
      </rPr>
      <t>Total Current Assets</t>
    </r>
  </si>
  <si>
    <r>
      <rPr>
        <b/>
        <sz val="9"/>
        <rFont val="Arial"/>
        <family val="2"/>
      </rPr>
      <t>Total Assets</t>
    </r>
  </si>
  <si>
    <t>Employees Stock Options</t>
  </si>
  <si>
    <t>EQUITIES AND LIABILITIES</t>
  </si>
  <si>
    <t>SHAREHOLDER'S FUNDS</t>
  </si>
  <si>
    <t>Total Share Capital</t>
  </si>
  <si>
    <t>Revaluation Reserves</t>
  </si>
  <si>
    <t>Reserves and Surplus</t>
  </si>
  <si>
    <t>Total Reserves and Surplus</t>
  </si>
  <si>
    <t>Total Shareholders Funds</t>
  </si>
  <si>
    <t>Minority Interest</t>
  </si>
  <si>
    <t>NON-CURRENT LIABILITIES</t>
  </si>
  <si>
    <t>Long Term Borrowings</t>
  </si>
  <si>
    <t>Deferred Tax Liabilities [Net]</t>
  </si>
  <si>
    <t>Other Long Term Liabilities</t>
  </si>
  <si>
    <t>Long Term Provisions</t>
  </si>
  <si>
    <t>Total Non-Current Liabilities</t>
  </si>
  <si>
    <t>CURRENT LIABILITIES</t>
  </si>
  <si>
    <t>Short Term Borrowings</t>
  </si>
  <si>
    <t>Trade Payables</t>
  </si>
  <si>
    <t>Other Current Liabilities</t>
  </si>
  <si>
    <t>Short Term Provisions</t>
  </si>
  <si>
    <t>Total Current Liabilities</t>
  </si>
  <si>
    <t>Total Capital And Liabilities</t>
  </si>
  <si>
    <t>ASSETS</t>
  </si>
  <si>
    <t>NON-CURRENT ASSETS</t>
  </si>
  <si>
    <t>Tangible Assets</t>
  </si>
  <si>
    <t>Intangible Assets</t>
  </si>
  <si>
    <t>Capital Work-In-Progress</t>
  </si>
  <si>
    <t>Intangible Assets Under Development</t>
  </si>
  <si>
    <t>Non-Current Investments</t>
  </si>
  <si>
    <t>Deferred Tax Assets [Net]</t>
  </si>
  <si>
    <t>Long Term Loans And Advances</t>
  </si>
  <si>
    <t>Other Non-Current Assets</t>
  </si>
  <si>
    <t>Total Non-Current Assets</t>
  </si>
  <si>
    <t>CURRENT ASSETS</t>
  </si>
  <si>
    <t>Current Investments</t>
  </si>
  <si>
    <t>Inventories</t>
  </si>
  <si>
    <t>Trade Receivables</t>
  </si>
  <si>
    <t>Cash And Cash Equivalents</t>
  </si>
  <si>
    <t>Short Term Loans And Advances</t>
  </si>
  <si>
    <t>OtherCurrentAssets</t>
  </si>
  <si>
    <t>Capital Employed</t>
  </si>
  <si>
    <t>EBIT</t>
  </si>
  <si>
    <t>Mean</t>
  </si>
  <si>
    <t>Median</t>
  </si>
  <si>
    <t>Year Weights</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</si>
  <si>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</si>
  <si>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</si>
  <si>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</si>
  <si>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</si>
  <si>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</si>
  <si>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</si>
  <si>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</si>
  <si>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</si>
  <si>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</si>
  <si>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</si>
  <si>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</si>
  <si>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</si>
  <si>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</si>
  <si>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</si>
  <si>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</si>
  <si>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</si>
  <si>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</si>
  <si>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</si>
  <si>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</si>
  <si>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</si>
  <si>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</si>
  <si>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</si>
  <si>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</si>
  <si>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Weighted Average Cost of Capital</t>
  </si>
  <si>
    <t>All figures are in INR unless stated otherwise.</t>
  </si>
  <si>
    <t>Peer Comps</t>
  </si>
  <si>
    <t>Debt/</t>
  </si>
  <si>
    <t>Levered</t>
  </si>
  <si>
    <t>Unlevered</t>
  </si>
  <si>
    <t>Name</t>
  </si>
  <si>
    <t>Country</t>
  </si>
  <si>
    <t>Total Debt</t>
  </si>
  <si>
    <t>Total Equity</t>
  </si>
  <si>
    <r>
      <t xml:space="preserve">Tax Rate </t>
    </r>
    <r>
      <rPr>
        <vertAlign val="superscript"/>
        <sz val="11"/>
        <color theme="1"/>
        <rFont val="Calibri"/>
        <family val="2"/>
      </rPr>
      <t>1</t>
    </r>
  </si>
  <si>
    <t>Equity</t>
  </si>
  <si>
    <t>Capital</t>
  </si>
  <si>
    <r>
      <t xml:space="preserve">Beta </t>
    </r>
    <r>
      <rPr>
        <vertAlign val="superscript"/>
        <sz val="11"/>
        <color theme="1"/>
        <rFont val="Calibri"/>
        <family val="2"/>
      </rPr>
      <t>2</t>
    </r>
  </si>
  <si>
    <r>
      <t xml:space="preserve">Beta </t>
    </r>
    <r>
      <rPr>
        <vertAlign val="superscript"/>
        <sz val="11"/>
        <color theme="1"/>
        <rFont val="Calibri"/>
        <family val="2"/>
      </rPr>
      <t>3</t>
    </r>
  </si>
  <si>
    <t>Hind. Unilever</t>
  </si>
  <si>
    <t>India</t>
  </si>
  <si>
    <t>Britannia Inds.</t>
  </si>
  <si>
    <t>Godrej Consumer</t>
  </si>
  <si>
    <t>Dabur India</t>
  </si>
  <si>
    <t>Average</t>
  </si>
  <si>
    <t>Cost of Debt</t>
  </si>
  <si>
    <t>Cost of Equity</t>
  </si>
  <si>
    <t>Pre-tax Cost of Debt</t>
  </si>
  <si>
    <t>Risk Free Rate</t>
  </si>
  <si>
    <t>Tax Rate</t>
  </si>
  <si>
    <t>Equity Risk Premium</t>
  </si>
  <si>
    <t>After Tax Cost of Debt</t>
  </si>
  <si>
    <r>
      <t xml:space="preserve">Levered Beta </t>
    </r>
    <r>
      <rPr>
        <vertAlign val="superscript"/>
        <sz val="11"/>
        <color theme="1"/>
        <rFont val="Calibri"/>
        <family val="2"/>
      </rPr>
      <t>4</t>
    </r>
  </si>
  <si>
    <t>Capital Structure</t>
  </si>
  <si>
    <t xml:space="preserve">Levered Beta </t>
  </si>
  <si>
    <t>Current</t>
  </si>
  <si>
    <t>Target</t>
  </si>
  <si>
    <t>Comps Median Unlevered Beta</t>
  </si>
  <si>
    <t xml:space="preserve">Target Debt/ Equity  </t>
  </si>
  <si>
    <t>Total Capitalization</t>
  </si>
  <si>
    <t>Levered Beta</t>
  </si>
  <si>
    <t>Debt / Equity</t>
  </si>
  <si>
    <t>1. Tax Rate considered as Marginal Tax Rate for the country</t>
  </si>
  <si>
    <t>3. Unlevered Beta = Levered Beta/(1+(1-Tax Rate) x Debt/Equity)</t>
  </si>
  <si>
    <t>4. Levered Beta = Unlevered Beta*(1+(1-Tax Rate) x Debt/Equity)</t>
  </si>
  <si>
    <t>Gillete India</t>
  </si>
  <si>
    <t xml:space="preserve">Regression Beta- 3  years weekly </t>
  </si>
  <si>
    <t>Hindustan Uniliver Limited</t>
  </si>
  <si>
    <t>Date</t>
  </si>
  <si>
    <t xml:space="preserve">Closing Price </t>
  </si>
  <si>
    <t>Return</t>
  </si>
  <si>
    <t>Nifty 50</t>
  </si>
  <si>
    <t>Levered Raw Beta</t>
  </si>
  <si>
    <t>Raw Beta Weight</t>
  </si>
  <si>
    <t>Market Beta Weight</t>
  </si>
  <si>
    <t xml:space="preserve">Market Beta </t>
  </si>
  <si>
    <t>Adjusted Beta</t>
  </si>
  <si>
    <t>Beta Drifting HUL</t>
  </si>
  <si>
    <t>Beta Drifting Gillette India</t>
  </si>
  <si>
    <t>Britania India</t>
  </si>
  <si>
    <t>Beta Drifting Britania India</t>
  </si>
  <si>
    <t>Beta Drifting Godrej Consumer</t>
  </si>
  <si>
    <t>Godrej Consumers</t>
  </si>
  <si>
    <t>Beta Drifting Dabur India</t>
  </si>
  <si>
    <t>Year</t>
  </si>
  <si>
    <t>Annual</t>
  </si>
  <si>
    <t>Average Return</t>
  </si>
  <si>
    <t>Equity Weights</t>
  </si>
  <si>
    <t>Debt Weights</t>
  </si>
  <si>
    <t>WACC</t>
  </si>
  <si>
    <t>Profit and Loss Account Common Statement Analysis</t>
  </si>
  <si>
    <t>Calculation of ROIC</t>
  </si>
  <si>
    <t>Net Working Capital</t>
  </si>
  <si>
    <t>Invested Capital</t>
  </si>
  <si>
    <t>Calculation of Reinvestment Rate</t>
  </si>
  <si>
    <t>Net Capex</t>
  </si>
  <si>
    <t>Change in Working Capital</t>
  </si>
  <si>
    <t>Marginal Tax Rate</t>
  </si>
  <si>
    <t>Reinvestment</t>
  </si>
  <si>
    <t>Reinvestment Rate</t>
  </si>
  <si>
    <t>4 Year Average</t>
  </si>
  <si>
    <t>4 Year Median</t>
  </si>
  <si>
    <t>Goodwill</t>
  </si>
  <si>
    <t>Return on Invested Capital</t>
  </si>
  <si>
    <t>EBIT(1-tax)</t>
  </si>
  <si>
    <t>Calculation of Intrinsic Growth Rate</t>
  </si>
  <si>
    <t>Intrinsic Growth Rate</t>
  </si>
  <si>
    <t>Calculation of PV of FCFF</t>
  </si>
  <si>
    <t xml:space="preserve">Tax Rate </t>
  </si>
  <si>
    <t>FCFF</t>
  </si>
  <si>
    <t>Mid Year Convention</t>
  </si>
  <si>
    <t>Discountimg Factor</t>
  </si>
  <si>
    <t>PV of FCFF</t>
  </si>
  <si>
    <t>Expected Growth Rate</t>
  </si>
  <si>
    <t>Terminal Growth Rate</t>
  </si>
  <si>
    <t>Calculation of Teminal Value</t>
  </si>
  <si>
    <t>FCFF(n+1)</t>
  </si>
  <si>
    <t>Terminal Value</t>
  </si>
  <si>
    <t>Calculation of Value of Company</t>
  </si>
  <si>
    <t>PV of TV</t>
  </si>
  <si>
    <t>Total Value</t>
  </si>
  <si>
    <t>Add: Cash</t>
  </si>
  <si>
    <t>Less: Debt</t>
  </si>
  <si>
    <t>Value of Equity</t>
  </si>
  <si>
    <t>No. of Shares</t>
  </si>
  <si>
    <t>Equity Value per Share</t>
  </si>
  <si>
    <t>Share Price</t>
  </si>
  <si>
    <t>Percentage of Sales</t>
  </si>
  <si>
    <t>Add: Depreciation</t>
  </si>
  <si>
    <t>Less:Reinvestment Rate(Fixed Asset Investment and WC investment)</t>
  </si>
  <si>
    <t>Country Risk Premiun</t>
  </si>
  <si>
    <t>2. Levered Beta is based on 3 year weekly data</t>
  </si>
  <si>
    <t>Amount in crores</t>
  </si>
  <si>
    <t>Comparable Company Valuation</t>
  </si>
  <si>
    <t>Market Data</t>
  </si>
  <si>
    <t>Financials</t>
  </si>
  <si>
    <t>Valuation</t>
  </si>
  <si>
    <t>Company</t>
  </si>
  <si>
    <t>Shares Outstanding</t>
  </si>
  <si>
    <t>Equity Value</t>
  </si>
  <si>
    <t>Net Debt</t>
  </si>
  <si>
    <t>Enterprise Value</t>
  </si>
  <si>
    <t>Revenue</t>
  </si>
  <si>
    <t>Net Income</t>
  </si>
  <si>
    <t>EV/Revenue</t>
  </si>
  <si>
    <t>EV/EBITDA</t>
  </si>
  <si>
    <t>P/E</t>
  </si>
  <si>
    <t>High</t>
  </si>
  <si>
    <t>75th Percentile</t>
  </si>
  <si>
    <t>25th Percentile</t>
  </si>
  <si>
    <t>Low</t>
  </si>
  <si>
    <t>Implied Enterprise Value</t>
  </si>
  <si>
    <t>Implied Market Value</t>
  </si>
  <si>
    <t>Implied Value per Share</t>
  </si>
  <si>
    <t>CMP Rs.</t>
  </si>
  <si>
    <t>No. Eq. Shares Cr.</t>
  </si>
  <si>
    <t>Debt Rs.Cr.</t>
  </si>
  <si>
    <t>Cash End Rs.Cr.</t>
  </si>
  <si>
    <t>EV Rs.Cr.</t>
  </si>
  <si>
    <t>Sales Rs.Cr.</t>
  </si>
  <si>
    <t>NP 12M Rs.Cr.</t>
  </si>
  <si>
    <t>EBIDT Ann Rs.Cr.</t>
  </si>
  <si>
    <t>Mar Cap Rs.Cr. </t>
  </si>
  <si>
    <t>Colgate-Palmoliv</t>
  </si>
  <si>
    <t>P &amp; G Hygiene</t>
  </si>
  <si>
    <t>Gillette India</t>
  </si>
  <si>
    <t>Median: 4 Co.</t>
  </si>
  <si>
    <t>EV</t>
  </si>
  <si>
    <t>HUL Comparable Valuation</t>
  </si>
  <si>
    <t>About the company</t>
  </si>
  <si>
    <t>Financial Summary</t>
  </si>
  <si>
    <t>Return on Equity (ROE)</t>
  </si>
  <si>
    <t>Average Shareholder Equity</t>
  </si>
  <si>
    <t>Return on Equity</t>
  </si>
  <si>
    <t>ROE - Dupont Equation</t>
  </si>
  <si>
    <t>Net Profit Margin (A)</t>
  </si>
  <si>
    <t>Average Total Asset</t>
  </si>
  <si>
    <t>Asset Turnover Ratio (B)</t>
  </si>
  <si>
    <t>Equity Multiplier (C)</t>
  </si>
  <si>
    <t>Return on Equity (A*B*C)</t>
  </si>
  <si>
    <t>Return on Asset</t>
  </si>
  <si>
    <t>ROA - Dupont Equation</t>
  </si>
  <si>
    <t>Return on Asset (A*B)</t>
  </si>
  <si>
    <t>Hindustan Unilever Limited</t>
  </si>
  <si>
    <t xml:space="preserve">   52 Week (High - INR 2769.65 &amp; Low - INR 2301.85)</t>
  </si>
  <si>
    <t>Hindustan Unilever is in the FMCG business comprising primarily of Home Care, Beauty &amp; Personal Care and Foods &amp; Refreshment segments. The Company has manufacturing facilities across the country and sells primarily in india. HUL is the market leader in indian consumer products with presence in over 20 consumer categories such as soaps, tea, detergents and shampoos amongst others with over 700 milion Indian consumers using its products.</t>
  </si>
  <si>
    <t>DUPONT Analysis</t>
  </si>
  <si>
    <t>In summary, HUL has experienced fluctuations in its financial performance over the years, with peaks in profitability and efficiency in 2020 followed by a decline in subsequent years. Factors such as changes in net profit margin, asset turnover, and equity structure have contributed to these fluctuations in return on equity and return on assets.</t>
  </si>
  <si>
    <r>
      <t>·</t>
    </r>
    <r>
      <rPr>
        <sz val="7"/>
        <color theme="1"/>
        <rFont val="Calibri"/>
        <family val="2"/>
        <scheme val="minor"/>
      </rPr>
      <t xml:space="preserve">       </t>
    </r>
    <r>
      <rPr>
        <sz val="14"/>
        <color theme="1"/>
        <rFont val="Calibri"/>
        <family val="2"/>
        <scheme val="minor"/>
      </rPr>
      <t>HUL's net profit margin has generally been increasing over the years, indicating efficient cost management and profitability. It ranged from 13.50% in 2017 to 17.00% in 2021, before slightly declining to 16.71% in 2023.</t>
    </r>
  </si>
  <si>
    <r>
      <t>·</t>
    </r>
    <r>
      <rPr>
        <sz val="7"/>
        <color theme="1"/>
        <rFont val="Calibri"/>
        <family val="2"/>
        <scheme val="minor"/>
      </rPr>
      <t xml:space="preserve">       </t>
    </r>
    <r>
      <rPr>
        <sz val="14"/>
        <color theme="1"/>
        <rFont val="Calibri"/>
        <family val="2"/>
        <scheme val="minor"/>
      </rPr>
      <t>HUL's asset turnover ratio has been fluctuating, with a peak of 2.2x in 2017 and 2019, and a significant drop to 0.8x in 2022 and 2023. This decrease suggests a potential decrease in asset efficiency or a change in the company's business model.</t>
    </r>
  </si>
  <si>
    <r>
      <t>·</t>
    </r>
    <r>
      <rPr>
        <sz val="7"/>
        <color theme="1"/>
        <rFont val="Calibri"/>
        <family val="2"/>
        <scheme val="minor"/>
      </rPr>
      <t xml:space="preserve">       </t>
    </r>
    <r>
      <rPr>
        <sz val="14"/>
        <color theme="1"/>
        <rFont val="Calibri"/>
        <family val="2"/>
        <scheme val="minor"/>
      </rPr>
      <t>HUL's equity multiplier shows fluctuations, with a peak of 2.48x in 2019 and a significant drop to 1.45x in 2022 and 2023. A lower equity multiplier generally indicates less reliance on debt financing.</t>
    </r>
  </si>
  <si>
    <r>
      <t>·</t>
    </r>
    <r>
      <rPr>
        <sz val="7"/>
        <color theme="1"/>
        <rFont val="Calibri"/>
        <family val="2"/>
        <scheme val="minor"/>
      </rPr>
      <t xml:space="preserve">       </t>
    </r>
    <r>
      <rPr>
        <sz val="14"/>
        <color theme="1"/>
        <rFont val="Calibri"/>
        <family val="2"/>
        <scheme val="minor"/>
      </rPr>
      <t>HUL's ROE peaked at 86.37% in 2020 but saw a decline in subsequent years, dropping to 20.47% in 2023. The decline in ROE can be attributed to a combination of factors, including a decrease in net profit margin, asset turnover ratio, and equity multiplier.</t>
    </r>
  </si>
  <si>
    <r>
      <t>·</t>
    </r>
    <r>
      <rPr>
        <sz val="7"/>
        <color theme="1"/>
        <rFont val="Calibri"/>
        <family val="2"/>
        <scheme val="minor"/>
      </rPr>
      <t xml:space="preserve">       </t>
    </r>
    <r>
      <rPr>
        <sz val="14"/>
        <color theme="1"/>
        <rFont val="Calibri"/>
        <family val="2"/>
        <scheme val="minor"/>
      </rPr>
      <t>HUL's ROA peaked at 34.80% in 2020 but subsequently declined to 14.09% in 2023. This decline indicates a reduction in the efficiency of asset utilization.</t>
    </r>
  </si>
  <si>
    <t>Share Price(CMP)</t>
  </si>
  <si>
    <t xml:space="preserve">Book Value </t>
  </si>
  <si>
    <t xml:space="preserve">EBITDA </t>
  </si>
  <si>
    <t>EBITDA  Margin</t>
  </si>
  <si>
    <t>Key Points about the company:</t>
  </si>
  <si>
    <t>1. Beauty &amp; Personal Care Segment (42% of revenues). In this segment, the company has 2 widespread portfolio of more than 900 SKUs spread across one or more of categories which are made for 14 consumer cluster identified in India</t>
  </si>
  <si>
    <t>2. Home Care Segment (29% of revenues). The company sells products from various categories under this segment. It benefits from a large portfolio that straddles the ‘economic pyramid with strong presence of brands across the mass, popular and premium.</t>
  </si>
  <si>
    <t>3. Foods &amp; Refreshments Segment (29% of revenues). The company sells various food products such as ketchups, jams, tea, coffee, soups, icecreams, nutrition products and ‘others under this segment. It focuses on improved innovation, increased penetration and its Winning in Many Indias (WiMI) strategy to improve the sales.</t>
  </si>
  <si>
    <t>4. The company’s brands are available across 80 lakh+ stores across India and around 90% Cf all households in india use 1 or more of company's branded products.</t>
  </si>
  <si>
    <t>5. The company is the market leader in many product categories such as skin cleansing, skin care, haircare, fabric wash, household care, tea, health food drinks and ketchup. It is 3 market leader in ~90% of its businesses</t>
  </si>
  <si>
    <t>6. The company’s 31 manufacturing facilities and various other third-party manufacturers produces goods for the company</t>
  </si>
  <si>
    <t>Add: Minority Interest</t>
  </si>
  <si>
    <t>Financial Statement of Hindustan Unilever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</si>
</sst>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 &quot;₹&quot;\ * #,##0.00_ ;_ &quot;₹&quot;\ * \-#,##0.00_ ;_ &quot;₹&quot;\ * &quot;-&quot;??_ ;_ @_ "/>
    <numFmt numFmtId="43" formatCode="_ * #,##0.00_ ;_ * \-#,##0.00_ ;_ * &quot;-&quot;??_ ;_ @_ "/>
    <numFmt numFmtId="164" formatCode="[$-409]mmm\-yy;@"/>
    <numFmt numFmtId="165" formatCode="_(* #,##0.00_);_(* \(#,##0.00\);_(* &quot;-&quot;??_);_(@_)"/>
    <numFmt numFmtId="166" formatCode="&quot;₹&quot;\ #,##0.0;\(&quot;₹&quot;\ #,##0.0\);\-"/>
    <numFmt numFmtId="167" formatCode="&quot;₹&quot;\ #,##0.00"/>
    <numFmt numFmtId="168" formatCode="&quot;₹&quot;\ #,##0.0"/>
    <numFmt numFmtId="169" formatCode="&quot;₹&quot;\ #,##0.00000"/>
    <numFmt numFmtId="170" formatCode="0.000"/>
    <numFmt numFmtId="171" formatCode="0&quot; days&quot;"/>
    <numFmt numFmtId="172" formatCode="0&quot;A&quot;"/>
    <numFmt numFmtId="173" formatCode="0&quot;F&quot;"/>
    <numFmt numFmtId="174" formatCode="#,##0.0"/>
    <numFmt numFmtId="175" formatCode="mmm/yy&quot;A&quot;"/>
    <numFmt numFmtId="176" formatCode="mmm/yy&quot;F&quot;"/>
    <numFmt numFmtId="177" formatCode="0.0\x"/>
    <numFmt numFmtId="178" formatCode="0.00\x"/>
    <numFmt numFmtId="179" formatCode="mmm/yy&quot;E&quot;"/>
  </numFmts>
  <fonts count="44" x14ac:knownFonts="1">
    <font>
      <sz val="11"/>
      <color theme="1"/>
      <name val="calibri"/>
      <family val="2"/>
    </font>
    <font>
      <sz val="11"/>
      <color theme="1"/>
      <name val="calibri"/>
      <family val="2"/>
    </font>
    <font>
      <b/>
      <sz val="11"/>
      <color theme="0"/>
      <name val="calibri"/>
      <family val="2"/>
    </font>
    <font>
      <b/>
      <sz val="11"/>
      <color theme="1"/>
      <name val="calibri"/>
      <family val="2"/>
    </font>
    <font>
      <u/>
      <sz val="11"/>
      <color theme="10"/>
      <name val="calibri"/>
      <family val="2"/>
    </font>
    <font>
      <sz val="11"/>
      <color theme="1"/>
      <name val="Calibri"/>
      <family val="2"/>
      <scheme val="minor"/>
    </font>
    <font>
      <b/>
      <sz val="10"/>
      <color theme="1"/>
      <name val="Arial"/>
      <family val="2"/>
    </font>
    <font>
      <u/>
      <sz val="10"/>
      <color theme="10"/>
      <name val="Arial"/>
      <family val="2"/>
    </font>
    <font>
      <sz val="10"/>
      <color theme="1"/>
      <name val="Arial"/>
      <family val="2"/>
    </font>
    <font>
      <sz val="11"/>
      <color theme="0"/>
      <name val="Calibri"/>
      <family val="2"/>
      <scheme val="minor"/>
    </font>
    <font>
      <b/>
      <sz val="10"/>
      <color theme="0"/>
      <name val="Arial"/>
      <family val="2"/>
    </font>
    <font>
      <sz val="10"/>
      <name val="Arial"/>
      <family val="2"/>
    </font>
    <font>
      <sz val="11"/>
      <color theme="1"/>
      <name val="Arial Narrow"/>
      <family val="2"/>
    </font>
    <font>
      <i/>
      <sz val="11"/>
      <color theme="1"/>
      <name val="calibri"/>
      <family val="2"/>
    </font>
    <font>
      <i/>
      <sz val="11"/>
      <color theme="0" tint="-0.499984740745262"/>
      <name val="calibri"/>
      <family val="2"/>
    </font>
    <font>
      <sz val="11"/>
      <color rgb="FF22222F"/>
      <name val="Arial"/>
      <family val="2"/>
    </font>
    <font>
      <sz val="11"/>
      <color rgb="FF22222F"/>
      <name val="Arial"/>
      <family val="2"/>
    </font>
    <font>
      <sz val="11"/>
      <color rgb="FF22222F"/>
      <name val="Arial"/>
      <family val="2"/>
    </font>
    <font>
      <b/>
      <sz val="9"/>
      <name val="Arial"/>
      <family val="2"/>
    </font>
    <font>
      <sz val="9"/>
      <name val="Arial"/>
      <family val="2"/>
    </font>
    <font>
      <sz val="9"/>
      <color rgb="FF000000"/>
      <name val="Arial"/>
      <family val="2"/>
    </font>
    <font>
      <b/>
      <sz val="9"/>
      <color rgb="FF000000"/>
      <name val="Arial"/>
      <family val="2"/>
    </font>
    <font>
      <sz val="10"/>
      <color theme="1"/>
      <name val="Times New Roman"/>
      <family val="1"/>
    </font>
    <font>
      <b/>
      <sz val="14"/>
      <color theme="1"/>
      <name val="calibri"/>
      <family val="2"/>
    </font>
    <font>
      <sz val="14"/>
      <color theme="1"/>
      <name val="calibri"/>
      <family val="2"/>
    </font>
    <font>
      <i/>
      <sz val="10"/>
      <color theme="1"/>
      <name val="calibri"/>
      <family val="2"/>
    </font>
    <font>
      <vertAlign val="superscript"/>
      <sz val="11"/>
      <color theme="1"/>
      <name val="Calibri"/>
      <family val="2"/>
    </font>
    <font>
      <sz val="11"/>
      <color rgb="FF3333FF"/>
      <name val="calibri"/>
      <family val="2"/>
    </font>
    <font>
      <i/>
      <sz val="9"/>
      <color theme="1"/>
      <name val="calibri"/>
      <family val="2"/>
    </font>
    <font>
      <b/>
      <sz val="12"/>
      <color rgb="FF002060"/>
      <name val="calibri"/>
      <family val="2"/>
    </font>
    <font>
      <sz val="11"/>
      <name val="calibri"/>
      <family val="2"/>
    </font>
    <font>
      <sz val="11"/>
      <color theme="0"/>
      <name val="calibri"/>
      <family val="2"/>
    </font>
    <font>
      <sz val="11"/>
      <color rgb="FF22222F"/>
      <name val="Arial"/>
      <family val="2"/>
    </font>
    <font>
      <b/>
      <sz val="14"/>
      <color rgb="FF028655"/>
      <name val="calibri"/>
      <family val="2"/>
    </font>
    <font>
      <b/>
      <sz val="12"/>
      <color theme="0"/>
      <name val="calibri"/>
      <family val="2"/>
    </font>
    <font>
      <b/>
      <sz val="14"/>
      <color rgb="FF0070C0"/>
      <name val="calibri"/>
      <family val="2"/>
    </font>
    <font>
      <b/>
      <sz val="16"/>
      <color rgb="FF0070C0"/>
      <name val="calibri"/>
      <family val="2"/>
    </font>
    <font>
      <sz val="12"/>
      <color theme="1"/>
      <name val="Aptos"/>
      <family val="2"/>
    </font>
    <font>
      <b/>
      <sz val="18"/>
      <color theme="1"/>
      <name val="calibri"/>
      <family val="2"/>
    </font>
    <font>
      <b/>
      <sz val="20"/>
      <color rgb="FF0070C0"/>
      <name val="calibri"/>
      <family val="2"/>
    </font>
    <font>
      <b/>
      <sz val="24"/>
      <color rgb="FF0070C0"/>
      <name val="calibri"/>
      <family val="2"/>
    </font>
    <font>
      <sz val="14"/>
      <color theme="1"/>
      <name val="Calibri"/>
      <family val="2"/>
      <scheme val="minor"/>
    </font>
    <font>
      <sz val="7"/>
      <color theme="1"/>
      <name val="Calibri"/>
      <family val="2"/>
      <scheme val="minor"/>
    </font>
    <font>
      <b/>
      <sz val="14"/>
      <color theme="0"/>
      <name val="calibri"/>
      <family val="2"/>
    </font>
  </fonts>
  <fills count="14">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rgb="FFFFFF00"/>
        <bgColor indexed="64"/>
      </patternFill>
    </fill>
    <fill>
      <patternFill patternType="solid">
        <fgColor rgb="FFFFFFFF"/>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rgb="FF002060"/>
        <bgColor indexed="64"/>
      </patternFill>
    </fill>
    <fill>
      <patternFill patternType="solid">
        <fgColor theme="0" tint="-0.14999847407452621"/>
        <bgColor indexed="64"/>
      </patternFill>
    </fill>
    <fill>
      <patternFill patternType="solid">
        <fgColor rgb="FF0070C0"/>
        <bgColor indexed="64"/>
      </patternFill>
    </fill>
    <fill>
      <patternFill patternType="solid">
        <fgColor theme="8" tint="0.59999389629810485"/>
        <bgColor indexed="64"/>
      </patternFill>
    </fill>
  </fills>
  <borders count="17">
    <border>
      <left/>
      <right/>
      <top/>
      <bottom/>
      <diagonal/>
    </border>
    <border>
      <left/>
      <right/>
      <top style="thin">
        <color indexed="64"/>
      </top>
      <bottom style="thin">
        <color indexed="64"/>
      </bottom>
      <diagonal/>
    </border>
    <border>
      <left style="thin">
        <color rgb="FFEDEDED"/>
      </left>
      <right/>
      <top/>
      <bottom/>
      <diagonal/>
    </border>
    <border>
      <left style="thin">
        <color rgb="FFEDEDED"/>
      </left>
      <right style="thin">
        <color rgb="FFEDEDED"/>
      </right>
      <top/>
      <bottom/>
      <diagonal/>
    </border>
    <border>
      <left/>
      <right style="thin">
        <color rgb="FFEDEDED"/>
      </right>
      <top/>
      <bottom/>
      <diagonal/>
    </border>
    <border>
      <left style="thin">
        <color theme="9" tint="0.39997558519241921"/>
      </left>
      <right/>
      <top style="thin">
        <color theme="9" tint="0.39997558519241921"/>
      </top>
      <bottom style="thin">
        <color theme="9" tint="0.39997558519241921"/>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rgb="FF002060"/>
      </top>
      <bottom/>
      <diagonal/>
    </border>
    <border>
      <left/>
      <right/>
      <top/>
      <bottom style="thin">
        <color rgb="FF002060"/>
      </bottom>
      <diagonal/>
    </border>
    <border>
      <left/>
      <right/>
      <top style="hair">
        <color auto="1"/>
      </top>
      <bottom/>
      <diagonal/>
    </border>
    <border>
      <left/>
      <right/>
      <top/>
      <bottom style="thin">
        <color theme="0"/>
      </bottom>
      <diagonal/>
    </border>
    <border>
      <left/>
      <right/>
      <top style="hair">
        <color rgb="FF002060"/>
      </top>
      <bottom style="hair">
        <color rgb="FF002060"/>
      </bottom>
      <diagonal/>
    </border>
    <border>
      <left/>
      <right/>
      <top style="thin">
        <color rgb="FF002060"/>
      </top>
      <bottom style="thin">
        <color rgb="FF002060"/>
      </bottom>
      <diagonal/>
    </border>
    <border>
      <left/>
      <right/>
      <top/>
      <bottom style="medium">
        <color rgb="FF028655"/>
      </bottom>
      <diagonal/>
    </border>
  </borders>
  <cellStyleXfs count="9">
    <xf numFmtId="0" fontId="0" fillId="0" borderId="0"/>
    <xf numFmtId="9" fontId="1" fillId="0" borderId="0" applyFont="0" applyFill="0" applyBorder="0" applyAlignment="0" applyProtection="0"/>
    <xf numFmtId="43" fontId="5" fillId="0" borderId="0" applyFont="0" applyFill="0" applyBorder="0" applyAlignment="0" applyProtection="0"/>
    <xf numFmtId="0" fontId="4" fillId="0" borderId="0" applyNumberFormat="0" applyFill="0" applyBorder="0" applyAlignment="0" applyProtection="0">
      <alignment vertical="top"/>
      <protection locked="0"/>
    </xf>
    <xf numFmtId="0" fontId="9" fillId="2" borderId="0" applyNumberFormat="0" applyBorder="0" applyAlignment="0" applyProtection="0"/>
    <xf numFmtId="0" fontId="5" fillId="0" borderId="0"/>
    <xf numFmtId="9" fontId="5" fillId="0" borderId="0" applyFont="0" applyFill="0" applyBorder="0" applyAlignment="0" applyProtection="0"/>
    <xf numFmtId="0" fontId="12" fillId="0" borderId="0"/>
    <xf numFmtId="0" fontId="4" fillId="0" borderId="0" applyNumberFormat="0" applyFill="0" applyBorder="0" applyAlignment="0" applyProtection="0"/>
  </cellStyleXfs>
  <cellXfs count="203">
    <xf numFmtId="0" fontId="0" fillId="0" borderId="0" xfId="0"/>
    <xf numFmtId="43" fontId="6" fillId="0" borderId="0" xfId="2" applyFont="1" applyBorder="1"/>
    <xf numFmtId="43" fontId="8" fillId="0" borderId="0" xfId="2" applyFont="1" applyBorder="1"/>
    <xf numFmtId="0" fontId="8" fillId="0" borderId="0" xfId="5" applyFont="1"/>
    <xf numFmtId="164" fontId="10" fillId="3" borderId="0" xfId="2" applyNumberFormat="1" applyFont="1" applyFill="1" applyBorder="1"/>
    <xf numFmtId="164" fontId="10" fillId="3" borderId="0" xfId="5" applyNumberFormat="1" applyFont="1" applyFill="1" applyAlignment="1">
      <alignment horizontal="center"/>
    </xf>
    <xf numFmtId="164" fontId="11" fillId="0" borderId="0" xfId="2" applyNumberFormat="1" applyFont="1" applyFill="1" applyBorder="1"/>
    <xf numFmtId="0" fontId="5" fillId="0" borderId="0" xfId="5"/>
    <xf numFmtId="9" fontId="8" fillId="0" borderId="0" xfId="6" applyFont="1" applyBorder="1"/>
    <xf numFmtId="0" fontId="12" fillId="0" borderId="0" xfId="7"/>
    <xf numFmtId="165" fontId="8" fillId="0" borderId="0" xfId="2" applyNumberFormat="1" applyFont="1" applyBorder="1"/>
    <xf numFmtId="0" fontId="2" fillId="4" borderId="0" xfId="0" applyFont="1" applyFill="1"/>
    <xf numFmtId="17" fontId="2" fillId="4" borderId="0" xfId="0" applyNumberFormat="1" applyFont="1" applyFill="1"/>
    <xf numFmtId="0" fontId="3" fillId="0" borderId="0" xfId="0" applyFont="1"/>
    <xf numFmtId="166" fontId="0" fillId="0" borderId="0" xfId="0" applyNumberFormat="1"/>
    <xf numFmtId="10" fontId="0" fillId="0" borderId="0" xfId="1" applyNumberFormat="1" applyFont="1"/>
    <xf numFmtId="0" fontId="13" fillId="0" borderId="0" xfId="0" applyFont="1"/>
    <xf numFmtId="0" fontId="14" fillId="0" borderId="0" xfId="0" applyFont="1"/>
    <xf numFmtId="0" fontId="14" fillId="0" borderId="0" xfId="0" applyFont="1" applyAlignment="1">
      <alignment horizontal="right"/>
    </xf>
    <xf numFmtId="10" fontId="14" fillId="0" borderId="0" xfId="1" applyNumberFormat="1" applyFont="1"/>
    <xf numFmtId="167" fontId="0" fillId="0" borderId="0" xfId="0" applyNumberFormat="1"/>
    <xf numFmtId="0" fontId="2" fillId="0" borderId="0" xfId="0" applyFont="1"/>
    <xf numFmtId="17" fontId="2" fillId="0" borderId="0" xfId="0" applyNumberFormat="1" applyFont="1"/>
    <xf numFmtId="17" fontId="2" fillId="0" borderId="0" xfId="0" applyNumberFormat="1" applyFont="1" applyAlignment="1">
      <alignment horizontal="right"/>
    </xf>
    <xf numFmtId="0" fontId="3" fillId="5" borderId="0" xfId="0" applyFont="1" applyFill="1"/>
    <xf numFmtId="0" fontId="0" fillId="5" borderId="0" xfId="0" applyFill="1"/>
    <xf numFmtId="166" fontId="3" fillId="0" borderId="0" xfId="0" applyNumberFormat="1" applyFont="1"/>
    <xf numFmtId="3" fontId="0" fillId="0" borderId="0" xfId="0" applyNumberFormat="1"/>
    <xf numFmtId="0" fontId="8" fillId="6" borderId="0" xfId="5" applyFont="1" applyFill="1"/>
    <xf numFmtId="0" fontId="5" fillId="6" borderId="0" xfId="5" applyFill="1"/>
    <xf numFmtId="17" fontId="15" fillId="7" borderId="0" xfId="0" applyNumberFormat="1" applyFont="1" applyFill="1" applyAlignment="1">
      <alignment horizontal="right" vertical="center" wrapText="1"/>
    </xf>
    <xf numFmtId="0" fontId="16" fillId="7" borderId="0" xfId="0" applyFont="1" applyFill="1" applyAlignment="1">
      <alignment horizontal="left" vertical="center"/>
    </xf>
    <xf numFmtId="3" fontId="16" fillId="7" borderId="0" xfId="0" applyNumberFormat="1" applyFont="1" applyFill="1" applyAlignment="1">
      <alignment horizontal="right" vertical="center" wrapText="1"/>
    </xf>
    <xf numFmtId="0" fontId="17" fillId="7" borderId="0" xfId="0" applyFont="1" applyFill="1" applyAlignment="1">
      <alignment horizontal="left" vertical="center"/>
    </xf>
    <xf numFmtId="0" fontId="17" fillId="7" borderId="0" xfId="0" applyFont="1" applyFill="1" applyAlignment="1">
      <alignment horizontal="right" vertical="center" wrapText="1"/>
    </xf>
    <xf numFmtId="0" fontId="16" fillId="7" borderId="0" xfId="0" applyFont="1" applyFill="1" applyAlignment="1">
      <alignment horizontal="right" vertical="center" wrapText="1"/>
    </xf>
    <xf numFmtId="3" fontId="17" fillId="7" borderId="0" xfId="0" applyNumberFormat="1" applyFont="1" applyFill="1" applyAlignment="1">
      <alignment horizontal="right" vertical="center" wrapText="1"/>
    </xf>
    <xf numFmtId="0" fontId="3" fillId="0" borderId="1" xfId="0" applyFont="1" applyBorder="1"/>
    <xf numFmtId="167" fontId="3" fillId="0" borderId="1" xfId="0" applyNumberFormat="1" applyFont="1" applyBorder="1"/>
    <xf numFmtId="167" fontId="14" fillId="0" borderId="0" xfId="1" applyNumberFormat="1" applyFont="1"/>
    <xf numFmtId="168" fontId="0" fillId="0" borderId="0" xfId="0" applyNumberFormat="1"/>
    <xf numFmtId="169" fontId="0" fillId="0" borderId="0" xfId="0" applyNumberFormat="1"/>
    <xf numFmtId="10" fontId="0" fillId="0" borderId="0" xfId="0" applyNumberFormat="1"/>
    <xf numFmtId="0" fontId="18" fillId="0" borderId="2" xfId="0" applyFont="1" applyBorder="1" applyAlignment="1">
      <alignment horizontal="left" vertical="top" wrapText="1"/>
    </xf>
    <xf numFmtId="0" fontId="19" fillId="0" borderId="2" xfId="0" applyFont="1" applyBorder="1" applyAlignment="1">
      <alignment horizontal="left" vertical="top" wrapText="1"/>
    </xf>
    <xf numFmtId="0" fontId="22" fillId="0" borderId="5" xfId="0" applyFont="1" applyBorder="1" applyAlignment="1">
      <alignment horizontal="left" vertical="top"/>
    </xf>
    <xf numFmtId="167" fontId="0" fillId="0" borderId="3" xfId="0" applyNumberFormat="1" applyBorder="1" applyAlignment="1">
      <alignment horizontal="left" wrapText="1"/>
    </xf>
    <xf numFmtId="167" fontId="0" fillId="0" borderId="4" xfId="0" applyNumberFormat="1" applyBorder="1" applyAlignment="1">
      <alignment horizontal="left" wrapText="1"/>
    </xf>
    <xf numFmtId="167" fontId="20" fillId="0" borderId="3" xfId="0" applyNumberFormat="1" applyFont="1" applyBorder="1" applyAlignment="1">
      <alignment horizontal="right" vertical="top" shrinkToFit="1"/>
    </xf>
    <xf numFmtId="167" fontId="21" fillId="0" borderId="3" xfId="0" applyNumberFormat="1" applyFont="1" applyBorder="1" applyAlignment="1">
      <alignment horizontal="right" vertical="top" shrinkToFit="1"/>
    </xf>
    <xf numFmtId="167" fontId="3" fillId="0" borderId="0" xfId="0" applyNumberFormat="1" applyFont="1"/>
    <xf numFmtId="166" fontId="3" fillId="0" borderId="1" xfId="0" applyNumberFormat="1" applyFont="1" applyBorder="1"/>
    <xf numFmtId="167" fontId="13" fillId="0" borderId="0" xfId="0" applyNumberFormat="1" applyFont="1"/>
    <xf numFmtId="0" fontId="0" fillId="0" borderId="6" xfId="0" applyBorder="1"/>
    <xf numFmtId="10" fontId="0" fillId="0" borderId="6" xfId="1" applyNumberFormat="1" applyFont="1" applyBorder="1"/>
    <xf numFmtId="10" fontId="0" fillId="0" borderId="0" xfId="1" applyNumberFormat="1" applyFont="1" applyBorder="1"/>
    <xf numFmtId="0" fontId="0" fillId="0" borderId="7" xfId="0" applyBorder="1"/>
    <xf numFmtId="10" fontId="0" fillId="0" borderId="7" xfId="1" applyNumberFormat="1" applyFont="1" applyBorder="1"/>
    <xf numFmtId="10" fontId="0" fillId="0" borderId="7" xfId="0" applyNumberFormat="1" applyBorder="1"/>
    <xf numFmtId="2" fontId="0" fillId="0" borderId="7" xfId="0" applyNumberFormat="1" applyBorder="1"/>
    <xf numFmtId="170" fontId="0" fillId="0" borderId="7" xfId="0" applyNumberFormat="1" applyBorder="1"/>
    <xf numFmtId="2" fontId="0" fillId="0" borderId="6" xfId="0" applyNumberFormat="1" applyBorder="1"/>
    <xf numFmtId="2" fontId="0" fillId="0" borderId="0" xfId="0" applyNumberFormat="1"/>
    <xf numFmtId="171" fontId="0" fillId="0" borderId="6" xfId="0" applyNumberFormat="1" applyBorder="1"/>
    <xf numFmtId="171" fontId="0" fillId="0" borderId="0" xfId="0" applyNumberFormat="1"/>
    <xf numFmtId="171" fontId="0" fillId="0" borderId="7" xfId="0" applyNumberFormat="1" applyBorder="1"/>
    <xf numFmtId="172" fontId="0" fillId="0" borderId="0" xfId="0" applyNumberFormat="1"/>
    <xf numFmtId="173" fontId="0" fillId="0" borderId="0" xfId="0" applyNumberFormat="1"/>
    <xf numFmtId="0" fontId="0" fillId="0" borderId="8" xfId="0" applyBorder="1"/>
    <xf numFmtId="0" fontId="13" fillId="0" borderId="9" xfId="0" applyFont="1" applyBorder="1" applyAlignment="1">
      <alignment horizontal="center"/>
    </xf>
    <xf numFmtId="0" fontId="13" fillId="0" borderId="9" xfId="0" applyFont="1" applyBorder="1" applyAlignment="1">
      <alignment horizontal="centerContinuous"/>
    </xf>
    <xf numFmtId="0" fontId="23" fillId="5" borderId="0" xfId="0" applyFont="1" applyFill="1"/>
    <xf numFmtId="0" fontId="24" fillId="5" borderId="0" xfId="0" applyFont="1" applyFill="1"/>
    <xf numFmtId="0" fontId="25" fillId="0" borderId="0" xfId="0" applyFont="1"/>
    <xf numFmtId="0" fontId="0" fillId="0" borderId="10" xfId="0" applyBorder="1"/>
    <xf numFmtId="0" fontId="0" fillId="0" borderId="10" xfId="0" applyBorder="1" applyAlignment="1">
      <alignment horizontal="right"/>
    </xf>
    <xf numFmtId="0" fontId="0" fillId="0" borderId="11" xfId="0" applyBorder="1" applyAlignment="1">
      <alignment vertical="top"/>
    </xf>
    <xf numFmtId="0" fontId="0" fillId="0" borderId="11" xfId="0" applyBorder="1" applyAlignment="1">
      <alignment horizontal="right" vertical="top"/>
    </xf>
    <xf numFmtId="0" fontId="0" fillId="0" borderId="0" xfId="0" applyAlignment="1">
      <alignment vertical="top"/>
    </xf>
    <xf numFmtId="0" fontId="27" fillId="0" borderId="0" xfId="0" applyFont="1"/>
    <xf numFmtId="0" fontId="27" fillId="0" borderId="0" xfId="0" applyFont="1" applyAlignment="1">
      <alignment horizontal="right"/>
    </xf>
    <xf numFmtId="174" fontId="27" fillId="0" borderId="0" xfId="0" applyNumberFormat="1" applyFont="1"/>
    <xf numFmtId="10" fontId="27" fillId="0" borderId="0" xfId="0" applyNumberFormat="1" applyFont="1" applyAlignment="1">
      <alignment vertical="top"/>
    </xf>
    <xf numFmtId="10" fontId="0" fillId="8" borderId="0" xfId="1" applyNumberFormat="1" applyFont="1" applyFill="1" applyAlignment="1" applyProtection="1"/>
    <xf numFmtId="2" fontId="27" fillId="0" borderId="0" xfId="0" applyNumberFormat="1" applyFont="1"/>
    <xf numFmtId="2" fontId="0" fillId="8" borderId="0" xfId="0" applyNumberFormat="1" applyFill="1"/>
    <xf numFmtId="0" fontId="3" fillId="0" borderId="6" xfId="0" applyFont="1" applyBorder="1"/>
    <xf numFmtId="10" fontId="0" fillId="0" borderId="6" xfId="1" applyNumberFormat="1" applyFont="1" applyBorder="1" applyProtection="1"/>
    <xf numFmtId="0" fontId="3" fillId="0" borderId="7" xfId="0" applyFont="1" applyBorder="1"/>
    <xf numFmtId="10" fontId="0" fillId="0" borderId="7" xfId="1" applyNumberFormat="1" applyFont="1" applyBorder="1" applyProtection="1"/>
    <xf numFmtId="10" fontId="0" fillId="0" borderId="0" xfId="1" applyNumberFormat="1" applyFont="1" applyProtection="1"/>
    <xf numFmtId="10" fontId="27" fillId="0" borderId="0" xfId="0" applyNumberFormat="1" applyFont="1"/>
    <xf numFmtId="0" fontId="0" fillId="0" borderId="12" xfId="0" applyBorder="1"/>
    <xf numFmtId="10" fontId="0" fillId="8" borderId="12" xfId="1" applyNumberFormat="1" applyFont="1" applyFill="1" applyBorder="1" applyProtection="1"/>
    <xf numFmtId="0" fontId="3" fillId="0" borderId="7" xfId="0" applyFont="1" applyBorder="1" applyAlignment="1">
      <alignment horizontal="right"/>
    </xf>
    <xf numFmtId="10" fontId="0" fillId="0" borderId="0" xfId="1" applyNumberFormat="1" applyFont="1" applyBorder="1" applyProtection="1"/>
    <xf numFmtId="174" fontId="0" fillId="0" borderId="12" xfId="0" applyNumberFormat="1" applyBorder="1"/>
    <xf numFmtId="10" fontId="0" fillId="0" borderId="12" xfId="0" applyNumberFormat="1" applyBorder="1"/>
    <xf numFmtId="2" fontId="0" fillId="0" borderId="12" xfId="0" applyNumberFormat="1" applyBorder="1"/>
    <xf numFmtId="10" fontId="0" fillId="8" borderId="0" xfId="0" applyNumberFormat="1" applyFill="1"/>
    <xf numFmtId="0" fontId="28" fillId="0" borderId="0" xfId="0" applyFont="1"/>
    <xf numFmtId="0" fontId="28" fillId="0" borderId="0" xfId="0" applyFont="1" applyAlignment="1">
      <alignment vertical="top"/>
    </xf>
    <xf numFmtId="4" fontId="27" fillId="0" borderId="0" xfId="0" applyNumberFormat="1" applyFont="1"/>
    <xf numFmtId="0" fontId="13" fillId="0" borderId="0" xfId="0" applyFont="1" applyAlignment="1">
      <alignment horizontal="center"/>
    </xf>
    <xf numFmtId="14" fontId="0" fillId="0" borderId="0" xfId="0" applyNumberFormat="1"/>
    <xf numFmtId="172" fontId="3" fillId="0" borderId="0" xfId="0" applyNumberFormat="1" applyFont="1"/>
    <xf numFmtId="9" fontId="0" fillId="0" borderId="0" xfId="0" applyNumberFormat="1"/>
    <xf numFmtId="10" fontId="3" fillId="0" borderId="1" xfId="1" applyNumberFormat="1" applyFont="1" applyBorder="1"/>
    <xf numFmtId="10" fontId="3" fillId="0" borderId="0" xfId="0" applyNumberFormat="1" applyFont="1"/>
    <xf numFmtId="0" fontId="0" fillId="0" borderId="0" xfId="0" applyAlignment="1">
      <alignment horizontal="right"/>
    </xf>
    <xf numFmtId="0" fontId="0" fillId="0" borderId="0" xfId="0" applyAlignment="1">
      <alignment horizontal="right" vertical="top"/>
    </xf>
    <xf numFmtId="0" fontId="3" fillId="0" borderId="0" xfId="0" applyFont="1" applyAlignment="1">
      <alignment horizontal="right"/>
    </xf>
    <xf numFmtId="174" fontId="0" fillId="0" borderId="0" xfId="0" applyNumberFormat="1"/>
    <xf numFmtId="175" fontId="2" fillId="4" borderId="0" xfId="0" applyNumberFormat="1" applyFont="1" applyFill="1"/>
    <xf numFmtId="176" fontId="2" fillId="4" borderId="0" xfId="0" applyNumberFormat="1" applyFont="1" applyFill="1"/>
    <xf numFmtId="9" fontId="0" fillId="0" borderId="0" xfId="0" applyNumberFormat="1" applyAlignment="1">
      <alignment vertical="top"/>
    </xf>
    <xf numFmtId="10" fontId="0" fillId="8" borderId="0" xfId="1" applyNumberFormat="1" applyFont="1" applyFill="1"/>
    <xf numFmtId="0" fontId="29" fillId="0" borderId="11" xfId="0" applyFont="1" applyBorder="1"/>
    <xf numFmtId="0" fontId="0" fillId="0" borderId="11" xfId="0" applyBorder="1"/>
    <xf numFmtId="0" fontId="13" fillId="0" borderId="11" xfId="0" applyFont="1" applyBorder="1"/>
    <xf numFmtId="0" fontId="2" fillId="10" borderId="0" xfId="0" applyFont="1" applyFill="1"/>
    <xf numFmtId="0" fontId="2" fillId="10" borderId="0" xfId="0" applyFont="1" applyFill="1" applyAlignment="1">
      <alignment horizontal="left"/>
    </xf>
    <xf numFmtId="0" fontId="2" fillId="10" borderId="0" xfId="0" applyFont="1" applyFill="1" applyAlignment="1">
      <alignment horizontal="right" wrapText="1"/>
    </xf>
    <xf numFmtId="0" fontId="2" fillId="10" borderId="0" xfId="0" applyFont="1" applyFill="1" applyAlignment="1">
      <alignment horizontal="right"/>
    </xf>
    <xf numFmtId="2" fontId="2" fillId="0" borderId="0" xfId="0" applyNumberFormat="1" applyFont="1" applyAlignment="1">
      <alignment horizontal="left"/>
    </xf>
    <xf numFmtId="2" fontId="2" fillId="0" borderId="0" xfId="0" applyNumberFormat="1" applyFont="1" applyAlignment="1">
      <alignment horizontal="right" wrapText="1"/>
    </xf>
    <xf numFmtId="2" fontId="2" fillId="0" borderId="0" xfId="0" applyNumberFormat="1" applyFont="1" applyAlignment="1">
      <alignment horizontal="right"/>
    </xf>
    <xf numFmtId="0" fontId="0" fillId="0" borderId="14" xfId="0" applyBorder="1" applyAlignment="1">
      <alignment horizontal="left"/>
    </xf>
    <xf numFmtId="3" fontId="0" fillId="0" borderId="14" xfId="0" applyNumberFormat="1" applyBorder="1" applyAlignment="1">
      <alignment horizontal="right"/>
    </xf>
    <xf numFmtId="0" fontId="0" fillId="0" borderId="14" xfId="0" applyBorder="1" applyAlignment="1">
      <alignment horizontal="right"/>
    </xf>
    <xf numFmtId="177" fontId="30" fillId="0" borderId="14" xfId="0" applyNumberFormat="1" applyFont="1" applyBorder="1" applyAlignment="1">
      <alignment horizontal="right"/>
    </xf>
    <xf numFmtId="0" fontId="0" fillId="11" borderId="14" xfId="0" applyFill="1" applyBorder="1"/>
    <xf numFmtId="177" fontId="0" fillId="11" borderId="14" xfId="0" applyNumberFormat="1" applyFill="1" applyBorder="1"/>
    <xf numFmtId="0" fontId="3" fillId="11" borderId="14" xfId="0" applyFont="1" applyFill="1" applyBorder="1"/>
    <xf numFmtId="177" fontId="3" fillId="11" borderId="14" xfId="0" applyNumberFormat="1" applyFont="1" applyFill="1" applyBorder="1"/>
    <xf numFmtId="0" fontId="2" fillId="10" borderId="11" xfId="0" applyFont="1" applyFill="1" applyBorder="1"/>
    <xf numFmtId="0" fontId="31" fillId="10" borderId="0" xfId="0" applyFont="1" applyFill="1"/>
    <xf numFmtId="0" fontId="2" fillId="10" borderId="0" xfId="0" applyFont="1" applyFill="1" applyAlignment="1">
      <alignment horizontal="center"/>
    </xf>
    <xf numFmtId="0" fontId="0" fillId="0" borderId="14" xfId="0" applyBorder="1"/>
    <xf numFmtId="3" fontId="0" fillId="0" borderId="14" xfId="0" applyNumberFormat="1" applyBorder="1"/>
    <xf numFmtId="2" fontId="0" fillId="0" borderId="14" xfId="0" applyNumberFormat="1" applyBorder="1"/>
    <xf numFmtId="0" fontId="3" fillId="11" borderId="15" xfId="0" applyFont="1" applyFill="1" applyBorder="1"/>
    <xf numFmtId="174" fontId="3" fillId="11" borderId="15" xfId="0" applyNumberFormat="1" applyFont="1" applyFill="1" applyBorder="1"/>
    <xf numFmtId="174" fontId="3" fillId="0" borderId="0" xfId="0" applyNumberFormat="1" applyFont="1"/>
    <xf numFmtId="0" fontId="32" fillId="7" borderId="0" xfId="0" applyFont="1" applyFill="1" applyAlignment="1">
      <alignment horizontal="left" vertical="center"/>
    </xf>
    <xf numFmtId="0" fontId="4" fillId="7" borderId="0" xfId="8" applyFill="1" applyAlignment="1">
      <alignment horizontal="left" vertical="center"/>
    </xf>
    <xf numFmtId="0" fontId="32" fillId="7" borderId="0" xfId="0" applyFont="1" applyFill="1" applyAlignment="1">
      <alignment horizontal="right" vertical="center" wrapText="1"/>
    </xf>
    <xf numFmtId="0" fontId="4" fillId="7" borderId="0" xfId="8" applyFill="1" applyAlignment="1">
      <alignment horizontal="right" vertical="center" wrapText="1"/>
    </xf>
    <xf numFmtId="0" fontId="15" fillId="7" borderId="0" xfId="0" applyFont="1" applyFill="1" applyAlignment="1">
      <alignment horizontal="left" vertical="center"/>
    </xf>
    <xf numFmtId="0" fontId="15" fillId="7" borderId="0" xfId="0" applyFont="1" applyFill="1" applyAlignment="1">
      <alignment horizontal="right" vertical="center" wrapText="1"/>
    </xf>
    <xf numFmtId="2" fontId="30" fillId="0" borderId="14" xfId="0" applyNumberFormat="1" applyFont="1" applyBorder="1" applyAlignment="1">
      <alignment horizontal="center"/>
    </xf>
    <xf numFmtId="2" fontId="30" fillId="0" borderId="14" xfId="0" applyNumberFormat="1" applyFont="1" applyBorder="1" applyAlignment="1">
      <alignment horizontal="right"/>
    </xf>
    <xf numFmtId="178" fontId="30" fillId="0" borderId="14" xfId="0" applyNumberFormat="1" applyFont="1" applyBorder="1" applyAlignment="1">
      <alignment horizontal="right"/>
    </xf>
    <xf numFmtId="44" fontId="0" fillId="0" borderId="14" xfId="0" applyNumberFormat="1" applyBorder="1" applyAlignment="1">
      <alignment horizontal="right"/>
    </xf>
    <xf numFmtId="44" fontId="30" fillId="0" borderId="14" xfId="0" applyNumberFormat="1" applyFont="1" applyBorder="1" applyAlignment="1">
      <alignment horizontal="right" wrapText="1"/>
    </xf>
    <xf numFmtId="44" fontId="30" fillId="0" borderId="14" xfId="0" applyNumberFormat="1" applyFont="1" applyBorder="1" applyAlignment="1">
      <alignment horizontal="right"/>
    </xf>
    <xf numFmtId="2" fontId="30" fillId="0" borderId="14" xfId="0" applyNumberFormat="1" applyFont="1" applyBorder="1" applyAlignment="1">
      <alignment horizontal="left"/>
    </xf>
    <xf numFmtId="167" fontId="30" fillId="0" borderId="14" xfId="0" applyNumberFormat="1" applyFont="1" applyBorder="1" applyAlignment="1">
      <alignment horizontal="left"/>
    </xf>
    <xf numFmtId="167" fontId="0" fillId="0" borderId="14" xfId="0" applyNumberFormat="1" applyBorder="1" applyAlignment="1">
      <alignment horizontal="left"/>
    </xf>
    <xf numFmtId="2" fontId="0" fillId="0" borderId="14" xfId="0" applyNumberFormat="1" applyBorder="1" applyAlignment="1">
      <alignment horizontal="left"/>
    </xf>
    <xf numFmtId="10" fontId="0" fillId="0" borderId="0" xfId="1" applyNumberFormat="1" applyFont="1" applyFill="1" applyBorder="1" applyProtection="1"/>
    <xf numFmtId="0" fontId="0" fillId="0" borderId="0" xfId="0" applyAlignment="1">
      <alignment wrapText="1"/>
    </xf>
    <xf numFmtId="0" fontId="0" fillId="0" borderId="0" xfId="0" applyAlignment="1">
      <alignment horizontal="left" wrapText="1"/>
    </xf>
    <xf numFmtId="0" fontId="0" fillId="0" borderId="16" xfId="0" applyBorder="1" applyAlignment="1">
      <alignment wrapText="1"/>
    </xf>
    <xf numFmtId="0" fontId="33" fillId="0" borderId="0" xfId="0" applyFont="1" applyAlignment="1">
      <alignment wrapText="1"/>
    </xf>
    <xf numFmtId="0" fontId="0" fillId="12" borderId="0" xfId="0" applyFill="1"/>
    <xf numFmtId="0" fontId="34" fillId="12" borderId="0" xfId="0" applyFont="1" applyFill="1" applyAlignment="1">
      <alignment horizontal="center" wrapText="1"/>
    </xf>
    <xf numFmtId="0" fontId="37" fillId="0" borderId="0" xfId="0" applyFont="1" applyAlignment="1">
      <alignment vertical="center"/>
    </xf>
    <xf numFmtId="0" fontId="41" fillId="0" borderId="0" xfId="0" applyFont="1" applyAlignment="1">
      <alignment horizontal="left" vertical="top" wrapText="1"/>
    </xf>
    <xf numFmtId="0" fontId="24" fillId="0" borderId="0" xfId="0" applyFont="1" applyAlignment="1">
      <alignment horizontal="left" vertical="top" wrapText="1"/>
    </xf>
    <xf numFmtId="0" fontId="3" fillId="0" borderId="0" xfId="0" applyFont="1" applyAlignment="1">
      <alignment horizontal="center"/>
    </xf>
    <xf numFmtId="167" fontId="0" fillId="0" borderId="0" xfId="0" applyNumberFormat="1" applyAlignment="1">
      <alignment wrapText="1"/>
    </xf>
    <xf numFmtId="10" fontId="0" fillId="0" borderId="0" xfId="0" applyNumberFormat="1" applyAlignment="1">
      <alignment wrapText="1"/>
    </xf>
    <xf numFmtId="179" fontId="2" fillId="4" borderId="0" xfId="0" applyNumberFormat="1" applyFont="1" applyFill="1" applyAlignment="1">
      <alignment horizontal="right"/>
    </xf>
    <xf numFmtId="0" fontId="24" fillId="0" borderId="0" xfId="0" applyFont="1" applyAlignment="1">
      <alignment horizontal="left" wrapText="1"/>
    </xf>
    <xf numFmtId="0" fontId="38" fillId="0" borderId="0" xfId="0" applyFont="1"/>
    <xf numFmtId="0" fontId="24" fillId="0" borderId="0" xfId="0" applyFont="1" applyAlignment="1">
      <alignment wrapText="1"/>
    </xf>
    <xf numFmtId="174" fontId="24" fillId="0" borderId="0" xfId="0" applyNumberFormat="1" applyFont="1" applyAlignment="1">
      <alignment wrapText="1"/>
    </xf>
    <xf numFmtId="0" fontId="23" fillId="13" borderId="0" xfId="0" applyFont="1" applyFill="1" applyAlignment="1">
      <alignment wrapText="1"/>
    </xf>
    <xf numFmtId="10" fontId="23" fillId="13" borderId="0" xfId="1" applyNumberFormat="1" applyFont="1" applyFill="1" applyAlignment="1">
      <alignment wrapText="1"/>
    </xf>
    <xf numFmtId="177" fontId="23" fillId="13" borderId="0" xfId="1" applyNumberFormat="1" applyFont="1" applyFill="1" applyAlignment="1">
      <alignment wrapText="1"/>
    </xf>
    <xf numFmtId="178" fontId="23" fillId="13" borderId="0" xfId="1" applyNumberFormat="1" applyFont="1" applyFill="1" applyAlignment="1">
      <alignment wrapText="1"/>
    </xf>
    <xf numFmtId="17" fontId="23" fillId="0" borderId="0" xfId="0" applyNumberFormat="1" applyFont="1" applyAlignment="1">
      <alignment wrapText="1"/>
    </xf>
    <xf numFmtId="0" fontId="23" fillId="13" borderId="0" xfId="0" applyFont="1" applyFill="1" applyAlignment="1">
      <alignment vertical="top" wrapText="1"/>
    </xf>
    <xf numFmtId="9" fontId="0" fillId="0" borderId="0" xfId="1" applyFont="1"/>
    <xf numFmtId="2" fontId="3" fillId="0" borderId="0" xfId="0" applyNumberFormat="1" applyFont="1"/>
    <xf numFmtId="0" fontId="2" fillId="10" borderId="13" xfId="0" applyFont="1" applyFill="1" applyBorder="1" applyAlignment="1">
      <alignment horizontal="center"/>
    </xf>
    <xf numFmtId="43" fontId="40" fillId="0" borderId="0" xfId="0" applyNumberFormat="1" applyFont="1" applyAlignment="1">
      <alignment horizontal="center" wrapText="1"/>
    </xf>
    <xf numFmtId="0" fontId="41" fillId="0" borderId="0" xfId="0" applyFont="1" applyAlignment="1">
      <alignment horizontal="left" vertical="top" wrapText="1"/>
    </xf>
    <xf numFmtId="0" fontId="24" fillId="0" borderId="0" xfId="0" applyFont="1" applyAlignment="1">
      <alignment horizontal="left" vertical="top" wrapText="1"/>
    </xf>
    <xf numFmtId="0" fontId="24" fillId="0" borderId="0" xfId="0" applyFont="1" applyAlignment="1">
      <alignment horizontal="left" wrapText="1"/>
    </xf>
    <xf numFmtId="0" fontId="36" fillId="0" borderId="0" xfId="0" applyFont="1" applyAlignment="1">
      <alignment horizontal="center" vertical="center" wrapText="1"/>
    </xf>
    <xf numFmtId="0" fontId="39" fillId="0" borderId="0" xfId="0" applyFont="1" applyAlignment="1">
      <alignment horizontal="center" wrapText="1"/>
    </xf>
    <xf numFmtId="0" fontId="38" fillId="0" borderId="0" xfId="0" applyFont="1" applyAlignment="1">
      <alignment horizontal="center" wrapText="1"/>
    </xf>
    <xf numFmtId="0" fontId="43" fillId="12" borderId="0" xfId="0" applyFont="1" applyFill="1" applyAlignment="1">
      <alignment horizontal="center" wrapText="1"/>
    </xf>
    <xf numFmtId="0" fontId="35" fillId="0" borderId="0" xfId="0" applyFont="1" applyAlignment="1">
      <alignment horizontal="center" wrapText="1"/>
    </xf>
    <xf numFmtId="0" fontId="34" fillId="12" borderId="0" xfId="0" applyFont="1" applyFill="1" applyAlignment="1">
      <alignment horizontal="center" wrapText="1"/>
    </xf>
    <xf numFmtId="0" fontId="3" fillId="0" borderId="0" xfId="0" applyFont="1" applyAlignment="1">
      <alignment horizontal="center"/>
    </xf>
    <xf numFmtId="0" fontId="2" fillId="9" borderId="0" xfId="0" applyFont="1" applyFill="1" applyAlignment="1">
      <alignment horizontal="center"/>
    </xf>
    <xf numFmtId="0" fontId="2" fillId="4" borderId="0" xfId="0" applyFont="1" applyFill="1" applyAlignment="1">
      <alignment horizontal="center"/>
    </xf>
    <xf numFmtId="43" fontId="7" fillId="0" borderId="0" xfId="3" applyNumberFormat="1" applyFont="1" applyBorder="1" applyAlignment="1" applyProtection="1">
      <alignment horizontal="center"/>
    </xf>
    <xf numFmtId="43" fontId="10" fillId="2" borderId="0" xfId="4" applyNumberFormat="1" applyFont="1" applyBorder="1" applyAlignment="1">
      <alignment horizontal="center"/>
    </xf>
    <xf numFmtId="0" fontId="3" fillId="5" borderId="0" xfId="0" applyFont="1" applyFill="1" applyAlignment="1">
      <alignment horizontal="center"/>
    </xf>
  </cellXfs>
  <cellStyles count="9">
    <cellStyle name="Accent6 2" xfId="4" xr:uid="{BBDB2BF0-232B-4C01-AC19-E13AE7790424}"/>
    <cellStyle name="Comma 2" xfId="2" xr:uid="{177753BF-8FC0-47C2-A09D-659D00B32ED6}"/>
    <cellStyle name="Hyperlink" xfId="8" builtinId="8"/>
    <cellStyle name="Hyperlink 2" xfId="3" xr:uid="{7C8B96FE-EF46-46CA-837F-CBE11AA9368D}"/>
    <cellStyle name="Normal" xfId="0" builtinId="0"/>
    <cellStyle name="Normal 2" xfId="7" xr:uid="{2080FAEF-89A5-4CB3-B948-0E63B4C07C78}"/>
    <cellStyle name="Normal 3" xfId="5" xr:uid="{D9D406C4-520E-4DB0-A06B-D346019C8727}"/>
    <cellStyle name="Percent" xfId="1" builtinId="5"/>
    <cellStyle name="Percent 3" xfId="6" xr:uid="{7B1B12B2-B1C6-4898-946F-9C0F047CCCB8}"/>
  </cellStyles>
  <dxfs count="1">
    <dxf>
      <font>
        <b/>
        <i val="0"/>
        <color theme="0"/>
      </font>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Revenue(INR</a:t>
            </a:r>
            <a:r>
              <a:rPr lang="en-US" baseline="0"/>
              <a:t> cr.)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
          <c:y val="7.9120370370370369E-2"/>
          <c:w val="0.93888888888888888"/>
          <c:h val="0.72088764946048411"/>
        </c:manualLayout>
      </c:layout>
      <c:barChart>
        <c:barDir val="col"/>
        <c:grouping val="clustered"/>
        <c:varyColors val="0"/>
        <c:ser>
          <c:idx val="0"/>
          <c:order val="0"/>
          <c:tx>
            <c:strRef>
              <c:f>'Dupont Analysis'!$B$100</c:f>
              <c:strCache>
                <c:ptCount val="1"/>
                <c:pt idx="0">
                  <c:v>Revenue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Analysis'!$C$91:$I$91</c:f>
              <c:numCache>
                <c:formatCode>General</c:formatCode>
                <c:ptCount val="7"/>
                <c:pt idx="0">
                  <c:v>2017</c:v>
                </c:pt>
                <c:pt idx="1">
                  <c:v>2018</c:v>
                </c:pt>
                <c:pt idx="2">
                  <c:v>2019</c:v>
                </c:pt>
                <c:pt idx="3">
                  <c:v>2020</c:v>
                </c:pt>
                <c:pt idx="4">
                  <c:v>2021</c:v>
                </c:pt>
                <c:pt idx="5">
                  <c:v>2022</c:v>
                </c:pt>
                <c:pt idx="6">
                  <c:v>2023</c:v>
                </c:pt>
              </c:numCache>
            </c:numRef>
          </c:cat>
          <c:val>
            <c:numRef>
              <c:f>'Dupont Analysis'!$C$100:$I$100</c:f>
              <c:numCache>
                <c:formatCode>#,##0.0</c:formatCode>
                <c:ptCount val="7"/>
                <c:pt idx="0">
                  <c:v>33162</c:v>
                </c:pt>
                <c:pt idx="1">
                  <c:v>35545</c:v>
                </c:pt>
                <c:pt idx="2">
                  <c:v>39310</c:v>
                </c:pt>
                <c:pt idx="3">
                  <c:v>39783</c:v>
                </c:pt>
                <c:pt idx="4">
                  <c:v>47028</c:v>
                </c:pt>
                <c:pt idx="5">
                  <c:v>52446</c:v>
                </c:pt>
                <c:pt idx="6">
                  <c:v>60580</c:v>
                </c:pt>
              </c:numCache>
            </c:numRef>
          </c:val>
          <c:extLst>
            <c:ext xmlns:c16="http://schemas.microsoft.com/office/drawing/2014/chart" uri="{C3380CC4-5D6E-409C-BE32-E72D297353CC}">
              <c16:uniqueId val="{00000000-0DAE-4C8E-A1F3-576B6B61C18B}"/>
            </c:ext>
          </c:extLst>
        </c:ser>
        <c:dLbls>
          <c:dLblPos val="outEnd"/>
          <c:showLegendKey val="0"/>
          <c:showVal val="1"/>
          <c:showCatName val="0"/>
          <c:showSerName val="0"/>
          <c:showPercent val="0"/>
          <c:showBubbleSize val="0"/>
        </c:dLbls>
        <c:gapWidth val="219"/>
        <c:overlap val="-27"/>
        <c:axId val="2094524879"/>
        <c:axId val="2094526319"/>
      </c:barChart>
      <c:catAx>
        <c:axId val="20945248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526319"/>
        <c:crosses val="autoZero"/>
        <c:auto val="1"/>
        <c:lblAlgn val="ctr"/>
        <c:lblOffset val="100"/>
        <c:noMultiLvlLbl val="0"/>
      </c:catAx>
      <c:valAx>
        <c:axId val="2094526319"/>
        <c:scaling>
          <c:orientation val="minMax"/>
        </c:scaling>
        <c:delete val="1"/>
        <c:axPos val="l"/>
        <c:numFmt formatCode="#,##0.0" sourceLinked="1"/>
        <c:majorTickMark val="out"/>
        <c:minorTickMark val="none"/>
        <c:tickLblPos val="nextTo"/>
        <c:crossAx val="2094524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Profit(INR cr.)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610632973203931E-2"/>
          <c:y val="0.19245541838134431"/>
          <c:w val="0.92501704158145881"/>
          <c:h val="0.72433348094862626"/>
        </c:manualLayout>
      </c:layout>
      <c:barChart>
        <c:barDir val="col"/>
        <c:grouping val="clustered"/>
        <c:varyColors val="0"/>
        <c:ser>
          <c:idx val="0"/>
          <c:order val="0"/>
          <c:tx>
            <c:strRef>
              <c:f>'Dupont Analysis'!$B$99</c:f>
              <c:strCache>
                <c:ptCount val="1"/>
                <c:pt idx="0">
                  <c:v>Net Profit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Analysis'!$C$91:$I$91</c:f>
              <c:numCache>
                <c:formatCode>General</c:formatCode>
                <c:ptCount val="7"/>
                <c:pt idx="0">
                  <c:v>2017</c:v>
                </c:pt>
                <c:pt idx="1">
                  <c:v>2018</c:v>
                </c:pt>
                <c:pt idx="2">
                  <c:v>2019</c:v>
                </c:pt>
                <c:pt idx="3">
                  <c:v>2020</c:v>
                </c:pt>
                <c:pt idx="4">
                  <c:v>2021</c:v>
                </c:pt>
                <c:pt idx="5">
                  <c:v>2022</c:v>
                </c:pt>
                <c:pt idx="6">
                  <c:v>2023</c:v>
                </c:pt>
              </c:numCache>
            </c:numRef>
          </c:cat>
          <c:val>
            <c:numRef>
              <c:f>'Dupont Analysis'!$C$99:$I$99</c:f>
              <c:numCache>
                <c:formatCode>#,##0.0</c:formatCode>
                <c:ptCount val="7"/>
                <c:pt idx="0">
                  <c:v>4476</c:v>
                </c:pt>
                <c:pt idx="1">
                  <c:v>5214</c:v>
                </c:pt>
                <c:pt idx="2">
                  <c:v>6054</c:v>
                </c:pt>
                <c:pt idx="3">
                  <c:v>6748</c:v>
                </c:pt>
                <c:pt idx="4">
                  <c:v>7995</c:v>
                </c:pt>
                <c:pt idx="5">
                  <c:v>8879</c:v>
                </c:pt>
                <c:pt idx="6">
                  <c:v>10120</c:v>
                </c:pt>
              </c:numCache>
            </c:numRef>
          </c:val>
          <c:extLst>
            <c:ext xmlns:c16="http://schemas.microsoft.com/office/drawing/2014/chart" uri="{C3380CC4-5D6E-409C-BE32-E72D297353CC}">
              <c16:uniqueId val="{00000000-B48C-4EEA-9C92-E0200E10DDFD}"/>
            </c:ext>
          </c:extLst>
        </c:ser>
        <c:dLbls>
          <c:dLblPos val="outEnd"/>
          <c:showLegendKey val="0"/>
          <c:showVal val="1"/>
          <c:showCatName val="0"/>
          <c:showSerName val="0"/>
          <c:showPercent val="0"/>
          <c:showBubbleSize val="0"/>
        </c:dLbls>
        <c:gapWidth val="219"/>
        <c:overlap val="-27"/>
        <c:axId val="10357536"/>
        <c:axId val="10373856"/>
      </c:barChart>
      <c:catAx>
        <c:axId val="103575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3856"/>
        <c:crosses val="autoZero"/>
        <c:auto val="1"/>
        <c:lblAlgn val="ctr"/>
        <c:lblOffset val="100"/>
        <c:noMultiLvlLbl val="0"/>
      </c:catAx>
      <c:valAx>
        <c:axId val="10373856"/>
        <c:scaling>
          <c:orientation val="minMax"/>
        </c:scaling>
        <c:delete val="1"/>
        <c:axPos val="l"/>
        <c:numFmt formatCode="#,##0.0" sourceLinked="1"/>
        <c:majorTickMark val="out"/>
        <c:minorTickMark val="none"/>
        <c:tickLblPos val="nextTo"/>
        <c:crossAx val="10357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Total Asset</a:t>
            </a:r>
            <a:r>
              <a:rPr lang="en-US" baseline="0"/>
              <a:t> (INR cr.)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065040650406504E-2"/>
          <c:y val="0.17348600508905854"/>
          <c:w val="0.91869918699186992"/>
          <c:h val="0.69318947726953983"/>
        </c:manualLayout>
      </c:layout>
      <c:barChart>
        <c:barDir val="col"/>
        <c:grouping val="clustered"/>
        <c:varyColors val="0"/>
        <c:ser>
          <c:idx val="0"/>
          <c:order val="0"/>
          <c:tx>
            <c:strRef>
              <c:f>'Dupont Analysis'!$B$104</c:f>
              <c:strCache>
                <c:ptCount val="1"/>
                <c:pt idx="0">
                  <c:v>Average Total Asset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Analysis'!$C$91:$I$91</c:f>
              <c:numCache>
                <c:formatCode>General</c:formatCode>
                <c:ptCount val="7"/>
                <c:pt idx="0">
                  <c:v>2017</c:v>
                </c:pt>
                <c:pt idx="1">
                  <c:v>2018</c:v>
                </c:pt>
                <c:pt idx="2">
                  <c:v>2019</c:v>
                </c:pt>
                <c:pt idx="3">
                  <c:v>2020</c:v>
                </c:pt>
                <c:pt idx="4">
                  <c:v>2021</c:v>
                </c:pt>
                <c:pt idx="5">
                  <c:v>2022</c:v>
                </c:pt>
                <c:pt idx="6">
                  <c:v>2023</c:v>
                </c:pt>
              </c:numCache>
            </c:numRef>
          </c:cat>
          <c:val>
            <c:numRef>
              <c:f>'Dupont Analysis'!$C$104:$I$104</c:f>
              <c:numCache>
                <c:formatCode>#,##0.0</c:formatCode>
                <c:ptCount val="7"/>
                <c:pt idx="0">
                  <c:v>15250</c:v>
                </c:pt>
                <c:pt idx="1">
                  <c:v>16784</c:v>
                </c:pt>
                <c:pt idx="2">
                  <c:v>18245.5</c:v>
                </c:pt>
                <c:pt idx="3">
                  <c:v>19391</c:v>
                </c:pt>
                <c:pt idx="4">
                  <c:v>44455</c:v>
                </c:pt>
                <c:pt idx="5">
                  <c:v>69637</c:v>
                </c:pt>
                <c:pt idx="6">
                  <c:v>71802</c:v>
                </c:pt>
              </c:numCache>
            </c:numRef>
          </c:val>
          <c:extLst>
            <c:ext xmlns:c16="http://schemas.microsoft.com/office/drawing/2014/chart" uri="{C3380CC4-5D6E-409C-BE32-E72D297353CC}">
              <c16:uniqueId val="{00000000-57C1-4BED-9376-CE4B19129CEA}"/>
            </c:ext>
          </c:extLst>
        </c:ser>
        <c:dLbls>
          <c:dLblPos val="outEnd"/>
          <c:showLegendKey val="0"/>
          <c:showVal val="1"/>
          <c:showCatName val="0"/>
          <c:showSerName val="0"/>
          <c:showPercent val="0"/>
          <c:showBubbleSize val="0"/>
        </c:dLbls>
        <c:gapWidth val="219"/>
        <c:overlap val="-27"/>
        <c:axId val="2094522959"/>
        <c:axId val="2094538319"/>
      </c:barChart>
      <c:catAx>
        <c:axId val="20945229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538319"/>
        <c:crosses val="autoZero"/>
        <c:auto val="1"/>
        <c:lblAlgn val="ctr"/>
        <c:lblOffset val="100"/>
        <c:noMultiLvlLbl val="0"/>
      </c:catAx>
      <c:valAx>
        <c:axId val="2094538319"/>
        <c:scaling>
          <c:orientation val="minMax"/>
        </c:scaling>
        <c:delete val="1"/>
        <c:axPos val="l"/>
        <c:numFmt formatCode="#,##0.0" sourceLinked="1"/>
        <c:majorTickMark val="none"/>
        <c:minorTickMark val="none"/>
        <c:tickLblPos val="nextTo"/>
        <c:crossAx val="2094522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Return on Equity(%)</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Analysis'!$C$91:$I$91</c:f>
              <c:numCache>
                <c:formatCode>General</c:formatCode>
                <c:ptCount val="7"/>
                <c:pt idx="0">
                  <c:v>2017</c:v>
                </c:pt>
                <c:pt idx="1">
                  <c:v>2018</c:v>
                </c:pt>
                <c:pt idx="2">
                  <c:v>2019</c:v>
                </c:pt>
                <c:pt idx="3">
                  <c:v>2020</c:v>
                </c:pt>
                <c:pt idx="4">
                  <c:v>2021</c:v>
                </c:pt>
                <c:pt idx="5">
                  <c:v>2022</c:v>
                </c:pt>
                <c:pt idx="6">
                  <c:v>2023</c:v>
                </c:pt>
              </c:numCache>
            </c:numRef>
          </c:cat>
          <c:val>
            <c:numRef>
              <c:f>'Dupont Analysis'!$C$95:$I$95</c:f>
              <c:numCache>
                <c:formatCode>0.00%</c:formatCode>
                <c:ptCount val="7"/>
                <c:pt idx="0">
                  <c:v>0.69476135040745057</c:v>
                </c:pt>
                <c:pt idx="1">
                  <c:v>0.76715956742440961</c:v>
                </c:pt>
                <c:pt idx="2">
                  <c:v>0.82412197114075691</c:v>
                </c:pt>
                <c:pt idx="3">
                  <c:v>0.86374399999999996</c:v>
                </c:pt>
                <c:pt idx="4">
                  <c:v>0.28843552140267331</c:v>
                </c:pt>
                <c:pt idx="5">
                  <c:v>0.18446995273463876</c:v>
                </c:pt>
                <c:pt idx="6">
                  <c:v>0.20466150968198593</c:v>
                </c:pt>
              </c:numCache>
            </c:numRef>
          </c:val>
          <c:extLst>
            <c:ext xmlns:c16="http://schemas.microsoft.com/office/drawing/2014/chart" uri="{C3380CC4-5D6E-409C-BE32-E72D297353CC}">
              <c16:uniqueId val="{00000003-525A-4175-9DBB-ABCC9551DCC7}"/>
            </c:ext>
          </c:extLst>
        </c:ser>
        <c:dLbls>
          <c:dLblPos val="outEnd"/>
          <c:showLegendKey val="0"/>
          <c:showVal val="1"/>
          <c:showCatName val="0"/>
          <c:showSerName val="0"/>
          <c:showPercent val="0"/>
          <c:showBubbleSize val="0"/>
        </c:dLbls>
        <c:gapWidth val="219"/>
        <c:overlap val="-27"/>
        <c:axId val="2094533519"/>
        <c:axId val="2094509039"/>
      </c:barChart>
      <c:catAx>
        <c:axId val="20945335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509039"/>
        <c:crosses val="autoZero"/>
        <c:auto val="1"/>
        <c:lblAlgn val="ctr"/>
        <c:lblOffset val="100"/>
        <c:noMultiLvlLbl val="0"/>
      </c:catAx>
      <c:valAx>
        <c:axId val="2094509039"/>
        <c:scaling>
          <c:orientation val="minMax"/>
        </c:scaling>
        <c:delete val="1"/>
        <c:axPos val="l"/>
        <c:numFmt formatCode="0.00%" sourceLinked="1"/>
        <c:majorTickMark val="none"/>
        <c:minorTickMark val="none"/>
        <c:tickLblPos val="nextTo"/>
        <c:crossAx val="20945335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Return on Asset(%)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'Dupont Analysis'!$B$117</c:f>
              <c:strCache>
                <c:ptCount val="1"/>
                <c:pt idx="0">
                  <c:v>Return on Asset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Analysis'!$C$91:$I$91</c:f>
              <c:numCache>
                <c:formatCode>General</c:formatCode>
                <c:ptCount val="7"/>
                <c:pt idx="0">
                  <c:v>2017</c:v>
                </c:pt>
                <c:pt idx="1">
                  <c:v>2018</c:v>
                </c:pt>
                <c:pt idx="2">
                  <c:v>2019</c:v>
                </c:pt>
                <c:pt idx="3">
                  <c:v>2020</c:v>
                </c:pt>
                <c:pt idx="4">
                  <c:v>2021</c:v>
                </c:pt>
                <c:pt idx="5">
                  <c:v>2022</c:v>
                </c:pt>
                <c:pt idx="6">
                  <c:v>2023</c:v>
                </c:pt>
              </c:numCache>
            </c:numRef>
          </c:cat>
          <c:val>
            <c:numRef>
              <c:f>'Dupont Analysis'!$C$117:$I$117</c:f>
              <c:numCache>
                <c:formatCode>0.00%</c:formatCode>
                <c:ptCount val="7"/>
                <c:pt idx="0">
                  <c:v>0.29350819672131145</c:v>
                </c:pt>
                <c:pt idx="1">
                  <c:v>0.31065300285986652</c:v>
                </c:pt>
                <c:pt idx="2">
                  <c:v>0.33180784302978816</c:v>
                </c:pt>
                <c:pt idx="3">
                  <c:v>0.34799649321850346</c:v>
                </c:pt>
                <c:pt idx="4">
                  <c:v>0.17984478686312</c:v>
                </c:pt>
                <c:pt idx="5">
                  <c:v>0.12750405675143961</c:v>
                </c:pt>
                <c:pt idx="6">
                  <c:v>0.14094314921589929</c:v>
                </c:pt>
              </c:numCache>
            </c:numRef>
          </c:val>
          <c:extLst>
            <c:ext xmlns:c16="http://schemas.microsoft.com/office/drawing/2014/chart" uri="{C3380CC4-5D6E-409C-BE32-E72D297353CC}">
              <c16:uniqueId val="{00000000-76D6-4E94-84E2-8FB154A1FD47}"/>
            </c:ext>
          </c:extLst>
        </c:ser>
        <c:dLbls>
          <c:dLblPos val="outEnd"/>
          <c:showLegendKey val="0"/>
          <c:showVal val="1"/>
          <c:showCatName val="0"/>
          <c:showSerName val="0"/>
          <c:showPercent val="0"/>
          <c:showBubbleSize val="0"/>
        </c:dLbls>
        <c:gapWidth val="219"/>
        <c:overlap val="-27"/>
        <c:axId val="2094521999"/>
        <c:axId val="2094517199"/>
      </c:barChart>
      <c:catAx>
        <c:axId val="2094521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517199"/>
        <c:crosses val="autoZero"/>
        <c:auto val="1"/>
        <c:lblAlgn val="ctr"/>
        <c:lblOffset val="100"/>
        <c:noMultiLvlLbl val="0"/>
      </c:catAx>
      <c:valAx>
        <c:axId val="2094517199"/>
        <c:scaling>
          <c:orientation val="minMax"/>
        </c:scaling>
        <c:delete val="1"/>
        <c:axPos val="l"/>
        <c:numFmt formatCode="0.00%" sourceLinked="1"/>
        <c:majorTickMark val="none"/>
        <c:minorTickMark val="none"/>
        <c:tickLblPos val="nextTo"/>
        <c:crossAx val="2094521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Financial</a:t>
            </a:r>
            <a:r>
              <a:rPr lang="en-US" baseline="0"/>
              <a:t> Leverage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'Dupont Analysis'!$B$109</c:f>
              <c:strCache>
                <c:ptCount val="1"/>
                <c:pt idx="0">
                  <c:v>Equity Multiplier (C)</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Analysis'!$C$91:$I$91</c:f>
              <c:numCache>
                <c:formatCode>General</c:formatCode>
                <c:ptCount val="7"/>
                <c:pt idx="0">
                  <c:v>2017</c:v>
                </c:pt>
                <c:pt idx="1">
                  <c:v>2018</c:v>
                </c:pt>
                <c:pt idx="2">
                  <c:v>2019</c:v>
                </c:pt>
                <c:pt idx="3">
                  <c:v>2020</c:v>
                </c:pt>
                <c:pt idx="4">
                  <c:v>2021</c:v>
                </c:pt>
                <c:pt idx="5">
                  <c:v>2022</c:v>
                </c:pt>
                <c:pt idx="6">
                  <c:v>2023</c:v>
                </c:pt>
              </c:numCache>
            </c:numRef>
          </c:cat>
          <c:val>
            <c:numRef>
              <c:f>'Dupont Analysis'!$C$109:$I$109</c:f>
              <c:numCache>
                <c:formatCode>0.00\x</c:formatCode>
                <c:ptCount val="7"/>
                <c:pt idx="0">
                  <c:v>2.36709351959643</c:v>
                </c:pt>
                <c:pt idx="1">
                  <c:v>2.4695063635694843</c:v>
                </c:pt>
                <c:pt idx="2">
                  <c:v>2.4837326436155731</c:v>
                </c:pt>
                <c:pt idx="3">
                  <c:v>2.4820479999999998</c:v>
                </c:pt>
                <c:pt idx="4">
                  <c:v>1.6038025145660839</c:v>
                </c:pt>
                <c:pt idx="5">
                  <c:v>1.4467771256427571</c:v>
                </c:pt>
                <c:pt idx="6">
                  <c:v>1.4520855452752919</c:v>
                </c:pt>
              </c:numCache>
            </c:numRef>
          </c:val>
          <c:extLst>
            <c:ext xmlns:c16="http://schemas.microsoft.com/office/drawing/2014/chart" uri="{C3380CC4-5D6E-409C-BE32-E72D297353CC}">
              <c16:uniqueId val="{00000000-CE36-4EE0-9516-309A23BE4011}"/>
            </c:ext>
          </c:extLst>
        </c:ser>
        <c:dLbls>
          <c:dLblPos val="outEnd"/>
          <c:showLegendKey val="0"/>
          <c:showVal val="1"/>
          <c:showCatName val="0"/>
          <c:showSerName val="0"/>
          <c:showPercent val="0"/>
          <c:showBubbleSize val="0"/>
        </c:dLbls>
        <c:gapWidth val="219"/>
        <c:overlap val="-27"/>
        <c:axId val="2094508079"/>
        <c:axId val="2094516719"/>
      </c:barChart>
      <c:catAx>
        <c:axId val="20945080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516719"/>
        <c:crosses val="autoZero"/>
        <c:auto val="1"/>
        <c:lblAlgn val="ctr"/>
        <c:lblOffset val="100"/>
        <c:noMultiLvlLbl val="0"/>
      </c:catAx>
      <c:valAx>
        <c:axId val="2094516719"/>
        <c:scaling>
          <c:orientation val="minMax"/>
        </c:scaling>
        <c:delete val="1"/>
        <c:axPos val="l"/>
        <c:numFmt formatCode="0.00\x" sourceLinked="1"/>
        <c:majorTickMark val="out"/>
        <c:minorTickMark val="none"/>
        <c:tickLblPos val="nextTo"/>
        <c:crossAx val="2094508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'Sales Forecast'!$D$4</c:f>
              <c:strCache>
                <c:ptCount val="1"/>
                <c:pt idx="0">
                  <c:v>Sales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tx1">
                    <a:lumMod val="85000"/>
                    <a:lumOff val="15000"/>
                  </a:schemeClr>
                </a:solidFill>
                <a:prstDash val="solid"/>
                <a:tailEnd w="sm" len="med"/>
              </a:ln>
              <a:effectLst/>
            </c:spPr>
            <c:trendlineType val="linear"/>
            <c:dispRSqr val="0"/>
            <c:dispEq val="0"/>
          </c:trendline>
          <c:xVal>
            <c:numRef>
              <c:f>'Sales Forecast'!$C$5:$C$14</c:f>
              <c:numCache>
                <c:formatCode>0"A"</c:formatCode>
                <c:ptCount val="10"/>
                <c:pt idx="0">
                  <c:v>2014</c:v>
                </c:pt>
                <c:pt idx="1">
                  <c:v>2015</c:v>
                </c:pt>
                <c:pt idx="2">
                  <c:v>2016</c:v>
                </c:pt>
                <c:pt idx="3">
                  <c:v>2017</c:v>
                </c:pt>
                <c:pt idx="4">
                  <c:v>2018</c:v>
                </c:pt>
                <c:pt idx="5">
                  <c:v>2019</c:v>
                </c:pt>
                <c:pt idx="6">
                  <c:v>2020</c:v>
                </c:pt>
                <c:pt idx="7">
                  <c:v>2021</c:v>
                </c:pt>
                <c:pt idx="8">
                  <c:v>2022</c:v>
                </c:pt>
                <c:pt idx="9">
                  <c:v>2023</c:v>
                </c:pt>
              </c:numCache>
            </c:numRef>
          </c:xVal>
          <c:yVal>
            <c:numRef>
              <c:f>'Sales Forecast'!$D$5:$D$14</c:f>
              <c:numCache>
                <c:formatCode>"₹"\ #,##0.00</c:formatCode>
                <c:ptCount val="10"/>
                <c:pt idx="0">
                  <c:v>29233.74</c:v>
                </c:pt>
                <c:pt idx="1">
                  <c:v>31972.19</c:v>
                </c:pt>
                <c:pt idx="2">
                  <c:v>32186</c:v>
                </c:pt>
                <c:pt idx="3">
                  <c:v>33162</c:v>
                </c:pt>
                <c:pt idx="4">
                  <c:v>35545</c:v>
                </c:pt>
                <c:pt idx="5">
                  <c:v>39310</c:v>
                </c:pt>
                <c:pt idx="6">
                  <c:v>39783</c:v>
                </c:pt>
                <c:pt idx="7">
                  <c:v>47028</c:v>
                </c:pt>
                <c:pt idx="8">
                  <c:v>52446</c:v>
                </c:pt>
                <c:pt idx="9">
                  <c:v>60580</c:v>
                </c:pt>
              </c:numCache>
            </c:numRef>
          </c:yVal>
          <c:smooth val="0"/>
          <c:extLst>
            <c:ext xmlns:c16="http://schemas.microsoft.com/office/drawing/2014/chart" uri="{C3380CC4-5D6E-409C-BE32-E72D297353CC}">
              <c16:uniqueId val="{00000000-1BB2-45C3-BA87-005C9E10E1B0}"/>
            </c:ext>
          </c:extLst>
        </c:ser>
        <c:dLbls>
          <c:showLegendKey val="0"/>
          <c:showVal val="0"/>
          <c:showCatName val="0"/>
          <c:showSerName val="0"/>
          <c:showPercent val="0"/>
          <c:showBubbleSize val="0"/>
        </c:dLbls>
        <c:axId val="1071327008"/>
        <c:axId val="1071333248"/>
      </c:scatterChart>
      <c:valAx>
        <c:axId val="1071327008"/>
        <c:scaling>
          <c:orientation val="minMax"/>
        </c:scaling>
        <c:delete val="0"/>
        <c:axPos val="b"/>
        <c:majorGridlines>
          <c:spPr>
            <a:ln w="9525" cap="flat" cmpd="sng" algn="ctr">
              <a:solidFill>
                <a:schemeClr val="tx1">
                  <a:lumMod val="15000"/>
                  <a:lumOff val="85000"/>
                </a:schemeClr>
              </a:solidFill>
              <a:round/>
            </a:ln>
            <a:effectLst/>
          </c:spPr>
        </c:majorGridlines>
        <c:numFmt formatCode="0&quot;A&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333248"/>
        <c:crosses val="autoZero"/>
        <c:crossBetween val="midCat"/>
      </c:valAx>
      <c:valAx>
        <c:axId val="10713332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3270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53340</xdr:colOff>
      <xdr:row>16</xdr:row>
      <xdr:rowOff>7620</xdr:rowOff>
    </xdr:from>
    <xdr:to>
      <xdr:col>4</xdr:col>
      <xdr:colOff>198120</xdr:colOff>
      <xdr:row>26</xdr:row>
      <xdr:rowOff>224790</xdr:rowOff>
    </xdr:to>
    <xdr:graphicFrame macro="">
      <xdr:nvGraphicFramePr>
        <xdr:cNvPr id="24" name="Chart 23">
          <a:extLst>
            <a:ext uri="{FF2B5EF4-FFF2-40B4-BE49-F238E27FC236}">
              <a16:creationId xmlns:a16="http://schemas.microsoft.com/office/drawing/2014/main" id="{BC870011-1A0F-7399-716E-9A08D0B333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16</xdr:row>
      <xdr:rowOff>38100</xdr:rowOff>
    </xdr:from>
    <xdr:to>
      <xdr:col>10</xdr:col>
      <xdr:colOff>45720</xdr:colOff>
      <xdr:row>27</xdr:row>
      <xdr:rowOff>22860</xdr:rowOff>
    </xdr:to>
    <xdr:graphicFrame macro="">
      <xdr:nvGraphicFramePr>
        <xdr:cNvPr id="25" name="Chart 24">
          <a:extLst>
            <a:ext uri="{FF2B5EF4-FFF2-40B4-BE49-F238E27FC236}">
              <a16:creationId xmlns:a16="http://schemas.microsoft.com/office/drawing/2014/main" id="{FA3D1B9B-EEA4-8019-1EDA-24476BE9A8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28</xdr:row>
      <xdr:rowOff>102870</xdr:rowOff>
    </xdr:from>
    <xdr:to>
      <xdr:col>4</xdr:col>
      <xdr:colOff>243840</xdr:colOff>
      <xdr:row>39</xdr:row>
      <xdr:rowOff>175260</xdr:rowOff>
    </xdr:to>
    <xdr:graphicFrame macro="">
      <xdr:nvGraphicFramePr>
        <xdr:cNvPr id="26" name="Chart 25">
          <a:extLst>
            <a:ext uri="{FF2B5EF4-FFF2-40B4-BE49-F238E27FC236}">
              <a16:creationId xmlns:a16="http://schemas.microsoft.com/office/drawing/2014/main" id="{0B6056D7-E138-44B8-C8FC-A23CCA2AEC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556260</xdr:colOff>
      <xdr:row>28</xdr:row>
      <xdr:rowOff>152400</xdr:rowOff>
    </xdr:from>
    <xdr:to>
      <xdr:col>10</xdr:col>
      <xdr:colOff>121920</xdr:colOff>
      <xdr:row>42</xdr:row>
      <xdr:rowOff>38100</xdr:rowOff>
    </xdr:to>
    <xdr:graphicFrame macro="">
      <xdr:nvGraphicFramePr>
        <xdr:cNvPr id="27" name="Chart 26">
          <a:extLst>
            <a:ext uri="{FF2B5EF4-FFF2-40B4-BE49-F238E27FC236}">
              <a16:creationId xmlns:a16="http://schemas.microsoft.com/office/drawing/2014/main" id="{84988689-B19A-A398-A3C1-94CDAE5FBB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43</xdr:row>
      <xdr:rowOff>15240</xdr:rowOff>
    </xdr:from>
    <xdr:to>
      <xdr:col>4</xdr:col>
      <xdr:colOff>190500</xdr:colOff>
      <xdr:row>53</xdr:row>
      <xdr:rowOff>137160</xdr:rowOff>
    </xdr:to>
    <xdr:graphicFrame macro="">
      <xdr:nvGraphicFramePr>
        <xdr:cNvPr id="28" name="Chart 27">
          <a:extLst>
            <a:ext uri="{FF2B5EF4-FFF2-40B4-BE49-F238E27FC236}">
              <a16:creationId xmlns:a16="http://schemas.microsoft.com/office/drawing/2014/main" id="{8C8CB44A-6373-7679-942E-32FAD8D4BE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0</xdr:colOff>
      <xdr:row>43</xdr:row>
      <xdr:rowOff>30480</xdr:rowOff>
    </xdr:from>
    <xdr:to>
      <xdr:col>10</xdr:col>
      <xdr:colOff>312420</xdr:colOff>
      <xdr:row>53</xdr:row>
      <xdr:rowOff>144780</xdr:rowOff>
    </xdr:to>
    <xdr:graphicFrame macro="">
      <xdr:nvGraphicFramePr>
        <xdr:cNvPr id="29" name="Chart 28">
          <a:extLst>
            <a:ext uri="{FF2B5EF4-FFF2-40B4-BE49-F238E27FC236}">
              <a16:creationId xmlns:a16="http://schemas.microsoft.com/office/drawing/2014/main" id="{2DBF9046-0147-6489-5CBA-D97A13D5C9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7</xdr:col>
      <xdr:colOff>622300</xdr:colOff>
      <xdr:row>0</xdr:row>
      <xdr:rowOff>88900</xdr:rowOff>
    </xdr:from>
    <xdr:to>
      <xdr:col>10</xdr:col>
      <xdr:colOff>541020</xdr:colOff>
      <xdr:row>5</xdr:row>
      <xdr:rowOff>152400</xdr:rowOff>
    </xdr:to>
    <xdr:pic>
      <xdr:nvPicPr>
        <xdr:cNvPr id="30" name="Picture 29">
          <a:extLst>
            <a:ext uri="{FF2B5EF4-FFF2-40B4-BE49-F238E27FC236}">
              <a16:creationId xmlns:a16="http://schemas.microsoft.com/office/drawing/2014/main" id="{858B43A6-9589-D4D4-FCDE-3A4DF4624DBE}"/>
            </a:ext>
          </a:extLst>
        </xdr:cNvPr>
        <xdr:cNvPicPr>
          <a:picLocks noChangeAspect="1"/>
        </xdr:cNvPicPr>
      </xdr:nvPicPr>
      <xdr:blipFill>
        <a:blip xmlns:r="http://schemas.openxmlformats.org/officeDocument/2006/relationships" r:embed="rId7"/>
        <a:stretch>
          <a:fillRect/>
        </a:stretch>
      </xdr:blipFill>
      <xdr:spPr>
        <a:xfrm>
          <a:off x="6344920" y="88900"/>
          <a:ext cx="2113280" cy="2014220"/>
        </a:xfrm>
        <a:prstGeom prst="rect">
          <a:avLst/>
        </a:prstGeom>
      </xdr:spPr>
    </xdr:pic>
    <xdr:clientData/>
  </xdr:twoCellAnchor>
  <xdr:twoCellAnchor>
    <xdr:from>
      <xdr:col>1</xdr:col>
      <xdr:colOff>61837</xdr:colOff>
      <xdr:row>85</xdr:row>
      <xdr:rowOff>97820</xdr:rowOff>
    </xdr:from>
    <xdr:to>
      <xdr:col>9</xdr:col>
      <xdr:colOff>60990</xdr:colOff>
      <xdr:row>87</xdr:row>
      <xdr:rowOff>33306</xdr:rowOff>
    </xdr:to>
    <xdr:sp macro="" textlink="">
      <xdr:nvSpPr>
        <xdr:cNvPr id="32" name="TextBox 31">
          <a:extLst>
            <a:ext uri="{FF2B5EF4-FFF2-40B4-BE49-F238E27FC236}">
              <a16:creationId xmlns:a16="http://schemas.microsoft.com/office/drawing/2014/main" id="{17BBB660-4F03-4779-941C-2CCE128A988E}"/>
            </a:ext>
          </a:extLst>
        </xdr:cNvPr>
        <xdr:cNvSpPr txBox="1"/>
      </xdr:nvSpPr>
      <xdr:spPr>
        <a:xfrm>
          <a:off x="61837" y="10720100"/>
          <a:ext cx="6918113" cy="301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800" b="1" i="0">
              <a:solidFill>
                <a:srgbClr val="0070C0"/>
              </a:solidFill>
              <a:effectLst/>
              <a:latin typeface="+mn-lt"/>
              <a:ea typeface="+mn-ea"/>
              <a:cs typeface="+mn-cs"/>
            </a:rPr>
            <a:t>Dupont Analysis - Return on Equity &amp; Return</a:t>
          </a:r>
          <a:r>
            <a:rPr lang="en-IN" sz="1800" b="1" i="0" baseline="0">
              <a:solidFill>
                <a:srgbClr val="0070C0"/>
              </a:solidFill>
              <a:effectLst/>
              <a:latin typeface="+mn-lt"/>
              <a:ea typeface="+mn-ea"/>
              <a:cs typeface="+mn-cs"/>
            </a:rPr>
            <a:t> on Asset</a:t>
          </a:r>
          <a:endParaRPr lang="en-IN" sz="1800" b="1" i="0">
            <a:solidFill>
              <a:srgbClr val="0070C0"/>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472440</xdr:colOff>
      <xdr:row>1</xdr:row>
      <xdr:rowOff>102870</xdr:rowOff>
    </xdr:from>
    <xdr:to>
      <xdr:col>11</xdr:col>
      <xdr:colOff>586740</xdr:colOff>
      <xdr:row>16</xdr:row>
      <xdr:rowOff>102870</xdr:rowOff>
    </xdr:to>
    <xdr:graphicFrame macro="">
      <xdr:nvGraphicFramePr>
        <xdr:cNvPr id="2" name="Chart 1">
          <a:extLst>
            <a:ext uri="{FF2B5EF4-FFF2-40B4-BE49-F238E27FC236}">
              <a16:creationId xmlns:a16="http://schemas.microsoft.com/office/drawing/2014/main" id="{C2F04D36-3C82-11A2-79DE-EE77B6E67B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seja\Downloads\Dupont%20Analysis%20Model.xlsx" TargetMode="External"/><Relationship Id="rId1" Type="http://schemas.openxmlformats.org/officeDocument/2006/relationships/externalLinkPath" Target="file:///C:\Users\sseja\Downloads\Dupont%20Analysis%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gt;"/>
      <sheetName val="WACC"/>
      <sheetName val="Data&gt;"/>
      <sheetName val="Beta - Regression"/>
      <sheetName val="Beta - Comps"/>
      <sheetName val="Rm"/>
      <sheetName val="Intrisic Growth"/>
      <sheetName val="DCF"/>
      <sheetName val="Comps_Val"/>
      <sheetName val="Football Field"/>
      <sheetName val="Relative Data"/>
      <sheetName val="HistoricalFS"/>
      <sheetName val="Dupont Analysis"/>
      <sheetName val="Data Room&gt;"/>
      <sheetName val="List of Stocks"/>
      <sheetName val="Data Sheet"/>
      <sheetName val="Raw FS"/>
    </sheetNames>
    <sheetDataSet>
      <sheetData sheetId="0"/>
      <sheetData sheetId="1"/>
      <sheetData sheetId="2"/>
      <sheetData sheetId="3"/>
      <sheetData sheetId="4"/>
      <sheetData sheetId="5"/>
      <sheetData sheetId="6"/>
      <sheetData sheetId="7"/>
      <sheetData sheetId="8"/>
      <sheetData sheetId="9"/>
      <sheetData sheetId="10"/>
      <sheetData sheetId="11">
        <row r="3">
          <cell r="F3">
            <v>42825</v>
          </cell>
          <cell r="G3">
            <v>43190</v>
          </cell>
          <cell r="H3">
            <v>43555</v>
          </cell>
          <cell r="I3">
            <v>43921</v>
          </cell>
          <cell r="J3">
            <v>44286</v>
          </cell>
          <cell r="K3">
            <v>44651</v>
          </cell>
          <cell r="L3">
            <v>45016</v>
          </cell>
        </row>
      </sheetData>
      <sheetData sheetId="12">
        <row r="67">
          <cell r="F67">
            <v>43921</v>
          </cell>
        </row>
      </sheetData>
      <sheetData sheetId="13"/>
      <sheetData sheetId="14"/>
      <sheetData sheetId="15">
        <row r="8">
          <cell r="A8" t="str">
            <v>Current Price</v>
          </cell>
        </row>
      </sheetData>
      <sheetData sheetId="16"/>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screener.in/company/PGHH/" TargetMode="External"/><Relationship Id="rId2" Type="http://schemas.openxmlformats.org/officeDocument/2006/relationships/hyperlink" Target="https://www.screener.in/company/COLPAL/" TargetMode="External"/><Relationship Id="rId1" Type="http://schemas.openxmlformats.org/officeDocument/2006/relationships/hyperlink" Target="https://www.screener.in/company/HINDUNILVR/consolidated/" TargetMode="External"/><Relationship Id="rId5" Type="http://schemas.openxmlformats.org/officeDocument/2006/relationships/printerSettings" Target="../printerSettings/printerSettings1.bin"/><Relationship Id="rId4" Type="http://schemas.openxmlformats.org/officeDocument/2006/relationships/hyperlink" Target="https://www.screener.in/company/GILLETT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https://www.screener.in/company/compare/00000027/00000066/?sort=net+profit&amp;order=desc" TargetMode="External"/><Relationship Id="rId13" Type="http://schemas.openxmlformats.org/officeDocument/2006/relationships/hyperlink" Target="https://www.screener.in/company/PGHH/" TargetMode="External"/><Relationship Id="rId3" Type="http://schemas.openxmlformats.org/officeDocument/2006/relationships/hyperlink" Target="https://www.screener.in/company/compare/00000027/00000066/?sort=number+of+equity+shares&amp;order=desc" TargetMode="External"/><Relationship Id="rId7" Type="http://schemas.openxmlformats.org/officeDocument/2006/relationships/hyperlink" Target="https://www.screener.in/company/compare/00000027/00000066/?sort=sales&amp;order=desc" TargetMode="External"/><Relationship Id="rId12" Type="http://schemas.openxmlformats.org/officeDocument/2006/relationships/hyperlink" Target="https://www.screener.in/company/COLPAL/" TargetMode="External"/><Relationship Id="rId2" Type="http://schemas.openxmlformats.org/officeDocument/2006/relationships/hyperlink" Target="https://www.screener.in/company/compare/00000027/00000066/?sort=current+price&amp;order=desc" TargetMode="External"/><Relationship Id="rId16" Type="http://schemas.openxmlformats.org/officeDocument/2006/relationships/drawing" Target="../drawings/drawing2.xml"/><Relationship Id="rId1" Type="http://schemas.openxmlformats.org/officeDocument/2006/relationships/hyperlink" Target="https://www.screener.in/company/compare/00000027/00000066/?sort=name&amp;order=desc" TargetMode="External"/><Relationship Id="rId6" Type="http://schemas.openxmlformats.org/officeDocument/2006/relationships/hyperlink" Target="https://www.screener.in/company/compare/00000027/00000066/?sort=enterprise+value&amp;order=desc" TargetMode="External"/><Relationship Id="rId11" Type="http://schemas.openxmlformats.org/officeDocument/2006/relationships/hyperlink" Target="https://www.screener.in/company/HINDUNILVR/consolidated/" TargetMode="External"/><Relationship Id="rId5" Type="http://schemas.openxmlformats.org/officeDocument/2006/relationships/hyperlink" Target="https://www.screener.in/company/compare/00000027/00000066/?sort=cash+end+of+last+year&amp;order=desc" TargetMode="External"/><Relationship Id="rId15" Type="http://schemas.openxmlformats.org/officeDocument/2006/relationships/printerSettings" Target="../printerSettings/printerSettings5.bin"/><Relationship Id="rId10" Type="http://schemas.openxmlformats.org/officeDocument/2006/relationships/hyperlink" Target="https://www.screener.in/company/compare/00000027/00000066/?sort=market+capitalization&amp;order=desc" TargetMode="External"/><Relationship Id="rId4" Type="http://schemas.openxmlformats.org/officeDocument/2006/relationships/hyperlink" Target="https://www.screener.in/company/compare/00000027/00000066/?sort=debt&amp;order=desc" TargetMode="External"/><Relationship Id="rId9" Type="http://schemas.openxmlformats.org/officeDocument/2006/relationships/hyperlink" Target="https://www.screener.in/company/compare/00000027/00000066/?sort=ebidt+last+year&amp;order=desc" TargetMode="External"/><Relationship Id="rId14" Type="http://schemas.openxmlformats.org/officeDocument/2006/relationships/hyperlink" Target="https://www.screener.in/company/GILLETT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681F6-1FEA-4478-87EB-F7D581AB78D5}">
  <dimension ref="B3:L51"/>
  <sheetViews>
    <sheetView workbookViewId="0">
      <selection activeCell="B1" sqref="B1"/>
    </sheetView>
  </sheetViews>
  <sheetFormatPr defaultRowHeight="14.4" x14ac:dyDescent="0.3"/>
  <cols>
    <col min="1" max="1" width="1.88671875" customWidth="1"/>
    <col min="2" max="2" width="44.109375" customWidth="1"/>
    <col min="3" max="3" width="20.21875" bestFit="1" customWidth="1"/>
    <col min="4" max="4" width="13" customWidth="1"/>
    <col min="5" max="8" width="12" bestFit="1" customWidth="1"/>
    <col min="9" max="9" width="13" customWidth="1"/>
    <col min="10" max="10" width="19.21875" bestFit="1" customWidth="1"/>
    <col min="11" max="12" width="13" customWidth="1"/>
    <col min="13" max="13" width="15.109375" customWidth="1"/>
    <col min="14" max="14" width="10.44140625" bestFit="1" customWidth="1"/>
    <col min="15" max="15" width="10" bestFit="1" customWidth="1"/>
  </cols>
  <sheetData>
    <row r="3" spans="2:12" x14ac:dyDescent="0.3">
      <c r="B3" s="11" t="s">
        <v>348</v>
      </c>
      <c r="C3" s="113">
        <f>HistoricalFS!L3</f>
        <v>45016</v>
      </c>
      <c r="D3" s="114">
        <f>+C3+365</f>
        <v>45381</v>
      </c>
      <c r="E3" s="114">
        <f t="shared" ref="E3:H3" si="0">+D3+365</f>
        <v>45746</v>
      </c>
      <c r="F3" s="114">
        <f t="shared" si="0"/>
        <v>46111</v>
      </c>
      <c r="G3" s="114">
        <f t="shared" si="0"/>
        <v>46476</v>
      </c>
      <c r="H3" s="114">
        <f t="shared" si="0"/>
        <v>46841</v>
      </c>
    </row>
    <row r="4" spans="2:12" x14ac:dyDescent="0.3">
      <c r="D4">
        <v>1</v>
      </c>
      <c r="E4">
        <v>2</v>
      </c>
      <c r="F4">
        <v>3</v>
      </c>
      <c r="G4">
        <v>4</v>
      </c>
      <c r="H4">
        <v>5</v>
      </c>
    </row>
    <row r="5" spans="2:12" x14ac:dyDescent="0.3">
      <c r="B5" t="s">
        <v>12</v>
      </c>
      <c r="C5" s="20">
        <f>+HistoricalFS!L6</f>
        <v>60580</v>
      </c>
      <c r="D5" s="20">
        <f>+C5*(1+$C$22)</f>
        <v>64421.804344428594</v>
      </c>
      <c r="E5" s="20">
        <f t="shared" ref="E5:H5" si="1">+D5*(1+$C$22)</f>
        <v>68507.244552522927</v>
      </c>
      <c r="F5" s="20">
        <f t="shared" si="1"/>
        <v>72851.771289840763</v>
      </c>
      <c r="G5" s="20">
        <f t="shared" si="1"/>
        <v>77471.815057431202</v>
      </c>
      <c r="H5" s="20">
        <f t="shared" si="1"/>
        <v>82384.848330102177</v>
      </c>
    </row>
    <row r="6" spans="2:12" x14ac:dyDescent="0.3">
      <c r="B6" s="13" t="s">
        <v>238</v>
      </c>
      <c r="C6" s="20">
        <f>+HistoricalFS!L52</f>
        <v>13458</v>
      </c>
      <c r="D6" s="20">
        <f>C6*(1+$C$22)</f>
        <v>14311.466537922088</v>
      </c>
      <c r="E6" s="20">
        <f t="shared" ref="E6:H6" si="2">D6*(1+$C$22)</f>
        <v>15219.057398280846</v>
      </c>
      <c r="F6" s="20">
        <f t="shared" si="2"/>
        <v>16184.204985451917</v>
      </c>
      <c r="G6" s="20">
        <f t="shared" si="2"/>
        <v>17210.559376740002</v>
      </c>
      <c r="H6" s="20">
        <f t="shared" si="2"/>
        <v>18302.002126551921</v>
      </c>
      <c r="I6" s="20"/>
      <c r="J6" s="20"/>
      <c r="K6" s="20"/>
      <c r="L6" s="20"/>
    </row>
    <row r="7" spans="2:12" x14ac:dyDescent="0.3">
      <c r="F7" s="109"/>
      <c r="G7" s="109"/>
      <c r="H7" s="109"/>
      <c r="I7" s="109"/>
      <c r="J7" s="109"/>
    </row>
    <row r="8" spans="2:12" x14ac:dyDescent="0.3">
      <c r="B8" s="78" t="s">
        <v>349</v>
      </c>
      <c r="C8" s="115">
        <f>+HistoricalFS!L34</f>
        <v>0.23988309352517986</v>
      </c>
      <c r="D8" s="115">
        <f>+AVERAGE(HistoricalFS!H34:L34)</f>
        <v>0.2591185201558931</v>
      </c>
      <c r="E8" s="115">
        <f>+D8</f>
        <v>0.2591185201558931</v>
      </c>
      <c r="F8" s="115">
        <f>+E8</f>
        <v>0.2591185201558931</v>
      </c>
      <c r="G8" s="115">
        <f>+F8</f>
        <v>0.2591185201558931</v>
      </c>
      <c r="H8" s="115">
        <f>+G8</f>
        <v>0.2591185201558931</v>
      </c>
      <c r="I8" s="110"/>
      <c r="J8" s="110"/>
    </row>
    <row r="9" spans="2:12" x14ac:dyDescent="0.3">
      <c r="B9" s="78"/>
      <c r="C9" s="78"/>
      <c r="D9" s="78"/>
      <c r="E9" s="78"/>
      <c r="F9" s="78"/>
      <c r="G9" s="78"/>
      <c r="H9" s="78"/>
      <c r="I9" s="78"/>
      <c r="J9" s="78"/>
    </row>
    <row r="10" spans="2:12" x14ac:dyDescent="0.3">
      <c r="B10" t="s">
        <v>345</v>
      </c>
      <c r="C10" s="20">
        <f>C6*(1-C8)</f>
        <v>10229.653327338128</v>
      </c>
      <c r="D10" s="20">
        <f t="shared" ref="D10:H10" si="3">D6*(1-D8)</f>
        <v>10603.100507355133</v>
      </c>
      <c r="E10" s="20">
        <f t="shared" si="3"/>
        <v>11275.517767070716</v>
      </c>
      <c r="F10" s="20">
        <f t="shared" si="3"/>
        <v>11990.57773972199</v>
      </c>
      <c r="G10" s="20">
        <f t="shared" si="3"/>
        <v>12750.984699984003</v>
      </c>
      <c r="H10" s="20">
        <f t="shared" si="3"/>
        <v>13559.614419629779</v>
      </c>
    </row>
    <row r="11" spans="2:12" x14ac:dyDescent="0.3">
      <c r="B11" t="s">
        <v>369</v>
      </c>
      <c r="C11" s="20">
        <f>+HistoricalFS!L27</f>
        <v>1137</v>
      </c>
      <c r="D11" s="20">
        <f>+D5*AVERAGE(HistoricalFS!$H$28:$L$28)</f>
        <v>1313.7918482126565</v>
      </c>
      <c r="E11" s="20">
        <f>+E5*AVERAGE(HistoricalFS!$H$28:$L$28)</f>
        <v>1397.1086397302904</v>
      </c>
      <c r="F11" s="20">
        <f>+F5*AVERAGE(HistoricalFS!$H$28:$L$28)</f>
        <v>1485.7091356324784</v>
      </c>
      <c r="G11" s="20">
        <f>+G5*AVERAGE(HistoricalFS!$H$28:$L$28)</f>
        <v>1579.9284128168645</v>
      </c>
      <c r="H11" s="20">
        <f>+H5*AVERAGE(HistoricalFS!$H$28:$L$28)</f>
        <v>1680.1227977664519</v>
      </c>
      <c r="I11" s="62"/>
      <c r="J11" s="62"/>
    </row>
    <row r="12" spans="2:12" x14ac:dyDescent="0.3">
      <c r="B12" t="s">
        <v>370</v>
      </c>
      <c r="C12" s="42">
        <f>+'Intrinsic Growth'!G54</f>
        <v>0.20655165835455128</v>
      </c>
      <c r="D12" s="42">
        <f>+C12</f>
        <v>0.20655165835455128</v>
      </c>
      <c r="E12" s="42">
        <f t="shared" ref="E12:H12" si="4">+D12</f>
        <v>0.20655165835455128</v>
      </c>
      <c r="F12" s="42">
        <f t="shared" si="4"/>
        <v>0.20655165835455128</v>
      </c>
      <c r="G12" s="42">
        <f t="shared" si="4"/>
        <v>0.20655165835455128</v>
      </c>
      <c r="H12" s="42">
        <f t="shared" si="4"/>
        <v>0.20655165835455128</v>
      </c>
      <c r="I12" s="62"/>
      <c r="J12" s="62"/>
    </row>
    <row r="13" spans="2:12" x14ac:dyDescent="0.3">
      <c r="G13" s="62"/>
    </row>
    <row r="14" spans="2:12" x14ac:dyDescent="0.3">
      <c r="B14" t="s">
        <v>350</v>
      </c>
      <c r="C14" s="20">
        <f>+C10*(1-C12)+C11</f>
        <v>9253.7014681842847</v>
      </c>
      <c r="D14" s="20">
        <f t="shared" ref="D14:H14" si="5">+D10*(1-D12)+D11</f>
        <v>9726.8043620736044</v>
      </c>
      <c r="E14" s="20">
        <f t="shared" si="5"/>
        <v>10343.649513206343</v>
      </c>
      <c r="F14" s="20">
        <f t="shared" si="5"/>
        <v>10999.613158585724</v>
      </c>
      <c r="G14" s="20">
        <f t="shared" si="5"/>
        <v>11697.176077365661</v>
      </c>
      <c r="H14" s="20">
        <f t="shared" si="5"/>
        <v>12438.976372373414</v>
      </c>
    </row>
    <row r="15" spans="2:12" x14ac:dyDescent="0.3">
      <c r="B15" s="13"/>
      <c r="G15" s="13"/>
    </row>
    <row r="16" spans="2:12" x14ac:dyDescent="0.3">
      <c r="B16" s="62" t="s">
        <v>351</v>
      </c>
      <c r="D16">
        <v>0.5</v>
      </c>
      <c r="E16">
        <f>+D16+1</f>
        <v>1.5</v>
      </c>
      <c r="F16">
        <f t="shared" ref="F16:H16" si="6">+E16+1</f>
        <v>2.5</v>
      </c>
      <c r="G16">
        <f t="shared" si="6"/>
        <v>3.5</v>
      </c>
      <c r="H16">
        <f t="shared" si="6"/>
        <v>4.5</v>
      </c>
    </row>
    <row r="17" spans="2:12" x14ac:dyDescent="0.3">
      <c r="B17" t="s">
        <v>352</v>
      </c>
      <c r="D17">
        <f>1/(1+$C$24)^D4</f>
        <v>0.8914729210150294</v>
      </c>
      <c r="E17">
        <f>1/(1+$C$24)^E4</f>
        <v>0.79472396890306884</v>
      </c>
      <c r="F17">
        <f t="shared" ref="F17:H17" si="7">1/(1+$C$24)^F4</f>
        <v>0.70847489795867635</v>
      </c>
      <c r="G17">
        <f t="shared" si="7"/>
        <v>0.6315861867490461</v>
      </c>
      <c r="H17">
        <f t="shared" si="7"/>
        <v>0.56304198277391593</v>
      </c>
      <c r="J17" s="91"/>
    </row>
    <row r="18" spans="2:12" x14ac:dyDescent="0.3">
      <c r="E18" s="42"/>
      <c r="J18" s="91"/>
      <c r="L18" s="55"/>
    </row>
    <row r="19" spans="2:12" x14ac:dyDescent="0.3">
      <c r="B19" t="s">
        <v>353</v>
      </c>
      <c r="D19" s="20">
        <f>+D14*D17</f>
        <v>8671.1826967994857</v>
      </c>
      <c r="E19" s="20">
        <f t="shared" ref="E19:H19" si="8">+E14*E17</f>
        <v>8220.3461940776415</v>
      </c>
      <c r="F19" s="20">
        <f t="shared" si="8"/>
        <v>7792.9498101139343</v>
      </c>
      <c r="G19" s="20">
        <f t="shared" si="8"/>
        <v>7387.7748344355423</v>
      </c>
      <c r="H19" s="20">
        <f t="shared" si="8"/>
        <v>7003.6659203790186</v>
      </c>
      <c r="J19" s="160"/>
    </row>
    <row r="22" spans="2:12" x14ac:dyDescent="0.3">
      <c r="B22" s="13" t="s">
        <v>354</v>
      </c>
      <c r="C22" s="42">
        <f>+'Intrinsic Growth'!G63</f>
        <v>6.3417041010706429E-2</v>
      </c>
      <c r="G22" s="13"/>
    </row>
    <row r="23" spans="2:12" x14ac:dyDescent="0.3">
      <c r="B23" t="s">
        <v>355</v>
      </c>
      <c r="C23" s="106">
        <v>0.05</v>
      </c>
      <c r="G23" s="13"/>
    </row>
    <row r="24" spans="2:12" x14ac:dyDescent="0.3">
      <c r="B24" t="s">
        <v>330</v>
      </c>
      <c r="C24" s="42">
        <f>'Peers Comparison'!J45</f>
        <v>0.12173906399916429</v>
      </c>
      <c r="D24" s="111"/>
      <c r="E24" s="111"/>
      <c r="G24" s="62"/>
      <c r="J24" s="62"/>
    </row>
    <row r="25" spans="2:12" x14ac:dyDescent="0.3">
      <c r="C25" s="81"/>
      <c r="D25" s="95"/>
      <c r="E25" s="95"/>
      <c r="J25" s="95"/>
    </row>
    <row r="26" spans="2:12" x14ac:dyDescent="0.3">
      <c r="B26" s="11" t="s">
        <v>356</v>
      </c>
      <c r="C26" s="81"/>
      <c r="D26" s="95"/>
      <c r="E26" s="42"/>
      <c r="J26" s="42"/>
    </row>
    <row r="27" spans="2:12" x14ac:dyDescent="0.3">
      <c r="B27" t="s">
        <v>357</v>
      </c>
      <c r="C27" s="112">
        <f>H14*(1+C23)</f>
        <v>13060.925190992086</v>
      </c>
      <c r="D27" s="42"/>
      <c r="E27" s="42"/>
      <c r="J27" s="62"/>
      <c r="K27" s="62"/>
    </row>
    <row r="28" spans="2:12" x14ac:dyDescent="0.3">
      <c r="B28" t="s">
        <v>330</v>
      </c>
      <c r="C28" s="42">
        <f>+C24</f>
        <v>0.12173906399916429</v>
      </c>
    </row>
    <row r="29" spans="2:12" x14ac:dyDescent="0.3">
      <c r="B29" t="s">
        <v>355</v>
      </c>
      <c r="C29" s="106">
        <v>0.05</v>
      </c>
      <c r="D29" s="42"/>
      <c r="E29" s="42"/>
      <c r="G29" s="13"/>
    </row>
    <row r="30" spans="2:12" x14ac:dyDescent="0.3">
      <c r="G30" s="62"/>
    </row>
    <row r="31" spans="2:12" x14ac:dyDescent="0.3">
      <c r="B31" t="s">
        <v>358</v>
      </c>
      <c r="C31" s="20">
        <f>+C27/(C28-C29)</f>
        <v>182061.55005234299</v>
      </c>
      <c r="J31" s="42"/>
    </row>
    <row r="32" spans="2:12" x14ac:dyDescent="0.3">
      <c r="B32" s="101"/>
      <c r="C32" s="78"/>
      <c r="D32" s="78"/>
      <c r="J32" s="42"/>
    </row>
    <row r="33" spans="2:10" x14ac:dyDescent="0.3">
      <c r="B33" s="101"/>
      <c r="C33" s="78"/>
      <c r="D33" s="78"/>
    </row>
    <row r="34" spans="2:10" x14ac:dyDescent="0.3">
      <c r="B34" s="11" t="s">
        <v>359</v>
      </c>
      <c r="C34" s="81"/>
      <c r="D34" s="78"/>
      <c r="J34" s="42"/>
    </row>
    <row r="35" spans="2:10" x14ac:dyDescent="0.3">
      <c r="B35" t="s">
        <v>353</v>
      </c>
      <c r="C35" s="20">
        <f>SUM(D19:H19)</f>
        <v>39075.919455805619</v>
      </c>
      <c r="J35" s="42"/>
    </row>
    <row r="36" spans="2:10" x14ac:dyDescent="0.3">
      <c r="B36" t="s">
        <v>360</v>
      </c>
      <c r="C36" s="20">
        <f>+C31*H17</f>
        <v>102508.29612836374</v>
      </c>
    </row>
    <row r="37" spans="2:10" x14ac:dyDescent="0.3">
      <c r="B37" t="s">
        <v>361</v>
      </c>
      <c r="C37" s="20">
        <f>SUM(C35:C36)</f>
        <v>141584.21558416937</v>
      </c>
      <c r="J37" s="55"/>
    </row>
    <row r="39" spans="2:10" x14ac:dyDescent="0.3">
      <c r="B39" t="s">
        <v>362</v>
      </c>
      <c r="C39" s="20">
        <f>+HistoricalFS!L96</f>
        <v>4678</v>
      </c>
    </row>
    <row r="40" spans="2:10" x14ac:dyDescent="0.3">
      <c r="B40" t="s">
        <v>445</v>
      </c>
      <c r="C40" s="20">
        <f>+HistoricalFS!L66</f>
        <v>218</v>
      </c>
    </row>
    <row r="41" spans="2:10" x14ac:dyDescent="0.3">
      <c r="B41" t="s">
        <v>363</v>
      </c>
      <c r="C41" s="20">
        <f>+'Peers Comparison'!D10</f>
        <v>1272</v>
      </c>
    </row>
    <row r="43" spans="2:10" x14ac:dyDescent="0.3">
      <c r="B43" t="s">
        <v>364</v>
      </c>
      <c r="C43" s="20">
        <f>+C37+C39-C41+C40</f>
        <v>145208.21558416937</v>
      </c>
    </row>
    <row r="44" spans="2:10" x14ac:dyDescent="0.3">
      <c r="B44" t="s">
        <v>365</v>
      </c>
      <c r="C44">
        <f>+HistoricalFS!L43</f>
        <v>234.96</v>
      </c>
    </row>
    <row r="45" spans="2:10" x14ac:dyDescent="0.3">
      <c r="B45" s="13" t="s">
        <v>366</v>
      </c>
      <c r="C45" s="50">
        <f>+C43/C44</f>
        <v>618.01249397416314</v>
      </c>
    </row>
    <row r="46" spans="2:10" x14ac:dyDescent="0.3">
      <c r="B46" s="13"/>
      <c r="C46" s="13"/>
    </row>
    <row r="47" spans="2:10" x14ac:dyDescent="0.3">
      <c r="B47" s="13" t="s">
        <v>434</v>
      </c>
      <c r="C47" s="50">
        <v>2328</v>
      </c>
      <c r="D47" s="20"/>
    </row>
    <row r="48" spans="2:10" x14ac:dyDescent="0.3">
      <c r="B48" s="13"/>
      <c r="C48" s="185">
        <f>+C47/C45-1</f>
        <v>2.7669141363626304</v>
      </c>
      <c r="D48" s="20"/>
    </row>
    <row r="49" spans="2:3" x14ac:dyDescent="0.3">
      <c r="B49" s="13"/>
      <c r="C49" s="13"/>
    </row>
    <row r="50" spans="2:3" x14ac:dyDescent="0.3">
      <c r="B50" s="13" t="s">
        <v>435</v>
      </c>
      <c r="C50" s="50">
        <v>214</v>
      </c>
    </row>
    <row r="51" spans="2:3" x14ac:dyDescent="0.3">
      <c r="C51"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EA69E-564B-4F50-893B-12970C723948}">
  <dimension ref="A1:Q30"/>
  <sheetViews>
    <sheetView topLeftCell="A11" zoomScaleNormal="100" workbookViewId="0">
      <selection activeCell="N22" sqref="N22"/>
    </sheetView>
  </sheetViews>
  <sheetFormatPr defaultRowHeight="14.4" x14ac:dyDescent="0.3"/>
  <cols>
    <col min="1" max="1" width="14.88671875" bestFit="1" customWidth="1"/>
    <col min="3" max="3" width="12.6640625" bestFit="1" customWidth="1"/>
    <col min="4" max="4" width="9.88671875" bestFit="1" customWidth="1"/>
    <col min="5" max="5" width="12.77734375" bestFit="1" customWidth="1"/>
    <col min="6" max="6" width="12.21875" bestFit="1" customWidth="1"/>
    <col min="7" max="7" width="14.44140625" bestFit="1" customWidth="1"/>
    <col min="8" max="8" width="1" customWidth="1"/>
    <col min="9" max="9" width="1.21875" customWidth="1"/>
    <col min="10" max="12" width="12.6640625" bestFit="1" customWidth="1"/>
    <col min="14" max="15" width="11.33203125" bestFit="1" customWidth="1"/>
    <col min="16" max="16" width="10.21875" bestFit="1" customWidth="1"/>
  </cols>
  <sheetData>
    <row r="1" spans="1:17" x14ac:dyDescent="0.3">
      <c r="A1" s="16" t="s">
        <v>373</v>
      </c>
    </row>
    <row r="2" spans="1:17" ht="15.6" x14ac:dyDescent="0.3">
      <c r="A2" s="117" t="s">
        <v>374</v>
      </c>
      <c r="B2" s="118"/>
      <c r="C2" s="119"/>
      <c r="D2" s="118"/>
      <c r="E2" s="118"/>
      <c r="F2" s="118"/>
      <c r="G2" s="118"/>
      <c r="H2" s="118"/>
      <c r="I2" s="118"/>
      <c r="J2" s="118"/>
    </row>
    <row r="4" spans="1:17" x14ac:dyDescent="0.3">
      <c r="A4" s="120"/>
      <c r="B4" s="120"/>
      <c r="C4" s="186" t="s">
        <v>375</v>
      </c>
      <c r="D4" s="186"/>
      <c r="E4" s="186"/>
      <c r="F4" s="186"/>
      <c r="G4" s="186"/>
      <c r="H4" s="186"/>
      <c r="I4" s="120"/>
      <c r="J4" s="186" t="s">
        <v>376</v>
      </c>
      <c r="K4" s="186"/>
      <c r="L4" s="186"/>
      <c r="M4" s="120"/>
      <c r="N4" s="186" t="s">
        <v>377</v>
      </c>
      <c r="O4" s="186"/>
      <c r="P4" s="186"/>
    </row>
    <row r="5" spans="1:17" ht="43.2" x14ac:dyDescent="0.3">
      <c r="A5" s="121" t="s">
        <v>378</v>
      </c>
      <c r="B5" s="121"/>
      <c r="C5" s="122" t="s">
        <v>367</v>
      </c>
      <c r="D5" s="122" t="s">
        <v>379</v>
      </c>
      <c r="E5" s="122" t="s">
        <v>380</v>
      </c>
      <c r="F5" s="122" t="s">
        <v>381</v>
      </c>
      <c r="G5" s="122" t="s">
        <v>382</v>
      </c>
      <c r="H5" s="122"/>
      <c r="I5" s="123"/>
      <c r="J5" s="123" t="s">
        <v>383</v>
      </c>
      <c r="K5" s="123" t="s">
        <v>28</v>
      </c>
      <c r="L5" s="123" t="s">
        <v>384</v>
      </c>
      <c r="M5" s="123"/>
      <c r="N5" s="123" t="s">
        <v>385</v>
      </c>
      <c r="O5" s="123" t="s">
        <v>386</v>
      </c>
      <c r="P5" s="123" t="s">
        <v>387</v>
      </c>
    </row>
    <row r="6" spans="1:17" x14ac:dyDescent="0.3">
      <c r="A6" s="124"/>
      <c r="B6" s="124"/>
      <c r="C6" s="125"/>
      <c r="D6" s="125"/>
      <c r="E6" s="125"/>
      <c r="F6" s="125"/>
      <c r="G6" s="125"/>
      <c r="H6" s="125"/>
      <c r="I6" s="126"/>
      <c r="J6" s="126"/>
      <c r="K6" s="126"/>
      <c r="L6" s="126"/>
      <c r="M6" s="126"/>
      <c r="N6" s="126"/>
      <c r="O6" s="126"/>
      <c r="P6" s="126"/>
      <c r="Q6" s="62"/>
    </row>
    <row r="7" spans="1:17" x14ac:dyDescent="0.3">
      <c r="A7" s="156" t="s">
        <v>280</v>
      </c>
      <c r="B7" s="150"/>
      <c r="C7" s="157">
        <v>2327.6999999999998</v>
      </c>
      <c r="D7" s="156">
        <v>234.96</v>
      </c>
      <c r="E7" s="157">
        <f>+C7*D7</f>
        <v>546916.39199999999</v>
      </c>
      <c r="F7" s="157">
        <f>+'Sales Forecast'!F43-'Sales Forecast'!G43</f>
        <v>-3406</v>
      </c>
      <c r="G7" s="157">
        <f>+E7+F7</f>
        <v>543510.39199999999</v>
      </c>
      <c r="H7" s="154"/>
      <c r="I7" s="155"/>
      <c r="J7" s="157">
        <f>+HistoricalFS!L6</f>
        <v>60580</v>
      </c>
      <c r="K7" s="157">
        <f>+HistoricalFS!L21</f>
        <v>14595</v>
      </c>
      <c r="L7" s="157">
        <f>+HistoricalFS!L21</f>
        <v>14595</v>
      </c>
      <c r="M7" s="151"/>
      <c r="N7" s="152">
        <f>+G7/J7</f>
        <v>8.9717793331132381</v>
      </c>
      <c r="O7" s="152">
        <f>+G7/K7</f>
        <v>37.239492428914012</v>
      </c>
      <c r="P7" s="130">
        <f>+G7/L7</f>
        <v>37.239492428914012</v>
      </c>
      <c r="Q7" s="62"/>
    </row>
    <row r="8" spans="1:17" x14ac:dyDescent="0.3">
      <c r="A8" s="127" t="s">
        <v>404</v>
      </c>
      <c r="B8" s="127"/>
      <c r="C8" s="158">
        <v>2728.55</v>
      </c>
      <c r="D8" s="159">
        <v>27.2</v>
      </c>
      <c r="E8" s="158">
        <f t="shared" ref="E8:E10" si="0">+C8*D8</f>
        <v>74216.56</v>
      </c>
      <c r="F8" s="158">
        <f>+'Sales Forecast'!F44-'Sales Forecast'!G44</f>
        <v>-854.33</v>
      </c>
      <c r="G8" s="158">
        <f t="shared" ref="G8:G10" si="1">+E8+F8</f>
        <v>73362.23</v>
      </c>
      <c r="H8" s="153"/>
      <c r="I8" s="153"/>
      <c r="J8" s="157">
        <v>5541.04</v>
      </c>
      <c r="K8" s="157">
        <v>1600.29</v>
      </c>
      <c r="L8" s="157">
        <v>1260.06</v>
      </c>
      <c r="M8" s="129"/>
      <c r="N8" s="152">
        <f t="shared" ref="N8:N10" si="2">+G8/J8</f>
        <v>13.239794334637541</v>
      </c>
      <c r="O8" s="152">
        <f t="shared" ref="O8:O10" si="3">+G8/K8</f>
        <v>45.843084690899772</v>
      </c>
      <c r="P8" s="130">
        <f t="shared" ref="P8:P10" si="4">+G8/L8</f>
        <v>58.221219624462329</v>
      </c>
    </row>
    <row r="9" spans="1:17" x14ac:dyDescent="0.3">
      <c r="A9" s="127" t="s">
        <v>405</v>
      </c>
      <c r="B9" s="127"/>
      <c r="C9" s="158">
        <v>15754.1</v>
      </c>
      <c r="D9" s="159">
        <v>3.25</v>
      </c>
      <c r="E9" s="158">
        <f t="shared" si="0"/>
        <v>51200.825000000004</v>
      </c>
      <c r="F9" s="158">
        <f>+'Sales Forecast'!F45-'Sales Forecast'!G45</f>
        <v>-974.41</v>
      </c>
      <c r="G9" s="158">
        <f t="shared" si="1"/>
        <v>50226.415000000001</v>
      </c>
      <c r="H9" s="153"/>
      <c r="I9" s="153"/>
      <c r="J9" s="157">
        <v>4007.4</v>
      </c>
      <c r="K9" s="157">
        <v>910.04</v>
      </c>
      <c r="L9" s="157">
        <v>755.85</v>
      </c>
      <c r="M9" s="129"/>
      <c r="N9" s="152">
        <f t="shared" si="2"/>
        <v>12.533416928681937</v>
      </c>
      <c r="O9" s="152">
        <f t="shared" si="3"/>
        <v>55.191436640147685</v>
      </c>
      <c r="P9" s="130">
        <f t="shared" si="4"/>
        <v>66.450241450023157</v>
      </c>
    </row>
    <row r="10" spans="1:17" x14ac:dyDescent="0.3">
      <c r="A10" s="127" t="s">
        <v>406</v>
      </c>
      <c r="B10" s="127"/>
      <c r="C10" s="158">
        <v>6510.95</v>
      </c>
      <c r="D10" s="159">
        <v>3.26</v>
      </c>
      <c r="E10" s="158">
        <f t="shared" si="0"/>
        <v>21225.696999999996</v>
      </c>
      <c r="F10" s="158">
        <f>+'Sales Forecast'!F46-'Sales Forecast'!G46</f>
        <v>-455.51</v>
      </c>
      <c r="G10" s="158">
        <f t="shared" si="1"/>
        <v>20770.186999999998</v>
      </c>
      <c r="H10" s="153"/>
      <c r="I10" s="153"/>
      <c r="J10" s="157">
        <v>2545.52</v>
      </c>
      <c r="K10" s="157">
        <v>561.88</v>
      </c>
      <c r="L10" s="157">
        <v>391.09</v>
      </c>
      <c r="M10" s="129"/>
      <c r="N10" s="152">
        <f t="shared" si="2"/>
        <v>8.1595065055470002</v>
      </c>
      <c r="O10" s="152">
        <f t="shared" si="3"/>
        <v>36.965521107709826</v>
      </c>
      <c r="P10" s="130">
        <f t="shared" si="4"/>
        <v>53.108458411107414</v>
      </c>
    </row>
    <row r="11" spans="1:17" x14ac:dyDescent="0.3">
      <c r="A11" s="127"/>
      <c r="B11" s="127"/>
      <c r="C11" s="128"/>
      <c r="D11" s="146"/>
      <c r="E11" s="128"/>
      <c r="F11" s="128"/>
      <c r="G11" s="128"/>
      <c r="H11" s="128"/>
      <c r="I11" s="128"/>
      <c r="J11" s="128"/>
      <c r="K11" s="128"/>
      <c r="L11" s="128"/>
      <c r="M11" s="129"/>
      <c r="N11" s="130"/>
      <c r="O11" s="130"/>
      <c r="P11" s="130"/>
    </row>
    <row r="13" spans="1:17" x14ac:dyDescent="0.3">
      <c r="A13" s="131" t="s">
        <v>388</v>
      </c>
      <c r="B13" s="131"/>
      <c r="C13" s="131"/>
      <c r="D13" s="131"/>
      <c r="E13" s="131"/>
      <c r="F13" s="131"/>
      <c r="G13" s="131"/>
      <c r="H13" s="131"/>
      <c r="I13" s="131"/>
      <c r="J13" s="131"/>
      <c r="K13" s="131"/>
      <c r="L13" s="131"/>
      <c r="M13" s="131"/>
      <c r="N13" s="132">
        <f>MAX(N7:N10)</f>
        <v>13.239794334637541</v>
      </c>
      <c r="O13" s="132">
        <f>MAX(O7:O10)</f>
        <v>55.191436640147685</v>
      </c>
      <c r="P13" s="132">
        <f>MAX(P7:P10)</f>
        <v>66.450241450023157</v>
      </c>
    </row>
    <row r="14" spans="1:17" x14ac:dyDescent="0.3">
      <c r="A14" s="131" t="s">
        <v>389</v>
      </c>
      <c r="B14" s="131"/>
      <c r="C14" s="131"/>
      <c r="D14" s="131"/>
      <c r="E14" s="131"/>
      <c r="F14" s="131"/>
      <c r="G14" s="131"/>
      <c r="H14" s="131"/>
      <c r="I14" s="131"/>
      <c r="J14" s="131"/>
      <c r="K14" s="131"/>
      <c r="L14" s="131"/>
      <c r="M14" s="131"/>
      <c r="N14" s="132">
        <f>QUARTILE(N7:N10,)</f>
        <v>8.1595065055470002</v>
      </c>
      <c r="O14" s="132">
        <f>QUARTILE(O7:O10,)</f>
        <v>36.965521107709826</v>
      </c>
      <c r="P14" s="132">
        <f>QUARTILE(P7:P10,)</f>
        <v>37.239492428914012</v>
      </c>
    </row>
    <row r="15" spans="1:17" x14ac:dyDescent="0.3">
      <c r="A15" s="133" t="s">
        <v>285</v>
      </c>
      <c r="B15" s="133"/>
      <c r="C15" s="133"/>
      <c r="D15" s="133"/>
      <c r="E15" s="133"/>
      <c r="F15" s="133"/>
      <c r="G15" s="133"/>
      <c r="H15" s="133"/>
      <c r="I15" s="133"/>
      <c r="J15" s="133"/>
      <c r="K15" s="133"/>
      <c r="L15" s="133"/>
      <c r="M15" s="133"/>
      <c r="N15" s="134">
        <f>AVERAGE(N7:N10)</f>
        <v>10.726124275494929</v>
      </c>
      <c r="O15" s="134">
        <f>AVERAGE(O7:O10)</f>
        <v>43.809883716917824</v>
      </c>
      <c r="P15" s="134">
        <f>AVERAGE(P7:P10)</f>
        <v>53.75485297862673</v>
      </c>
    </row>
    <row r="16" spans="1:17" x14ac:dyDescent="0.3">
      <c r="A16" s="133" t="s">
        <v>240</v>
      </c>
      <c r="B16" s="133"/>
      <c r="C16" s="133"/>
      <c r="D16" s="133"/>
      <c r="E16" s="133"/>
      <c r="F16" s="133"/>
      <c r="G16" s="133"/>
      <c r="H16" s="133"/>
      <c r="I16" s="133"/>
      <c r="J16" s="133"/>
      <c r="K16" s="133"/>
      <c r="L16" s="133"/>
      <c r="M16" s="133"/>
      <c r="N16" s="134">
        <f>MEDIAN(N7:N10)</f>
        <v>10.752598130897589</v>
      </c>
      <c r="O16" s="134">
        <f>MEDIAN(O7:O10)</f>
        <v>41.541288559906889</v>
      </c>
      <c r="P16" s="134">
        <f>MEDIAN(P7:P10)</f>
        <v>55.664839017784871</v>
      </c>
    </row>
    <row r="17" spans="1:16" x14ac:dyDescent="0.3">
      <c r="A17" s="131" t="s">
        <v>390</v>
      </c>
      <c r="B17" s="131"/>
      <c r="C17" s="131"/>
      <c r="D17" s="131"/>
      <c r="E17" s="131"/>
      <c r="F17" s="131"/>
      <c r="G17" s="131"/>
      <c r="H17" s="131"/>
      <c r="I17" s="131"/>
      <c r="J17" s="131"/>
      <c r="K17" s="131"/>
      <c r="L17" s="131"/>
      <c r="M17" s="131"/>
      <c r="N17" s="132">
        <f>QUARTILE(N7:N10,)</f>
        <v>8.1595065055470002</v>
      </c>
      <c r="O17" s="132">
        <f>QUARTILE(O7:O10,)</f>
        <v>36.965521107709826</v>
      </c>
      <c r="P17" s="132">
        <f>QUARTILE(P7:P10,)</f>
        <v>37.239492428914012</v>
      </c>
    </row>
    <row r="18" spans="1:16" x14ac:dyDescent="0.3">
      <c r="A18" s="131" t="s">
        <v>391</v>
      </c>
      <c r="B18" s="131"/>
      <c r="C18" s="131"/>
      <c r="D18" s="131"/>
      <c r="E18" s="131"/>
      <c r="F18" s="131"/>
      <c r="G18" s="131"/>
      <c r="H18" s="131"/>
      <c r="I18" s="131"/>
      <c r="J18" s="131"/>
      <c r="K18" s="131"/>
      <c r="L18" s="131"/>
      <c r="M18" s="131"/>
      <c r="N18" s="132">
        <f>MIN(N7:N10)</f>
        <v>8.1595065055470002</v>
      </c>
      <c r="O18" s="132">
        <f>MIN(O7:O10)</f>
        <v>36.965521107709826</v>
      </c>
      <c r="P18" s="132">
        <f>MIN(P7:P10)</f>
        <v>37.239492428914012</v>
      </c>
    </row>
    <row r="20" spans="1:16" x14ac:dyDescent="0.3">
      <c r="A20" s="135" t="s">
        <v>409</v>
      </c>
      <c r="B20" s="136"/>
      <c r="C20" s="136"/>
      <c r="D20" s="136"/>
      <c r="E20" s="136"/>
      <c r="F20" s="136"/>
      <c r="G20" s="136"/>
      <c r="H20" s="136"/>
      <c r="I20" s="136"/>
      <c r="J20" s="136"/>
      <c r="K20" s="136"/>
      <c r="L20" s="136"/>
      <c r="M20" s="136"/>
      <c r="N20" s="123" t="s">
        <v>385</v>
      </c>
      <c r="O20" s="137" t="s">
        <v>386</v>
      </c>
      <c r="P20" s="123" t="s">
        <v>387</v>
      </c>
    </row>
    <row r="22" spans="1:16" x14ac:dyDescent="0.3">
      <c r="A22" s="138" t="s">
        <v>392</v>
      </c>
      <c r="B22" s="138"/>
      <c r="C22" s="138"/>
      <c r="D22" s="138"/>
      <c r="E22" s="138"/>
      <c r="F22" s="138"/>
      <c r="G22" s="138"/>
      <c r="H22" s="138"/>
      <c r="I22" s="138"/>
      <c r="J22" s="138"/>
      <c r="K22" s="138"/>
      <c r="L22" s="138"/>
      <c r="M22" s="138"/>
      <c r="N22" s="139">
        <f>+N16*J7</f>
        <v>651392.39476977591</v>
      </c>
      <c r="O22" s="139">
        <f>+O16*K7</f>
        <v>606295.10653184098</v>
      </c>
      <c r="P22" s="139">
        <f>+P24-P23</f>
        <v>815834.3254645702</v>
      </c>
    </row>
    <row r="23" spans="1:16" x14ac:dyDescent="0.3">
      <c r="A23" s="138" t="s">
        <v>381</v>
      </c>
      <c r="B23" s="138"/>
      <c r="C23" s="138"/>
      <c r="D23" s="138"/>
      <c r="E23" s="138"/>
      <c r="F23" s="138"/>
      <c r="G23" s="138"/>
      <c r="H23" s="138"/>
      <c r="I23" s="138"/>
      <c r="J23" s="138"/>
      <c r="K23" s="138"/>
      <c r="L23" s="138"/>
      <c r="M23" s="138"/>
      <c r="N23" s="139">
        <f>+$F$7</f>
        <v>-3406</v>
      </c>
      <c r="O23" s="139">
        <f>+$F$7</f>
        <v>-3406</v>
      </c>
      <c r="P23" s="139">
        <f>+$F$7</f>
        <v>-3406</v>
      </c>
    </row>
    <row r="24" spans="1:16" x14ac:dyDescent="0.3">
      <c r="A24" s="138" t="s">
        <v>393</v>
      </c>
      <c r="B24" s="138"/>
      <c r="C24" s="138"/>
      <c r="D24" s="138"/>
      <c r="E24" s="138"/>
      <c r="F24" s="138"/>
      <c r="G24" s="138"/>
      <c r="H24" s="138"/>
      <c r="I24" s="138"/>
      <c r="J24" s="138"/>
      <c r="K24" s="138"/>
      <c r="L24" s="138"/>
      <c r="M24" s="138"/>
      <c r="N24" s="139">
        <f>+N22-N23</f>
        <v>654798.39476977591</v>
      </c>
      <c r="O24" s="139">
        <f>+O22-O23</f>
        <v>609701.10653184098</v>
      </c>
      <c r="P24" s="139">
        <f>P16*L7</f>
        <v>812428.3254645702</v>
      </c>
    </row>
    <row r="25" spans="1:16" x14ac:dyDescent="0.3">
      <c r="A25" s="138" t="s">
        <v>379</v>
      </c>
      <c r="B25" s="138"/>
      <c r="C25" s="138"/>
      <c r="D25" s="138"/>
      <c r="E25" s="138"/>
      <c r="F25" s="138"/>
      <c r="G25" s="138"/>
      <c r="H25" s="138"/>
      <c r="I25" s="138"/>
      <c r="J25" s="138"/>
      <c r="K25" s="138"/>
      <c r="L25" s="138"/>
      <c r="M25" s="138"/>
      <c r="N25" s="140">
        <f>+D7</f>
        <v>234.96</v>
      </c>
      <c r="O25" s="140">
        <f>+N25</f>
        <v>234.96</v>
      </c>
      <c r="P25" s="140">
        <f>+O25</f>
        <v>234.96</v>
      </c>
    </row>
    <row r="26" spans="1:16" x14ac:dyDescent="0.3">
      <c r="N26" s="62"/>
      <c r="O26" s="62"/>
      <c r="P26" s="62"/>
    </row>
    <row r="27" spans="1:16" x14ac:dyDescent="0.3">
      <c r="A27" s="141" t="s">
        <v>394</v>
      </c>
      <c r="B27" s="141"/>
      <c r="C27" s="141"/>
      <c r="D27" s="141"/>
      <c r="E27" s="141"/>
      <c r="F27" s="141"/>
      <c r="G27" s="141"/>
      <c r="H27" s="141"/>
      <c r="I27" s="141"/>
      <c r="J27" s="141"/>
      <c r="K27" s="141"/>
      <c r="L27" s="141"/>
      <c r="M27" s="141"/>
      <c r="N27" s="142">
        <f>N24/N25</f>
        <v>2786.8505054893426</v>
      </c>
      <c r="O27" s="142">
        <f t="shared" ref="O27:P27" si="5">O24/O25</f>
        <v>2594.914481323804</v>
      </c>
      <c r="P27" s="142">
        <f t="shared" si="5"/>
        <v>3457.7303603361006</v>
      </c>
    </row>
    <row r="28" spans="1:16" x14ac:dyDescent="0.3">
      <c r="A28" s="13"/>
      <c r="B28" s="13"/>
      <c r="C28" s="13"/>
      <c r="D28" s="13"/>
      <c r="E28" s="13"/>
      <c r="F28" s="13"/>
      <c r="G28" s="13"/>
      <c r="H28" s="13"/>
      <c r="I28" s="13"/>
      <c r="J28" s="13"/>
      <c r="K28" s="13"/>
      <c r="L28" s="13"/>
      <c r="M28" s="13"/>
      <c r="N28" s="143"/>
      <c r="O28" s="143"/>
      <c r="P28" s="143"/>
    </row>
    <row r="29" spans="1:16" x14ac:dyDescent="0.3">
      <c r="A29" s="16"/>
    </row>
    <row r="30" spans="1:16" x14ac:dyDescent="0.3">
      <c r="N30" t="str">
        <f>IF($N$27&gt;C7,"Undervalued","Overvalued")</f>
        <v>Undervalued</v>
      </c>
      <c r="O30" t="str">
        <f>IF($N$27&gt;D7,"Undervalued","Overvalued")</f>
        <v>Undervalued</v>
      </c>
      <c r="P30" t="str">
        <f>IF($N$27&gt;E7,"Undervalued","Overvalued")</f>
        <v>Overvalued</v>
      </c>
    </row>
  </sheetData>
  <mergeCells count="3">
    <mergeCell ref="C4:H4"/>
    <mergeCell ref="J4:L4"/>
    <mergeCell ref="N4:P4"/>
  </mergeCells>
  <hyperlinks>
    <hyperlink ref="A7" r:id="rId1" display="https://www.screener.in/company/HINDUNILVR/consolidated/" xr:uid="{F4DA8F88-5897-4920-A4B5-9678BDA02E4E}"/>
    <hyperlink ref="A8" r:id="rId2" display="https://www.screener.in/company/COLPAL/" xr:uid="{2F934067-3812-4D4C-BE22-61C3DFED5662}"/>
    <hyperlink ref="A9" r:id="rId3" display="https://www.screener.in/company/PGHH/" xr:uid="{D073B600-5EA3-477B-9F9B-636372AA62B6}"/>
    <hyperlink ref="A10" r:id="rId4" display="https://www.screener.in/company/GILLETTE/" xr:uid="{EC238652-62A1-4FC1-B79D-3383A4B41A85}"/>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3B3C2-3AC3-426E-906C-0296F22E39C9}">
  <sheetPr>
    <pageSetUpPr fitToPage="1"/>
  </sheetPr>
  <dimension ref="A2:K142"/>
  <sheetViews>
    <sheetView view="pageBreakPreview" topLeftCell="A127" zoomScale="60" zoomScaleNormal="100" workbookViewId="0">
      <selection activeCell="A138" sqref="A138:K138"/>
    </sheetView>
  </sheetViews>
  <sheetFormatPr defaultRowHeight="14.4" x14ac:dyDescent="0.3"/>
  <cols>
    <col min="1" max="1" width="17.88671875" style="161" customWidth="1"/>
    <col min="2" max="2" width="15.109375" style="161" customWidth="1"/>
    <col min="3" max="5" width="10.6640625" style="161" bestFit="1" customWidth="1"/>
    <col min="6" max="9" width="11.44140625" style="161" bestFit="1" customWidth="1"/>
    <col min="10" max="16384" width="8.88671875" style="161"/>
  </cols>
  <sheetData>
    <row r="2" spans="1:11" ht="45.6" customHeight="1" x14ac:dyDescent="0.6">
      <c r="A2" s="187" t="s">
        <v>424</v>
      </c>
      <c r="B2" s="187"/>
      <c r="C2" s="187"/>
      <c r="D2" s="187"/>
      <c r="E2" s="187"/>
      <c r="F2" s="187"/>
      <c r="G2" s="187"/>
      <c r="H2" s="187"/>
    </row>
    <row r="3" spans="1:11" x14ac:dyDescent="0.3">
      <c r="A3" s="162"/>
    </row>
    <row r="4" spans="1:11" ht="36" customHeight="1" x14ac:dyDescent="0.5">
      <c r="A4" s="192" t="str">
        <f>CONCATENATE("  ","INR "&amp;'[1]Data Sheet'!A8)</f>
        <v xml:space="preserve">  INR Current Price</v>
      </c>
      <c r="B4" s="192"/>
      <c r="C4" s="192"/>
      <c r="D4" s="192"/>
      <c r="E4" s="192"/>
      <c r="F4" s="192"/>
      <c r="G4" s="192"/>
      <c r="H4" s="192"/>
    </row>
    <row r="5" spans="1:11" ht="43.2" customHeight="1" x14ac:dyDescent="0.45">
      <c r="A5" s="193" t="s">
        <v>425</v>
      </c>
      <c r="B5" s="193"/>
      <c r="C5" s="193"/>
      <c r="D5" s="193"/>
      <c r="E5" s="193"/>
      <c r="F5" s="193"/>
      <c r="G5" s="193"/>
      <c r="H5" s="193"/>
    </row>
    <row r="6" spans="1:11" ht="15" thickBot="1" x14ac:dyDescent="0.35">
      <c r="A6" s="163"/>
      <c r="B6" s="163"/>
      <c r="C6" s="163"/>
      <c r="D6" s="163"/>
      <c r="E6" s="163"/>
      <c r="F6" s="163"/>
      <c r="G6" s="163"/>
      <c r="H6" s="163"/>
      <c r="I6" s="163"/>
      <c r="J6" s="163"/>
      <c r="K6" s="163"/>
    </row>
    <row r="7" spans="1:11" ht="36" customHeight="1" x14ac:dyDescent="0.35">
      <c r="A7" s="195" t="s">
        <v>410</v>
      </c>
      <c r="B7" s="195"/>
      <c r="C7" s="195"/>
      <c r="D7" s="195"/>
      <c r="E7" s="195"/>
      <c r="F7" s="195"/>
      <c r="G7" s="195"/>
      <c r="H7" s="195"/>
      <c r="I7" s="195"/>
      <c r="J7" s="195"/>
    </row>
    <row r="8" spans="1:11" ht="14.4" customHeight="1" x14ac:dyDescent="0.3">
      <c r="A8" s="189" t="s">
        <v>426</v>
      </c>
      <c r="B8" s="189"/>
      <c r="C8" s="189"/>
      <c r="D8" s="189"/>
      <c r="E8" s="189"/>
      <c r="F8" s="189"/>
      <c r="G8" s="189"/>
      <c r="H8" s="189"/>
      <c r="I8" s="189"/>
      <c r="J8" s="189"/>
      <c r="K8" s="189"/>
    </row>
    <row r="9" spans="1:11" x14ac:dyDescent="0.3">
      <c r="A9" s="189"/>
      <c r="B9" s="189"/>
      <c r="C9" s="189"/>
      <c r="D9" s="189"/>
      <c r="E9" s="189"/>
      <c r="F9" s="189"/>
      <c r="G9" s="189"/>
      <c r="H9" s="189"/>
      <c r="I9" s="189"/>
      <c r="J9" s="189"/>
      <c r="K9" s="189"/>
    </row>
    <row r="10" spans="1:11" x14ac:dyDescent="0.3">
      <c r="A10" s="189"/>
      <c r="B10" s="189"/>
      <c r="C10" s="189"/>
      <c r="D10" s="189"/>
      <c r="E10" s="189"/>
      <c r="F10" s="189"/>
      <c r="G10" s="189"/>
      <c r="H10" s="189"/>
      <c r="I10" s="189"/>
      <c r="J10" s="189"/>
      <c r="K10" s="189"/>
    </row>
    <row r="11" spans="1:11" x14ac:dyDescent="0.3">
      <c r="A11" s="189"/>
      <c r="B11" s="189"/>
      <c r="C11" s="189"/>
      <c r="D11" s="189"/>
      <c r="E11" s="189"/>
      <c r="F11" s="189"/>
      <c r="G11" s="189"/>
      <c r="H11" s="189"/>
      <c r="I11" s="189"/>
      <c r="J11" s="189"/>
      <c r="K11" s="189"/>
    </row>
    <row r="12" spans="1:11" ht="38.4" customHeight="1" x14ac:dyDescent="0.3">
      <c r="A12" s="189"/>
      <c r="B12" s="189"/>
      <c r="C12" s="189"/>
      <c r="D12" s="189"/>
      <c r="E12" s="189"/>
      <c r="F12" s="189"/>
      <c r="G12" s="189"/>
      <c r="H12" s="189"/>
      <c r="I12" s="189"/>
      <c r="J12" s="189"/>
      <c r="K12" s="189"/>
    </row>
    <row r="13" spans="1:11" x14ac:dyDescent="0.3">
      <c r="A13" s="162"/>
      <c r="B13" s="162"/>
      <c r="C13" s="162"/>
      <c r="D13" s="162"/>
      <c r="E13" s="162"/>
      <c r="F13" s="162"/>
      <c r="G13" s="162"/>
      <c r="H13" s="162"/>
      <c r="I13" s="162"/>
      <c r="J13" s="162"/>
    </row>
    <row r="14" spans="1:11" ht="36" customHeight="1" x14ac:dyDescent="0.35">
      <c r="A14" s="195" t="s">
        <v>411</v>
      </c>
      <c r="B14" s="195"/>
      <c r="C14" s="195"/>
      <c r="D14" s="195"/>
      <c r="E14" s="195"/>
      <c r="F14" s="195"/>
      <c r="G14" s="195"/>
      <c r="H14" s="195"/>
      <c r="I14" s="195"/>
      <c r="J14" s="195"/>
    </row>
    <row r="15" spans="1:11" ht="18" x14ac:dyDescent="0.35">
      <c r="A15" s="164"/>
    </row>
    <row r="16" spans="1:11" ht="18" x14ac:dyDescent="0.35">
      <c r="A16" s="164"/>
    </row>
    <row r="17" spans="1:1" ht="18" x14ac:dyDescent="0.35">
      <c r="A17" s="164"/>
    </row>
    <row r="18" spans="1:1" ht="18" x14ac:dyDescent="0.35">
      <c r="A18" s="164"/>
    </row>
    <row r="19" spans="1:1" ht="18" x14ac:dyDescent="0.35">
      <c r="A19" s="164"/>
    </row>
    <row r="20" spans="1:1" ht="18" x14ac:dyDescent="0.35">
      <c r="A20" s="164"/>
    </row>
    <row r="21" spans="1:1" ht="18" x14ac:dyDescent="0.35">
      <c r="A21" s="164"/>
    </row>
    <row r="22" spans="1:1" ht="18" x14ac:dyDescent="0.35">
      <c r="A22" s="164"/>
    </row>
    <row r="23" spans="1:1" ht="18" x14ac:dyDescent="0.35">
      <c r="A23" s="164"/>
    </row>
    <row r="24" spans="1:1" ht="18" x14ac:dyDescent="0.35">
      <c r="A24" s="164"/>
    </row>
    <row r="25" spans="1:1" ht="18" x14ac:dyDescent="0.35">
      <c r="A25" s="164"/>
    </row>
    <row r="26" spans="1:1" ht="18" x14ac:dyDescent="0.35">
      <c r="A26" s="164"/>
    </row>
    <row r="27" spans="1:1" ht="18" x14ac:dyDescent="0.35">
      <c r="A27" s="164"/>
    </row>
    <row r="28" spans="1:1" ht="18" x14ac:dyDescent="0.35">
      <c r="A28" s="164"/>
    </row>
    <row r="29" spans="1:1" ht="18" x14ac:dyDescent="0.35">
      <c r="A29" s="164"/>
    </row>
    <row r="30" spans="1:1" ht="18" x14ac:dyDescent="0.35">
      <c r="A30" s="164"/>
    </row>
    <row r="31" spans="1:1" ht="18" x14ac:dyDescent="0.35">
      <c r="A31" s="164"/>
    </row>
    <row r="32" spans="1:1" ht="18" x14ac:dyDescent="0.35">
      <c r="A32" s="164"/>
    </row>
    <row r="33" spans="1:1" ht="18" x14ac:dyDescent="0.35">
      <c r="A33" s="164"/>
    </row>
    <row r="34" spans="1:1" ht="18" x14ac:dyDescent="0.35">
      <c r="A34" s="164"/>
    </row>
    <row r="35" spans="1:1" ht="18" x14ac:dyDescent="0.35">
      <c r="A35" s="164"/>
    </row>
    <row r="36" spans="1:1" ht="18" x14ac:dyDescent="0.35">
      <c r="A36" s="164"/>
    </row>
    <row r="37" spans="1:1" ht="18" x14ac:dyDescent="0.35">
      <c r="A37" s="164"/>
    </row>
    <row r="59" spans="2:9" ht="15.6" x14ac:dyDescent="0.3">
      <c r="B59" s="166" t="s">
        <v>56</v>
      </c>
      <c r="C59" s="166">
        <v>2017</v>
      </c>
      <c r="D59" s="166">
        <v>2018</v>
      </c>
      <c r="E59" s="166">
        <v>2019</v>
      </c>
      <c r="F59" s="166">
        <v>2020</v>
      </c>
      <c r="G59" s="166">
        <v>2021</v>
      </c>
      <c r="H59" s="166">
        <v>2022</v>
      </c>
      <c r="I59" s="166">
        <v>2023</v>
      </c>
    </row>
    <row r="60" spans="2:9" x14ac:dyDescent="0.3">
      <c r="B60" s="161" t="s">
        <v>436</v>
      </c>
      <c r="C60" s="171">
        <f>+HistoricalFS!F21</f>
        <v>6934</v>
      </c>
      <c r="D60" s="171">
        <f>+HistoricalFS!G21</f>
        <v>7852</v>
      </c>
      <c r="E60" s="171">
        <f>+HistoricalFS!H21</f>
        <v>9202</v>
      </c>
      <c r="F60" s="171">
        <f>+HistoricalFS!I21</f>
        <v>10285</v>
      </c>
      <c r="G60" s="171">
        <f>+HistoricalFS!J21</f>
        <v>11796</v>
      </c>
      <c r="H60" s="171">
        <f>+HistoricalFS!K21</f>
        <v>13076</v>
      </c>
      <c r="I60" s="171">
        <f>+HistoricalFS!L21</f>
        <v>14595</v>
      </c>
    </row>
    <row r="61" spans="2:9" x14ac:dyDescent="0.3">
      <c r="B61" s="161" t="s">
        <v>437</v>
      </c>
      <c r="C61" s="172">
        <f>+HistoricalFS!F22</f>
        <v>0.20909474699957784</v>
      </c>
      <c r="D61" s="172">
        <f>+HistoricalFS!G22</f>
        <v>0.22090308060205374</v>
      </c>
      <c r="E61" s="172">
        <f>+HistoricalFS!H22</f>
        <v>0.23408801831595014</v>
      </c>
      <c r="F61" s="172">
        <f>+HistoricalFS!I22</f>
        <v>0.25852751175125055</v>
      </c>
      <c r="G61" s="172">
        <f>+HistoricalFS!J22</f>
        <v>0.25082929318703751</v>
      </c>
      <c r="H61" s="172">
        <f>+HistoricalFS!K22</f>
        <v>0.24932311329748694</v>
      </c>
      <c r="I61" s="172">
        <f>+HistoricalFS!L22</f>
        <v>0.24092109607131065</v>
      </c>
    </row>
    <row r="62" spans="2:9" x14ac:dyDescent="0.3">
      <c r="B62" s="161" t="s">
        <v>238</v>
      </c>
      <c r="C62" s="171">
        <f>+HistoricalFS!F52</f>
        <v>6502</v>
      </c>
      <c r="D62" s="171">
        <f>+HistoricalFS!G52</f>
        <v>7332</v>
      </c>
      <c r="E62" s="171">
        <f>+HistoricalFS!H52</f>
        <v>8637</v>
      </c>
      <c r="F62" s="171">
        <f>+HistoricalFS!I52</f>
        <v>9283</v>
      </c>
      <c r="G62" s="171">
        <f>+HistoricalFS!J52</f>
        <v>10722</v>
      </c>
      <c r="H62" s="171">
        <f>+HistoricalFS!K52</f>
        <v>11985</v>
      </c>
      <c r="I62" s="171">
        <f>+HistoricalFS!L52</f>
        <v>13458</v>
      </c>
    </row>
    <row r="63" spans="2:9" x14ac:dyDescent="0.3">
      <c r="B63" s="161" t="s">
        <v>72</v>
      </c>
      <c r="C63" s="171">
        <f>+HistoricalFS!F39</f>
        <v>4476</v>
      </c>
      <c r="D63" s="171">
        <f>+HistoricalFS!G39</f>
        <v>5214</v>
      </c>
      <c r="E63" s="171">
        <f>+HistoricalFS!H39</f>
        <v>6054</v>
      </c>
      <c r="F63" s="171">
        <f>+HistoricalFS!I39</f>
        <v>6748</v>
      </c>
      <c r="G63" s="171">
        <f>+HistoricalFS!J39</f>
        <v>7995</v>
      </c>
      <c r="H63" s="171">
        <f>+HistoricalFS!K39</f>
        <v>8879</v>
      </c>
      <c r="I63" s="171">
        <f>+HistoricalFS!L39</f>
        <v>10120</v>
      </c>
    </row>
    <row r="64" spans="2:9" x14ac:dyDescent="0.3">
      <c r="B64" t="s">
        <v>132</v>
      </c>
      <c r="C64" s="172">
        <f>+HistoricalFS!F37</f>
        <v>0.13539593510644715</v>
      </c>
      <c r="D64" s="172">
        <f>+HistoricalFS!G37</f>
        <v>0.14705303136868758</v>
      </c>
      <c r="E64" s="172">
        <f>+HistoricalFS!H37</f>
        <v>0.15415924701093869</v>
      </c>
      <c r="F64" s="172">
        <f>+HistoricalFS!I37</f>
        <v>0.16982128044642184</v>
      </c>
      <c r="G64" s="172">
        <f>+HistoricalFS!J37</f>
        <v>0.17009015905418048</v>
      </c>
      <c r="H64" s="172">
        <f>+HistoricalFS!K37</f>
        <v>0.16954581855622927</v>
      </c>
      <c r="I64" s="172">
        <f>+HistoricalFS!L37</f>
        <v>0.16743149554308354</v>
      </c>
    </row>
    <row r="67" spans="1:10" ht="23.4" x14ac:dyDescent="0.45">
      <c r="A67" s="175" t="s">
        <v>438</v>
      </c>
    </row>
    <row r="68" spans="1:10" ht="45.6" customHeight="1" x14ac:dyDescent="0.45">
      <c r="A68" s="175"/>
    </row>
    <row r="69" spans="1:10" ht="68.400000000000006" customHeight="1" x14ac:dyDescent="0.3">
      <c r="A69" s="188" t="s">
        <v>439</v>
      </c>
      <c r="B69" s="188"/>
      <c r="C69" s="188"/>
      <c r="D69" s="188"/>
      <c r="E69" s="188"/>
      <c r="F69" s="188"/>
      <c r="G69" s="188"/>
      <c r="H69" s="188"/>
      <c r="I69" s="188"/>
      <c r="J69" s="188"/>
    </row>
    <row r="70" spans="1:10" ht="27.6" customHeight="1" x14ac:dyDescent="0.3">
      <c r="A70" s="168"/>
      <c r="B70" s="168"/>
      <c r="C70" s="168"/>
      <c r="D70" s="168"/>
      <c r="E70" s="168"/>
      <c r="F70" s="168"/>
      <c r="G70" s="168"/>
      <c r="H70" s="168"/>
      <c r="I70" s="168"/>
      <c r="J70" s="168"/>
    </row>
    <row r="71" spans="1:10" ht="14.4" customHeight="1" x14ac:dyDescent="0.3">
      <c r="A71" s="189" t="s">
        <v>440</v>
      </c>
      <c r="B71" s="189"/>
      <c r="C71" s="189"/>
      <c r="D71" s="189"/>
      <c r="E71" s="189"/>
      <c r="F71" s="189"/>
      <c r="G71" s="189"/>
      <c r="H71" s="189"/>
      <c r="I71" s="189"/>
      <c r="J71" s="189"/>
    </row>
    <row r="72" spans="1:10" ht="43.2" customHeight="1" x14ac:dyDescent="0.3">
      <c r="A72" s="189"/>
      <c r="B72" s="189"/>
      <c r="C72" s="189"/>
      <c r="D72" s="189"/>
      <c r="E72" s="189"/>
      <c r="F72" s="189"/>
      <c r="G72" s="189"/>
      <c r="H72" s="189"/>
      <c r="I72" s="189"/>
      <c r="J72" s="189"/>
    </row>
    <row r="73" spans="1:10" ht="34.200000000000003" customHeight="1" x14ac:dyDescent="0.3">
      <c r="A73" s="169"/>
      <c r="B73" s="169"/>
      <c r="C73" s="169"/>
      <c r="D73" s="169"/>
      <c r="E73" s="169"/>
      <c r="F73" s="169"/>
      <c r="G73" s="169"/>
      <c r="H73" s="169"/>
      <c r="I73" s="169"/>
      <c r="J73" s="169"/>
    </row>
    <row r="74" spans="1:10" ht="14.4" customHeight="1" x14ac:dyDescent="0.3">
      <c r="A74" s="189" t="s">
        <v>441</v>
      </c>
      <c r="B74" s="189"/>
      <c r="C74" s="189"/>
      <c r="D74" s="189"/>
      <c r="E74" s="189"/>
      <c r="F74" s="189"/>
      <c r="G74" s="189"/>
      <c r="H74" s="189"/>
      <c r="I74" s="189"/>
      <c r="J74" s="189"/>
    </row>
    <row r="75" spans="1:10" ht="58.2" customHeight="1" x14ac:dyDescent="0.3">
      <c r="A75" s="189"/>
      <c r="B75" s="189"/>
      <c r="C75" s="189"/>
      <c r="D75" s="189"/>
      <c r="E75" s="189"/>
      <c r="F75" s="189"/>
      <c r="G75" s="189"/>
      <c r="H75" s="189"/>
      <c r="I75" s="189"/>
      <c r="J75" s="189"/>
    </row>
    <row r="76" spans="1:10" ht="22.8" customHeight="1" x14ac:dyDescent="0.3">
      <c r="A76" s="169"/>
      <c r="B76" s="169"/>
      <c r="C76" s="169"/>
      <c r="D76" s="169"/>
      <c r="E76" s="169"/>
      <c r="F76" s="169"/>
      <c r="G76" s="169"/>
      <c r="H76" s="169"/>
      <c r="I76" s="169"/>
      <c r="J76" s="169"/>
    </row>
    <row r="77" spans="1:10" ht="42" customHeight="1" x14ac:dyDescent="0.35">
      <c r="A77" s="190" t="s">
        <v>442</v>
      </c>
      <c r="B77" s="190"/>
      <c r="C77" s="190"/>
      <c r="D77" s="190"/>
      <c r="E77" s="190"/>
      <c r="F77" s="190"/>
      <c r="G77" s="190"/>
      <c r="H77" s="190"/>
      <c r="I77" s="190"/>
      <c r="J77" s="190"/>
    </row>
    <row r="78" spans="1:10" ht="34.799999999999997" customHeight="1" x14ac:dyDescent="0.35">
      <c r="A78" s="174"/>
      <c r="B78" s="174"/>
      <c r="C78" s="174"/>
      <c r="D78" s="174"/>
      <c r="E78" s="174"/>
      <c r="F78" s="174"/>
      <c r="G78" s="174"/>
      <c r="H78" s="174"/>
      <c r="I78" s="174"/>
      <c r="J78" s="174"/>
    </row>
    <row r="79" spans="1:10" ht="14.4" customHeight="1" x14ac:dyDescent="0.3">
      <c r="A79" s="189" t="s">
        <v>443</v>
      </c>
      <c r="B79" s="189"/>
      <c r="C79" s="189"/>
      <c r="D79" s="189"/>
      <c r="E79" s="189"/>
      <c r="F79" s="189"/>
      <c r="G79" s="189"/>
      <c r="H79" s="189"/>
      <c r="I79" s="189"/>
      <c r="J79" s="189"/>
    </row>
    <row r="80" spans="1:10" ht="22.8" customHeight="1" x14ac:dyDescent="0.3">
      <c r="A80" s="189"/>
      <c r="B80" s="189"/>
      <c r="C80" s="189"/>
      <c r="D80" s="189"/>
      <c r="E80" s="189"/>
      <c r="F80" s="189"/>
      <c r="G80" s="189"/>
      <c r="H80" s="189"/>
      <c r="I80" s="189"/>
      <c r="J80" s="189"/>
    </row>
    <row r="81" spans="1:10" ht="33" customHeight="1" x14ac:dyDescent="0.3">
      <c r="A81" s="169"/>
      <c r="B81" s="169"/>
      <c r="C81" s="169"/>
      <c r="D81" s="169"/>
      <c r="E81" s="169"/>
      <c r="F81" s="169"/>
      <c r="G81" s="169"/>
      <c r="H81" s="169"/>
      <c r="I81" s="169"/>
      <c r="J81" s="169"/>
    </row>
    <row r="82" spans="1:10" ht="45.6" customHeight="1" x14ac:dyDescent="0.3">
      <c r="A82" s="189" t="s">
        <v>444</v>
      </c>
      <c r="B82" s="189"/>
      <c r="C82" s="189"/>
      <c r="D82" s="189"/>
      <c r="E82" s="189"/>
      <c r="F82" s="189"/>
      <c r="G82" s="189"/>
      <c r="H82" s="189"/>
      <c r="I82" s="189"/>
      <c r="J82" s="189"/>
    </row>
    <row r="85" spans="1:10" x14ac:dyDescent="0.3">
      <c r="A85"/>
      <c r="B85" s="165"/>
      <c r="C85" s="165"/>
      <c r="D85" s="165"/>
      <c r="E85" s="165"/>
      <c r="F85" s="165"/>
      <c r="G85" s="165"/>
      <c r="H85" s="165"/>
      <c r="I85" s="165"/>
    </row>
    <row r="86" spans="1:10" x14ac:dyDescent="0.3">
      <c r="B86"/>
      <c r="C86"/>
      <c r="D86"/>
      <c r="E86"/>
      <c r="F86"/>
      <c r="G86"/>
      <c r="H86"/>
      <c r="I86"/>
    </row>
    <row r="87" spans="1:10" x14ac:dyDescent="0.3">
      <c r="B87"/>
      <c r="C87"/>
      <c r="D87"/>
      <c r="E87"/>
      <c r="F87"/>
      <c r="G87"/>
      <c r="H87"/>
      <c r="I87"/>
    </row>
    <row r="88" spans="1:10" x14ac:dyDescent="0.3">
      <c r="B88"/>
      <c r="C88"/>
      <c r="D88"/>
      <c r="E88"/>
      <c r="F88"/>
      <c r="G88"/>
      <c r="H88"/>
      <c r="I88"/>
    </row>
    <row r="90" spans="1:10" ht="62.4" customHeight="1" x14ac:dyDescent="0.3">
      <c r="B90" s="196" t="s">
        <v>412</v>
      </c>
      <c r="C90" s="196"/>
      <c r="D90" s="196"/>
      <c r="E90" s="196"/>
      <c r="F90" s="196"/>
      <c r="G90" s="196"/>
      <c r="H90" s="196"/>
      <c r="I90" s="196"/>
    </row>
    <row r="91" spans="1:10" ht="15.6" customHeight="1" x14ac:dyDescent="0.3">
      <c r="B91" s="166"/>
      <c r="C91" s="166">
        <v>2017</v>
      </c>
      <c r="D91" s="166">
        <v>2018</v>
      </c>
      <c r="E91" s="166">
        <v>2019</v>
      </c>
      <c r="F91" s="166">
        <v>2020</v>
      </c>
      <c r="G91" s="166">
        <v>2021</v>
      </c>
      <c r="H91" s="166">
        <v>2022</v>
      </c>
      <c r="I91" s="166">
        <v>2023</v>
      </c>
    </row>
    <row r="92" spans="1:10" ht="18" x14ac:dyDescent="0.35">
      <c r="C92" s="182">
        <f>[1]HistoricalFS!F3</f>
        <v>42825</v>
      </c>
      <c r="D92" s="182">
        <f>[1]HistoricalFS!G3</f>
        <v>43190</v>
      </c>
      <c r="E92" s="182">
        <f>[1]HistoricalFS!H3</f>
        <v>43555</v>
      </c>
      <c r="F92" s="182">
        <f>[1]HistoricalFS!I3</f>
        <v>43921</v>
      </c>
      <c r="G92" s="182">
        <f>[1]HistoricalFS!J3</f>
        <v>44286</v>
      </c>
      <c r="H92" s="182">
        <f>[1]HistoricalFS!K3</f>
        <v>44651</v>
      </c>
      <c r="I92" s="182">
        <f>[1]HistoricalFS!L3</f>
        <v>45016</v>
      </c>
    </row>
    <row r="93" spans="1:10" ht="18" x14ac:dyDescent="0.35">
      <c r="B93" s="176" t="s">
        <v>72</v>
      </c>
      <c r="C93" s="177">
        <f>+HistoricalFS!F39</f>
        <v>4476</v>
      </c>
      <c r="D93" s="177">
        <f>+HistoricalFS!G39</f>
        <v>5214</v>
      </c>
      <c r="E93" s="177">
        <f>+HistoricalFS!H39</f>
        <v>6054</v>
      </c>
      <c r="F93" s="177">
        <f>+HistoricalFS!I39</f>
        <v>6748</v>
      </c>
      <c r="G93" s="177">
        <f>+HistoricalFS!J39</f>
        <v>7995</v>
      </c>
      <c r="H93" s="177">
        <f>+HistoricalFS!K39</f>
        <v>8879</v>
      </c>
      <c r="I93" s="177">
        <f>+HistoricalFS!L39</f>
        <v>10120</v>
      </c>
    </row>
    <row r="94" spans="1:10" ht="54" x14ac:dyDescent="0.35">
      <c r="B94" s="176" t="s">
        <v>413</v>
      </c>
      <c r="C94" s="177">
        <f>AVERAGE(HistoricalFS!E63:F63)</f>
        <v>6442.5</v>
      </c>
      <c r="D94" s="177">
        <f>AVERAGE(HistoricalFS!F63:G63)</f>
        <v>6796.5</v>
      </c>
      <c r="E94" s="177">
        <f>AVERAGE(HistoricalFS!G63:H63)</f>
        <v>7346</v>
      </c>
      <c r="F94" s="177">
        <f>AVERAGE(HistoricalFS!H63:I63)</f>
        <v>7812.5</v>
      </c>
      <c r="G94" s="177">
        <f>AVERAGE(HistoricalFS!I63:J63)</f>
        <v>27718.5</v>
      </c>
      <c r="H94" s="177">
        <f>AVERAGE(HistoricalFS!J63:K63)</f>
        <v>48132.5</v>
      </c>
      <c r="I94" s="177">
        <f>AVERAGE(HistoricalFS!K63:L63)</f>
        <v>49447.5</v>
      </c>
    </row>
    <row r="95" spans="1:10" ht="33.6" customHeight="1" x14ac:dyDescent="0.35">
      <c r="B95" s="183" t="s">
        <v>414</v>
      </c>
      <c r="C95" s="179">
        <f t="shared" ref="C95:I95" si="0">C93/C94</f>
        <v>0.69476135040745057</v>
      </c>
      <c r="D95" s="179">
        <f t="shared" si="0"/>
        <v>0.76715956742440961</v>
      </c>
      <c r="E95" s="179">
        <f t="shared" si="0"/>
        <v>0.82412197114075691</v>
      </c>
      <c r="F95" s="179">
        <f t="shared" si="0"/>
        <v>0.86374399999999996</v>
      </c>
      <c r="G95" s="179">
        <f t="shared" si="0"/>
        <v>0.28843552140267331</v>
      </c>
      <c r="H95" s="179">
        <f t="shared" si="0"/>
        <v>0.18446995273463876</v>
      </c>
      <c r="I95" s="179">
        <f t="shared" si="0"/>
        <v>0.20466150968198593</v>
      </c>
    </row>
    <row r="96" spans="1:10" ht="18" x14ac:dyDescent="0.35">
      <c r="B96" s="176"/>
      <c r="C96" s="176"/>
      <c r="D96" s="176"/>
      <c r="E96" s="176"/>
      <c r="F96" s="176"/>
      <c r="G96" s="176"/>
      <c r="H96" s="176"/>
      <c r="I96" s="176"/>
    </row>
    <row r="97" spans="1:11" ht="31.2" customHeight="1" x14ac:dyDescent="0.35">
      <c r="B97" s="194" t="s">
        <v>415</v>
      </c>
      <c r="C97" s="194"/>
      <c r="D97" s="194"/>
      <c r="E97" s="194"/>
      <c r="F97" s="194"/>
      <c r="G97" s="194"/>
      <c r="H97" s="194"/>
      <c r="I97" s="194"/>
    </row>
    <row r="98" spans="1:11" ht="15.6" customHeight="1" x14ac:dyDescent="0.35">
      <c r="B98" s="176"/>
      <c r="C98" s="182">
        <f t="shared" ref="C98:I99" si="1">C92</f>
        <v>42825</v>
      </c>
      <c r="D98" s="182">
        <f t="shared" si="1"/>
        <v>43190</v>
      </c>
      <c r="E98" s="182">
        <f t="shared" si="1"/>
        <v>43555</v>
      </c>
      <c r="F98" s="182">
        <f t="shared" si="1"/>
        <v>43921</v>
      </c>
      <c r="G98" s="182">
        <f t="shared" si="1"/>
        <v>44286</v>
      </c>
      <c r="H98" s="182">
        <f t="shared" si="1"/>
        <v>44651</v>
      </c>
      <c r="I98" s="182">
        <f t="shared" si="1"/>
        <v>45016</v>
      </c>
    </row>
    <row r="99" spans="1:11" ht="18" x14ac:dyDescent="0.35">
      <c r="A99" s="176"/>
      <c r="B99" s="176" t="str">
        <f>B93</f>
        <v>Net Profit</v>
      </c>
      <c r="C99" s="177">
        <f t="shared" si="1"/>
        <v>4476</v>
      </c>
      <c r="D99" s="177">
        <f t="shared" si="1"/>
        <v>5214</v>
      </c>
      <c r="E99" s="177">
        <f t="shared" si="1"/>
        <v>6054</v>
      </c>
      <c r="F99" s="177">
        <f t="shared" si="1"/>
        <v>6748</v>
      </c>
      <c r="G99" s="177">
        <f t="shared" si="1"/>
        <v>7995</v>
      </c>
      <c r="H99" s="177">
        <f t="shared" si="1"/>
        <v>8879</v>
      </c>
      <c r="I99" s="177">
        <f t="shared" si="1"/>
        <v>10120</v>
      </c>
      <c r="J99" s="176"/>
      <c r="K99" s="176"/>
    </row>
    <row r="100" spans="1:11" ht="18" x14ac:dyDescent="0.35">
      <c r="A100" s="176"/>
      <c r="B100" s="176" t="s">
        <v>383</v>
      </c>
      <c r="C100" s="177">
        <f>HistoricalFS!F6</f>
        <v>33162</v>
      </c>
      <c r="D100" s="177">
        <f>HistoricalFS!G6</f>
        <v>35545</v>
      </c>
      <c r="E100" s="177">
        <f>HistoricalFS!H6</f>
        <v>39310</v>
      </c>
      <c r="F100" s="177">
        <f>HistoricalFS!I6</f>
        <v>39783</v>
      </c>
      <c r="G100" s="177">
        <f>HistoricalFS!J6</f>
        <v>47028</v>
      </c>
      <c r="H100" s="177">
        <f>HistoricalFS!K6</f>
        <v>52446</v>
      </c>
      <c r="I100" s="177">
        <f>HistoricalFS!L6</f>
        <v>60580</v>
      </c>
      <c r="J100" s="176"/>
      <c r="K100" s="176"/>
    </row>
    <row r="101" spans="1:11" ht="36" x14ac:dyDescent="0.35">
      <c r="A101" s="176"/>
      <c r="B101" s="178" t="s">
        <v>416</v>
      </c>
      <c r="C101" s="179">
        <f t="shared" ref="C101:G101" si="2">C99/C100</f>
        <v>0.13497376515288584</v>
      </c>
      <c r="D101" s="179">
        <f t="shared" si="2"/>
        <v>0.14668729779153186</v>
      </c>
      <c r="E101" s="179">
        <f t="shared" si="2"/>
        <v>0.15400661409310609</v>
      </c>
      <c r="F101" s="179">
        <f t="shared" si="2"/>
        <v>0.16962018952819044</v>
      </c>
      <c r="G101" s="179">
        <f t="shared" si="2"/>
        <v>0.17000510334268945</v>
      </c>
      <c r="H101" s="179">
        <f>H99/H100</f>
        <v>0.16929794455249209</v>
      </c>
      <c r="I101" s="179">
        <f>I99/I100</f>
        <v>0.16705183228788378</v>
      </c>
      <c r="J101" s="176"/>
      <c r="K101" s="176"/>
    </row>
    <row r="102" spans="1:11" ht="18" x14ac:dyDescent="0.35">
      <c r="A102" s="176"/>
      <c r="B102" s="176"/>
      <c r="C102" s="176"/>
      <c r="D102" s="176"/>
      <c r="E102" s="176"/>
      <c r="F102" s="176"/>
      <c r="G102" s="176"/>
      <c r="H102" s="176"/>
      <c r="I102" s="176"/>
      <c r="J102" s="176"/>
      <c r="K102" s="176"/>
    </row>
    <row r="103" spans="1:11" ht="18" x14ac:dyDescent="0.35">
      <c r="A103" s="176"/>
      <c r="B103" s="176" t="s">
        <v>383</v>
      </c>
      <c r="C103" s="177">
        <f t="shared" ref="C103:I103" si="3">C100</f>
        <v>33162</v>
      </c>
      <c r="D103" s="177">
        <f t="shared" si="3"/>
        <v>35545</v>
      </c>
      <c r="E103" s="177">
        <f t="shared" si="3"/>
        <v>39310</v>
      </c>
      <c r="F103" s="177">
        <f t="shared" si="3"/>
        <v>39783</v>
      </c>
      <c r="G103" s="177">
        <f t="shared" si="3"/>
        <v>47028</v>
      </c>
      <c r="H103" s="177">
        <f t="shared" si="3"/>
        <v>52446</v>
      </c>
      <c r="I103" s="177">
        <f t="shared" si="3"/>
        <v>60580</v>
      </c>
      <c r="J103" s="176"/>
      <c r="K103" s="176"/>
    </row>
    <row r="104" spans="1:11" ht="36" x14ac:dyDescent="0.35">
      <c r="A104" s="176"/>
      <c r="B104" s="176" t="s">
        <v>417</v>
      </c>
      <c r="C104" s="177">
        <f>AVERAGE(HistoricalFS!E100:F100)</f>
        <v>15250</v>
      </c>
      <c r="D104" s="177">
        <f>AVERAGE(HistoricalFS!F100:G100)</f>
        <v>16784</v>
      </c>
      <c r="E104" s="177">
        <f>AVERAGE(HistoricalFS!G100:H100)</f>
        <v>18245.5</v>
      </c>
      <c r="F104" s="177">
        <f>AVERAGE(HistoricalFS!H100:I100)</f>
        <v>19391</v>
      </c>
      <c r="G104" s="177">
        <f>AVERAGE(HistoricalFS!I100:J100)</f>
        <v>44455</v>
      </c>
      <c r="H104" s="177">
        <f>AVERAGE(HistoricalFS!J100:K100)</f>
        <v>69637</v>
      </c>
      <c r="I104" s="177">
        <f>AVERAGE(HistoricalFS!K100:L100)</f>
        <v>71802</v>
      </c>
      <c r="J104" s="176"/>
      <c r="K104" s="176"/>
    </row>
    <row r="105" spans="1:11" ht="54" x14ac:dyDescent="0.35">
      <c r="A105" s="176"/>
      <c r="B105" s="178" t="s">
        <v>418</v>
      </c>
      <c r="C105" s="180">
        <f t="shared" ref="C105:G105" si="4">C103/C104</f>
        <v>2.1745573770491804</v>
      </c>
      <c r="D105" s="180">
        <f t="shared" si="4"/>
        <v>2.1177907530981885</v>
      </c>
      <c r="E105" s="180">
        <f t="shared" si="4"/>
        <v>2.1545038502644487</v>
      </c>
      <c r="F105" s="180">
        <f t="shared" si="4"/>
        <v>2.051621886442164</v>
      </c>
      <c r="G105" s="180">
        <f t="shared" si="4"/>
        <v>1.0578787537959735</v>
      </c>
      <c r="H105" s="180">
        <f>H103/H104</f>
        <v>0.75313410974051154</v>
      </c>
      <c r="I105" s="180">
        <f>I103/I104</f>
        <v>0.84370908888331797</v>
      </c>
      <c r="J105" s="176"/>
      <c r="K105" s="176"/>
    </row>
    <row r="106" spans="1:11" ht="18" x14ac:dyDescent="0.35">
      <c r="A106" s="176"/>
      <c r="B106" s="176"/>
      <c r="C106" s="176"/>
      <c r="D106" s="176"/>
      <c r="E106" s="176"/>
      <c r="F106" s="176"/>
      <c r="G106" s="176"/>
      <c r="H106" s="176"/>
      <c r="I106" s="176"/>
      <c r="J106" s="176"/>
      <c r="K106" s="176"/>
    </row>
    <row r="107" spans="1:11" ht="36" x14ac:dyDescent="0.35">
      <c r="A107" s="176"/>
      <c r="B107" s="176" t="str">
        <f t="shared" ref="B107:I107" si="5">B104</f>
        <v>Average Total Asset</v>
      </c>
      <c r="C107" s="177">
        <f t="shared" si="5"/>
        <v>15250</v>
      </c>
      <c r="D107" s="177">
        <f t="shared" si="5"/>
        <v>16784</v>
      </c>
      <c r="E107" s="177">
        <f t="shared" si="5"/>
        <v>18245.5</v>
      </c>
      <c r="F107" s="177">
        <f t="shared" si="5"/>
        <v>19391</v>
      </c>
      <c r="G107" s="177">
        <f t="shared" si="5"/>
        <v>44455</v>
      </c>
      <c r="H107" s="177">
        <f t="shared" si="5"/>
        <v>69637</v>
      </c>
      <c r="I107" s="177">
        <f t="shared" si="5"/>
        <v>71802</v>
      </c>
      <c r="J107" s="176"/>
      <c r="K107" s="176"/>
    </row>
    <row r="108" spans="1:11" ht="54" x14ac:dyDescent="0.35">
      <c r="A108" s="176"/>
      <c r="B108" s="176" t="str">
        <f t="shared" ref="B108:I108" si="6">B94</f>
        <v>Average Shareholder Equity</v>
      </c>
      <c r="C108" s="177">
        <f t="shared" si="6"/>
        <v>6442.5</v>
      </c>
      <c r="D108" s="177">
        <f t="shared" si="6"/>
        <v>6796.5</v>
      </c>
      <c r="E108" s="177">
        <f t="shared" si="6"/>
        <v>7346</v>
      </c>
      <c r="F108" s="177">
        <f t="shared" si="6"/>
        <v>7812.5</v>
      </c>
      <c r="G108" s="177">
        <f t="shared" si="6"/>
        <v>27718.5</v>
      </c>
      <c r="H108" s="177">
        <f t="shared" si="6"/>
        <v>48132.5</v>
      </c>
      <c r="I108" s="177">
        <f t="shared" si="6"/>
        <v>49447.5</v>
      </c>
      <c r="J108" s="176"/>
      <c r="K108" s="176"/>
    </row>
    <row r="109" spans="1:11" ht="54" x14ac:dyDescent="0.35">
      <c r="A109" s="176"/>
      <c r="B109" s="178" t="s">
        <v>419</v>
      </c>
      <c r="C109" s="181">
        <f t="shared" ref="C109:G109" si="7">C107/C108</f>
        <v>2.36709351959643</v>
      </c>
      <c r="D109" s="181">
        <f t="shared" si="7"/>
        <v>2.4695063635694843</v>
      </c>
      <c r="E109" s="181">
        <f t="shared" si="7"/>
        <v>2.4837326436155731</v>
      </c>
      <c r="F109" s="181">
        <f t="shared" si="7"/>
        <v>2.4820479999999998</v>
      </c>
      <c r="G109" s="181">
        <f t="shared" si="7"/>
        <v>1.6038025145660839</v>
      </c>
      <c r="H109" s="181">
        <f>H107/H108</f>
        <v>1.4467771256427571</v>
      </c>
      <c r="I109" s="181">
        <f>I107/I108</f>
        <v>1.4520855452752919</v>
      </c>
      <c r="J109" s="176"/>
      <c r="K109" s="176"/>
    </row>
    <row r="110" spans="1:11" ht="18" x14ac:dyDescent="0.35">
      <c r="A110" s="176"/>
      <c r="B110" s="176"/>
      <c r="C110" s="176"/>
      <c r="D110" s="176"/>
      <c r="E110" s="176"/>
      <c r="F110" s="176"/>
      <c r="G110" s="176"/>
      <c r="H110" s="176"/>
      <c r="I110" s="176"/>
      <c r="J110" s="176"/>
      <c r="K110" s="176"/>
    </row>
    <row r="111" spans="1:11" ht="54" x14ac:dyDescent="0.35">
      <c r="A111" s="176"/>
      <c r="B111" s="178" t="s">
        <v>420</v>
      </c>
      <c r="C111" s="179">
        <f t="shared" ref="C111:I111" si="8">C109*C105*C101</f>
        <v>0.69476135040745068</v>
      </c>
      <c r="D111" s="179">
        <f t="shared" si="8"/>
        <v>0.76715956742440949</v>
      </c>
      <c r="E111" s="179">
        <f t="shared" si="8"/>
        <v>0.82412197114075691</v>
      </c>
      <c r="F111" s="179">
        <f t="shared" si="8"/>
        <v>0.86374400000000007</v>
      </c>
      <c r="G111" s="179">
        <f t="shared" si="8"/>
        <v>0.28843552140267331</v>
      </c>
      <c r="H111" s="179">
        <f t="shared" si="8"/>
        <v>0.18446995273463879</v>
      </c>
      <c r="I111" s="179">
        <f t="shared" si="8"/>
        <v>0.2046615096819859</v>
      </c>
      <c r="J111" s="176"/>
      <c r="K111" s="176"/>
    </row>
    <row r="112" spans="1:11" ht="18" x14ac:dyDescent="0.35">
      <c r="A112" s="176"/>
      <c r="B112" s="176"/>
      <c r="C112" s="176"/>
      <c r="D112" s="176"/>
      <c r="E112" s="176"/>
      <c r="F112" s="176"/>
      <c r="G112" s="176"/>
      <c r="H112" s="176"/>
      <c r="I112" s="176"/>
      <c r="J112" s="176"/>
      <c r="K112" s="176"/>
    </row>
    <row r="113" spans="1:11" ht="31.2" customHeight="1" x14ac:dyDescent="0.35">
      <c r="A113" s="176"/>
      <c r="B113" s="194" t="s">
        <v>421</v>
      </c>
      <c r="C113" s="194"/>
      <c r="D113" s="194"/>
      <c r="E113" s="194"/>
      <c r="F113" s="194"/>
      <c r="G113" s="194"/>
      <c r="H113" s="194"/>
      <c r="I113" s="194"/>
      <c r="J113" s="176"/>
      <c r="K113" s="176"/>
    </row>
    <row r="114" spans="1:11" ht="18" x14ac:dyDescent="0.35">
      <c r="A114" s="176"/>
      <c r="B114" s="176"/>
      <c r="C114" s="182">
        <f t="shared" ref="C114:I115" si="9">C98</f>
        <v>42825</v>
      </c>
      <c r="D114" s="182">
        <f t="shared" si="9"/>
        <v>43190</v>
      </c>
      <c r="E114" s="182">
        <f t="shared" si="9"/>
        <v>43555</v>
      </c>
      <c r="F114" s="182">
        <f t="shared" si="9"/>
        <v>43921</v>
      </c>
      <c r="G114" s="182">
        <f t="shared" si="9"/>
        <v>44286</v>
      </c>
      <c r="H114" s="182">
        <f t="shared" si="9"/>
        <v>44651</v>
      </c>
      <c r="I114" s="182">
        <f t="shared" si="9"/>
        <v>45016</v>
      </c>
      <c r="J114" s="176"/>
      <c r="K114" s="176"/>
    </row>
    <row r="115" spans="1:11" ht="18" x14ac:dyDescent="0.35">
      <c r="A115" s="176"/>
      <c r="B115" s="176" t="s">
        <v>72</v>
      </c>
      <c r="C115" s="177">
        <f t="shared" si="9"/>
        <v>4476</v>
      </c>
      <c r="D115" s="177">
        <f t="shared" si="9"/>
        <v>5214</v>
      </c>
      <c r="E115" s="177">
        <f t="shared" si="9"/>
        <v>6054</v>
      </c>
      <c r="F115" s="177">
        <f t="shared" si="9"/>
        <v>6748</v>
      </c>
      <c r="G115" s="177">
        <f t="shared" si="9"/>
        <v>7995</v>
      </c>
      <c r="H115" s="177">
        <f t="shared" si="9"/>
        <v>8879</v>
      </c>
      <c r="I115" s="177">
        <f t="shared" si="9"/>
        <v>10120</v>
      </c>
      <c r="J115" s="176"/>
      <c r="K115" s="176"/>
    </row>
    <row r="116" spans="1:11" ht="36" x14ac:dyDescent="0.35">
      <c r="A116" s="176"/>
      <c r="B116" s="176" t="str">
        <f>B107</f>
        <v>Average Total Asset</v>
      </c>
      <c r="C116" s="177">
        <f t="shared" ref="C116:I116" si="10">C104</f>
        <v>15250</v>
      </c>
      <c r="D116" s="177">
        <f t="shared" si="10"/>
        <v>16784</v>
      </c>
      <c r="E116" s="177">
        <f t="shared" si="10"/>
        <v>18245.5</v>
      </c>
      <c r="F116" s="177">
        <f t="shared" si="10"/>
        <v>19391</v>
      </c>
      <c r="G116" s="177">
        <f t="shared" si="10"/>
        <v>44455</v>
      </c>
      <c r="H116" s="177">
        <f t="shared" si="10"/>
        <v>69637</v>
      </c>
      <c r="I116" s="177">
        <f t="shared" si="10"/>
        <v>71802</v>
      </c>
      <c r="J116" s="176"/>
      <c r="K116" s="176"/>
    </row>
    <row r="117" spans="1:11" ht="36" x14ac:dyDescent="0.35">
      <c r="A117" s="176"/>
      <c r="B117" s="178" t="s">
        <v>421</v>
      </c>
      <c r="C117" s="179">
        <f t="shared" ref="C117:H117" si="11">C115/C116</f>
        <v>0.29350819672131145</v>
      </c>
      <c r="D117" s="179">
        <f t="shared" si="11"/>
        <v>0.31065300285986652</v>
      </c>
      <c r="E117" s="179">
        <f t="shared" si="11"/>
        <v>0.33180784302978816</v>
      </c>
      <c r="F117" s="179">
        <f t="shared" si="11"/>
        <v>0.34799649321850346</v>
      </c>
      <c r="G117" s="179">
        <f t="shared" si="11"/>
        <v>0.17984478686312</v>
      </c>
      <c r="H117" s="179">
        <f t="shared" si="11"/>
        <v>0.12750405675143961</v>
      </c>
      <c r="I117" s="179">
        <f t="shared" ref="I117" si="12">I115/I116</f>
        <v>0.14094314921589929</v>
      </c>
      <c r="J117" s="176"/>
      <c r="K117" s="176"/>
    </row>
    <row r="118" spans="1:11" ht="18" x14ac:dyDescent="0.35">
      <c r="A118" s="176"/>
      <c r="B118" s="176"/>
      <c r="C118" s="176"/>
      <c r="D118" s="176"/>
      <c r="E118" s="176"/>
      <c r="F118" s="176"/>
      <c r="G118" s="176"/>
      <c r="H118" s="176"/>
      <c r="I118" s="176"/>
      <c r="J118" s="176"/>
      <c r="K118" s="176"/>
    </row>
    <row r="119" spans="1:11" ht="31.2" customHeight="1" x14ac:dyDescent="0.35">
      <c r="A119" s="176"/>
      <c r="B119" s="194" t="s">
        <v>422</v>
      </c>
      <c r="C119" s="194"/>
      <c r="D119" s="194"/>
      <c r="E119" s="194"/>
      <c r="F119" s="194"/>
      <c r="G119" s="194"/>
      <c r="H119" s="194"/>
      <c r="I119" s="194"/>
      <c r="J119" s="176"/>
      <c r="K119" s="176"/>
    </row>
    <row r="120" spans="1:11" ht="15.6" customHeight="1" x14ac:dyDescent="0.35">
      <c r="A120" s="176"/>
      <c r="B120" s="176"/>
      <c r="C120" s="182">
        <f t="shared" ref="C120:I121" si="13">C114</f>
        <v>42825</v>
      </c>
      <c r="D120" s="182">
        <f t="shared" si="13"/>
        <v>43190</v>
      </c>
      <c r="E120" s="182">
        <f t="shared" si="13"/>
        <v>43555</v>
      </c>
      <c r="F120" s="182">
        <f t="shared" si="13"/>
        <v>43921</v>
      </c>
      <c r="G120" s="182">
        <f t="shared" si="13"/>
        <v>44286</v>
      </c>
      <c r="H120" s="182">
        <f t="shared" si="13"/>
        <v>44651</v>
      </c>
      <c r="I120" s="182">
        <f t="shared" si="13"/>
        <v>45016</v>
      </c>
      <c r="J120" s="176"/>
      <c r="K120" s="176"/>
    </row>
    <row r="121" spans="1:11" ht="18" x14ac:dyDescent="0.35">
      <c r="A121" s="176"/>
      <c r="B121" s="176" t="str">
        <f>B115</f>
        <v>Net Profit</v>
      </c>
      <c r="C121" s="177">
        <f t="shared" si="13"/>
        <v>4476</v>
      </c>
      <c r="D121" s="177">
        <f t="shared" si="13"/>
        <v>5214</v>
      </c>
      <c r="E121" s="177">
        <f t="shared" si="13"/>
        <v>6054</v>
      </c>
      <c r="F121" s="177">
        <f t="shared" si="13"/>
        <v>6748</v>
      </c>
      <c r="G121" s="177">
        <f t="shared" si="13"/>
        <v>7995</v>
      </c>
      <c r="H121" s="177">
        <f t="shared" si="13"/>
        <v>8879</v>
      </c>
      <c r="I121" s="177">
        <f t="shared" si="13"/>
        <v>10120</v>
      </c>
      <c r="J121" s="176"/>
      <c r="K121" s="176"/>
    </row>
    <row r="122" spans="1:11" ht="18" x14ac:dyDescent="0.35">
      <c r="A122" s="176"/>
      <c r="B122" s="176" t="s">
        <v>383</v>
      </c>
      <c r="C122" s="177">
        <f t="shared" ref="C122:I122" si="14">C103</f>
        <v>33162</v>
      </c>
      <c r="D122" s="177">
        <f t="shared" si="14"/>
        <v>35545</v>
      </c>
      <c r="E122" s="177">
        <f t="shared" si="14"/>
        <v>39310</v>
      </c>
      <c r="F122" s="177">
        <f t="shared" si="14"/>
        <v>39783</v>
      </c>
      <c r="G122" s="177">
        <f t="shared" si="14"/>
        <v>47028</v>
      </c>
      <c r="H122" s="177">
        <f t="shared" si="14"/>
        <v>52446</v>
      </c>
      <c r="I122" s="177">
        <f t="shared" si="14"/>
        <v>60580</v>
      </c>
      <c r="J122" s="176"/>
      <c r="K122" s="176"/>
    </row>
    <row r="123" spans="1:11" ht="36" x14ac:dyDescent="0.35">
      <c r="A123" s="176"/>
      <c r="B123" s="178" t="s">
        <v>416</v>
      </c>
      <c r="C123" s="179">
        <f t="shared" ref="C123:G123" si="15">C121/C122</f>
        <v>0.13497376515288584</v>
      </c>
      <c r="D123" s="179">
        <f t="shared" si="15"/>
        <v>0.14668729779153186</v>
      </c>
      <c r="E123" s="179">
        <f t="shared" si="15"/>
        <v>0.15400661409310609</v>
      </c>
      <c r="F123" s="179">
        <f t="shared" si="15"/>
        <v>0.16962018952819044</v>
      </c>
      <c r="G123" s="179">
        <f t="shared" si="15"/>
        <v>0.17000510334268945</v>
      </c>
      <c r="H123" s="179">
        <f>H121/H122</f>
        <v>0.16929794455249209</v>
      </c>
      <c r="I123" s="179">
        <f>I121/I122</f>
        <v>0.16705183228788378</v>
      </c>
      <c r="J123" s="176"/>
      <c r="K123" s="176"/>
    </row>
    <row r="124" spans="1:11" ht="18" x14ac:dyDescent="0.35">
      <c r="A124" s="176"/>
      <c r="B124" s="176"/>
      <c r="C124" s="176"/>
      <c r="D124" s="176"/>
      <c r="E124" s="176"/>
      <c r="F124" s="176"/>
      <c r="G124" s="176"/>
      <c r="H124" s="176"/>
      <c r="I124" s="176"/>
      <c r="J124" s="176"/>
      <c r="K124" s="176"/>
    </row>
    <row r="125" spans="1:11" ht="18" x14ac:dyDescent="0.35">
      <c r="A125" s="176"/>
      <c r="B125" s="176" t="s">
        <v>383</v>
      </c>
      <c r="C125" s="177">
        <f t="shared" ref="C125:G125" si="16">C122</f>
        <v>33162</v>
      </c>
      <c r="D125" s="177">
        <f t="shared" si="16"/>
        <v>35545</v>
      </c>
      <c r="E125" s="177">
        <f t="shared" si="16"/>
        <v>39310</v>
      </c>
      <c r="F125" s="177">
        <f t="shared" si="16"/>
        <v>39783</v>
      </c>
      <c r="G125" s="177">
        <f t="shared" si="16"/>
        <v>47028</v>
      </c>
      <c r="H125" s="177">
        <f>H122</f>
        <v>52446</v>
      </c>
      <c r="I125" s="177">
        <f>I122</f>
        <v>60580</v>
      </c>
      <c r="J125" s="176"/>
      <c r="K125" s="176"/>
    </row>
    <row r="126" spans="1:11" ht="36" x14ac:dyDescent="0.35">
      <c r="A126" s="176"/>
      <c r="B126" s="176" t="s">
        <v>417</v>
      </c>
      <c r="C126" s="177">
        <f t="shared" ref="C126:I126" si="17">C116</f>
        <v>15250</v>
      </c>
      <c r="D126" s="177">
        <f t="shared" si="17"/>
        <v>16784</v>
      </c>
      <c r="E126" s="177">
        <f t="shared" si="17"/>
        <v>18245.5</v>
      </c>
      <c r="F126" s="177">
        <f t="shared" si="17"/>
        <v>19391</v>
      </c>
      <c r="G126" s="177">
        <f t="shared" si="17"/>
        <v>44455</v>
      </c>
      <c r="H126" s="177">
        <f t="shared" si="17"/>
        <v>69637</v>
      </c>
      <c r="I126" s="177">
        <f t="shared" si="17"/>
        <v>71802</v>
      </c>
      <c r="J126" s="176"/>
      <c r="K126" s="176"/>
    </row>
    <row r="127" spans="1:11" ht="54" x14ac:dyDescent="0.35">
      <c r="A127" s="176"/>
      <c r="B127" s="178" t="s">
        <v>418</v>
      </c>
      <c r="C127" s="180">
        <f t="shared" ref="C127:G127" si="18">C125/C126</f>
        <v>2.1745573770491804</v>
      </c>
      <c r="D127" s="180">
        <f t="shared" si="18"/>
        <v>2.1177907530981885</v>
      </c>
      <c r="E127" s="180">
        <f t="shared" si="18"/>
        <v>2.1545038502644487</v>
      </c>
      <c r="F127" s="180">
        <f t="shared" si="18"/>
        <v>2.051621886442164</v>
      </c>
      <c r="G127" s="180">
        <f t="shared" si="18"/>
        <v>1.0578787537959735</v>
      </c>
      <c r="H127" s="180">
        <f>H125/H126</f>
        <v>0.75313410974051154</v>
      </c>
      <c r="I127" s="180">
        <f>I125/I126</f>
        <v>0.84370908888331797</v>
      </c>
      <c r="J127" s="176"/>
      <c r="K127" s="176"/>
    </row>
    <row r="128" spans="1:11" ht="18" x14ac:dyDescent="0.35">
      <c r="A128" s="176"/>
      <c r="B128" s="176"/>
      <c r="C128" s="176"/>
      <c r="D128" s="176"/>
      <c r="E128" s="176"/>
      <c r="F128" s="176"/>
      <c r="G128" s="176"/>
      <c r="H128" s="176"/>
      <c r="I128" s="176"/>
      <c r="J128" s="176"/>
      <c r="K128" s="176"/>
    </row>
    <row r="129" spans="1:11" ht="36" x14ac:dyDescent="0.35">
      <c r="A129" s="176"/>
      <c r="B129" s="178" t="s">
        <v>423</v>
      </c>
      <c r="C129" s="179">
        <f t="shared" ref="C129:I129" si="19">C127*C123</f>
        <v>0.29350819672131151</v>
      </c>
      <c r="D129" s="179">
        <f t="shared" si="19"/>
        <v>0.31065300285986652</v>
      </c>
      <c r="E129" s="179">
        <f t="shared" si="19"/>
        <v>0.33180784302978816</v>
      </c>
      <c r="F129" s="179">
        <f t="shared" si="19"/>
        <v>0.34799649321850346</v>
      </c>
      <c r="G129" s="179">
        <f t="shared" si="19"/>
        <v>0.17984478686312</v>
      </c>
      <c r="H129" s="179">
        <f t="shared" si="19"/>
        <v>0.12750405675143961</v>
      </c>
      <c r="I129" s="179">
        <f t="shared" si="19"/>
        <v>0.14094314921589926</v>
      </c>
      <c r="J129" s="176"/>
      <c r="K129" s="176"/>
    </row>
    <row r="132" spans="1:11" ht="42" customHeight="1" x14ac:dyDescent="0.3">
      <c r="A132" s="191" t="s">
        <v>427</v>
      </c>
      <c r="B132" s="191"/>
      <c r="C132" s="191"/>
      <c r="D132" s="191"/>
      <c r="E132" s="191"/>
      <c r="F132" s="191"/>
      <c r="G132" s="191"/>
      <c r="H132" s="191"/>
      <c r="I132" s="191"/>
      <c r="J132" s="191"/>
      <c r="K132" s="191"/>
    </row>
    <row r="133" spans="1:11" ht="15.6" x14ac:dyDescent="0.3">
      <c r="A133" s="167"/>
    </row>
    <row r="134" spans="1:11" ht="51" customHeight="1" x14ac:dyDescent="0.3">
      <c r="A134" s="188" t="s">
        <v>429</v>
      </c>
      <c r="B134" s="188"/>
      <c r="C134" s="188"/>
      <c r="D134" s="188"/>
      <c r="E134" s="188"/>
      <c r="F134" s="188"/>
      <c r="G134" s="188"/>
      <c r="H134" s="188"/>
      <c r="I134" s="188"/>
      <c r="J134" s="188"/>
      <c r="K134" s="188"/>
    </row>
    <row r="135" spans="1:11" ht="59.4" customHeight="1" x14ac:dyDescent="0.3">
      <c r="A135" s="188" t="s">
        <v>430</v>
      </c>
      <c r="B135" s="188"/>
      <c r="C135" s="188"/>
      <c r="D135" s="188"/>
      <c r="E135" s="188"/>
      <c r="F135" s="188"/>
      <c r="G135" s="188"/>
      <c r="H135" s="188"/>
      <c r="I135" s="188"/>
      <c r="J135" s="188"/>
      <c r="K135" s="188"/>
    </row>
    <row r="136" spans="1:11" ht="49.2" customHeight="1" x14ac:dyDescent="0.3">
      <c r="A136" s="188" t="s">
        <v>431</v>
      </c>
      <c r="B136" s="188"/>
      <c r="C136" s="188"/>
      <c r="D136" s="188"/>
      <c r="E136" s="188"/>
      <c r="F136" s="188"/>
      <c r="G136" s="188"/>
      <c r="H136" s="188"/>
      <c r="I136" s="188"/>
      <c r="J136" s="188"/>
      <c r="K136" s="188"/>
    </row>
    <row r="137" spans="1:11" ht="58.2" customHeight="1" x14ac:dyDescent="0.3">
      <c r="A137" s="188" t="s">
        <v>432</v>
      </c>
      <c r="B137" s="188"/>
      <c r="C137" s="188"/>
      <c r="D137" s="188"/>
      <c r="E137" s="188"/>
      <c r="F137" s="188"/>
      <c r="G137" s="188"/>
      <c r="H137" s="188"/>
      <c r="I137" s="188"/>
      <c r="J137" s="188"/>
      <c r="K137" s="188"/>
    </row>
    <row r="138" spans="1:11" ht="58.2" customHeight="1" x14ac:dyDescent="0.3">
      <c r="A138" s="188" t="s">
        <v>433</v>
      </c>
      <c r="B138" s="188"/>
      <c r="C138" s="188"/>
      <c r="D138" s="188"/>
      <c r="E138" s="188"/>
      <c r="F138" s="188"/>
      <c r="G138" s="188"/>
      <c r="H138" s="188"/>
      <c r="I138" s="188"/>
      <c r="J138" s="188"/>
      <c r="K138" s="188"/>
    </row>
    <row r="139" spans="1:11" ht="18" customHeight="1" x14ac:dyDescent="0.3">
      <c r="A139" s="188" t="s">
        <v>428</v>
      </c>
      <c r="B139" s="188"/>
      <c r="C139" s="188"/>
      <c r="D139" s="188"/>
      <c r="E139" s="188"/>
      <c r="F139" s="188"/>
      <c r="G139" s="188"/>
      <c r="H139" s="188"/>
      <c r="I139" s="188"/>
      <c r="J139" s="188"/>
      <c r="K139" s="188"/>
    </row>
    <row r="140" spans="1:11" x14ac:dyDescent="0.3">
      <c r="A140" s="188"/>
      <c r="B140" s="188"/>
      <c r="C140" s="188"/>
      <c r="D140" s="188"/>
      <c r="E140" s="188"/>
      <c r="F140" s="188"/>
      <c r="G140" s="188"/>
      <c r="H140" s="188"/>
      <c r="I140" s="188"/>
      <c r="J140" s="188"/>
      <c r="K140" s="188"/>
    </row>
    <row r="141" spans="1:11" x14ac:dyDescent="0.3">
      <c r="A141" s="188"/>
      <c r="B141" s="188"/>
      <c r="C141" s="188"/>
      <c r="D141" s="188"/>
      <c r="E141" s="188"/>
      <c r="F141" s="188"/>
      <c r="G141" s="188"/>
      <c r="H141" s="188"/>
      <c r="I141" s="188"/>
      <c r="J141" s="188"/>
      <c r="K141" s="188"/>
    </row>
    <row r="142" spans="1:11" ht="31.2" customHeight="1" x14ac:dyDescent="0.3">
      <c r="A142" s="188"/>
      <c r="B142" s="188"/>
      <c r="C142" s="188"/>
      <c r="D142" s="188"/>
      <c r="E142" s="188"/>
      <c r="F142" s="188"/>
      <c r="G142" s="188"/>
      <c r="H142" s="188"/>
      <c r="I142" s="188"/>
      <c r="J142" s="188"/>
      <c r="K142" s="188"/>
    </row>
  </sheetData>
  <mergeCells count="23">
    <mergeCell ref="A139:K142"/>
    <mergeCell ref="A132:K132"/>
    <mergeCell ref="A8:K12"/>
    <mergeCell ref="A4:H4"/>
    <mergeCell ref="A5:H5"/>
    <mergeCell ref="B97:I97"/>
    <mergeCell ref="B113:I113"/>
    <mergeCell ref="B119:I119"/>
    <mergeCell ref="A134:K134"/>
    <mergeCell ref="A135:K135"/>
    <mergeCell ref="A136:K136"/>
    <mergeCell ref="A7:J7"/>
    <mergeCell ref="A69:J69"/>
    <mergeCell ref="A71:J72"/>
    <mergeCell ref="B90:I90"/>
    <mergeCell ref="A14:J14"/>
    <mergeCell ref="A2:H2"/>
    <mergeCell ref="A137:K137"/>
    <mergeCell ref="A138:K138"/>
    <mergeCell ref="A74:J75"/>
    <mergeCell ref="A77:J77"/>
    <mergeCell ref="A79:J80"/>
    <mergeCell ref="A82:J82"/>
  </mergeCells>
  <pageMargins left="0.7" right="0.7" top="0.75" bottom="0.75" header="0.3" footer="0.3"/>
  <pageSetup scale="75" fitToHeight="0" orientation="portrait" r:id="rId1"/>
  <rowBreaks count="4" manualBreakCount="4">
    <brk id="43" max="9" man="1"/>
    <brk id="82" max="9" man="1"/>
    <brk id="142" max="9" man="1"/>
    <brk id="143" max="10"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9490A-C10C-44BC-AF62-B987E41CABD5}">
  <dimension ref="A2:I64"/>
  <sheetViews>
    <sheetView showGridLines="0" workbookViewId="0">
      <pane ySplit="1" topLeftCell="A15" activePane="bottomLeft" state="frozen"/>
      <selection pane="bottomLeft" activeCell="H27" sqref="H27"/>
    </sheetView>
  </sheetViews>
  <sheetFormatPr defaultRowHeight="14.4" x14ac:dyDescent="0.3"/>
  <cols>
    <col min="1" max="1" width="1.88671875" customWidth="1"/>
    <col min="2" max="2" width="28.44140625" bestFit="1" customWidth="1"/>
    <col min="3" max="10" width="13" customWidth="1"/>
    <col min="11" max="11" width="15.109375" customWidth="1"/>
    <col min="12" max="12" width="10.44140625" bestFit="1" customWidth="1"/>
    <col min="13" max="13" width="10" bestFit="1" customWidth="1"/>
  </cols>
  <sheetData>
    <row r="2" spans="2:7" x14ac:dyDescent="0.3">
      <c r="B2" s="11" t="s">
        <v>332</v>
      </c>
      <c r="C2" s="12">
        <f>'Ratio Analysis'!H3</f>
        <v>43555</v>
      </c>
      <c r="D2" s="12">
        <f>'Ratio Analysis'!I3</f>
        <v>43921</v>
      </c>
      <c r="E2" s="12">
        <f>'Ratio Analysis'!J3</f>
        <v>44286</v>
      </c>
      <c r="F2" s="12">
        <f>'Ratio Analysis'!K3</f>
        <v>44651</v>
      </c>
      <c r="G2" s="12">
        <f>'Ratio Analysis'!L3</f>
        <v>45016</v>
      </c>
    </row>
    <row r="4" spans="2:7" x14ac:dyDescent="0.3">
      <c r="B4" s="13" t="s">
        <v>230</v>
      </c>
    </row>
    <row r="5" spans="2:7" x14ac:dyDescent="0.3">
      <c r="B5" t="s">
        <v>231</v>
      </c>
      <c r="C5" s="20">
        <f>HistoricalFS!H93</f>
        <v>2714</v>
      </c>
      <c r="D5" s="20">
        <f>HistoricalFS!I93</f>
        <v>1253</v>
      </c>
      <c r="E5" s="20">
        <f>HistoricalFS!J93</f>
        <v>2707</v>
      </c>
      <c r="F5" s="20">
        <f>HistoricalFS!K93</f>
        <v>3519</v>
      </c>
      <c r="G5" s="20">
        <f>HistoricalFS!L93</f>
        <v>2811</v>
      </c>
    </row>
    <row r="6" spans="2:7" x14ac:dyDescent="0.3">
      <c r="B6" t="s">
        <v>232</v>
      </c>
      <c r="C6" s="20">
        <f>HistoricalFS!H94</f>
        <v>2574</v>
      </c>
      <c r="D6" s="20">
        <f>HistoricalFS!I94</f>
        <v>2767</v>
      </c>
      <c r="E6" s="20">
        <f>HistoricalFS!J94</f>
        <v>3579</v>
      </c>
      <c r="F6" s="20">
        <f>HistoricalFS!K94</f>
        <v>4096</v>
      </c>
      <c r="G6" s="20">
        <f>HistoricalFS!L94</f>
        <v>4251</v>
      </c>
    </row>
    <row r="7" spans="2:7" x14ac:dyDescent="0.3">
      <c r="B7" t="s">
        <v>233</v>
      </c>
      <c r="C7" s="20">
        <f>HistoricalFS!H95</f>
        <v>1816</v>
      </c>
      <c r="D7" s="20">
        <f>HistoricalFS!I95</f>
        <v>1149</v>
      </c>
      <c r="E7" s="20">
        <f>HistoricalFS!J95</f>
        <v>1758</v>
      </c>
      <c r="F7" s="20">
        <f>HistoricalFS!K95</f>
        <v>2236</v>
      </c>
      <c r="G7" s="20">
        <f>HistoricalFS!L95</f>
        <v>3079</v>
      </c>
    </row>
    <row r="8" spans="2:7" x14ac:dyDescent="0.3">
      <c r="B8" t="s">
        <v>234</v>
      </c>
      <c r="C8" s="20">
        <f>HistoricalFS!H96</f>
        <v>3757</v>
      </c>
      <c r="D8" s="20">
        <f>HistoricalFS!I96</f>
        <v>5113</v>
      </c>
      <c r="E8" s="20">
        <f>HistoricalFS!J96</f>
        <v>4471</v>
      </c>
      <c r="F8" s="20">
        <f>HistoricalFS!K96</f>
        <v>3846</v>
      </c>
      <c r="G8" s="20">
        <f>HistoricalFS!L96</f>
        <v>4678</v>
      </c>
    </row>
    <row r="9" spans="2:7" x14ac:dyDescent="0.3">
      <c r="B9" t="s">
        <v>235</v>
      </c>
      <c r="C9" s="20">
        <f>HistoricalFS!H97</f>
        <v>4</v>
      </c>
      <c r="D9" s="20">
        <f>HistoricalFS!I97</f>
        <v>0</v>
      </c>
      <c r="E9" s="20">
        <f>HistoricalFS!J97</f>
        <v>0</v>
      </c>
      <c r="F9" s="20">
        <f>HistoricalFS!K97</f>
        <v>35</v>
      </c>
      <c r="G9" s="20">
        <f>HistoricalFS!L97</f>
        <v>36</v>
      </c>
    </row>
    <row r="10" spans="2:7" x14ac:dyDescent="0.3">
      <c r="B10" t="s">
        <v>236</v>
      </c>
      <c r="C10" s="20">
        <f>HistoricalFS!H98</f>
        <v>1049</v>
      </c>
      <c r="D10" s="20">
        <f>HistoricalFS!I98</f>
        <v>2039</v>
      </c>
      <c r="E10" s="20">
        <f>HistoricalFS!J98</f>
        <v>1702</v>
      </c>
      <c r="F10" s="20">
        <f>HistoricalFS!K98</f>
        <v>1790</v>
      </c>
      <c r="G10" s="20">
        <f>HistoricalFS!L98</f>
        <v>2143</v>
      </c>
    </row>
    <row r="11" spans="2:7" x14ac:dyDescent="0.3">
      <c r="B11" s="37" t="s">
        <v>81</v>
      </c>
      <c r="C11" s="38">
        <f t="shared" ref="C11:G11" si="0">SUM(C5:C10)</f>
        <v>11914</v>
      </c>
      <c r="D11" s="38">
        <f t="shared" si="0"/>
        <v>12321</v>
      </c>
      <c r="E11" s="38">
        <f t="shared" si="0"/>
        <v>14217</v>
      </c>
      <c r="F11" s="38">
        <f t="shared" si="0"/>
        <v>15522</v>
      </c>
      <c r="G11" s="38">
        <f t="shared" si="0"/>
        <v>16998</v>
      </c>
    </row>
    <row r="13" spans="2:7" x14ac:dyDescent="0.3">
      <c r="B13" s="13" t="s">
        <v>212</v>
      </c>
    </row>
    <row r="14" spans="2:7" x14ac:dyDescent="0.3">
      <c r="B14" t="s">
        <v>213</v>
      </c>
      <c r="C14" s="20">
        <f>HistoricalFS!H74</f>
        <v>99</v>
      </c>
      <c r="D14" s="20">
        <f>HistoricalFS!I74</f>
        <v>0</v>
      </c>
      <c r="E14" s="20">
        <f>HistoricalFS!J74</f>
        <v>0</v>
      </c>
      <c r="F14" s="20">
        <f>HistoricalFS!K74</f>
        <v>0</v>
      </c>
      <c r="G14" s="20">
        <f>HistoricalFS!L74</f>
        <v>98</v>
      </c>
    </row>
    <row r="15" spans="2:7" x14ac:dyDescent="0.3">
      <c r="B15" t="s">
        <v>214</v>
      </c>
      <c r="C15" s="20">
        <f>HistoricalFS!H75</f>
        <v>7206</v>
      </c>
      <c r="D15" s="20">
        <f>HistoricalFS!I75</f>
        <v>7535</v>
      </c>
      <c r="E15" s="20">
        <f>HistoricalFS!J75</f>
        <v>8802</v>
      </c>
      <c r="F15" s="20">
        <f>HistoricalFS!K75</f>
        <v>9068</v>
      </c>
      <c r="G15" s="20">
        <f>HistoricalFS!L75</f>
        <v>9574</v>
      </c>
    </row>
    <row r="16" spans="2:7" x14ac:dyDescent="0.3">
      <c r="B16" t="s">
        <v>215</v>
      </c>
      <c r="C16" s="20">
        <f>HistoricalFS!H76</f>
        <v>839</v>
      </c>
      <c r="D16" s="20">
        <f>HistoricalFS!I76</f>
        <v>1360</v>
      </c>
      <c r="E16" s="20">
        <f>HistoricalFS!J76</f>
        <v>1794</v>
      </c>
      <c r="F16" s="20">
        <f>HistoricalFS!K76</f>
        <v>1866</v>
      </c>
      <c r="G16" s="20">
        <f>HistoricalFS!L76</f>
        <v>1967</v>
      </c>
    </row>
    <row r="17" spans="1:7" x14ac:dyDescent="0.3">
      <c r="B17" t="s">
        <v>216</v>
      </c>
      <c r="C17" s="20">
        <f>HistoricalFS!H77</f>
        <v>523</v>
      </c>
      <c r="D17" s="20">
        <f>HistoricalFS!I77</f>
        <v>422</v>
      </c>
      <c r="E17" s="20">
        <f>HistoricalFS!J77</f>
        <v>507</v>
      </c>
      <c r="F17" s="20">
        <f>HistoricalFS!K77</f>
        <v>346</v>
      </c>
      <c r="G17" s="20">
        <f>HistoricalFS!L77</f>
        <v>389</v>
      </c>
    </row>
    <row r="18" spans="1:7" x14ac:dyDescent="0.3">
      <c r="B18" s="37" t="s">
        <v>217</v>
      </c>
      <c r="C18" s="38">
        <f t="shared" ref="C18:G18" si="1">SUM(C14:C17)</f>
        <v>8667</v>
      </c>
      <c r="D18" s="38">
        <f t="shared" si="1"/>
        <v>9317</v>
      </c>
      <c r="E18" s="38">
        <f t="shared" si="1"/>
        <v>11103</v>
      </c>
      <c r="F18" s="38">
        <f t="shared" si="1"/>
        <v>11280</v>
      </c>
      <c r="G18" s="38">
        <f t="shared" si="1"/>
        <v>12028</v>
      </c>
    </row>
    <row r="20" spans="1:7" x14ac:dyDescent="0.3">
      <c r="B20" s="37" t="s">
        <v>333</v>
      </c>
      <c r="C20" s="38">
        <f>C11-C18</f>
        <v>3247</v>
      </c>
      <c r="D20" s="38">
        <f t="shared" ref="D20:G20" si="2">D11-D18</f>
        <v>3004</v>
      </c>
      <c r="E20" s="38">
        <f t="shared" si="2"/>
        <v>3114</v>
      </c>
      <c r="F20" s="38">
        <f t="shared" si="2"/>
        <v>4242</v>
      </c>
      <c r="G20" s="38">
        <f t="shared" si="2"/>
        <v>4970</v>
      </c>
    </row>
    <row r="23" spans="1:7" x14ac:dyDescent="0.3">
      <c r="B23" s="13" t="s">
        <v>220</v>
      </c>
    </row>
    <row r="24" spans="1:7" x14ac:dyDescent="0.3">
      <c r="B24" t="s">
        <v>221</v>
      </c>
      <c r="C24" s="20">
        <f>HistoricalFS!H82</f>
        <v>4192</v>
      </c>
      <c r="D24" s="20">
        <f>HistoricalFS!I82</f>
        <v>4960</v>
      </c>
      <c r="E24" s="20">
        <f>HistoricalFS!J82</f>
        <v>6116</v>
      </c>
      <c r="F24" s="20">
        <f>HistoricalFS!K82</f>
        <v>6169</v>
      </c>
      <c r="G24" s="20">
        <f>HistoricalFS!L82</f>
        <v>6949</v>
      </c>
    </row>
    <row r="25" spans="1:7" x14ac:dyDescent="0.3">
      <c r="B25" t="s">
        <v>222</v>
      </c>
      <c r="C25" s="20">
        <f>HistoricalFS!H83</f>
        <v>406</v>
      </c>
      <c r="D25" s="20">
        <f>HistoricalFS!I83</f>
        <v>402</v>
      </c>
      <c r="E25" s="20">
        <f>HistoricalFS!J83</f>
        <v>27930</v>
      </c>
      <c r="F25" s="20">
        <f>HistoricalFS!K83</f>
        <v>27907</v>
      </c>
      <c r="G25" s="20">
        <f>HistoricalFS!L83</f>
        <v>28263</v>
      </c>
    </row>
    <row r="26" spans="1:7" x14ac:dyDescent="0.3">
      <c r="A26" t="s">
        <v>58</v>
      </c>
      <c r="B26" t="s">
        <v>223</v>
      </c>
      <c r="C26" s="20">
        <f>HistoricalFS!H84</f>
        <v>406</v>
      </c>
      <c r="D26" s="20">
        <f>HistoricalFS!I84</f>
        <v>597</v>
      </c>
      <c r="E26" s="20">
        <f>HistoricalFS!J84</f>
        <v>745</v>
      </c>
      <c r="F26" s="20">
        <f>HistoricalFS!K84</f>
        <v>1313</v>
      </c>
      <c r="G26" s="20">
        <f>HistoricalFS!L84</f>
        <v>1132</v>
      </c>
    </row>
    <row r="27" spans="1:7" x14ac:dyDescent="0.3">
      <c r="B27" t="s">
        <v>224</v>
      </c>
      <c r="C27" s="20">
        <f>HistoricalFS!H85</f>
        <v>0</v>
      </c>
      <c r="D27" s="20">
        <f>HistoricalFS!I85</f>
        <v>0</v>
      </c>
      <c r="E27" s="20">
        <f>HistoricalFS!J85</f>
        <v>0</v>
      </c>
      <c r="F27" s="20">
        <f>HistoricalFS!K85</f>
        <v>0</v>
      </c>
      <c r="G27" s="20">
        <f>HistoricalFS!L85</f>
        <v>0</v>
      </c>
    </row>
    <row r="28" spans="1:7" x14ac:dyDescent="0.3">
      <c r="B28" t="s">
        <v>225</v>
      </c>
      <c r="C28" s="20">
        <f>HistoricalFS!H86</f>
        <v>2</v>
      </c>
      <c r="D28" s="20">
        <f>HistoricalFS!I86</f>
        <v>2</v>
      </c>
      <c r="E28" s="20">
        <f>HistoricalFS!J86</f>
        <v>2</v>
      </c>
      <c r="F28" s="20">
        <f>HistoricalFS!K86</f>
        <v>2</v>
      </c>
      <c r="G28" s="20">
        <f>HistoricalFS!L86</f>
        <v>71</v>
      </c>
    </row>
    <row r="29" spans="1:7" x14ac:dyDescent="0.3">
      <c r="B29" t="s">
        <v>226</v>
      </c>
      <c r="C29" s="20">
        <f>HistoricalFS!H87</f>
        <v>373</v>
      </c>
      <c r="D29" s="20">
        <f>HistoricalFS!I87</f>
        <v>284</v>
      </c>
      <c r="E29" s="20">
        <f>HistoricalFS!J87</f>
        <v>17</v>
      </c>
      <c r="F29" s="20">
        <f>HistoricalFS!K87</f>
        <v>11</v>
      </c>
      <c r="G29" s="20">
        <f>HistoricalFS!L87</f>
        <v>10</v>
      </c>
    </row>
    <row r="30" spans="1:7" x14ac:dyDescent="0.3">
      <c r="B30" t="s">
        <v>227</v>
      </c>
      <c r="C30" s="20">
        <f>HistoricalFS!H88</f>
        <v>215</v>
      </c>
      <c r="D30" s="20">
        <f>HistoricalFS!I88</f>
        <v>238</v>
      </c>
      <c r="E30" s="20">
        <f>HistoricalFS!J88</f>
        <v>251</v>
      </c>
      <c r="F30" s="20">
        <f>HistoricalFS!K88</f>
        <v>115</v>
      </c>
      <c r="G30" s="20">
        <f>HistoricalFS!L88</f>
        <v>98</v>
      </c>
    </row>
    <row r="31" spans="1:7" x14ac:dyDescent="0.3">
      <c r="B31" t="s">
        <v>228</v>
      </c>
      <c r="C31" s="20">
        <f>HistoricalFS!H89</f>
        <v>1004</v>
      </c>
      <c r="D31" s="20">
        <f>HistoricalFS!I89</f>
        <v>1232</v>
      </c>
      <c r="E31" s="20">
        <f>HistoricalFS!J89</f>
        <v>2082</v>
      </c>
      <c r="F31" s="20">
        <f>HistoricalFS!K89</f>
        <v>2081</v>
      </c>
      <c r="G31" s="20">
        <f>HistoricalFS!L89</f>
        <v>2100</v>
      </c>
    </row>
    <row r="32" spans="1:7" x14ac:dyDescent="0.3">
      <c r="B32" t="s">
        <v>343</v>
      </c>
      <c r="C32" s="20">
        <f>HistoricalFS!H90</f>
        <v>117</v>
      </c>
      <c r="D32" s="20">
        <f>HistoricalFS!I90</f>
        <v>117</v>
      </c>
      <c r="E32" s="20">
        <f>HistoricalFS!J90</f>
        <v>17397</v>
      </c>
      <c r="F32" s="20">
        <f>HistoricalFS!K90</f>
        <v>17397</v>
      </c>
      <c r="G32" s="20">
        <f>HistoricalFS!L90</f>
        <v>17466</v>
      </c>
    </row>
    <row r="33" spans="2:9" x14ac:dyDescent="0.3">
      <c r="B33" s="37" t="s">
        <v>229</v>
      </c>
      <c r="C33" s="38">
        <f>SUM(C24:C32)</f>
        <v>6715</v>
      </c>
      <c r="D33" s="38">
        <f t="shared" ref="D33:G33" si="3">SUM(D24:D32)</f>
        <v>7832</v>
      </c>
      <c r="E33" s="38">
        <f t="shared" si="3"/>
        <v>54540</v>
      </c>
      <c r="F33" s="38">
        <f t="shared" si="3"/>
        <v>54995</v>
      </c>
      <c r="G33" s="38">
        <f t="shared" si="3"/>
        <v>56089</v>
      </c>
    </row>
    <row r="35" spans="2:9" x14ac:dyDescent="0.3">
      <c r="B35" s="37" t="s">
        <v>334</v>
      </c>
      <c r="C35" s="38">
        <f>C20+C33</f>
        <v>9962</v>
      </c>
      <c r="D35" s="38">
        <f t="shared" ref="D35:G35" si="4">D20+D33</f>
        <v>10836</v>
      </c>
      <c r="E35" s="38">
        <f t="shared" si="4"/>
        <v>57654</v>
      </c>
      <c r="F35" s="38">
        <f t="shared" si="4"/>
        <v>59237</v>
      </c>
      <c r="G35" s="38">
        <f t="shared" si="4"/>
        <v>61059</v>
      </c>
      <c r="H35" s="20"/>
    </row>
    <row r="36" spans="2:9" x14ac:dyDescent="0.3">
      <c r="B36" s="37" t="s">
        <v>238</v>
      </c>
      <c r="C36" s="38">
        <f>+HistoricalFS!H52</f>
        <v>8637</v>
      </c>
      <c r="D36" s="38">
        <f>+HistoricalFS!I52</f>
        <v>9283</v>
      </c>
      <c r="E36" s="38">
        <f>+HistoricalFS!J52</f>
        <v>10722</v>
      </c>
      <c r="F36" s="38">
        <f>+HistoricalFS!K52</f>
        <v>11985</v>
      </c>
      <c r="G36" s="38">
        <f>+HistoricalFS!L52</f>
        <v>13458</v>
      </c>
    </row>
    <row r="38" spans="2:9" x14ac:dyDescent="0.3">
      <c r="B38" s="37" t="s">
        <v>344</v>
      </c>
      <c r="C38" s="107">
        <f>+C36/C35</f>
        <v>0.86699457940172653</v>
      </c>
      <c r="D38" s="107">
        <f t="shared" ref="D38:G38" si="5">+D36/D35</f>
        <v>0.85668143226282756</v>
      </c>
      <c r="E38" s="107">
        <f t="shared" si="5"/>
        <v>0.18597148506608388</v>
      </c>
      <c r="F38" s="107">
        <f t="shared" si="5"/>
        <v>0.2023228725289937</v>
      </c>
      <c r="G38" s="107">
        <f t="shared" si="5"/>
        <v>0.22040976760182773</v>
      </c>
    </row>
    <row r="41" spans="2:9" x14ac:dyDescent="0.3">
      <c r="B41" s="11" t="s">
        <v>335</v>
      </c>
      <c r="C41" s="12">
        <f>C2</f>
        <v>43555</v>
      </c>
      <c r="D41" s="12">
        <f t="shared" ref="D41:G41" si="6">D2</f>
        <v>43921</v>
      </c>
      <c r="E41" s="12">
        <f t="shared" si="6"/>
        <v>44286</v>
      </c>
      <c r="F41" s="12">
        <f t="shared" si="6"/>
        <v>44651</v>
      </c>
      <c r="G41" s="12">
        <f t="shared" si="6"/>
        <v>45016</v>
      </c>
    </row>
    <row r="42" spans="2:9" x14ac:dyDescent="0.3">
      <c r="B42" t="s">
        <v>336</v>
      </c>
      <c r="C42" s="20">
        <f>-SUM(HistoricalFS!H122:H123)</f>
        <v>754</v>
      </c>
      <c r="D42" s="20">
        <f>-SUM(HistoricalFS!I122:I123)</f>
        <v>810</v>
      </c>
      <c r="E42" s="20">
        <f>-SUM(HistoricalFS!J122:J123)</f>
        <v>4066</v>
      </c>
      <c r="F42" s="20">
        <f>-SUM(HistoricalFS!K122:K123)</f>
        <v>1053</v>
      </c>
      <c r="G42" s="20">
        <f>-SUM(HistoricalFS!L122:L123)</f>
        <v>1011</v>
      </c>
    </row>
    <row r="43" spans="2:9" x14ac:dyDescent="0.3">
      <c r="B43" t="s">
        <v>368</v>
      </c>
      <c r="C43" s="15">
        <f>+C42/HistoricalFS!H6</f>
        <v>1.9180870007631644E-2</v>
      </c>
      <c r="D43" s="15">
        <f>+D42/HistoricalFS!I6</f>
        <v>2.0360455470929795E-2</v>
      </c>
      <c r="E43" s="15">
        <f>+E42/HistoricalFS!J6</f>
        <v>8.6459130730628567E-2</v>
      </c>
      <c r="F43" s="15">
        <f>+F42/HistoricalFS!K6</f>
        <v>2.0077794302711359E-2</v>
      </c>
      <c r="G43" s="15">
        <f>+G42/HistoricalFS!L6</f>
        <v>1.6688676130736217E-2</v>
      </c>
      <c r="I43" s="42"/>
    </row>
    <row r="44" spans="2:9" x14ac:dyDescent="0.3">
      <c r="B44" t="s">
        <v>337</v>
      </c>
      <c r="D44" s="20">
        <f>+D20-C20</f>
        <v>-243</v>
      </c>
      <c r="E44" s="20">
        <f t="shared" ref="E44:G44" si="7">+E20-D20</f>
        <v>110</v>
      </c>
      <c r="F44" s="20">
        <f t="shared" si="7"/>
        <v>1128</v>
      </c>
      <c r="G44" s="20">
        <f t="shared" si="7"/>
        <v>728</v>
      </c>
      <c r="H44" s="184"/>
      <c r="I44" s="42"/>
    </row>
    <row r="46" spans="2:9" x14ac:dyDescent="0.3">
      <c r="B46" t="s">
        <v>238</v>
      </c>
      <c r="C46" s="20">
        <f>+C36</f>
        <v>8637</v>
      </c>
      <c r="D46" s="20">
        <f t="shared" ref="D46:G46" si="8">+D36</f>
        <v>9283</v>
      </c>
      <c r="E46" s="20">
        <f t="shared" si="8"/>
        <v>10722</v>
      </c>
      <c r="F46" s="20">
        <f t="shared" si="8"/>
        <v>11985</v>
      </c>
      <c r="G46" s="20">
        <f t="shared" si="8"/>
        <v>13458</v>
      </c>
      <c r="H46" s="20"/>
    </row>
    <row r="47" spans="2:9" x14ac:dyDescent="0.3">
      <c r="B47" t="s">
        <v>338</v>
      </c>
      <c r="C47" s="106">
        <f>+HistoricalFS!H34</f>
        <v>0.29567642956764295</v>
      </c>
      <c r="D47" s="106">
        <f>+HistoricalFS!I34</f>
        <v>0.26284779050736495</v>
      </c>
      <c r="E47" s="106">
        <f>+HistoricalFS!J34</f>
        <v>0.24573314474304572</v>
      </c>
      <c r="F47" s="106">
        <f>+HistoricalFS!K34</f>
        <v>0.25145214243623198</v>
      </c>
      <c r="G47" s="106">
        <f>+HistoricalFS!L34</f>
        <v>0.23988309352517986</v>
      </c>
      <c r="H47" s="106"/>
    </row>
    <row r="48" spans="2:9" x14ac:dyDescent="0.3">
      <c r="B48" t="s">
        <v>345</v>
      </c>
      <c r="C48" s="20">
        <f>C46*(1-C47)</f>
        <v>6083.242677824268</v>
      </c>
      <c r="D48" s="20">
        <f t="shared" ref="D48:G48" si="9">D46*(1-D47)</f>
        <v>6842.9839607201311</v>
      </c>
      <c r="E48" s="20">
        <f t="shared" si="9"/>
        <v>8087.2492220650638</v>
      </c>
      <c r="F48" s="20">
        <f t="shared" si="9"/>
        <v>8971.3460729017606</v>
      </c>
      <c r="G48" s="20">
        <f t="shared" si="9"/>
        <v>10229.653327338128</v>
      </c>
      <c r="H48" s="20"/>
    </row>
    <row r="50" spans="2:8" x14ac:dyDescent="0.3">
      <c r="B50" t="s">
        <v>339</v>
      </c>
      <c r="D50" s="20">
        <f>+D42+D44</f>
        <v>567</v>
      </c>
      <c r="E50" s="20">
        <f>+E42+E44</f>
        <v>4176</v>
      </c>
      <c r="F50" s="20">
        <f t="shared" ref="F50:G50" si="10">+F42+F44</f>
        <v>2181</v>
      </c>
      <c r="G50" s="20">
        <f t="shared" si="10"/>
        <v>1739</v>
      </c>
      <c r="H50" s="20"/>
    </row>
    <row r="51" spans="2:8" x14ac:dyDescent="0.3">
      <c r="B51" t="s">
        <v>340</v>
      </c>
      <c r="D51" s="15">
        <f>D50/D48</f>
        <v>8.2858589652507517E-2</v>
      </c>
      <c r="E51" s="15">
        <f t="shared" ref="E51:G51" si="11">E50/E48</f>
        <v>0.51636840727083055</v>
      </c>
      <c r="F51" s="15">
        <f t="shared" si="11"/>
        <v>0.24310733108243152</v>
      </c>
      <c r="G51" s="15">
        <f t="shared" si="11"/>
        <v>0.16999598562667104</v>
      </c>
      <c r="H51" s="42"/>
    </row>
    <row r="53" spans="2:8" x14ac:dyDescent="0.3">
      <c r="E53" s="197" t="s">
        <v>341</v>
      </c>
      <c r="F53" s="197"/>
      <c r="G53" s="108">
        <f>AVERAGE(D51:G51)</f>
        <v>0.25308257840811016</v>
      </c>
    </row>
    <row r="54" spans="2:8" x14ac:dyDescent="0.3">
      <c r="E54" s="197" t="s">
        <v>342</v>
      </c>
      <c r="F54" s="197"/>
      <c r="G54" s="108">
        <f>MEDIAN(D51:G51)</f>
        <v>0.20655165835455128</v>
      </c>
    </row>
    <row r="55" spans="2:8" x14ac:dyDescent="0.3">
      <c r="E55" s="170"/>
      <c r="F55" s="170"/>
      <c r="G55" s="108"/>
    </row>
    <row r="56" spans="2:8" x14ac:dyDescent="0.3">
      <c r="B56" s="11" t="s">
        <v>346</v>
      </c>
      <c r="C56" s="12">
        <f>+C41</f>
        <v>43555</v>
      </c>
      <c r="D56" s="12">
        <f>+D41</f>
        <v>43921</v>
      </c>
      <c r="E56" s="12">
        <f>+E41</f>
        <v>44286</v>
      </c>
      <c r="F56" s="12">
        <f>+F41</f>
        <v>44651</v>
      </c>
      <c r="G56" s="12">
        <f>+G41</f>
        <v>45016</v>
      </c>
    </row>
    <row r="58" spans="2:8" x14ac:dyDescent="0.3">
      <c r="B58" t="s">
        <v>340</v>
      </c>
      <c r="D58" s="42">
        <f>+D51</f>
        <v>8.2858589652507517E-2</v>
      </c>
      <c r="E58" s="42">
        <f>+E51</f>
        <v>0.51636840727083055</v>
      </c>
      <c r="F58" s="42">
        <f>+F51</f>
        <v>0.24310733108243152</v>
      </c>
      <c r="G58" s="42">
        <f>+G51</f>
        <v>0.16999598562667104</v>
      </c>
    </row>
    <row r="59" spans="2:8" x14ac:dyDescent="0.3">
      <c r="B59" t="s">
        <v>344</v>
      </c>
      <c r="D59" s="42">
        <f>+D38</f>
        <v>0.85668143226282756</v>
      </c>
      <c r="E59" s="42">
        <f>+E38</f>
        <v>0.18597148506608388</v>
      </c>
      <c r="F59" s="42">
        <f>+F38</f>
        <v>0.2023228725289937</v>
      </c>
      <c r="G59" s="42">
        <f>+G38</f>
        <v>0.22040976760182773</v>
      </c>
    </row>
    <row r="61" spans="2:8" x14ac:dyDescent="0.3">
      <c r="B61" t="s">
        <v>347</v>
      </c>
      <c r="D61" s="15">
        <f>D58*D59</f>
        <v>7.0983415258788041E-2</v>
      </c>
      <c r="E61" s="15">
        <f t="shared" ref="E61:G61" si="12">E58*E59</f>
        <v>9.6029799541364785E-2</v>
      </c>
      <c r="F61" s="15">
        <f t="shared" si="12"/>
        <v>4.9186173557454659E-2</v>
      </c>
      <c r="G61" s="15">
        <f t="shared" si="12"/>
        <v>3.7468775685218211E-2</v>
      </c>
    </row>
    <row r="63" spans="2:8" x14ac:dyDescent="0.3">
      <c r="E63" s="197" t="s">
        <v>341</v>
      </c>
      <c r="F63" s="197"/>
      <c r="G63" s="108">
        <f>AVERAGE(D61:G61)</f>
        <v>6.3417041010706429E-2</v>
      </c>
    </row>
    <row r="64" spans="2:8" x14ac:dyDescent="0.3">
      <c r="E64" s="197" t="s">
        <v>342</v>
      </c>
      <c r="F64" s="197"/>
      <c r="G64" s="108">
        <f>MEDIAN(D61:G61)</f>
        <v>6.0084794408121353E-2</v>
      </c>
    </row>
  </sheetData>
  <mergeCells count="4">
    <mergeCell ref="E53:F53"/>
    <mergeCell ref="E54:F54"/>
    <mergeCell ref="E63:F63"/>
    <mergeCell ref="E64:F6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84490-21BF-4CD7-9CCF-7820BB6E7FAB}">
  <dimension ref="A2:L45"/>
  <sheetViews>
    <sheetView showGridLines="0" workbookViewId="0">
      <pane ySplit="1" topLeftCell="A14" activePane="bottomLeft" state="frozen"/>
      <selection pane="bottomLeft" activeCell="C32" sqref="C32"/>
    </sheetView>
  </sheetViews>
  <sheetFormatPr defaultRowHeight="14.4" x14ac:dyDescent="0.3"/>
  <cols>
    <col min="1" max="1" width="1.88671875" customWidth="1"/>
    <col min="2" max="2" width="28.44140625" bestFit="1" customWidth="1"/>
    <col min="3" max="3" width="20.21875" bestFit="1" customWidth="1"/>
    <col min="4" max="9" width="13" customWidth="1"/>
    <col min="10" max="10" width="19.21875" bestFit="1" customWidth="1"/>
    <col min="11" max="12" width="13" customWidth="1"/>
    <col min="13" max="13" width="15.109375" customWidth="1"/>
    <col min="14" max="14" width="10.44140625" bestFit="1" customWidth="1"/>
    <col min="15" max="15" width="10" bestFit="1" customWidth="1"/>
  </cols>
  <sheetData>
    <row r="2" spans="1:10" ht="18" x14ac:dyDescent="0.35">
      <c r="B2" s="71" t="s">
        <v>265</v>
      </c>
      <c r="C2" s="72"/>
      <c r="D2" s="72"/>
      <c r="E2" s="72"/>
      <c r="F2" s="25"/>
      <c r="G2" s="25"/>
      <c r="H2" s="25"/>
      <c r="I2" s="25"/>
      <c r="J2" s="25"/>
    </row>
    <row r="3" spans="1:10" x14ac:dyDescent="0.3">
      <c r="A3" t="s">
        <v>58</v>
      </c>
    </row>
    <row r="4" spans="1:10" x14ac:dyDescent="0.3">
      <c r="B4" s="73" t="s">
        <v>266</v>
      </c>
    </row>
    <row r="6" spans="1:10" x14ac:dyDescent="0.3">
      <c r="B6" s="13" t="s">
        <v>267</v>
      </c>
    </row>
    <row r="7" spans="1:10" x14ac:dyDescent="0.3">
      <c r="B7" s="74"/>
      <c r="C7" s="74"/>
      <c r="D7" s="74"/>
      <c r="E7" s="74"/>
      <c r="F7" s="75"/>
      <c r="G7" s="75" t="s">
        <v>268</v>
      </c>
      <c r="H7" s="75" t="s">
        <v>268</v>
      </c>
      <c r="I7" s="75" t="s">
        <v>269</v>
      </c>
      <c r="J7" s="75" t="s">
        <v>270</v>
      </c>
    </row>
    <row r="8" spans="1:10" ht="16.2" x14ac:dyDescent="0.3">
      <c r="B8" s="76" t="s">
        <v>271</v>
      </c>
      <c r="C8" s="76" t="s">
        <v>272</v>
      </c>
      <c r="D8" s="77" t="s">
        <v>273</v>
      </c>
      <c r="E8" s="77" t="s">
        <v>274</v>
      </c>
      <c r="F8" s="77" t="s">
        <v>275</v>
      </c>
      <c r="G8" s="77" t="s">
        <v>276</v>
      </c>
      <c r="H8" s="77" t="s">
        <v>277</v>
      </c>
      <c r="I8" s="77" t="s">
        <v>278</v>
      </c>
      <c r="J8" s="77" t="s">
        <v>279</v>
      </c>
    </row>
    <row r="9" spans="1:10" x14ac:dyDescent="0.3">
      <c r="B9" s="78"/>
      <c r="C9" s="78"/>
      <c r="D9" s="78"/>
      <c r="E9" s="78"/>
      <c r="F9" s="78"/>
      <c r="G9" s="78"/>
      <c r="H9" s="78"/>
      <c r="I9" s="78"/>
      <c r="J9" s="78"/>
    </row>
    <row r="10" spans="1:10" x14ac:dyDescent="0.3">
      <c r="B10" s="79" t="s">
        <v>280</v>
      </c>
      <c r="C10" s="80" t="s">
        <v>281</v>
      </c>
      <c r="D10" s="81">
        <v>1272</v>
      </c>
      <c r="E10" s="81">
        <v>568495.35</v>
      </c>
      <c r="F10" s="82">
        <v>0.3</v>
      </c>
      <c r="G10" s="83">
        <f>D10/E10</f>
        <v>2.2374853198007688E-3</v>
      </c>
      <c r="H10" s="83">
        <f>D10/(E10+D10)</f>
        <v>2.2324901558504538E-3</v>
      </c>
      <c r="I10" s="84">
        <f>'Beta Calculation'!K6</f>
        <v>0.59826722234089991</v>
      </c>
      <c r="J10" s="85">
        <f>I10/(1+(1-F10)*G10)</f>
        <v>0.59733165777018082</v>
      </c>
    </row>
    <row r="11" spans="1:10" x14ac:dyDescent="0.3">
      <c r="B11" s="79" t="s">
        <v>306</v>
      </c>
      <c r="C11" s="80" t="s">
        <v>281</v>
      </c>
      <c r="D11" s="81">
        <v>36.119999999999997</v>
      </c>
      <c r="E11" s="81">
        <v>21241.51</v>
      </c>
      <c r="F11" s="82">
        <v>0.3</v>
      </c>
      <c r="G11" s="83">
        <f t="shared" ref="G11:G14" si="0">D11/E11</f>
        <v>1.7004440833066953E-3</v>
      </c>
      <c r="H11" s="83">
        <f t="shared" ref="H11:H14" si="1">D11/(E11+D11)</f>
        <v>1.6975574817308132E-3</v>
      </c>
      <c r="I11" s="84">
        <f>'Beta Calculation'!K17</f>
        <v>0.42888044589629476</v>
      </c>
      <c r="J11" s="85">
        <f t="shared" ref="J11:J14" si="2">I11/(1+(1-F11)*G11)</f>
        <v>0.42837055177713218</v>
      </c>
    </row>
    <row r="12" spans="1:10" x14ac:dyDescent="0.3">
      <c r="B12" s="79" t="s">
        <v>282</v>
      </c>
      <c r="C12" s="80" t="s">
        <v>281</v>
      </c>
      <c r="D12" s="81">
        <v>2778.39</v>
      </c>
      <c r="E12" s="102">
        <v>117764.12</v>
      </c>
      <c r="F12" s="82">
        <v>0.3</v>
      </c>
      <c r="G12" s="83">
        <f t="shared" si="0"/>
        <v>2.3592839652688782E-2</v>
      </c>
      <c r="H12" s="83">
        <f t="shared" si="1"/>
        <v>2.3049047178460114E-2</v>
      </c>
      <c r="I12" s="84">
        <f>'Beta Calculation'!K28</f>
        <v>0.49357387719486534</v>
      </c>
      <c r="J12" s="85">
        <f t="shared" si="2"/>
        <v>0.48555494325176873</v>
      </c>
    </row>
    <row r="13" spans="1:10" x14ac:dyDescent="0.3">
      <c r="B13" s="79" t="s">
        <v>283</v>
      </c>
      <c r="C13" s="80" t="s">
        <v>281</v>
      </c>
      <c r="D13" s="81">
        <v>3274.76</v>
      </c>
      <c r="E13" s="81">
        <v>126241.60000000001</v>
      </c>
      <c r="F13" s="82">
        <v>0.3</v>
      </c>
      <c r="G13" s="83">
        <f t="shared" si="0"/>
        <v>2.5940419006096248E-2</v>
      </c>
      <c r="H13" s="83">
        <f t="shared" si="1"/>
        <v>2.5284527761589348E-2</v>
      </c>
      <c r="I13" s="84">
        <f>'Beta Calculation'!K38</f>
        <v>0.45091296302277861</v>
      </c>
      <c r="J13" s="85">
        <f t="shared" si="2"/>
        <v>0.44287117827171429</v>
      </c>
    </row>
    <row r="14" spans="1:10" x14ac:dyDescent="0.3">
      <c r="B14" s="79" t="s">
        <v>284</v>
      </c>
      <c r="C14" s="80" t="s">
        <v>281</v>
      </c>
      <c r="D14" s="81">
        <v>1489.05</v>
      </c>
      <c r="E14" s="81">
        <v>94848.4</v>
      </c>
      <c r="F14" s="82">
        <v>0.3</v>
      </c>
      <c r="G14" s="83">
        <f t="shared" si="0"/>
        <v>1.5699263245347313E-2</v>
      </c>
      <c r="H14" s="83">
        <f t="shared" si="1"/>
        <v>1.5456605920127636E-2</v>
      </c>
      <c r="I14" s="84">
        <f>'Beta Calculation'!K49</f>
        <v>0.59928336671258597</v>
      </c>
      <c r="J14" s="85">
        <f t="shared" si="2"/>
        <v>0.59276913957643607</v>
      </c>
    </row>
    <row r="15" spans="1:10" x14ac:dyDescent="0.3">
      <c r="F15" s="42"/>
    </row>
    <row r="16" spans="1:10" x14ac:dyDescent="0.3">
      <c r="E16" s="86" t="s">
        <v>285</v>
      </c>
      <c r="F16" s="87">
        <f>AVERAGE(F10:F14)</f>
        <v>0.3</v>
      </c>
      <c r="G16" s="87">
        <f t="shared" ref="G16:J16" si="3">AVERAGE(G10:G14)</f>
        <v>1.3834090261447963E-2</v>
      </c>
      <c r="H16" s="87">
        <f t="shared" si="3"/>
        <v>1.3544045699551675E-2</v>
      </c>
      <c r="I16" s="61">
        <f t="shared" si="3"/>
        <v>0.51418357503348489</v>
      </c>
      <c r="J16" s="61">
        <f t="shared" si="3"/>
        <v>0.50937949412944639</v>
      </c>
    </row>
    <row r="17" spans="1:12" x14ac:dyDescent="0.3">
      <c r="E17" s="88" t="s">
        <v>240</v>
      </c>
      <c r="F17" s="89">
        <f>MEDIAN(F10:F14)</f>
        <v>0.3</v>
      </c>
      <c r="G17" s="89">
        <f t="shared" ref="G17:J17" si="4">MEDIAN(G10:G14)</f>
        <v>1.5699263245347313E-2</v>
      </c>
      <c r="H17" s="89">
        <f t="shared" si="4"/>
        <v>1.5456605920127636E-2</v>
      </c>
      <c r="I17" s="59">
        <f t="shared" si="4"/>
        <v>0.49357387719486534</v>
      </c>
      <c r="J17" s="59">
        <f t="shared" si="4"/>
        <v>0.48555494325176873</v>
      </c>
    </row>
    <row r="18" spans="1:12" x14ac:dyDescent="0.3">
      <c r="G18" s="62"/>
    </row>
    <row r="19" spans="1:12" x14ac:dyDescent="0.3">
      <c r="G19" s="62"/>
    </row>
    <row r="20" spans="1:12" x14ac:dyDescent="0.3">
      <c r="B20" s="88" t="s">
        <v>286</v>
      </c>
      <c r="C20" s="56"/>
      <c r="D20" s="56"/>
      <c r="E20" s="56"/>
      <c r="G20" s="88" t="s">
        <v>287</v>
      </c>
      <c r="H20" s="56"/>
      <c r="I20" s="56"/>
      <c r="J20" s="56"/>
    </row>
    <row r="21" spans="1:12" x14ac:dyDescent="0.3">
      <c r="B21" s="62"/>
      <c r="G21" s="62"/>
    </row>
    <row r="22" spans="1:12" x14ac:dyDescent="0.3">
      <c r="B22" t="s">
        <v>288</v>
      </c>
      <c r="E22" s="90">
        <v>0.1195</v>
      </c>
      <c r="G22" t="s">
        <v>289</v>
      </c>
      <c r="J22" s="91">
        <v>7.0309999999999997E-2</v>
      </c>
    </row>
    <row r="23" spans="1:12" x14ac:dyDescent="0.3">
      <c r="B23" t="s">
        <v>290</v>
      </c>
      <c r="E23" s="42">
        <v>0.3</v>
      </c>
      <c r="G23" t="s">
        <v>291</v>
      </c>
      <c r="J23" s="91">
        <f>+RM!G5-'Peers Comparison'!J22</f>
        <v>8.5781666666666659E-2</v>
      </c>
      <c r="L23" s="15"/>
    </row>
    <row r="24" spans="1:12" ht="16.2" x14ac:dyDescent="0.3">
      <c r="B24" s="92" t="s">
        <v>292</v>
      </c>
      <c r="C24" s="92"/>
      <c r="D24" s="92"/>
      <c r="E24" s="93">
        <f>E22*(1-E23)</f>
        <v>8.3649999999999988E-2</v>
      </c>
      <c r="G24" t="s">
        <v>293</v>
      </c>
      <c r="J24" s="85">
        <f>J35</f>
        <v>0.49022161368815548</v>
      </c>
      <c r="L24" s="42"/>
    </row>
    <row r="25" spans="1:12" x14ac:dyDescent="0.3">
      <c r="A25" t="s">
        <v>58</v>
      </c>
      <c r="G25" t="s">
        <v>371</v>
      </c>
      <c r="J25" s="116">
        <v>9.9000000000000008E-3</v>
      </c>
    </row>
    <row r="26" spans="1:12" x14ac:dyDescent="0.3">
      <c r="J26" s="85"/>
    </row>
    <row r="27" spans="1:12" x14ac:dyDescent="0.3">
      <c r="G27" s="92" t="s">
        <v>287</v>
      </c>
      <c r="H27" s="92"/>
      <c r="I27" s="92"/>
      <c r="J27" s="93">
        <f>J22+J23*J24+J25</f>
        <v>0.12226202705819279</v>
      </c>
    </row>
    <row r="28" spans="1:12" x14ac:dyDescent="0.3">
      <c r="B28" s="88" t="s">
        <v>294</v>
      </c>
      <c r="C28" s="56"/>
      <c r="D28" s="56"/>
      <c r="E28" s="56"/>
    </row>
    <row r="30" spans="1:12" x14ac:dyDescent="0.3">
      <c r="D30" s="94" t="s">
        <v>296</v>
      </c>
      <c r="E30" s="94" t="s">
        <v>297</v>
      </c>
      <c r="G30" s="88" t="s">
        <v>295</v>
      </c>
      <c r="H30" s="56"/>
      <c r="I30" s="56"/>
      <c r="J30" s="56"/>
    </row>
    <row r="31" spans="1:12" x14ac:dyDescent="0.3">
      <c r="B31" t="s">
        <v>273</v>
      </c>
      <c r="C31" s="81">
        <f>D10</f>
        <v>1272</v>
      </c>
      <c r="D31" s="90">
        <f>+C31/C33</f>
        <v>2.2324901558504538E-3</v>
      </c>
      <c r="E31" s="90">
        <f>H16</f>
        <v>1.3544045699551675E-2</v>
      </c>
      <c r="G31" s="13"/>
    </row>
    <row r="32" spans="1:12" x14ac:dyDescent="0.3">
      <c r="B32" t="s">
        <v>9</v>
      </c>
      <c r="C32" s="81">
        <f>E10</f>
        <v>568495.35</v>
      </c>
      <c r="D32" s="90">
        <f>C32/C33</f>
        <v>0.99776750984414952</v>
      </c>
      <c r="E32" s="42">
        <f>E33-E31</f>
        <v>0.9864559543004483</v>
      </c>
      <c r="G32" s="62" t="s">
        <v>298</v>
      </c>
      <c r="J32" s="62">
        <f>J17</f>
        <v>0.48555494325176873</v>
      </c>
    </row>
    <row r="33" spans="2:11" x14ac:dyDescent="0.3">
      <c r="B33" t="s">
        <v>300</v>
      </c>
      <c r="C33" s="96">
        <f>SUM(C31:C32)</f>
        <v>569767.35</v>
      </c>
      <c r="D33" s="97">
        <f>SUM(D31:D32)</f>
        <v>1</v>
      </c>
      <c r="E33" s="97">
        <v>1</v>
      </c>
      <c r="G33" t="s">
        <v>299</v>
      </c>
      <c r="J33" s="95">
        <f>E35</f>
        <v>1.3730005521793948E-2</v>
      </c>
      <c r="K33" s="98"/>
    </row>
    <row r="34" spans="2:11" x14ac:dyDescent="0.3">
      <c r="G34" t="s">
        <v>290</v>
      </c>
      <c r="J34" s="42">
        <f>E23</f>
        <v>0.3</v>
      </c>
    </row>
    <row r="35" spans="2:11" x14ac:dyDescent="0.3">
      <c r="B35" t="s">
        <v>302</v>
      </c>
      <c r="D35" s="99">
        <f>D31/D32</f>
        <v>2.2374853198007688E-3</v>
      </c>
      <c r="E35" s="99">
        <f>E31/E32</f>
        <v>1.3730005521793948E-2</v>
      </c>
      <c r="G35" s="92" t="s">
        <v>301</v>
      </c>
      <c r="H35" s="92"/>
      <c r="I35" s="92"/>
      <c r="J35" s="98">
        <f>J32*(1+(1-J34)*J33)</f>
        <v>0.49022161368815548</v>
      </c>
    </row>
    <row r="37" spans="2:11" x14ac:dyDescent="0.3">
      <c r="B37" s="100" t="s">
        <v>303</v>
      </c>
      <c r="G37" s="88" t="s">
        <v>265</v>
      </c>
      <c r="H37" s="56"/>
      <c r="I37" s="56"/>
      <c r="J37" s="56"/>
    </row>
    <row r="38" spans="2:11" x14ac:dyDescent="0.3">
      <c r="B38" s="101" t="s">
        <v>372</v>
      </c>
      <c r="C38" s="78"/>
      <c r="D38" s="78"/>
      <c r="G38" s="62"/>
    </row>
    <row r="39" spans="2:11" x14ac:dyDescent="0.3">
      <c r="B39" s="101" t="s">
        <v>304</v>
      </c>
      <c r="C39" s="78"/>
      <c r="D39" s="78"/>
      <c r="G39" t="s">
        <v>287</v>
      </c>
      <c r="J39" s="42">
        <f>J27</f>
        <v>0.12226202705819279</v>
      </c>
    </row>
    <row r="40" spans="2:11" x14ac:dyDescent="0.3">
      <c r="B40" s="101" t="s">
        <v>305</v>
      </c>
      <c r="C40" s="78"/>
      <c r="D40" s="78"/>
      <c r="G40" t="s">
        <v>328</v>
      </c>
      <c r="J40" s="42">
        <f>E32</f>
        <v>0.9864559543004483</v>
      </c>
    </row>
    <row r="42" spans="2:11" x14ac:dyDescent="0.3">
      <c r="G42" t="s">
        <v>286</v>
      </c>
      <c r="J42" s="42">
        <f>E24</f>
        <v>8.3649999999999988E-2</v>
      </c>
    </row>
    <row r="43" spans="2:11" x14ac:dyDescent="0.3">
      <c r="G43" t="s">
        <v>329</v>
      </c>
      <c r="J43" s="42">
        <f>E31</f>
        <v>1.3544045699551675E-2</v>
      </c>
    </row>
    <row r="45" spans="2:11" x14ac:dyDescent="0.3">
      <c r="G45" t="s">
        <v>330</v>
      </c>
      <c r="J45" s="15">
        <f>J39*J40+J42*J43</f>
        <v>0.12173906399916429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DE824-37A1-43EC-8CFE-B9B29E4EC9F2}">
  <dimension ref="B1:L69"/>
  <sheetViews>
    <sheetView topLeftCell="A53" workbookViewId="0">
      <selection activeCell="C59" sqref="C59"/>
    </sheetView>
  </sheetViews>
  <sheetFormatPr defaultRowHeight="14.4" x14ac:dyDescent="0.3"/>
  <cols>
    <col min="2" max="2" width="18.6640625" bestFit="1" customWidth="1"/>
  </cols>
  <sheetData>
    <row r="1" spans="2:12" x14ac:dyDescent="0.3">
      <c r="B1" t="s">
        <v>331</v>
      </c>
    </row>
    <row r="2" spans="2:12" x14ac:dyDescent="0.3">
      <c r="C2" s="5">
        <v>41729</v>
      </c>
      <c r="D2" s="5">
        <v>42094</v>
      </c>
      <c r="E2" s="5">
        <v>42460</v>
      </c>
      <c r="F2" s="5">
        <v>42825</v>
      </c>
      <c r="G2" s="5">
        <v>43190</v>
      </c>
      <c r="H2" s="5">
        <v>43555</v>
      </c>
      <c r="I2" s="5">
        <v>43921</v>
      </c>
      <c r="J2" s="5">
        <v>44286</v>
      </c>
      <c r="K2" s="5">
        <v>44651</v>
      </c>
      <c r="L2" s="5">
        <v>45016</v>
      </c>
    </row>
    <row r="3" spans="2:12" x14ac:dyDescent="0.3">
      <c r="B3" s="2" t="s">
        <v>12</v>
      </c>
      <c r="C3" s="15">
        <f>+'Data Sheet'!B17/'Data Sheet'!$B$17</f>
        <v>1</v>
      </c>
      <c r="D3" s="15">
        <f>+'Data Sheet'!C17/'Data Sheet'!$C$17</f>
        <v>1</v>
      </c>
      <c r="E3" s="15">
        <f>+'Data Sheet'!D17/'Data Sheet'!$D$17</f>
        <v>1</v>
      </c>
      <c r="F3" s="15">
        <f>+'Data Sheet'!E17/'Data Sheet'!$E$17</f>
        <v>1</v>
      </c>
      <c r="G3" s="15">
        <f>+'Data Sheet'!F17/'Data Sheet'!$F$17</f>
        <v>1</v>
      </c>
      <c r="H3" s="15">
        <f>+'Data Sheet'!G17/'Data Sheet'!$G$17</f>
        <v>1</v>
      </c>
      <c r="I3" s="15">
        <f>+'Data Sheet'!H17/'Data Sheet'!$H$17</f>
        <v>1</v>
      </c>
      <c r="J3" s="15">
        <f>+'Data Sheet'!I17/'Data Sheet'!$I$17</f>
        <v>1</v>
      </c>
      <c r="K3" s="15">
        <f>+'Data Sheet'!J17/'Data Sheet'!$J$17</f>
        <v>1</v>
      </c>
      <c r="L3" s="15">
        <f>+'Data Sheet'!K17/'Data Sheet'!$K$17</f>
        <v>1</v>
      </c>
    </row>
    <row r="4" spans="2:12" x14ac:dyDescent="0.3">
      <c r="B4" s="2" t="s">
        <v>13</v>
      </c>
      <c r="C4" s="15">
        <f>+'Data Sheet'!B18/'Data Sheet'!$B$17</f>
        <v>0.43253548810381426</v>
      </c>
      <c r="D4" s="15">
        <f>+'Data Sheet'!C18/'Data Sheet'!$C$17</f>
        <v>0.4225359601578747</v>
      </c>
      <c r="E4" s="15">
        <f>+'Data Sheet'!D18/'Data Sheet'!$D$17</f>
        <v>0.40961908904492639</v>
      </c>
      <c r="F4" s="15">
        <f>+'Data Sheet'!E18/'Data Sheet'!$E$17</f>
        <v>0.41028888486822268</v>
      </c>
      <c r="G4" s="15">
        <f>+'Data Sheet'!F18/'Data Sheet'!$F$17</f>
        <v>0.40042200028133351</v>
      </c>
      <c r="H4" s="15">
        <f>+'Data Sheet'!G18/'Data Sheet'!$G$17</f>
        <v>0.40307809717629101</v>
      </c>
      <c r="I4" s="15">
        <f>+'Data Sheet'!H18/'Data Sheet'!$H$17</f>
        <v>0.39456551793479627</v>
      </c>
      <c r="J4" s="15">
        <f>+'Data Sheet'!I18/'Data Sheet'!$I$17</f>
        <v>0.42827677128519182</v>
      </c>
      <c r="K4" s="15">
        <f>+'Data Sheet'!J18/'Data Sheet'!$J$17</f>
        <v>0.43608664149792165</v>
      </c>
      <c r="L4" s="15">
        <f>+'Data Sheet'!K18/'Data Sheet'!$K$17</f>
        <v>0.46924727632882141</v>
      </c>
    </row>
    <row r="5" spans="2:12" x14ac:dyDescent="0.3">
      <c r="B5" s="2" t="s">
        <v>14</v>
      </c>
      <c r="C5" s="15">
        <f>+'Data Sheet'!B19/'Data Sheet'!$B$17</f>
        <v>5.8596676306213302E-3</v>
      </c>
      <c r="D5" s="15">
        <f>+'Data Sheet'!C19/'Data Sheet'!$C$17</f>
        <v>-1.7840504513453725E-3</v>
      </c>
      <c r="E5" s="15">
        <f>+'Data Sheet'!D19/'Data Sheet'!$D$17</f>
        <v>-2.5787609519666937E-3</v>
      </c>
      <c r="F5" s="15">
        <f>+'Data Sheet'!E19/'Data Sheet'!$E$17</f>
        <v>-4.3423195223448521E-3</v>
      </c>
      <c r="G5" s="15">
        <f>+'Data Sheet'!F19/'Data Sheet'!$F$17</f>
        <v>2.0256013504009003E-3</v>
      </c>
      <c r="H5" s="15">
        <f>+'Data Sheet'!G19/'Data Sheet'!$G$17</f>
        <v>-3.0526583566522515E-4</v>
      </c>
      <c r="I5" s="15">
        <f>+'Data Sheet'!H19/'Data Sheet'!$H$17</f>
        <v>2.7147273961239727E-3</v>
      </c>
      <c r="J5" s="15">
        <f>+'Data Sheet'!I19/'Data Sheet'!$I$17</f>
        <v>8.6118907884664454E-3</v>
      </c>
      <c r="K5" s="15">
        <f>+'Data Sheet'!J19/'Data Sheet'!$J$17</f>
        <v>4.1947908324753078E-4</v>
      </c>
      <c r="L5" s="15">
        <f>+'Data Sheet'!K19/'Data Sheet'!$K$17</f>
        <v>1.2380323539121821E-3</v>
      </c>
    </row>
    <row r="6" spans="2:12" x14ac:dyDescent="0.3">
      <c r="B6" s="2" t="s">
        <v>15</v>
      </c>
      <c r="C6" s="15">
        <f>+'Data Sheet'!B20/'Data Sheet'!$B$17</f>
        <v>1.2408949385196693E-2</v>
      </c>
      <c r="D6" s="15">
        <f>+'Data Sheet'!C20/'Data Sheet'!$C$17</f>
        <v>1.0852243778108414E-2</v>
      </c>
      <c r="E6" s="15">
        <f>+'Data Sheet'!D20/'Data Sheet'!$D$17</f>
        <v>9.6004473994904613E-3</v>
      </c>
      <c r="F6" s="15">
        <f>+'Data Sheet'!E20/'Data Sheet'!$E$17</f>
        <v>8.8957240214703574E-3</v>
      </c>
      <c r="G6" s="15">
        <f>+'Data Sheet'!F20/'Data Sheet'!$F$17</f>
        <v>8.2993388662259103E-3</v>
      </c>
      <c r="H6" s="15">
        <f>+'Data Sheet'!G20/'Data Sheet'!$G$17</f>
        <v>7.8351564487407783E-3</v>
      </c>
      <c r="I6" s="15">
        <f>+'Data Sheet'!H20/'Data Sheet'!$H$17</f>
        <v>7.5157730688987755E-3</v>
      </c>
      <c r="J6" s="15">
        <f>+'Data Sheet'!I20/'Data Sheet'!$I$17</f>
        <v>7.2084715488645061E-3</v>
      </c>
      <c r="K6" s="15">
        <f>+'Data Sheet'!J20/'Data Sheet'!$J$17</f>
        <v>6.0633794760324902E-3</v>
      </c>
      <c r="L6" s="15">
        <f>+'Data Sheet'!K20/'Data Sheet'!$K$17</f>
        <v>6.3387256520303732E-3</v>
      </c>
    </row>
    <row r="7" spans="2:12" x14ac:dyDescent="0.3">
      <c r="B7" s="2" t="s">
        <v>16</v>
      </c>
      <c r="C7" s="15">
        <f>+'Data Sheet'!B21/'Data Sheet'!$B$17</f>
        <v>0.1005533332375536</v>
      </c>
      <c r="D7" s="15">
        <f>+'Data Sheet'!C21/'Data Sheet'!$C$17</f>
        <v>9.8981020693296271E-2</v>
      </c>
      <c r="E7" s="15">
        <f>+'Data Sheet'!D21/'Data Sheet'!$D$17</f>
        <v>9.21518672714845E-2</v>
      </c>
      <c r="F7" s="15">
        <f>+'Data Sheet'!E21/'Data Sheet'!$E$17</f>
        <v>8.7057475423677699E-2</v>
      </c>
      <c r="G7" s="15">
        <f>+'Data Sheet'!F21/'Data Sheet'!$F$17</f>
        <v>8.4343789562526375E-2</v>
      </c>
      <c r="H7" s="15">
        <f>+'Data Sheet'!G21/'Data Sheet'!$G$17</f>
        <v>7.7359450521495801E-2</v>
      </c>
      <c r="I7" s="15">
        <f>+'Data Sheet'!H21/'Data Sheet'!$H$17</f>
        <v>7.3046276047558006E-2</v>
      </c>
      <c r="J7" s="15">
        <f>+'Data Sheet'!I21/'Data Sheet'!$I$17</f>
        <v>6.0984945139066091E-2</v>
      </c>
      <c r="K7" s="15">
        <f>+'Data Sheet'!J21/'Data Sheet'!$J$17</f>
        <v>6.3951492964191739E-2</v>
      </c>
      <c r="L7" s="15">
        <f>+'Data Sheet'!K21/'Data Sheet'!$K$17</f>
        <v>6.2578408715747769E-2</v>
      </c>
    </row>
    <row r="8" spans="2:12" x14ac:dyDescent="0.3">
      <c r="B8" s="2" t="s">
        <v>17</v>
      </c>
      <c r="C8" s="15">
        <f>+'Data Sheet'!B22/'Data Sheet'!$B$17</f>
        <v>5.3796058937378523E-2</v>
      </c>
      <c r="D8" s="15">
        <f>+'Data Sheet'!C22/'Data Sheet'!$C$17</f>
        <v>5.3917795434094438E-2</v>
      </c>
      <c r="E8" s="15">
        <f>+'Data Sheet'!D22/'Data Sheet'!$D$17</f>
        <v>5.2196607220530662E-2</v>
      </c>
      <c r="F8" s="15">
        <f>+'Data Sheet'!E22/'Data Sheet'!$E$17</f>
        <v>5.2560159218382488E-2</v>
      </c>
      <c r="G8" s="15">
        <f>+'Data Sheet'!F22/'Data Sheet'!$F$17</f>
        <v>5.2328034885356589E-2</v>
      </c>
      <c r="H8" s="15">
        <f>+'Data Sheet'!G22/'Data Sheet'!$G$17</f>
        <v>4.7697786822691428E-2</v>
      </c>
      <c r="I8" s="15">
        <f>+'Data Sheet'!H22/'Data Sheet'!$H$17</f>
        <v>4.574818389764472E-2</v>
      </c>
      <c r="J8" s="15">
        <f>+'Data Sheet'!I22/'Data Sheet'!$I$17</f>
        <v>5.0140341923960191E-2</v>
      </c>
      <c r="K8" s="15">
        <f>+'Data Sheet'!J22/'Data Sheet'!$J$17</f>
        <v>4.8526103039316627E-2</v>
      </c>
      <c r="L8" s="15">
        <f>+'Data Sheet'!K22/'Data Sheet'!$K$17</f>
        <v>4.7111257840871577E-2</v>
      </c>
    </row>
    <row r="9" spans="2:12" x14ac:dyDescent="0.3">
      <c r="B9" s="2" t="s">
        <v>18</v>
      </c>
      <c r="C9" s="15">
        <f>+'Data Sheet'!B23/'Data Sheet'!$B$17</f>
        <v>0.20925889058327807</v>
      </c>
      <c r="D9" s="15">
        <f>+'Data Sheet'!C23/'Data Sheet'!$C$17</f>
        <v>0.21171649486631977</v>
      </c>
      <c r="E9" s="15">
        <f>+'Data Sheet'!D23/'Data Sheet'!$D$17</f>
        <v>0.20943888647237929</v>
      </c>
      <c r="F9" s="15">
        <f>+'Data Sheet'!E23/'Data Sheet'!$E$17</f>
        <v>0.20170677281225499</v>
      </c>
      <c r="G9" s="15">
        <f>+'Data Sheet'!F23/'Data Sheet'!$F$17</f>
        <v>0.20402306934871289</v>
      </c>
      <c r="H9" s="15">
        <f>+'Data Sheet'!G23/'Data Sheet'!$G$17</f>
        <v>0.19832103790384126</v>
      </c>
      <c r="I9" s="15">
        <f>+'Data Sheet'!H23/'Data Sheet'!$H$17</f>
        <v>0.19153909961541363</v>
      </c>
      <c r="J9" s="15">
        <f>+'Data Sheet'!I23/'Data Sheet'!$I$17</f>
        <v>0.16794250233903207</v>
      </c>
      <c r="K9" s="15">
        <f>+'Data Sheet'!J23/'Data Sheet'!$J$17</f>
        <v>0.15566487434694734</v>
      </c>
      <c r="L9" s="15">
        <f>+'Data Sheet'!K23/'Data Sheet'!$K$17</f>
        <v>0.14501485638824696</v>
      </c>
    </row>
    <row r="10" spans="2:12" x14ac:dyDescent="0.3">
      <c r="B10" s="2" t="s">
        <v>19</v>
      </c>
      <c r="C10" s="15">
        <f>+'Data Sheet'!B24/'Data Sheet'!$B$17</f>
        <v>3.4515255317998997E-2</v>
      </c>
      <c r="D10" s="15">
        <f>+'Data Sheet'!C24/'Data Sheet'!$C$17</f>
        <v>3.0927190161199467E-2</v>
      </c>
      <c r="E10" s="15">
        <f>+'Data Sheet'!D24/'Data Sheet'!$D$17</f>
        <v>4.0794134095569499E-2</v>
      </c>
      <c r="F10" s="15">
        <f>+'Data Sheet'!E24/'Data Sheet'!$E$17</f>
        <v>4.4327845123937039E-2</v>
      </c>
      <c r="G10" s="15">
        <f>+'Data Sheet'!F24/'Data Sheet'!$F$17</f>
        <v>4.1637361091574059E-2</v>
      </c>
      <c r="H10" s="15">
        <f>+'Data Sheet'!G24/'Data Sheet'!$G$17</f>
        <v>3.9506486899007889E-2</v>
      </c>
      <c r="I10" s="15">
        <f>+'Data Sheet'!H24/'Data Sheet'!$H$17</f>
        <v>4.2631274665057936E-2</v>
      </c>
      <c r="J10" s="15">
        <f>+'Data Sheet'!I24/'Data Sheet'!$I$17</f>
        <v>4.6844433103682914E-2</v>
      </c>
      <c r="K10" s="15">
        <f>+'Data Sheet'!J24/'Data Sheet'!$J$17</f>
        <v>4.4979598062769327E-2</v>
      </c>
      <c r="L10" s="15">
        <f>+'Data Sheet'!K24/'Data Sheet'!$K$17</f>
        <v>3.7405084186200067E-2</v>
      </c>
    </row>
    <row r="11" spans="2:12" x14ac:dyDescent="0.3">
      <c r="B11" s="2" t="s">
        <v>20</v>
      </c>
      <c r="C11" s="15">
        <f>+'Data Sheet'!B25/'Data Sheet'!$B$17</f>
        <v>2.7105324190473061E-2</v>
      </c>
      <c r="D11" s="15">
        <f>+'Data Sheet'!C25/'Data Sheet'!$C$17</f>
        <v>3.9008275629539298E-2</v>
      </c>
      <c r="E11" s="15">
        <f>+'Data Sheet'!D25/'Data Sheet'!$D$17</f>
        <v>1.5099732803082085E-2</v>
      </c>
      <c r="F11" s="15">
        <f>+'Data Sheet'!E25/'Data Sheet'!$E$17</f>
        <v>1.8273927989867923E-2</v>
      </c>
      <c r="G11" s="15">
        <f>+'Data Sheet'!F25/'Data Sheet'!$F$17</f>
        <v>9.9310732873821913E-3</v>
      </c>
      <c r="H11" s="15">
        <f>+'Data Sheet'!G25/'Data Sheet'!$G$17</f>
        <v>8.1912999236835402E-3</v>
      </c>
      <c r="I11" s="15">
        <f>+'Data Sheet'!H25/'Data Sheet'!$H$17</f>
        <v>1.0858909584495891E-2</v>
      </c>
      <c r="J11" s="15">
        <f>+'Data Sheet'!I25/'Data Sheet'!$I$17</f>
        <v>3.6148677383686313E-3</v>
      </c>
      <c r="K11" s="15">
        <f>+'Data Sheet'!J25/'Data Sheet'!$J$17</f>
        <v>4.1757236014186017E-3</v>
      </c>
      <c r="L11" s="15">
        <f>+'Data Sheet'!K25/'Data Sheet'!$K$17</f>
        <v>7.378672829316606E-3</v>
      </c>
    </row>
    <row r="12" spans="2:12" x14ac:dyDescent="0.3">
      <c r="B12" s="2" t="s">
        <v>21</v>
      </c>
      <c r="C12" s="15">
        <f>+'Data Sheet'!B26/'Data Sheet'!$B$17</f>
        <v>1.0109551497687261E-2</v>
      </c>
      <c r="D12" s="15">
        <f>+'Data Sheet'!C26/'Data Sheet'!$C$17</f>
        <v>1.0083450648829498E-2</v>
      </c>
      <c r="E12" s="15">
        <f>+'Data Sheet'!D26/'Data Sheet'!$D$17</f>
        <v>1.0967501398123409E-2</v>
      </c>
      <c r="F12" s="15">
        <f>+'Data Sheet'!E26/'Data Sheet'!$E$17</f>
        <v>1.3026958567034558E-2</v>
      </c>
      <c r="G12" s="15">
        <f>+'Data Sheet'!F26/'Data Sheet'!$F$17</f>
        <v>1.4629343086228723E-2</v>
      </c>
      <c r="H12" s="15">
        <f>+'Data Sheet'!G26/'Data Sheet'!$G$17</f>
        <v>1.437293309590435E-2</v>
      </c>
      <c r="I12" s="15">
        <f>+'Data Sheet'!H26/'Data Sheet'!$H$17</f>
        <v>2.5186637508483524E-2</v>
      </c>
      <c r="J12" s="15">
        <f>+'Data Sheet'!I26/'Data Sheet'!$I$17</f>
        <v>2.2837458535340648E-2</v>
      </c>
      <c r="K12" s="15">
        <f>+'Data Sheet'!J26/'Data Sheet'!$J$17</f>
        <v>2.0802349082866187E-2</v>
      </c>
      <c r="L12" s="15">
        <f>+'Data Sheet'!K26/'Data Sheet'!$K$17</f>
        <v>1.8768570485308684E-2</v>
      </c>
    </row>
    <row r="13" spans="2:12" x14ac:dyDescent="0.3">
      <c r="B13" s="2" t="s">
        <v>22</v>
      </c>
      <c r="C13" s="15">
        <f>+'Data Sheet'!B27/'Data Sheet'!$B$17</f>
        <v>1.3915427858358185E-3</v>
      </c>
      <c r="D13" s="15">
        <f>+'Data Sheet'!C27/'Data Sheet'!$C$17</f>
        <v>5.536061183172E-4</v>
      </c>
      <c r="E13" s="15">
        <f>+'Data Sheet'!D27/'Data Sheet'!$D$17</f>
        <v>5.2817995401727462E-4</v>
      </c>
      <c r="F13" s="15">
        <f>+'Data Sheet'!E27/'Data Sheet'!$E$17</f>
        <v>1.0554248839032628E-3</v>
      </c>
      <c r="G13" s="15">
        <f>+'Data Sheet'!F27/'Data Sheet'!$F$17</f>
        <v>7.3146715431143621E-4</v>
      </c>
      <c r="H13" s="15">
        <f>+'Data Sheet'!G27/'Data Sheet'!$G$17</f>
        <v>8.3948104807936915E-4</v>
      </c>
      <c r="I13" s="15">
        <f>+'Data Sheet'!H27/'Data Sheet'!$H$17</f>
        <v>2.9660910439132291E-3</v>
      </c>
      <c r="J13" s="15">
        <f>+'Data Sheet'!I27/'Data Sheet'!$I$17</f>
        <v>2.4878795611125285E-3</v>
      </c>
      <c r="K13" s="15">
        <f>+'Data Sheet'!J27/'Data Sheet'!$J$17</f>
        <v>2.0211264920108303E-3</v>
      </c>
      <c r="L13" s="15">
        <f>+'Data Sheet'!K27/'Data Sheet'!$K$17</f>
        <v>1.881809177946517E-3</v>
      </c>
    </row>
    <row r="14" spans="2:12" x14ac:dyDescent="0.3">
      <c r="B14" s="2" t="s">
        <v>23</v>
      </c>
      <c r="C14" s="15">
        <f>+'Data Sheet'!B28/'Data Sheet'!$B$17</f>
        <v>0.17839592197235113</v>
      </c>
      <c r="D14" s="15">
        <f>+'Data Sheet'!C28/'Data Sheet'!$C$17</f>
        <v>0.19765646332015419</v>
      </c>
      <c r="E14" s="15">
        <f>+'Data Sheet'!D28/'Data Sheet'!$D$17</f>
        <v>0.18722425899459391</v>
      </c>
      <c r="F14" s="15">
        <f>+'Data Sheet'!E28/'Data Sheet'!$E$17</f>
        <v>0.19501236354864002</v>
      </c>
      <c r="G14" s="15">
        <f>+'Data Sheet'!F28/'Data Sheet'!$F$17</f>
        <v>0.20554227036151357</v>
      </c>
      <c r="H14" s="15">
        <f>+'Data Sheet'!G28/'Data Sheet'!$G$17</f>
        <v>0.21887560417196641</v>
      </c>
      <c r="I14" s="15">
        <f>+'Data Sheet'!H28/'Data Sheet'!$H$17</f>
        <v>0.23037478319885379</v>
      </c>
      <c r="J14" s="15">
        <f>+'Data Sheet'!I28/'Data Sheet'!$I$17</f>
        <v>0.22550395509058432</v>
      </c>
      <c r="K14" s="15">
        <f>+'Data Sheet'!J28/'Data Sheet'!$J$17</f>
        <v>0.22649963772260992</v>
      </c>
      <c r="L14" s="15">
        <f>+'Data Sheet'!K28/'Data Sheet'!$K$17</f>
        <v>0.22027071640805546</v>
      </c>
    </row>
    <row r="15" spans="2:12" x14ac:dyDescent="0.3">
      <c r="B15" s="2" t="s">
        <v>24</v>
      </c>
      <c r="C15" s="15">
        <f>+'Data Sheet'!B29/'Data Sheet'!$B$17</f>
        <v>4.3081726799239509E-2</v>
      </c>
      <c r="D15" s="15">
        <f>+'Data Sheet'!C29/'Data Sheet'!$C$17</f>
        <v>6.0802841469414518E-2</v>
      </c>
      <c r="E15" s="15">
        <f>+'Data Sheet'!D29/'Data Sheet'!$D$17</f>
        <v>5.8255141987199402E-2</v>
      </c>
      <c r="F15" s="15">
        <f>+'Data Sheet'!E29/'Data Sheet'!$E$17</f>
        <v>5.9616428442192872E-2</v>
      </c>
      <c r="G15" s="15">
        <f>+'Data Sheet'!F29/'Data Sheet'!$F$17</f>
        <v>5.8489238992825994E-2</v>
      </c>
      <c r="H15" s="15">
        <f>+'Data Sheet'!G29/'Data Sheet'!$G$17</f>
        <v>6.4716357161027735E-2</v>
      </c>
      <c r="I15" s="15">
        <f>+'Data Sheet'!H29/'Data Sheet'!$H$17</f>
        <v>6.0553502752431945E-2</v>
      </c>
      <c r="J15" s="15">
        <f>+'Data Sheet'!I29/'Data Sheet'!$I$17</f>
        <v>5.5413796036403846E-2</v>
      </c>
      <c r="K15" s="15">
        <f>+'Data Sheet'!J29/'Data Sheet'!$J$17</f>
        <v>5.6953819166380655E-2</v>
      </c>
      <c r="L15" s="15">
        <f>+'Data Sheet'!K29/'Data Sheet'!$K$17</f>
        <v>5.2839220864971941E-2</v>
      </c>
    </row>
    <row r="16" spans="2:12" x14ac:dyDescent="0.3">
      <c r="B16" s="2" t="s">
        <v>25</v>
      </c>
      <c r="C16" s="15">
        <f>+'Data Sheet'!B30/'Data Sheet'!$B$17</f>
        <v>0.13496630947665267</v>
      </c>
      <c r="D16" s="15">
        <f>+'Data Sheet'!C30/'Data Sheet'!$C$17</f>
        <v>0.13646484648064458</v>
      </c>
      <c r="E16" s="15">
        <f>+'Data Sheet'!D30/'Data Sheet'!$D$17</f>
        <v>0.12896911700739452</v>
      </c>
      <c r="F16" s="15">
        <f>+'Data Sheet'!E30/'Data Sheet'!$E$17</f>
        <v>0.13497376515288584</v>
      </c>
      <c r="G16" s="15">
        <f>+'Data Sheet'!F30/'Data Sheet'!$F$17</f>
        <v>0.14668729779153186</v>
      </c>
      <c r="H16" s="15">
        <f>+'Data Sheet'!G30/'Data Sheet'!$G$17</f>
        <v>0.15400661409310609</v>
      </c>
      <c r="I16" s="15">
        <f>+'Data Sheet'!H30/'Data Sheet'!$H$17</f>
        <v>0.16962018952819044</v>
      </c>
      <c r="J16" s="15">
        <f>+'Data Sheet'!I30/'Data Sheet'!$I$17</f>
        <v>0.17000510334268945</v>
      </c>
      <c r="K16" s="15">
        <f>+'Data Sheet'!J30/'Data Sheet'!$J$17</f>
        <v>0.16929794455249209</v>
      </c>
      <c r="L16" s="15">
        <f>+'Data Sheet'!K30/'Data Sheet'!$K$17</f>
        <v>0.16705183228788378</v>
      </c>
    </row>
    <row r="17" spans="2:12" x14ac:dyDescent="0.3">
      <c r="B17" s="2" t="s">
        <v>26</v>
      </c>
      <c r="C17" s="15">
        <f>+'Data Sheet'!B31/'Data Sheet'!$B$17</f>
        <v>9.6173462581250299E-2</v>
      </c>
      <c r="D17" s="15">
        <f>+'Data Sheet'!C31/'Data Sheet'!$C$17</f>
        <v>0.10150227432027648</v>
      </c>
      <c r="E17" s="15">
        <f>+'Data Sheet'!D31/'Data Sheet'!$D$17</f>
        <v>0.10737587771080594</v>
      </c>
      <c r="F17" s="15">
        <f>+'Data Sheet'!E31/'Data Sheet'!$E$17</f>
        <v>0.11072914781979373</v>
      </c>
      <c r="G17" s="15">
        <f>+'Data Sheet'!F31/'Data Sheet'!$F$17</f>
        <v>0.12153608102405401</v>
      </c>
      <c r="H17" s="15">
        <f>+'Data Sheet'!G31/'Data Sheet'!$G$17</f>
        <v>0.12088527092342916</v>
      </c>
      <c r="I17" s="15">
        <f>+'Data Sheet'!H31/'Data Sheet'!$H$17</f>
        <v>0.13573636980619863</v>
      </c>
      <c r="J17" s="15">
        <f>+'Data Sheet'!I31/'Data Sheet'!$I$17</f>
        <v>0.20237943352896148</v>
      </c>
      <c r="K17" s="15">
        <f>+'Data Sheet'!J31/'Data Sheet'!$J$17</f>
        <v>0.15234717614308049</v>
      </c>
      <c r="L17" s="15">
        <f>+'Data Sheet'!K31/'Data Sheet'!$K$17</f>
        <v>0.15128755364806867</v>
      </c>
    </row>
    <row r="18" spans="2:12" x14ac:dyDescent="0.3">
      <c r="B18" s="2" t="s">
        <v>27</v>
      </c>
      <c r="C18" s="15">
        <f>+'Data Sheet'!B32/'Data Sheet'!$B$17</f>
        <v>8.2608321858956932E-6</v>
      </c>
      <c r="D18" s="15">
        <f>+'Data Sheet'!C32/'Data Sheet'!$C$17</f>
        <v>9.621448730900736E-6</v>
      </c>
      <c r="E18" s="15">
        <f>+'Data Sheet'!D32/'Data Sheet'!$D$17</f>
        <v>9.6672987034847991E-6</v>
      </c>
      <c r="F18" s="15">
        <f>+'Data Sheet'!E32/'Data Sheet'!$E$17</f>
        <v>9.2185601425997948E-6</v>
      </c>
      <c r="G18" s="15">
        <f>+'Data Sheet'!F32/'Data Sheet'!$F$17</f>
        <v>8.0056445377533529E-6</v>
      </c>
      <c r="H18" s="15">
        <f>+'Data Sheet'!G32/'Data Sheet'!$G$17</f>
        <v>7.5216593632063842E-6</v>
      </c>
      <c r="I18" s="15">
        <f>+'Data Sheet'!H32/'Data Sheet'!$H$17</f>
        <v>6.6070379435277622E-6</v>
      </c>
      <c r="J18" s="15">
        <f>+'Data Sheet'!I32/'Data Sheet'!$I$17</f>
        <v>5.225251865761796E-6</v>
      </c>
      <c r="K18" s="15">
        <f>+'Data Sheet'!J32/'Data Sheet'!$J$17</f>
        <v>4.7944960995353697E-6</v>
      </c>
      <c r="L18" s="15">
        <f>+'Data Sheet'!K32/'Data Sheet'!$K$17</f>
        <v>3.9597737458761943E-6</v>
      </c>
    </row>
    <row r="19" spans="2:12" x14ac:dyDescent="0.3">
      <c r="B19" s="2"/>
      <c r="C19" s="42"/>
      <c r="D19" s="42"/>
      <c r="E19" s="42"/>
      <c r="F19" s="42"/>
      <c r="G19" s="42"/>
      <c r="H19" s="42"/>
      <c r="I19" s="42"/>
      <c r="J19" s="42"/>
      <c r="K19" s="42"/>
      <c r="L19" s="42"/>
    </row>
    <row r="20" spans="2:12" x14ac:dyDescent="0.3">
      <c r="B20" s="2" t="s">
        <v>28</v>
      </c>
      <c r="C20" s="15">
        <f>+'Data Sheet'!B34/'Data Sheet'!$B$17</f>
        <v>0.18954913055941525</v>
      </c>
      <c r="D20" s="15">
        <f>+'Data Sheet'!C34/'Data Sheet'!$C$17</f>
        <v>0.2079047447172058</v>
      </c>
      <c r="E20" s="15">
        <f>+'Data Sheet'!D34/'Data Sheet'!$D$17</f>
        <v>0.1987199403467346</v>
      </c>
      <c r="F20" s="15">
        <f>+'Data Sheet'!E34/'Data Sheet'!$E$17</f>
        <v>0.20867257704601652</v>
      </c>
      <c r="G20" s="15">
        <f>+'Data Sheet'!F34/'Data Sheet'!$F$17</f>
        <v>0.22053734702489802</v>
      </c>
      <c r="H20" s="15">
        <f>+'Data Sheet'!G34/'Data Sheet'!$G$17</f>
        <v>0.23393538539811753</v>
      </c>
      <c r="I20" s="15">
        <f>+'Data Sheet'!H34/'Data Sheet'!$H$17</f>
        <v>0.25832642083301915</v>
      </c>
      <c r="J20" s="15">
        <f>+'Data Sheet'!I34/'Data Sheet'!$I$17</f>
        <v>0.25074423747554647</v>
      </c>
      <c r="K20" s="15">
        <f>+'Data Sheet'!J34/'Data Sheet'!$J$17</f>
        <v>0.24907523929374975</v>
      </c>
      <c r="L20" s="15">
        <f>+'Data Sheet'!K34/'Data Sheet'!$K$17</f>
        <v>0.24054143281611093</v>
      </c>
    </row>
    <row r="26" spans="2:12" x14ac:dyDescent="0.3">
      <c r="B26" s="4" t="s">
        <v>11</v>
      </c>
      <c r="C26" s="5">
        <v>41729</v>
      </c>
      <c r="D26" s="5">
        <v>42094</v>
      </c>
      <c r="E26" s="5">
        <v>42460</v>
      </c>
      <c r="F26" s="5">
        <v>42825</v>
      </c>
      <c r="G26" s="5">
        <v>43190</v>
      </c>
      <c r="H26" s="5">
        <v>43555</v>
      </c>
      <c r="I26" s="5">
        <v>43921</v>
      </c>
      <c r="J26" s="5">
        <v>44286</v>
      </c>
      <c r="K26" s="5">
        <v>44651</v>
      </c>
      <c r="L26" s="5">
        <v>45016</v>
      </c>
    </row>
    <row r="27" spans="2:12" ht="24" x14ac:dyDescent="0.3">
      <c r="B27" s="43" t="s">
        <v>155</v>
      </c>
    </row>
    <row r="28" spans="2:12" ht="24" x14ac:dyDescent="0.3">
      <c r="B28" s="43" t="s">
        <v>156</v>
      </c>
    </row>
    <row r="29" spans="2:12" x14ac:dyDescent="0.3">
      <c r="B29" s="44" t="s">
        <v>157</v>
      </c>
      <c r="C29" s="15">
        <f>+'Balance Sheet Data'!C5/'Balance Sheet Data'!$C$45</f>
        <v>1.570666939737721E-2</v>
      </c>
      <c r="D29" s="15">
        <f>+'Balance Sheet Data'!D5/'Balance Sheet Data'!$D$45</f>
        <v>1.4992238822518503E-2</v>
      </c>
      <c r="E29" s="15">
        <f>+'Balance Sheet Data'!E5/'Balance Sheet Data'!$E$45</f>
        <v>1.4600513721779099E-2</v>
      </c>
      <c r="F29" s="15">
        <f>+'Balance Sheet Data'!F5/'Balance Sheet Data'!$F$45</f>
        <v>1.3752705972239909E-2</v>
      </c>
      <c r="G29" s="15">
        <f>+'Balance Sheet Data'!G5/'Balance Sheet Data'!$G$45</f>
        <v>1.2092710782667115E-2</v>
      </c>
      <c r="H29" s="15">
        <f>+'Balance Sheet Data'!H5/'Balance Sheet Data'!$H$45</f>
        <v>1.1594825272424714E-2</v>
      </c>
      <c r="I29" s="15">
        <f>+'Balance Sheet Data'!I5/'Balance Sheet Data'!$I$45</f>
        <v>1.0718007244578972E-2</v>
      </c>
      <c r="J29" s="15">
        <f>+'Balance Sheet Data'!J5/'Balance Sheet Data'!$J$45</f>
        <v>3.4178338205564525E-3</v>
      </c>
      <c r="K29" s="15">
        <f>+'Balance Sheet Data'!K5/'Balance Sheet Data'!$K$45</f>
        <v>3.3325297446005929E-3</v>
      </c>
      <c r="L29" s="15">
        <f>+'Balance Sheet Data'!L5/'Balance Sheet Data'!$L$45</f>
        <v>3.2153460943806695E-3</v>
      </c>
    </row>
    <row r="30" spans="2:12" x14ac:dyDescent="0.3">
      <c r="B30" s="43" t="s">
        <v>158</v>
      </c>
      <c r="C30" s="15">
        <f>+'Balance Sheet Data'!C6/'Balance Sheet Data'!$C$45</f>
        <v>1.570666939737721E-2</v>
      </c>
      <c r="D30" s="15">
        <f>+'Balance Sheet Data'!D6/'Balance Sheet Data'!$D$45</f>
        <v>1.4992238822518503E-2</v>
      </c>
      <c r="E30" s="15">
        <f>+'Balance Sheet Data'!E6/'Balance Sheet Data'!$E$45</f>
        <v>1.4600513721779099E-2</v>
      </c>
      <c r="F30" s="15">
        <f>+'Balance Sheet Data'!F6/'Balance Sheet Data'!$F$45</f>
        <v>1.3752705972239909E-2</v>
      </c>
      <c r="G30" s="15">
        <f>+'Balance Sheet Data'!G6/'Balance Sheet Data'!$G$45</f>
        <v>1.2092710782667115E-2</v>
      </c>
      <c r="H30" s="15">
        <f>+'Balance Sheet Data'!H6/'Balance Sheet Data'!$H$45</f>
        <v>1.1594825272424714E-2</v>
      </c>
      <c r="I30" s="15">
        <f>+'Balance Sheet Data'!I6/'Balance Sheet Data'!$I$45</f>
        <v>1.0718007244578972E-2</v>
      </c>
      <c r="J30" s="15">
        <f>+'Balance Sheet Data'!J6/'Balance Sheet Data'!$J$45</f>
        <v>3.4178338205564525E-3</v>
      </c>
      <c r="K30" s="15">
        <f>+'Balance Sheet Data'!K6/'Balance Sheet Data'!$K$45</f>
        <v>3.3325297446005929E-3</v>
      </c>
      <c r="L30" s="15">
        <f>+'Balance Sheet Data'!L6/'Balance Sheet Data'!$L$45</f>
        <v>3.2153460943806695E-3</v>
      </c>
    </row>
    <row r="31" spans="2:12" x14ac:dyDescent="0.3">
      <c r="B31" s="44" t="s">
        <v>159</v>
      </c>
      <c r="C31" s="15">
        <f>+'Balance Sheet Data'!C7/'Balance Sheet Data'!$C$45</f>
        <v>4.8658937884323909E-5</v>
      </c>
      <c r="D31" s="15">
        <f>+'Balance Sheet Data'!D7/'Balance Sheet Data'!$D$45</f>
        <v>4.6428472433960703E-5</v>
      </c>
      <c r="E31" s="15">
        <f>+'Balance Sheet Data'!E7/'Balance Sheet Data'!$E$45</f>
        <v>0</v>
      </c>
      <c r="F31" s="15">
        <f>+'Balance Sheet Data'!F7/'Balance Sheet Data'!$F$45</f>
        <v>0</v>
      </c>
      <c r="G31" s="15">
        <f>+'Balance Sheet Data'!G7/'Balance Sheet Data'!$G$45</f>
        <v>0</v>
      </c>
      <c r="H31" s="15">
        <f>+'Balance Sheet Data'!H7/'Balance Sheet Data'!$H$45</f>
        <v>0</v>
      </c>
      <c r="I31" s="15">
        <f>+'Balance Sheet Data'!I7/'Balance Sheet Data'!$I$45</f>
        <v>0</v>
      </c>
      <c r="J31" s="15">
        <f>+'Balance Sheet Data'!J7/'Balance Sheet Data'!$J$45</f>
        <v>0</v>
      </c>
      <c r="K31" s="15">
        <f>+'Balance Sheet Data'!K7/'Balance Sheet Data'!$K$45</f>
        <v>0</v>
      </c>
      <c r="L31" s="15">
        <f>+'Balance Sheet Data'!L7/'Balance Sheet Data'!$L$45</f>
        <v>0</v>
      </c>
    </row>
    <row r="32" spans="2:12" x14ac:dyDescent="0.3">
      <c r="B32" s="44" t="s">
        <v>160</v>
      </c>
      <c r="C32" s="15">
        <f>+'Balance Sheet Data'!C8/'Balance Sheet Data'!$C$45</f>
        <v>0.24114134985703714</v>
      </c>
      <c r="D32" s="15">
        <f>+'Balance Sheet Data'!D8/'Balance Sheet Data'!$D$45</f>
        <v>0.26364581312193364</v>
      </c>
      <c r="E32" s="15">
        <f>+'Balance Sheet Data'!E8/'Balance Sheet Data'!$E$45</f>
        <v>0.42970123022847101</v>
      </c>
      <c r="F32" s="15">
        <f>+'Balance Sheet Data'!F8/'Balance Sheet Data'!$F$45</f>
        <v>0.41563733604991721</v>
      </c>
      <c r="G32" s="15">
        <f>+'Balance Sheet Data'!G8/'Balance Sheet Data'!$G$45</f>
        <v>0.3955324151830702</v>
      </c>
      <c r="H32" s="15">
        <f>+'Balance Sheet Data'!H8/'Balance Sheet Data'!$H$45</f>
        <v>0.40941542755918192</v>
      </c>
      <c r="I32" s="15">
        <f>+'Balance Sheet Data'!I8/'Balance Sheet Data'!$I$45</f>
        <v>0.39686399047288246</v>
      </c>
      <c r="J32" s="15">
        <f>+'Balance Sheet Data'!J8/'Balance Sheet Data'!$J$45</f>
        <v>0.68995156856756401</v>
      </c>
      <c r="K32" s="15">
        <f>+'Balance Sheet Data'!K8/'Balance Sheet Data'!$K$45</f>
        <v>0.692400414084547</v>
      </c>
      <c r="L32" s="15">
        <f>+'Balance Sheet Data'!L8/'Balance Sheet Data'!$L$45</f>
        <v>0.68506027063636488</v>
      </c>
    </row>
    <row r="33" spans="2:12" ht="24" x14ac:dyDescent="0.3">
      <c r="B33" s="43" t="s">
        <v>161</v>
      </c>
      <c r="C33" s="15">
        <f>+'Balance Sheet Data'!C9/'Balance Sheet Data'!$C$45</f>
        <v>0.24119000879492147</v>
      </c>
      <c r="D33" s="15">
        <f>+'Balance Sheet Data'!D9/'Balance Sheet Data'!$D$45</f>
        <v>0.2636922415943676</v>
      </c>
      <c r="E33" s="15">
        <f>+'Balance Sheet Data'!E9/'Balance Sheet Data'!$E$45</f>
        <v>0.42970123022847101</v>
      </c>
      <c r="F33" s="15">
        <f>+'Balance Sheet Data'!F9/'Balance Sheet Data'!$F$45</f>
        <v>0.41563733604991721</v>
      </c>
      <c r="G33" s="15">
        <f>+'Balance Sheet Data'!G9/'Balance Sheet Data'!$G$45</f>
        <v>0.3955324151830702</v>
      </c>
      <c r="H33" s="15">
        <f>+'Balance Sheet Data'!H9/'Balance Sheet Data'!$H$45</f>
        <v>0.40941542755918192</v>
      </c>
      <c r="I33" s="15">
        <f>+'Balance Sheet Data'!I9/'Balance Sheet Data'!$I$45</f>
        <v>0.39686399047288246</v>
      </c>
      <c r="J33" s="15">
        <f>+'Balance Sheet Data'!J9/'Balance Sheet Data'!$J$45</f>
        <v>0.68995156856756401</v>
      </c>
      <c r="K33" s="15">
        <f>+'Balance Sheet Data'!K9/'Balance Sheet Data'!$K$45</f>
        <v>0.692400414084547</v>
      </c>
      <c r="L33" s="15">
        <f>+'Balance Sheet Data'!L9/'Balance Sheet Data'!$L$45</f>
        <v>0.68506027063636488</v>
      </c>
    </row>
    <row r="34" spans="2:12" x14ac:dyDescent="0.3">
      <c r="B34" s="45" t="s">
        <v>197</v>
      </c>
      <c r="C34" s="15">
        <f>+'Balance Sheet Data'!C10/'Balance Sheet Data'!$C$45</f>
        <v>0</v>
      </c>
      <c r="D34" s="15">
        <f>+'Balance Sheet Data'!D10/'Balance Sheet Data'!$D$45</f>
        <v>0</v>
      </c>
      <c r="E34" s="15">
        <f>+'Balance Sheet Data'!E10/'Balance Sheet Data'!$E$45</f>
        <v>0</v>
      </c>
      <c r="F34" s="15">
        <f>+'Balance Sheet Data'!F10/'Balance Sheet Data'!$F$45</f>
        <v>0</v>
      </c>
      <c r="G34" s="15">
        <f>+'Balance Sheet Data'!G10/'Balance Sheet Data'!$G$45</f>
        <v>0</v>
      </c>
      <c r="H34" s="15">
        <f>+'Balance Sheet Data'!H10/'Balance Sheet Data'!$H$45</f>
        <v>1.2883139191583015E-3</v>
      </c>
      <c r="I34" s="15">
        <f>+'Balance Sheet Data'!I10/'Balance Sheet Data'!$I$45</f>
        <v>7.4430605865131744E-4</v>
      </c>
      <c r="J34" s="15">
        <f>+'Balance Sheet Data'!J10/'Balance Sheet Data'!$J$45</f>
        <v>0</v>
      </c>
      <c r="K34" s="15">
        <f>+'Balance Sheet Data'!K10/'Balance Sheet Data'!$K$45</f>
        <v>0</v>
      </c>
      <c r="L34" s="15">
        <f>+'Balance Sheet Data'!L10/'Balance Sheet Data'!$L$45</f>
        <v>0</v>
      </c>
    </row>
    <row r="35" spans="2:12" ht="24" x14ac:dyDescent="0.3">
      <c r="B35" s="43" t="s">
        <v>162</v>
      </c>
      <c r="C35" s="15">
        <f>+'Balance Sheet Data'!C11/'Balance Sheet Data'!$C$45</f>
        <v>0.25689667819229867</v>
      </c>
      <c r="D35" s="15">
        <f>+'Balance Sheet Data'!D11/'Balance Sheet Data'!$D$45</f>
        <v>0.27868448041688609</v>
      </c>
      <c r="E35" s="15">
        <f>+'Balance Sheet Data'!E11/'Balance Sheet Data'!$E$45</f>
        <v>0.44430174395025013</v>
      </c>
      <c r="F35" s="15">
        <f>+'Balance Sheet Data'!F11/'Balance Sheet Data'!$F$45</f>
        <v>0.42939004202215714</v>
      </c>
      <c r="G35" s="15">
        <f>+'Balance Sheet Data'!G11/'Balance Sheet Data'!$G$45</f>
        <v>0.4076251259657373</v>
      </c>
      <c r="H35" s="15">
        <f>+'Balance Sheet Data'!H11/'Balance Sheet Data'!$H$45</f>
        <v>0.42229856675076494</v>
      </c>
      <c r="I35" s="15">
        <f>+'Balance Sheet Data'!I11/'Balance Sheet Data'!$I$45</f>
        <v>0.40832630377611273</v>
      </c>
      <c r="J35" s="15">
        <f>+'Balance Sheet Data'!J11/'Balance Sheet Data'!$J$45</f>
        <v>0.6933694023881205</v>
      </c>
      <c r="K35" s="15">
        <f>+'Balance Sheet Data'!K11/'Balance Sheet Data'!$K$45</f>
        <v>0.69573294382914763</v>
      </c>
      <c r="L35" s="15">
        <f>+'Balance Sheet Data'!L11/'Balance Sheet Data'!$L$45</f>
        <v>0.68827561673074555</v>
      </c>
    </row>
    <row r="36" spans="2:12" x14ac:dyDescent="0.3">
      <c r="B36" s="44" t="s">
        <v>163</v>
      </c>
      <c r="C36" s="15">
        <f>+'Balance Sheet Data'!C12/'Balance Sheet Data'!$C$45</f>
        <v>1.6180912478548309E-3</v>
      </c>
      <c r="D36" s="15">
        <f>+'Balance Sheet Data'!D12/'Balance Sheet Data'!$D$45</f>
        <v>1.7185464423316796E-3</v>
      </c>
      <c r="E36" s="15">
        <f>+'Balance Sheet Data'!E12/'Balance Sheet Data'!$E$45</f>
        <v>1.3518994186832499E-3</v>
      </c>
      <c r="F36" s="15">
        <f>+'Balance Sheet Data'!F12/'Balance Sheet Data'!$F$45</f>
        <v>1.4007385712466573E-3</v>
      </c>
      <c r="G36" s="15">
        <f>+'Balance Sheet Data'!G12/'Balance Sheet Data'!$G$45</f>
        <v>1.1196954428395476E-3</v>
      </c>
      <c r="H36" s="15">
        <f>+'Balance Sheet Data'!H12/'Balance Sheet Data'!$H$45</f>
        <v>9.6623543936872616E-4</v>
      </c>
      <c r="I36" s="15">
        <f>+'Balance Sheet Data'!I12/'Balance Sheet Data'!$I$45</f>
        <v>8.4354686647149311E-4</v>
      </c>
      <c r="J36" s="15">
        <f>+'Balance Sheet Data'!J12/'Balance Sheet Data'!$J$45</f>
        <v>2.9087947408991085E-4</v>
      </c>
      <c r="K36" s="15">
        <f>+'Balance Sheet Data'!K12/'Balance Sheet Data'!$K$45</f>
        <v>3.6870541855155495E-4</v>
      </c>
      <c r="L36" s="15">
        <f>+'Balance Sheet Data'!L12/'Balance Sheet Data'!$L$45</f>
        <v>2.9827465896807913E-3</v>
      </c>
    </row>
    <row r="37" spans="2:12" ht="24" x14ac:dyDescent="0.3">
      <c r="B37" s="43" t="s">
        <v>164</v>
      </c>
    </row>
    <row r="38" spans="2:12" x14ac:dyDescent="0.3">
      <c r="B38" s="44" t="s">
        <v>165</v>
      </c>
      <c r="C38" s="15">
        <f>+'Balance Sheet Data'!C14/'Balance Sheet Data'!$C$45</f>
        <v>6.1295736678163243E-4</v>
      </c>
      <c r="D38" s="15">
        <f>+'Balance Sheet Data'!D14/'Balance Sheet Data'!$D$45</f>
        <v>4.8507359259361923E-4</v>
      </c>
      <c r="E38" s="15">
        <f>+'Balance Sheet Data'!E14/'Balance Sheet Data'!$E$45</f>
        <v>0</v>
      </c>
      <c r="F38" s="15">
        <f>+'Balance Sheet Data'!F14/'Balance Sheet Data'!$F$45</f>
        <v>0</v>
      </c>
      <c r="G38" s="15">
        <f>+'Balance Sheet Data'!G14/'Balance Sheet Data'!$G$45</f>
        <v>0</v>
      </c>
      <c r="H38" s="15">
        <f>+'Balance Sheet Data'!H14/'Balance Sheet Data'!$H$45</f>
        <v>0</v>
      </c>
      <c r="I38" s="15">
        <f>+'Balance Sheet Data'!I14/'Balance Sheet Data'!$I$45</f>
        <v>0</v>
      </c>
      <c r="J38" s="15">
        <f>+'Balance Sheet Data'!J14/'Balance Sheet Data'!$J$45</f>
        <v>0</v>
      </c>
      <c r="K38" s="15">
        <f>+'Balance Sheet Data'!K14/'Balance Sheet Data'!$K$45</f>
        <v>0</v>
      </c>
      <c r="L38" s="15">
        <f>+'Balance Sheet Data'!L14/'Balance Sheet Data'!$L$45</f>
        <v>0</v>
      </c>
    </row>
    <row r="39" spans="2:12" ht="22.8" x14ac:dyDescent="0.3">
      <c r="B39" s="44" t="s">
        <v>166</v>
      </c>
      <c r="C39" s="15">
        <f>+'Balance Sheet Data'!C15/'Balance Sheet Data'!$C$45</f>
        <v>0</v>
      </c>
      <c r="D39" s="15">
        <f>+'Balance Sheet Data'!D15/'Balance Sheet Data'!$D$45</f>
        <v>2.5639604179948445E-5</v>
      </c>
      <c r="E39" s="15">
        <f>+'Balance Sheet Data'!E15/'Balance Sheet Data'!$E$45</f>
        <v>6.75949709341625E-5</v>
      </c>
      <c r="F39" s="15">
        <f>+'Balance Sheet Data'!F15/'Balance Sheet Data'!$F$45</f>
        <v>0</v>
      </c>
      <c r="G39" s="15">
        <f>+'Balance Sheet Data'!G15/'Balance Sheet Data'!$G$45</f>
        <v>0</v>
      </c>
      <c r="H39" s="15">
        <f>+'Balance Sheet Data'!H15/'Balance Sheet Data'!$H$45</f>
        <v>0</v>
      </c>
      <c r="I39" s="15">
        <f>+'Balance Sheet Data'!I15/'Balance Sheet Data'!$I$45</f>
        <v>0</v>
      </c>
      <c r="J39" s="15">
        <f>+'Balance Sheet Data'!J15/'Balance Sheet Data'!$J$45</f>
        <v>8.7089314542519308E-2</v>
      </c>
      <c r="K39" s="15">
        <f>+'Balance Sheet Data'!K15/'Balance Sheet Data'!$K$45</f>
        <v>8.7085383666349964E-2</v>
      </c>
      <c r="L39" s="15">
        <f>+'Balance Sheet Data'!L15/'Balance Sheet Data'!$L$45</f>
        <v>8.7854201157524597E-2</v>
      </c>
    </row>
    <row r="40" spans="2:12" ht="22.8" x14ac:dyDescent="0.3">
      <c r="B40" s="44" t="s">
        <v>167</v>
      </c>
      <c r="C40" s="15">
        <f>+'Balance Sheet Data'!C16/'Balance Sheet Data'!$C$45</f>
        <v>2.0876863110787687E-2</v>
      </c>
      <c r="D40" s="15">
        <f>+'Balance Sheet Data'!D16/'Balance Sheet Data'!$D$45</f>
        <v>1.2351359591983814E-2</v>
      </c>
      <c r="E40" s="15">
        <f>+'Balance Sheet Data'!E16/'Balance Sheet Data'!$E$45</f>
        <v>3.4473435176422873E-2</v>
      </c>
      <c r="F40" s="15">
        <f>+'Balance Sheet Data'!F16/'Balance Sheet Data'!$F$45</f>
        <v>4.5332993760346364E-2</v>
      </c>
      <c r="G40" s="15">
        <f>+'Balance Sheet Data'!G16/'Balance Sheet Data'!$G$45</f>
        <v>4.8930690852088232E-2</v>
      </c>
      <c r="H40" s="15">
        <f>+'Balance Sheet Data'!H16/'Balance Sheet Data'!$H$45</f>
        <v>5.3411347898437919E-2</v>
      </c>
      <c r="I40" s="15">
        <f>+'Balance Sheet Data'!I16/'Balance Sheet Data'!$I$45</f>
        <v>6.7632610529449716E-2</v>
      </c>
      <c r="J40" s="15">
        <f>+'Balance Sheet Data'!J16/'Balance Sheet Data'!$J$45</f>
        <v>3.4818273048562332E-2</v>
      </c>
      <c r="K40" s="15">
        <f>+'Balance Sheet Data'!K16/'Balance Sheet Data'!$K$45</f>
        <v>3.4445594679297191E-2</v>
      </c>
      <c r="L40" s="15">
        <f>+'Balance Sheet Data'!L16/'Balance Sheet Data'!$L$45</f>
        <v>3.7667437437574398E-2</v>
      </c>
    </row>
    <row r="41" spans="2:12" x14ac:dyDescent="0.3">
      <c r="B41" s="44" t="s">
        <v>168</v>
      </c>
      <c r="C41" s="15">
        <f>+'Balance Sheet Data'!C17/'Balance Sheet Data'!$C$45</f>
        <v>6.1383613267476732E-2</v>
      </c>
      <c r="D41" s="15">
        <f>+'Balance Sheet Data'!D17/'Balance Sheet Data'!$D$45</f>
        <v>6.8849959808188047E-2</v>
      </c>
      <c r="E41" s="15">
        <f>+'Balance Sheet Data'!E17/'Balance Sheet Data'!$E$45</f>
        <v>4.2111666891983236E-2</v>
      </c>
      <c r="F41" s="15">
        <f>+'Balance Sheet Data'!F17/'Balance Sheet Data'!$F$45</f>
        <v>3.2726346619126448E-2</v>
      </c>
      <c r="G41" s="15">
        <f>+'Balance Sheet Data'!G17/'Balance Sheet Data'!$G$45</f>
        <v>4.4787817713581903E-2</v>
      </c>
      <c r="H41" s="15">
        <f>+'Balance Sheet Data'!H17/'Balance Sheet Data'!$H$45</f>
        <v>5.8081485855386764E-2</v>
      </c>
      <c r="I41" s="15">
        <f>+'Balance Sheet Data'!I17/'Balance Sheet Data'!$I$45</f>
        <v>6.0884235597677763E-2</v>
      </c>
      <c r="J41" s="15">
        <f>+'Balance Sheet Data'!J17/'Balance Sheet Data'!$J$45</f>
        <v>2.2950390505693967E-2</v>
      </c>
      <c r="K41" s="15">
        <f>+'Balance Sheet Data'!K17/'Balance Sheet Data'!$K$45</f>
        <v>2.2405944665825264E-2</v>
      </c>
      <c r="L41" s="15">
        <f>+'Balance Sheet Data'!L17/'Balance Sheet Data'!$L$45</f>
        <v>1.8649007347407882E-2</v>
      </c>
    </row>
    <row r="42" spans="2:12" ht="24" x14ac:dyDescent="0.3">
      <c r="B42" s="43" t="s">
        <v>169</v>
      </c>
      <c r="C42" s="15">
        <f>+'Balance Sheet Data'!C18/'Balance Sheet Data'!$C$45</f>
        <v>8.2873433745046049E-2</v>
      </c>
      <c r="D42" s="15">
        <f>+'Balance Sheet Data'!D18/'Balance Sheet Data'!$D$45</f>
        <v>8.1712032596945428E-2</v>
      </c>
      <c r="E42" s="15">
        <f>+'Balance Sheet Data'!E18/'Balance Sheet Data'!$E$45</f>
        <v>7.6652697039340273E-2</v>
      </c>
      <c r="F42" s="15">
        <f>+'Balance Sheet Data'!F18/'Balance Sheet Data'!$F$45</f>
        <v>7.8059340379472819E-2</v>
      </c>
      <c r="G42" s="15">
        <f>+'Balance Sheet Data'!G18/'Balance Sheet Data'!$G$45</f>
        <v>9.3718508565670142E-2</v>
      </c>
      <c r="H42" s="15">
        <f>+'Balance Sheet Data'!H18/'Balance Sheet Data'!$H$45</f>
        <v>0.11149283375382468</v>
      </c>
      <c r="I42" s="15">
        <f>+'Balance Sheet Data'!I18/'Balance Sheet Data'!$I$45</f>
        <v>0.12851684612712747</v>
      </c>
      <c r="J42" s="15">
        <f>+'Balance Sheet Data'!J18/'Balance Sheet Data'!$J$45</f>
        <v>0.14485797809677561</v>
      </c>
      <c r="K42" s="15">
        <f>+'Balance Sheet Data'!K18/'Balance Sheet Data'!$K$45</f>
        <v>0.1439369230114724</v>
      </c>
      <c r="L42" s="15">
        <f>+'Balance Sheet Data'!L18/'Balance Sheet Data'!$L$45</f>
        <v>0.14417064594250686</v>
      </c>
    </row>
    <row r="43" spans="2:12" ht="24" x14ac:dyDescent="0.3">
      <c r="B43" s="43" t="s">
        <v>170</v>
      </c>
    </row>
    <row r="44" spans="2:12" x14ac:dyDescent="0.3">
      <c r="B44" s="44" t="s">
        <v>171</v>
      </c>
      <c r="C44" s="15">
        <f>+'Balance Sheet Data'!C20/'Balance Sheet Data'!$C$45</f>
        <v>2.6973029149608804E-3</v>
      </c>
      <c r="D44" s="15">
        <f>+'Balance Sheet Data'!D20/'Balance Sheet Data'!$D$45</f>
        <v>2.4974360395820052E-3</v>
      </c>
      <c r="E44" s="15">
        <f>+'Balance Sheet Data'!E20/'Balance Sheet Data'!$E$45</f>
        <v>1.1964309855346762E-2</v>
      </c>
      <c r="F44" s="15">
        <f>+'Balance Sheet Data'!F20/'Balance Sheet Data'!$F$45</f>
        <v>1.7636572010696547E-2</v>
      </c>
      <c r="G44" s="15">
        <f>+'Balance Sheet Data'!G20/'Balance Sheet Data'!$G$45</f>
        <v>0</v>
      </c>
      <c r="H44" s="15">
        <f>+'Balance Sheet Data'!H20/'Balance Sheet Data'!$H$45</f>
        <v>5.3142949165279939E-3</v>
      </c>
      <c r="I44" s="15">
        <f>+'Balance Sheet Data'!I20/'Balance Sheet Data'!$I$45</f>
        <v>0</v>
      </c>
      <c r="J44" s="15">
        <f>+'Balance Sheet Data'!J20/'Balance Sheet Data'!$J$45</f>
        <v>0</v>
      </c>
      <c r="K44" s="15">
        <f>+'Balance Sheet Data'!K20/'Balance Sheet Data'!$K$45</f>
        <v>0</v>
      </c>
      <c r="L44" s="15">
        <f>+'Balance Sheet Data'!L20/'Balance Sheet Data'!$L$45</f>
        <v>1.3408677329757685E-3</v>
      </c>
    </row>
    <row r="45" spans="2:12" x14ac:dyDescent="0.3">
      <c r="B45" s="44" t="s">
        <v>172</v>
      </c>
      <c r="C45" s="15">
        <f>+'Balance Sheet Data'!C21/'Balance Sheet Data'!$C$45</f>
        <v>0.43320180895048482</v>
      </c>
      <c r="D45" s="15">
        <f>+'Balance Sheet Data'!D21/'Balance Sheet Data'!$D$45</f>
        <v>0.38163580674668074</v>
      </c>
      <c r="E45" s="15">
        <f>+'Balance Sheet Data'!E21/'Balance Sheet Data'!$E$45</f>
        <v>0.38427740976071378</v>
      </c>
      <c r="F45" s="15">
        <f>+'Balance Sheet Data'!F21/'Balance Sheet Data'!$F$45</f>
        <v>0.39386221826053736</v>
      </c>
      <c r="G45" s="15">
        <f>+'Balance Sheet Data'!G21/'Balance Sheet Data'!$G$45</f>
        <v>0.40141081625797781</v>
      </c>
      <c r="H45" s="15">
        <f>+'Balance Sheet Data'!H21/'Balance Sheet Data'!$H$45</f>
        <v>0.38681625422728005</v>
      </c>
      <c r="I45" s="15">
        <f>+'Balance Sheet Data'!I21/'Balance Sheet Data'!$I$45</f>
        <v>0.3738897434625118</v>
      </c>
      <c r="J45" s="15">
        <f>+'Balance Sheet Data'!J21/'Balance Sheet Data'!$J$45</f>
        <v>0.12801605654696976</v>
      </c>
      <c r="K45" s="15">
        <f>+'Balance Sheet Data'!K21/'Balance Sheet Data'!$K$45</f>
        <v>0.12859310520867309</v>
      </c>
      <c r="L45" s="15">
        <f>+'Balance Sheet Data'!L21/'Balance Sheet Data'!$L$45</f>
        <v>0.13099456811744906</v>
      </c>
    </row>
    <row r="46" spans="2:12" x14ac:dyDescent="0.3">
      <c r="B46" s="44" t="s">
        <v>173</v>
      </c>
      <c r="C46" s="15">
        <f>+'Balance Sheet Data'!C22/'Balance Sheet Data'!$C$45</f>
        <v>6.8215473396996656E-2</v>
      </c>
      <c r="D46" s="15">
        <f>+'Balance Sheet Data'!D22/'Balance Sheet Data'!$D$45</f>
        <v>6.6023366687917515E-2</v>
      </c>
      <c r="E46" s="15">
        <f>+'Balance Sheet Data'!E22/'Balance Sheet Data'!$E$45</f>
        <v>6.1646613491956201E-2</v>
      </c>
      <c r="F46" s="15">
        <f>+'Balance Sheet Data'!F22/'Balance Sheet Data'!$F$45</f>
        <v>5.4692474213676304E-2</v>
      </c>
      <c r="G46" s="15">
        <f>+'Balance Sheet Data'!G22/'Balance Sheet Data'!$G$45</f>
        <v>5.7608330534094726E-2</v>
      </c>
      <c r="H46" s="15">
        <f>+'Balance Sheet Data'!H22/'Balance Sheet Data'!$H$45</f>
        <v>4.5037307423908962E-2</v>
      </c>
      <c r="I46" s="15">
        <f>+'Balance Sheet Data'!I22/'Balance Sheet Data'!$I$45</f>
        <v>6.7483749317719444E-2</v>
      </c>
      <c r="J46" s="15">
        <f>+'Balance Sheet Data'!J22/'Balance Sheet Data'!$J$45</f>
        <v>2.6091888825865002E-2</v>
      </c>
      <c r="K46" s="15">
        <f>+'Balance Sheet Data'!K22/'Balance Sheet Data'!$K$45</f>
        <v>2.6461704269892368E-2</v>
      </c>
      <c r="L46" s="15">
        <f>+'Balance Sheet Data'!L22/'Balance Sheet Data'!$L$45</f>
        <v>2.6913130926156499E-2</v>
      </c>
    </row>
    <row r="47" spans="2:12" x14ac:dyDescent="0.3">
      <c r="B47" s="44" t="s">
        <v>174</v>
      </c>
      <c r="C47" s="15">
        <f>+'Balance Sheet Data'!C23/'Balance Sheet Data'!$C$45</f>
        <v>0.15449721155235813</v>
      </c>
      <c r="D47" s="15">
        <f>+'Balance Sheet Data'!D23/'Balance Sheet Data'!$D$45</f>
        <v>0.18772833106965658</v>
      </c>
      <c r="E47" s="15">
        <f>+'Balance Sheet Data'!E23/'Balance Sheet Data'!$E$45</f>
        <v>1.9805326483709612E-2</v>
      </c>
      <c r="F47" s="15">
        <f>+'Balance Sheet Data'!F23/'Balance Sheet Data'!$F$45</f>
        <v>2.4958614542213167E-2</v>
      </c>
      <c r="G47" s="15">
        <f>+'Balance Sheet Data'!G23/'Balance Sheet Data'!$G$45</f>
        <v>3.8517523233680441E-2</v>
      </c>
      <c r="H47" s="15">
        <f>+'Balance Sheet Data'!H23/'Balance Sheet Data'!$H$45</f>
        <v>2.8074507488324654E-2</v>
      </c>
      <c r="I47" s="15">
        <f>+'Balance Sheet Data'!I23/'Balance Sheet Data'!$I$45</f>
        <v>2.0939810450057064E-2</v>
      </c>
      <c r="J47" s="15">
        <f>+'Balance Sheet Data'!J23/'Balance Sheet Data'!$J$45</f>
        <v>7.3737946681792397E-3</v>
      </c>
      <c r="K47" s="15">
        <f>+'Balance Sheet Data'!K23/'Balance Sheet Data'!$K$45</f>
        <v>4.9066182622630001E-3</v>
      </c>
      <c r="L47" s="15">
        <f>+'Balance Sheet Data'!L23/'Balance Sheet Data'!$L$45</f>
        <v>5.3224239604854487E-3</v>
      </c>
    </row>
    <row r="48" spans="2:12" ht="24" x14ac:dyDescent="0.3">
      <c r="B48" s="43" t="s">
        <v>175</v>
      </c>
      <c r="C48" s="15">
        <f>+'Balance Sheet Data'!C24/'Balance Sheet Data'!$C$45</f>
        <v>0.65861179681480042</v>
      </c>
      <c r="D48" s="15">
        <f>+'Balance Sheet Data'!D24/'Balance Sheet Data'!$D$45</f>
        <v>0.63788494054383682</v>
      </c>
      <c r="E48" s="15">
        <f>+'Balance Sheet Data'!E24/'Balance Sheet Data'!$E$45</f>
        <v>0.47769365959172638</v>
      </c>
      <c r="F48" s="15">
        <f>+'Balance Sheet Data'!F24/'Balance Sheet Data'!$F$45</f>
        <v>0.49114987902712337</v>
      </c>
      <c r="G48" s="15">
        <f>+'Balance Sheet Data'!G24/'Balance Sheet Data'!$G$45</f>
        <v>0.49753667002575297</v>
      </c>
      <c r="H48" s="15">
        <f>+'Balance Sheet Data'!H24/'Balance Sheet Data'!$H$45</f>
        <v>0.46524236405604164</v>
      </c>
      <c r="I48" s="15">
        <f>+'Balance Sheet Data'!I24/'Balance Sheet Data'!$I$45</f>
        <v>0.4623133032302883</v>
      </c>
      <c r="J48" s="15">
        <f>+'Balance Sheet Data'!J24/'Balance Sheet Data'!$J$45</f>
        <v>0.16148174004101401</v>
      </c>
      <c r="K48" s="15">
        <f>+'Balance Sheet Data'!K24/'Balance Sheet Data'!$K$45</f>
        <v>0.15996142774082844</v>
      </c>
      <c r="L48" s="15">
        <f>+'Balance Sheet Data'!L24/'Balance Sheet Data'!$L$45</f>
        <v>0.1645709907370668</v>
      </c>
    </row>
    <row r="49" spans="2:12" ht="24" x14ac:dyDescent="0.3">
      <c r="B49" s="43" t="s">
        <v>176</v>
      </c>
      <c r="C49" s="15">
        <f>+'Balance Sheet Data'!C25/'Balance Sheet Data'!$C$45</f>
        <v>1</v>
      </c>
      <c r="D49" s="15">
        <f>+'Balance Sheet Data'!D25/'Balance Sheet Data'!$D$45</f>
        <v>1</v>
      </c>
      <c r="E49" s="15">
        <f>+'Balance Sheet Data'!E25/'Balance Sheet Data'!$E$45</f>
        <v>1</v>
      </c>
      <c r="F49" s="15">
        <f>+'Balance Sheet Data'!F25/'Balance Sheet Data'!$F$45</f>
        <v>1</v>
      </c>
      <c r="G49" s="15">
        <f>+'Balance Sheet Data'!G25/'Balance Sheet Data'!$G$45</f>
        <v>1</v>
      </c>
      <c r="H49" s="15">
        <f>+'Balance Sheet Data'!H25/'Balance Sheet Data'!$H$45</f>
        <v>1</v>
      </c>
      <c r="I49" s="15">
        <f>+'Balance Sheet Data'!I25/'Balance Sheet Data'!$I$45</f>
        <v>1</v>
      </c>
      <c r="J49" s="15">
        <f>+'Balance Sheet Data'!J25/'Balance Sheet Data'!$J$45</f>
        <v>1</v>
      </c>
      <c r="K49" s="15">
        <f>+'Balance Sheet Data'!K25/'Balance Sheet Data'!$K$45</f>
        <v>1</v>
      </c>
      <c r="L49" s="15">
        <f>+'Balance Sheet Data'!L25/'Balance Sheet Data'!$L$45</f>
        <v>1</v>
      </c>
    </row>
    <row r="50" spans="2:12" x14ac:dyDescent="0.3">
      <c r="B50" s="43" t="s">
        <v>177</v>
      </c>
    </row>
    <row r="51" spans="2:12" ht="24" x14ac:dyDescent="0.3">
      <c r="B51" s="43" t="s">
        <v>178</v>
      </c>
    </row>
    <row r="52" spans="2:12" x14ac:dyDescent="0.3">
      <c r="B52" s="44" t="s">
        <v>179</v>
      </c>
      <c r="C52" s="15">
        <f>+'Balance Sheet Data'!C28/'Balance Sheet Data'!$C$45</f>
        <v>0.19179900808391998</v>
      </c>
      <c r="D52" s="15">
        <f>+'Balance Sheet Data'!D28/'Balance Sheet Data'!$D$45</f>
        <v>0.18833328713584835</v>
      </c>
      <c r="E52" s="15">
        <f>+'Balance Sheet Data'!E28/'Balance Sheet Data'!$E$45</f>
        <v>0.21393808300662431</v>
      </c>
      <c r="F52" s="15">
        <f>+'Balance Sheet Data'!F28/'Balance Sheet Data'!$F$45</f>
        <v>0.25264230230485163</v>
      </c>
      <c r="G52" s="15">
        <f>+'Balance Sheet Data'!G28/'Balance Sheet Data'!$G$45</f>
        <v>0.22841787033926772</v>
      </c>
      <c r="H52" s="15">
        <f>+'Balance Sheet Data'!H28/'Balance Sheet Data'!$H$45</f>
        <v>0.22502549787965001</v>
      </c>
      <c r="I52" s="15">
        <f>+'Balance Sheet Data'!I28/'Balance Sheet Data'!$I$45</f>
        <v>0.24611720339403562</v>
      </c>
      <c r="J52" s="15">
        <f>+'Balance Sheet Data'!J28/'Balance Sheet Data'!$J$45</f>
        <v>8.8950943176694733E-2</v>
      </c>
      <c r="K52" s="15">
        <f>+'Balance Sheet Data'!K28/'Balance Sheet Data'!$K$45</f>
        <v>8.7482451040174714E-2</v>
      </c>
      <c r="L52" s="15">
        <f>+'Balance Sheet Data'!L28/'Balance Sheet Data'!$L$45</f>
        <v>9.5078468127026694E-2</v>
      </c>
    </row>
    <row r="53" spans="2:12" x14ac:dyDescent="0.3">
      <c r="B53" s="44" t="s">
        <v>180</v>
      </c>
      <c r="C53" s="15">
        <f>+'Balance Sheet Data'!C29/'Balance Sheet Data'!$C$45</f>
        <v>1.7517217638356607E-3</v>
      </c>
      <c r="D53" s="15">
        <f>+'Balance Sheet Data'!D29/'Balance Sheet Data'!$D$45</f>
        <v>1.5265958921196331E-3</v>
      </c>
      <c r="E53" s="15">
        <f>+'Balance Sheet Data'!E29/'Balance Sheet Data'!$E$45</f>
        <v>8.1113965120995001E-4</v>
      </c>
      <c r="F53" s="15">
        <f>+'Balance Sheet Data'!F29/'Balance Sheet Data'!$F$45</f>
        <v>2.3557875970966511E-2</v>
      </c>
      <c r="G53" s="15">
        <f>+'Balance Sheet Data'!G29/'Balance Sheet Data'!$G$45</f>
        <v>2.0546411376105699E-2</v>
      </c>
      <c r="H53" s="15">
        <f>+'Balance Sheet Data'!H29/'Balance Sheet Data'!$H$45</f>
        <v>2.1793977132427936E-2</v>
      </c>
      <c r="I53" s="15">
        <f>+'Balance Sheet Data'!I29/'Balance Sheet Data'!$I$45</f>
        <v>1.9947402371855306E-2</v>
      </c>
      <c r="J53" s="15">
        <f>+'Balance Sheet Data'!J29/'Balance Sheet Data'!$J$45</f>
        <v>0.4062131855665605</v>
      </c>
      <c r="K53" s="15">
        <f>+'Balance Sheet Data'!K29/'Balance Sheet Data'!$K$45</f>
        <v>0.39574854290454786</v>
      </c>
      <c r="L53" s="15">
        <f>+'Balance Sheet Data'!L29/'Balance Sheet Data'!$L$45</f>
        <v>0.38670351772545047</v>
      </c>
    </row>
    <row r="54" spans="2:12" ht="22.8" x14ac:dyDescent="0.3">
      <c r="B54" s="44" t="s">
        <v>181</v>
      </c>
      <c r="C54" s="15">
        <f>+'Balance Sheet Data'!C30/'Balance Sheet Data'!$C$45</f>
        <v>2.6500964826850437E-2</v>
      </c>
      <c r="D54" s="15">
        <f>+'Balance Sheet Data'!D30/'Balance Sheet Data'!$D$45</f>
        <v>3.5777642265155084E-2</v>
      </c>
      <c r="E54" s="15">
        <f>+'Balance Sheet Data'!E30/'Balance Sheet Data'!$E$45</f>
        <v>2.7578748141138299E-2</v>
      </c>
      <c r="F54" s="15">
        <f>+'Balance Sheet Data'!F30/'Balance Sheet Data'!$F$45</f>
        <v>1.458041512797657E-2</v>
      </c>
      <c r="G54" s="15">
        <f>+'Balance Sheet Data'!G30/'Balance Sheet Data'!$G$45</f>
        <v>2.5808979957451572E-2</v>
      </c>
      <c r="H54" s="15">
        <f>+'Balance Sheet Data'!H30/'Balance Sheet Data'!$H$45</f>
        <v>2.1793977132427936E-2</v>
      </c>
      <c r="I54" s="15">
        <f>+'Balance Sheet Data'!I30/'Balance Sheet Data'!$I$45</f>
        <v>2.9623381134322432E-2</v>
      </c>
      <c r="J54" s="15">
        <f>+'Balance Sheet Data'!J30/'Balance Sheet Data'!$J$45</f>
        <v>1.0835260409849178E-2</v>
      </c>
      <c r="K54" s="15">
        <f>+'Balance Sheet Data'!K30/'Balance Sheet Data'!$K$45</f>
        <v>1.8619623636853523E-2</v>
      </c>
      <c r="L54" s="15">
        <f>+'Balance Sheet Data'!L30/'Balance Sheet Data'!$L$45</f>
        <v>1.5488390548250715E-2</v>
      </c>
    </row>
    <row r="55" spans="2:12" ht="22.8" x14ac:dyDescent="0.3">
      <c r="B55" s="44" t="s">
        <v>182</v>
      </c>
      <c r="C55" s="15">
        <f>+'Balance Sheet Data'!C31/'Balance Sheet Data'!$C$45</f>
        <v>5.5921465926760312E-4</v>
      </c>
      <c r="D55" s="15">
        <f>+'Balance Sheet Data'!D31/'Balance Sheet Data'!$D$45</f>
        <v>0</v>
      </c>
      <c r="E55" s="15">
        <f>+'Balance Sheet Data'!E31/'Balance Sheet Data'!$E$45</f>
        <v>0</v>
      </c>
      <c r="F55" s="15">
        <f>+'Balance Sheet Data'!F31/'Balance Sheet Data'!$F$45</f>
        <v>0</v>
      </c>
      <c r="G55" s="15">
        <f>+'Balance Sheet Data'!G31/'Balance Sheet Data'!$G$45</f>
        <v>0</v>
      </c>
      <c r="H55" s="15">
        <f>+'Balance Sheet Data'!H31/'Balance Sheet Data'!$H$45</f>
        <v>0</v>
      </c>
      <c r="I55" s="15">
        <f>+'Balance Sheet Data'!I31/'Balance Sheet Data'!$I$45</f>
        <v>0</v>
      </c>
      <c r="J55" s="15">
        <f>+'Balance Sheet Data'!J31/'Balance Sheet Data'!$J$45</f>
        <v>0</v>
      </c>
      <c r="K55" s="15">
        <f>+'Balance Sheet Data'!K31/'Balance Sheet Data'!$K$45</f>
        <v>0</v>
      </c>
      <c r="L55" s="15">
        <f>+'Balance Sheet Data'!L31/'Balance Sheet Data'!$L$45</f>
        <v>0</v>
      </c>
    </row>
    <row r="56" spans="2:12" ht="22.8" x14ac:dyDescent="0.3">
      <c r="B56" s="44" t="s">
        <v>183</v>
      </c>
      <c r="C56" s="15">
        <f>+'Balance Sheet Data'!C32/'Balance Sheet Data'!$C$45</f>
        <v>2.7611405364538964E-2</v>
      </c>
      <c r="D56" s="15">
        <f>+'Balance Sheet Data'!D32/'Balance Sheet Data'!$D$45</f>
        <v>2.2445048091581894E-2</v>
      </c>
      <c r="E56" s="15">
        <f>+'Balance Sheet Data'!E32/'Balance Sheet Data'!$E$45</f>
        <v>2.1630390698932E-3</v>
      </c>
      <c r="F56" s="15">
        <f>+'Balance Sheet Data'!F32/'Balance Sheet Data'!$F$45</f>
        <v>3.8201961033999744E-4</v>
      </c>
      <c r="G56" s="15">
        <f>+'Balance Sheet Data'!G32/'Balance Sheet Data'!$G$45</f>
        <v>1.1196954428395476E-4</v>
      </c>
      <c r="H56" s="15">
        <f>+'Balance Sheet Data'!H32/'Balance Sheet Data'!$H$45</f>
        <v>1.0735949326319179E-4</v>
      </c>
      <c r="I56" s="15">
        <f>+'Balance Sheet Data'!I32/'Balance Sheet Data'!$I$45</f>
        <v>9.9240807820175653E-5</v>
      </c>
      <c r="J56" s="15">
        <f>+'Balance Sheet Data'!J32/'Balance Sheet Data'!$J$45</f>
        <v>2.9087947408991083E-5</v>
      </c>
      <c r="K56" s="15">
        <f>+'Balance Sheet Data'!K32/'Balance Sheet Data'!$K$45</f>
        <v>2.8361955273196536E-5</v>
      </c>
      <c r="L56" s="15">
        <f>+'Balance Sheet Data'!L32/'Balance Sheet Data'!$L$45</f>
        <v>9.7144499021713845E-4</v>
      </c>
    </row>
    <row r="57" spans="2:12" ht="22.8" x14ac:dyDescent="0.3">
      <c r="B57" s="44" t="s">
        <v>184</v>
      </c>
      <c r="C57" s="15">
        <f>+'Balance Sheet Data'!C33/'Balance Sheet Data'!$C$45</f>
        <v>1.3039869100194565E-2</v>
      </c>
      <c r="D57" s="15">
        <f>+'Balance Sheet Data'!D33/'Balance Sheet Data'!$D$45</f>
        <v>1.3844693294897025E-2</v>
      </c>
      <c r="E57" s="15">
        <f>+'Balance Sheet Data'!E33/'Balance Sheet Data'!$E$45</f>
        <v>1.1355955116939299E-2</v>
      </c>
      <c r="F57" s="15">
        <f>+'Balance Sheet Data'!F33/'Balance Sheet Data'!$F$45</f>
        <v>1.0823888959633262E-2</v>
      </c>
      <c r="G57" s="15">
        <f>+'Balance Sheet Data'!G33/'Balance Sheet Data'!$G$45</f>
        <v>1.6907401186877169E-2</v>
      </c>
      <c r="H57" s="15">
        <f>+'Balance Sheet Data'!H33/'Balance Sheet Data'!$H$45</f>
        <v>2.0022545493585269E-2</v>
      </c>
      <c r="I57" s="15">
        <f>+'Balance Sheet Data'!I33/'Balance Sheet Data'!$I$45</f>
        <v>1.4092194710464943E-2</v>
      </c>
      <c r="J57" s="15">
        <f>+'Balance Sheet Data'!J33/'Balance Sheet Data'!$J$45</f>
        <v>2.4724755297642423E-4</v>
      </c>
      <c r="K57" s="15">
        <f>+'Balance Sheet Data'!K33/'Balance Sheet Data'!$K$45</f>
        <v>1.5599075400258094E-4</v>
      </c>
      <c r="L57" s="15">
        <f>+'Balance Sheet Data'!L33/'Balance Sheet Data'!$L$45</f>
        <v>1.3682323805875191E-4</v>
      </c>
    </row>
    <row r="58" spans="2:12" ht="22.8" x14ac:dyDescent="0.3">
      <c r="B58" s="44" t="s">
        <v>185</v>
      </c>
      <c r="C58" s="15">
        <f>+'Balance Sheet Data'!C34/'Balance Sheet Data'!$C$45</f>
        <v>3.8529163770733607E-2</v>
      </c>
      <c r="D58" s="15">
        <f>+'Balance Sheet Data'!D34/'Balance Sheet Data'!$D$45</f>
        <v>4.0693516644953853E-2</v>
      </c>
      <c r="E58" s="15">
        <f>+'Balance Sheet Data'!E34/'Balance Sheet Data'!$E$45</f>
        <v>0</v>
      </c>
      <c r="F58" s="15">
        <f>+'Balance Sheet Data'!F34/'Balance Sheet Data'!$F$45</f>
        <v>1.0696549089519929E-2</v>
      </c>
      <c r="G58" s="15">
        <f>+'Balance Sheet Data'!G34/'Balance Sheet Data'!$G$45</f>
        <v>1.0301198074123838E-2</v>
      </c>
      <c r="H58" s="15">
        <f>+'Balance Sheet Data'!H34/'Balance Sheet Data'!$H$45</f>
        <v>1.1541145525793118E-2</v>
      </c>
      <c r="I58" s="15">
        <f>+'Balance Sheet Data'!I34/'Balance Sheet Data'!$I$45</f>
        <v>1.1809656130600903E-2</v>
      </c>
      <c r="J58" s="15">
        <f>+'Balance Sheet Data'!J34/'Balance Sheet Data'!$J$45</f>
        <v>3.650537399828381E-3</v>
      </c>
      <c r="K58" s="15">
        <f>+'Balance Sheet Data'!K34/'Balance Sheet Data'!$K$45</f>
        <v>1.6308124282088008E-3</v>
      </c>
      <c r="L58" s="15">
        <f>+'Balance Sheet Data'!L34/'Balance Sheet Data'!$L$45</f>
        <v>1.3408677329757685E-3</v>
      </c>
    </row>
    <row r="59" spans="2:12" ht="22.8" x14ac:dyDescent="0.3">
      <c r="B59" s="44" t="s">
        <v>186</v>
      </c>
      <c r="C59" s="15">
        <f>+'Balance Sheet Data'!C35/'Balance Sheet Data'!$C$45</f>
        <v>5.0837696297054826E-5</v>
      </c>
      <c r="D59" s="15">
        <f>+'Balance Sheet Data'!D35/'Balance Sheet Data'!$D$45</f>
        <v>3.1876264656152121E-5</v>
      </c>
      <c r="E59" s="15">
        <f>+'Balance Sheet Data'!E35/'Balance Sheet Data'!$E$45</f>
        <v>3.9407868054616733E-2</v>
      </c>
      <c r="F59" s="15">
        <f>+'Balance Sheet Data'!F35/'Balance Sheet Data'!$F$45</f>
        <v>3.4509104800713106E-2</v>
      </c>
      <c r="G59" s="15">
        <f>+'Balance Sheet Data'!G35/'Balance Sheet Data'!$G$45</f>
        <v>4.0588959802933602E-2</v>
      </c>
      <c r="H59" s="15">
        <f>+'Balance Sheet Data'!H35/'Balance Sheet Data'!$H$45</f>
        <v>5.3894465618122285E-2</v>
      </c>
      <c r="I59" s="15">
        <f>+'Balance Sheet Data'!I35/'Balance Sheet Data'!$I$45</f>
        <v>6.1132337617228201E-2</v>
      </c>
      <c r="J59" s="15">
        <f>+'Balance Sheet Data'!J35/'Balance Sheet Data'!$J$45</f>
        <v>3.0280553252759718E-2</v>
      </c>
      <c r="K59" s="15">
        <f>+'Balance Sheet Data'!K35/'Balance Sheet Data'!$K$45</f>
        <v>2.9510614461760995E-2</v>
      </c>
      <c r="L59" s="15">
        <f>+'Balance Sheet Data'!L35/'Balance Sheet Data'!$L$45</f>
        <v>2.8732879992337899E-2</v>
      </c>
    </row>
    <row r="60" spans="2:12" ht="24" x14ac:dyDescent="0.3">
      <c r="B60" s="43" t="s">
        <v>187</v>
      </c>
      <c r="C60" s="15">
        <f>+'Balance Sheet Data'!C36/'Balance Sheet Data'!$C$45</f>
        <v>0.30573790553048774</v>
      </c>
      <c r="D60" s="15">
        <f>+'Balance Sheet Data'!D36/'Balance Sheet Data'!$D$45</f>
        <v>0.30827812733874765</v>
      </c>
      <c r="E60" s="15">
        <f>+'Balance Sheet Data'!E36/'Balance Sheet Data'!$E$45</f>
        <v>0.30073002568608898</v>
      </c>
      <c r="F60" s="15">
        <f>+'Balance Sheet Data'!F36/'Balance Sheet Data'!$F$45</f>
        <v>0.35234942060359098</v>
      </c>
      <c r="G60" s="15">
        <f>+'Balance Sheet Data'!G36/'Balance Sheet Data'!$G$45</f>
        <v>0.34721755682454375</v>
      </c>
      <c r="H60" s="15">
        <f>+'Balance Sheet Data'!H36/'Balance Sheet Data'!$H$45</f>
        <v>0.36045949863116644</v>
      </c>
      <c r="I60" s="15">
        <f>+'Balance Sheet Data'!I36/'Balance Sheet Data'!$I$45</f>
        <v>0.38862700342380785</v>
      </c>
      <c r="J60" s="15">
        <f>+'Balance Sheet Data'!J36/'Balance Sheet Data'!$J$45</f>
        <v>0.79322832584318692</v>
      </c>
      <c r="K60" s="15">
        <f>+'Balance Sheet Data'!K36/'Balance Sheet Data'!$K$45</f>
        <v>0.77988286512472171</v>
      </c>
      <c r="L60" s="15">
        <f>+'Balance Sheet Data'!L36/'Balance Sheet Data'!$L$45</f>
        <v>0.76742785994773355</v>
      </c>
    </row>
    <row r="61" spans="2:12" x14ac:dyDescent="0.3">
      <c r="B61" s="43" t="s">
        <v>188</v>
      </c>
    </row>
    <row r="62" spans="2:12" x14ac:dyDescent="0.3">
      <c r="B62" s="44" t="s">
        <v>189</v>
      </c>
      <c r="C62" s="15">
        <f>+'Balance Sheet Data'!C38/'Balance Sheet Data'!$C$45</f>
        <v>0.17850930801906559</v>
      </c>
      <c r="D62" s="15">
        <f>+'Balance Sheet Data'!D38/'Balance Sheet Data'!$D$45</f>
        <v>0.18718158383457603</v>
      </c>
      <c r="E62" s="15">
        <f>+'Balance Sheet Data'!E38/'Balance Sheet Data'!$E$45</f>
        <v>0.17304312559145599</v>
      </c>
      <c r="F62" s="15">
        <f>+'Balance Sheet Data'!F38/'Balance Sheet Data'!$F$45</f>
        <v>0.24118171399465171</v>
      </c>
      <c r="G62" s="15">
        <f>+'Balance Sheet Data'!G38/'Balance Sheet Data'!$G$45</f>
        <v>0.16073228081961707</v>
      </c>
      <c r="H62" s="15">
        <f>+'Balance Sheet Data'!H38/'Balance Sheet Data'!$H$45</f>
        <v>0.14568683235815127</v>
      </c>
      <c r="I62" s="15">
        <f>+'Balance Sheet Data'!I38/'Balance Sheet Data'!$I$45</f>
        <v>6.2174366099340052E-2</v>
      </c>
      <c r="J62" s="15">
        <f>+'Balance Sheet Data'!J38/'Balance Sheet Data'!$J$45</f>
        <v>3.9370536818069436E-2</v>
      </c>
      <c r="K62" s="15">
        <f>+'Balance Sheet Data'!K38/'Balance Sheet Data'!$K$45</f>
        <v>4.99028603031893E-2</v>
      </c>
      <c r="L62" s="15">
        <f>+'Balance Sheet Data'!L38/'Balance Sheet Data'!$L$45</f>
        <v>3.846101221831516E-2</v>
      </c>
    </row>
    <row r="63" spans="2:12" x14ac:dyDescent="0.3">
      <c r="B63" s="44" t="s">
        <v>190</v>
      </c>
      <c r="C63" s="15">
        <f>+'Balance Sheet Data'!C39/'Balance Sheet Data'!$C$45</f>
        <v>0.21350597814995814</v>
      </c>
      <c r="D63" s="15">
        <f>+'Balance Sheet Data'!D39/'Balance Sheet Data'!$D$45</f>
        <v>0.19741039997782522</v>
      </c>
      <c r="E63" s="15">
        <f>+'Balance Sheet Data'!E39/'Balance Sheet Data'!$E$45</f>
        <v>0.18426389076652697</v>
      </c>
      <c r="F63" s="15">
        <f>+'Balance Sheet Data'!F39/'Balance Sheet Data'!$F$45</f>
        <v>0.16178530497898891</v>
      </c>
      <c r="G63" s="15">
        <f>+'Balance Sheet Data'!G39/'Balance Sheet Data'!$G$45</f>
        <v>0.14068973239278917</v>
      </c>
      <c r="H63" s="15">
        <f>+'Balance Sheet Data'!H39/'Balance Sheet Data'!$H$45</f>
        <v>0.13817166782972784</v>
      </c>
      <c r="I63" s="15">
        <f>+'Balance Sheet Data'!I39/'Balance Sheet Data'!$I$45</f>
        <v>0.13729965761921303</v>
      </c>
      <c r="J63" s="15">
        <f>+'Balance Sheet Data'!J39/'Balance Sheet Data'!$J$45</f>
        <v>5.2052881888389545E-2</v>
      </c>
      <c r="K63" s="15">
        <f>+'Balance Sheet Data'!K39/'Balance Sheet Data'!$K$45</f>
        <v>5.8085284399506505E-2</v>
      </c>
      <c r="L63" s="15">
        <f>+'Balance Sheet Data'!L39/'Balance Sheet Data'!$L$45</f>
        <v>5.8163558498775435E-2</v>
      </c>
    </row>
    <row r="64" spans="2:12" x14ac:dyDescent="0.3">
      <c r="B64" s="44" t="s">
        <v>191</v>
      </c>
      <c r="C64" s="15">
        <f>+'Balance Sheet Data'!C40/'Balance Sheet Data'!$C$45</f>
        <v>7.4883200392757518E-2</v>
      </c>
      <c r="D64" s="15">
        <f>+'Balance Sheet Data'!D40/'Balance Sheet Data'!$D$45</f>
        <v>7.0070959336973701E-2</v>
      </c>
      <c r="E64" s="15">
        <f>+'Balance Sheet Data'!E40/'Balance Sheet Data'!$E$45</f>
        <v>8.5440043260781404E-2</v>
      </c>
      <c r="F64" s="15">
        <f>+'Balance Sheet Data'!F40/'Balance Sheet Data'!$F$45</f>
        <v>6.9081879536482871E-2</v>
      </c>
      <c r="G64" s="15">
        <f>+'Balance Sheet Data'!G40/'Balance Sheet Data'!$G$45</f>
        <v>7.3340051505990364E-2</v>
      </c>
      <c r="H64" s="15">
        <f>+'Balance Sheet Data'!H40/'Balance Sheet Data'!$H$45</f>
        <v>9.748241988297815E-2</v>
      </c>
      <c r="I64" s="15">
        <f>+'Balance Sheet Data'!I40/'Balance Sheet Data'!$I$45</f>
        <v>5.7013844092690912E-2</v>
      </c>
      <c r="J64" s="15">
        <f>+'Balance Sheet Data'!J40/'Balance Sheet Data'!$J$45</f>
        <v>2.5568305772503162E-2</v>
      </c>
      <c r="K64" s="15">
        <f>+'Balance Sheet Data'!K40/'Balance Sheet Data'!$K$45</f>
        <v>3.1708665995433725E-2</v>
      </c>
      <c r="L64" s="15">
        <f>+'Balance Sheet Data'!L40/'Balance Sheet Data'!$L$45</f>
        <v>4.212787499828971E-2</v>
      </c>
    </row>
    <row r="65" spans="2:12" ht="22.8" x14ac:dyDescent="0.3">
      <c r="B65" s="44" t="s">
        <v>192</v>
      </c>
      <c r="C65" s="15">
        <f>+'Balance Sheet Data'!C41/'Balance Sheet Data'!$C$45</f>
        <v>0.18272738430611268</v>
      </c>
      <c r="D65" s="15">
        <f>+'Balance Sheet Data'!D41/'Balance Sheet Data'!$D$45</f>
        <v>0.1863715109349447</v>
      </c>
      <c r="E65" s="15">
        <f>+'Balance Sheet Data'!E41/'Balance Sheet Data'!$E$45</f>
        <v>0.20339326754089496</v>
      </c>
      <c r="F65" s="15">
        <f>+'Balance Sheet Data'!F41/'Balance Sheet Data'!$F$45</f>
        <v>0.11638864128358589</v>
      </c>
      <c r="G65" s="15">
        <f>+'Balance Sheet Data'!G41/'Balance Sheet Data'!$G$45</f>
        <v>0.19510693091479117</v>
      </c>
      <c r="H65" s="15">
        <f>+'Balance Sheet Data'!H41/'Balance Sheet Data'!$H$45</f>
        <v>0.20167480809490579</v>
      </c>
      <c r="I65" s="15">
        <f>+'Balance Sheet Data'!I41/'Balance Sheet Data'!$I$45</f>
        <v>0.25370912519227906</v>
      </c>
      <c r="J65" s="15">
        <f>+'Balance Sheet Data'!J41/'Balance Sheet Data'!$J$45</f>
        <v>6.5026106432799574E-2</v>
      </c>
      <c r="K65" s="15">
        <f>+'Balance Sheet Data'!K41/'Balance Sheet Data'!$K$45</f>
        <v>5.4540039990356934E-2</v>
      </c>
      <c r="L65" s="15">
        <f>+'Balance Sheet Data'!L41/'Balance Sheet Data'!$L$45</f>
        <v>6.4005910763884136E-2</v>
      </c>
    </row>
    <row r="66" spans="2:12" ht="22.8" x14ac:dyDescent="0.3">
      <c r="B66" s="44" t="s">
        <v>193</v>
      </c>
      <c r="C66" s="15">
        <f>+'Balance Sheet Data'!C42/'Balance Sheet Data'!$C$45</f>
        <v>3.8819664892431063E-2</v>
      </c>
      <c r="D66" s="15">
        <f>+'Balance Sheet Data'!D42/'Balance Sheet Data'!$D$45</f>
        <v>4.4820106993375283E-2</v>
      </c>
      <c r="E66" s="15">
        <f>+'Balance Sheet Data'!E42/'Balance Sheet Data'!$E$45</f>
        <v>0</v>
      </c>
      <c r="F66" s="15">
        <f>+'Balance Sheet Data'!F42/'Balance Sheet Data'!$F$45</f>
        <v>0</v>
      </c>
      <c r="G66" s="15">
        <f>+'Balance Sheet Data'!G42/'Balance Sheet Data'!$G$45</f>
        <v>2.2393908856790953E-4</v>
      </c>
      <c r="H66" s="15">
        <f>+'Balance Sheet Data'!H42/'Balance Sheet Data'!$H$45</f>
        <v>2.1471898652638359E-4</v>
      </c>
      <c r="I66" s="15">
        <f>+'Balance Sheet Data'!I42/'Balance Sheet Data'!$I$45</f>
        <v>0</v>
      </c>
      <c r="J66" s="15">
        <f>+'Balance Sheet Data'!J42/'Balance Sheet Data'!$J$45</f>
        <v>0</v>
      </c>
      <c r="K66" s="15">
        <f>+'Balance Sheet Data'!K42/'Balance Sheet Data'!$K$45</f>
        <v>4.963342172809393E-4</v>
      </c>
      <c r="L66" s="15">
        <f>+'Balance Sheet Data'!L42/'Balance Sheet Data'!$L$45</f>
        <v>4.9256365701150684E-4</v>
      </c>
    </row>
    <row r="67" spans="2:12" x14ac:dyDescent="0.3">
      <c r="B67" s="44" t="s">
        <v>194</v>
      </c>
      <c r="C67" s="15">
        <f>+'Balance Sheet Data'!C43/'Balance Sheet Data'!$C$45</f>
        <v>5.816558709187316E-3</v>
      </c>
      <c r="D67" s="15">
        <f>+'Balance Sheet Data'!D43/'Balance Sheet Data'!$D$45</f>
        <v>5.8673115835573917E-3</v>
      </c>
      <c r="E67" s="15">
        <f>+'Balance Sheet Data'!E43/'Balance Sheet Data'!$E$45</f>
        <v>5.3129647154251725E-2</v>
      </c>
      <c r="F67" s="15">
        <f>+'Balance Sheet Data'!F43/'Balance Sheet Data'!$F$45</f>
        <v>5.9213039602699608E-2</v>
      </c>
      <c r="G67" s="15">
        <f>+'Balance Sheet Data'!G43/'Balance Sheet Data'!$G$45</f>
        <v>8.26895084537006E-2</v>
      </c>
      <c r="H67" s="15">
        <f>+'Balance Sheet Data'!H43/'Balance Sheet Data'!$H$45</f>
        <v>5.63100542165441E-2</v>
      </c>
      <c r="I67" s="15">
        <f>+'Balance Sheet Data'!I43/'Balance Sheet Data'!$I$45</f>
        <v>0.10117600357266908</v>
      </c>
      <c r="J67" s="15">
        <f>+'Balance Sheet Data'!J43/'Balance Sheet Data'!$J$45</f>
        <v>2.4753843245051414E-2</v>
      </c>
      <c r="K67" s="15">
        <f>+'Balance Sheet Data'!K43/'Balance Sheet Data'!$K$45</f>
        <v>2.5383949969510898E-2</v>
      </c>
      <c r="L67" s="15">
        <f>+'Balance Sheet Data'!L43/'Balance Sheet Data'!$L$45</f>
        <v>2.9321219915990532E-2</v>
      </c>
    </row>
    <row r="68" spans="2:12" x14ac:dyDescent="0.3">
      <c r="B68" s="43" t="s">
        <v>195</v>
      </c>
      <c r="C68" s="15">
        <f>+'Balance Sheet Data'!C44/'Balance Sheet Data'!$C$45</f>
        <v>0.69426209446951226</v>
      </c>
      <c r="D68" s="15">
        <f>+'Balance Sheet Data'!D44/'Balance Sheet Data'!$D$45</f>
        <v>0.6917218726612524</v>
      </c>
      <c r="E68" s="15">
        <f>+'Balance Sheet Data'!E44/'Balance Sheet Data'!$E$45</f>
        <v>0.69926997431391102</v>
      </c>
      <c r="F68" s="15">
        <f>+'Balance Sheet Data'!F44/'Balance Sheet Data'!$F$45</f>
        <v>0.64765057939640902</v>
      </c>
      <c r="G68" s="15">
        <f>+'Balance Sheet Data'!G44/'Balance Sheet Data'!$G$45</f>
        <v>0.65278244317545631</v>
      </c>
      <c r="H68" s="15">
        <f>+'Balance Sheet Data'!H44/'Balance Sheet Data'!$H$45</f>
        <v>0.63954050136883356</v>
      </c>
      <c r="I68" s="15">
        <f>+'Balance Sheet Data'!I44/'Balance Sheet Data'!$I$45</f>
        <v>0.61137299657619215</v>
      </c>
      <c r="J68" s="15">
        <f>+'Balance Sheet Data'!J44/'Balance Sheet Data'!$J$45</f>
        <v>0.20677167415681313</v>
      </c>
      <c r="K68" s="15">
        <f>+'Balance Sheet Data'!K44/'Balance Sheet Data'!$K$45</f>
        <v>0.22011713487527831</v>
      </c>
      <c r="L68" s="15">
        <f>+'Balance Sheet Data'!L44/'Balance Sheet Data'!$L$45</f>
        <v>0.23257214005226648</v>
      </c>
    </row>
    <row r="69" spans="2:12" x14ac:dyDescent="0.3">
      <c r="B69" s="43" t="s">
        <v>196</v>
      </c>
      <c r="C69" s="15">
        <f>+'Balance Sheet Data'!C45/'Balance Sheet Data'!$C$45</f>
        <v>1</v>
      </c>
      <c r="D69" s="15">
        <f>+'Balance Sheet Data'!D45/'Balance Sheet Data'!$D$45</f>
        <v>1</v>
      </c>
      <c r="E69" s="15">
        <f>+'Balance Sheet Data'!E45/'Balance Sheet Data'!$E$45</f>
        <v>1</v>
      </c>
      <c r="F69" s="15">
        <f>+'Balance Sheet Data'!F45/'Balance Sheet Data'!$F$45</f>
        <v>1</v>
      </c>
      <c r="G69" s="15">
        <f>+'Balance Sheet Data'!G45/'Balance Sheet Data'!$G$45</f>
        <v>1</v>
      </c>
      <c r="H69" s="15">
        <f>+'Balance Sheet Data'!H45/'Balance Sheet Data'!$H$45</f>
        <v>1</v>
      </c>
      <c r="I69" s="15">
        <f>+'Balance Sheet Data'!I45/'Balance Sheet Data'!$I$45</f>
        <v>1</v>
      </c>
      <c r="J69" s="15">
        <f>+'Balance Sheet Data'!J45/'Balance Sheet Data'!$J$45</f>
        <v>1</v>
      </c>
      <c r="K69" s="15">
        <f>+'Balance Sheet Data'!K45/'Balance Sheet Data'!$K$45</f>
        <v>1</v>
      </c>
      <c r="L69" s="15">
        <f>+'Balance Sheet Data'!L45/'Balance Sheet Data'!$L$45</f>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37BF1-A1C1-4039-8794-690D264690BF}">
  <dimension ref="B2:G26"/>
  <sheetViews>
    <sheetView topLeftCell="A2" workbookViewId="0">
      <selection activeCell="G5" sqref="G5"/>
    </sheetView>
  </sheetViews>
  <sheetFormatPr defaultRowHeight="14.4" x14ac:dyDescent="0.3"/>
  <sheetData>
    <row r="2" spans="2:7" x14ac:dyDescent="0.3">
      <c r="B2" t="s">
        <v>325</v>
      </c>
      <c r="C2" t="s">
        <v>326</v>
      </c>
    </row>
    <row r="3" spans="2:7" x14ac:dyDescent="0.3">
      <c r="B3">
        <v>2000</v>
      </c>
      <c r="C3">
        <v>-14.65</v>
      </c>
      <c r="D3" s="15">
        <f>C3/100</f>
        <v>-0.14649999999999999</v>
      </c>
    </row>
    <row r="4" spans="2:7" x14ac:dyDescent="0.3">
      <c r="B4">
        <v>2001</v>
      </c>
      <c r="C4">
        <v>-16.18</v>
      </c>
      <c r="D4" s="15">
        <f t="shared" ref="D4:D26" si="0">C4/100</f>
        <v>-0.1618</v>
      </c>
    </row>
    <row r="5" spans="2:7" x14ac:dyDescent="0.3">
      <c r="B5">
        <v>2002</v>
      </c>
      <c r="C5">
        <v>3.25</v>
      </c>
      <c r="D5" s="15">
        <f t="shared" si="0"/>
        <v>3.2500000000000001E-2</v>
      </c>
      <c r="F5" t="s">
        <v>327</v>
      </c>
      <c r="G5" s="42">
        <f>AVERAGE(D3:D26)</f>
        <v>0.15609166666666666</v>
      </c>
    </row>
    <row r="6" spans="2:7" x14ac:dyDescent="0.3">
      <c r="B6">
        <v>2003</v>
      </c>
      <c r="C6">
        <v>71.900000000000006</v>
      </c>
      <c r="D6" s="15">
        <f t="shared" si="0"/>
        <v>0.71900000000000008</v>
      </c>
    </row>
    <row r="7" spans="2:7" x14ac:dyDescent="0.3">
      <c r="B7">
        <v>2004</v>
      </c>
      <c r="C7">
        <v>10.68</v>
      </c>
      <c r="D7" s="15">
        <f t="shared" si="0"/>
        <v>0.10679999999999999</v>
      </c>
    </row>
    <row r="8" spans="2:7" x14ac:dyDescent="0.3">
      <c r="B8">
        <v>2005</v>
      </c>
      <c r="C8">
        <v>36.340000000000003</v>
      </c>
      <c r="D8" s="15">
        <f t="shared" si="0"/>
        <v>0.36340000000000006</v>
      </c>
    </row>
    <row r="9" spans="2:7" x14ac:dyDescent="0.3">
      <c r="B9">
        <v>2006</v>
      </c>
      <c r="C9">
        <v>39.83</v>
      </c>
      <c r="D9" s="15">
        <f t="shared" si="0"/>
        <v>0.39829999999999999</v>
      </c>
    </row>
    <row r="10" spans="2:7" x14ac:dyDescent="0.3">
      <c r="B10">
        <v>2007</v>
      </c>
      <c r="C10">
        <v>54.77</v>
      </c>
      <c r="D10" s="15">
        <f t="shared" si="0"/>
        <v>0.54770000000000008</v>
      </c>
    </row>
    <row r="11" spans="2:7" x14ac:dyDescent="0.3">
      <c r="B11">
        <v>2008</v>
      </c>
      <c r="C11">
        <v>-51.79</v>
      </c>
      <c r="D11" s="15">
        <f t="shared" si="0"/>
        <v>-0.51790000000000003</v>
      </c>
    </row>
    <row r="12" spans="2:7" x14ac:dyDescent="0.3">
      <c r="B12">
        <v>2009</v>
      </c>
      <c r="C12">
        <v>75.760000000000005</v>
      </c>
      <c r="D12" s="15">
        <f t="shared" si="0"/>
        <v>0.75760000000000005</v>
      </c>
    </row>
    <row r="13" spans="2:7" x14ac:dyDescent="0.3">
      <c r="B13">
        <v>2010</v>
      </c>
      <c r="C13">
        <v>17.95</v>
      </c>
      <c r="D13" s="15">
        <f t="shared" si="0"/>
        <v>0.17949999999999999</v>
      </c>
    </row>
    <row r="14" spans="2:7" x14ac:dyDescent="0.3">
      <c r="B14">
        <v>2011</v>
      </c>
      <c r="C14">
        <v>-24.62</v>
      </c>
      <c r="D14" s="15">
        <f t="shared" si="0"/>
        <v>-0.2462</v>
      </c>
    </row>
    <row r="15" spans="2:7" x14ac:dyDescent="0.3">
      <c r="B15">
        <v>2012</v>
      </c>
      <c r="C15">
        <v>27.7</v>
      </c>
      <c r="D15" s="15">
        <f t="shared" si="0"/>
        <v>0.27699999999999997</v>
      </c>
    </row>
    <row r="16" spans="2:7" x14ac:dyDescent="0.3">
      <c r="B16">
        <v>2013</v>
      </c>
      <c r="C16">
        <v>6.76</v>
      </c>
      <c r="D16" s="15">
        <f t="shared" si="0"/>
        <v>6.7599999999999993E-2</v>
      </c>
    </row>
    <row r="17" spans="2:4" x14ac:dyDescent="0.3">
      <c r="B17">
        <v>2014</v>
      </c>
      <c r="C17">
        <v>31.39</v>
      </c>
      <c r="D17" s="15">
        <f t="shared" si="0"/>
        <v>0.31390000000000001</v>
      </c>
    </row>
    <row r="18" spans="2:4" x14ac:dyDescent="0.3">
      <c r="B18">
        <v>2015</v>
      </c>
      <c r="C18">
        <v>-4.0599999999999996</v>
      </c>
      <c r="D18" s="15">
        <f t="shared" si="0"/>
        <v>-4.0599999999999997E-2</v>
      </c>
    </row>
    <row r="19" spans="2:4" x14ac:dyDescent="0.3">
      <c r="B19">
        <v>2016</v>
      </c>
      <c r="C19">
        <v>3.01</v>
      </c>
      <c r="D19" s="15">
        <f t="shared" si="0"/>
        <v>3.0099999999999998E-2</v>
      </c>
    </row>
    <row r="20" spans="2:4" x14ac:dyDescent="0.3">
      <c r="B20">
        <v>2017</v>
      </c>
      <c r="C20">
        <v>28.65</v>
      </c>
      <c r="D20" s="15">
        <f t="shared" si="0"/>
        <v>0.28649999999999998</v>
      </c>
    </row>
    <row r="21" spans="2:4" x14ac:dyDescent="0.3">
      <c r="B21">
        <v>2018</v>
      </c>
      <c r="C21">
        <v>3.15</v>
      </c>
      <c r="D21" s="15">
        <f t="shared" si="0"/>
        <v>3.15E-2</v>
      </c>
    </row>
    <row r="22" spans="2:4" x14ac:dyDescent="0.3">
      <c r="B22">
        <v>2019</v>
      </c>
      <c r="C22">
        <v>12.02</v>
      </c>
      <c r="D22" s="15">
        <f t="shared" si="0"/>
        <v>0.1202</v>
      </c>
    </row>
    <row r="23" spans="2:4" x14ac:dyDescent="0.3">
      <c r="B23">
        <v>2020</v>
      </c>
      <c r="C23">
        <v>14.9</v>
      </c>
      <c r="D23" s="15">
        <f t="shared" si="0"/>
        <v>0.14899999999999999</v>
      </c>
    </row>
    <row r="24" spans="2:4" x14ac:dyDescent="0.3">
      <c r="B24">
        <v>2021</v>
      </c>
      <c r="C24">
        <v>24.12</v>
      </c>
      <c r="D24" s="15">
        <f t="shared" si="0"/>
        <v>0.2412</v>
      </c>
    </row>
    <row r="25" spans="2:4" x14ac:dyDescent="0.3">
      <c r="B25">
        <v>2022</v>
      </c>
      <c r="C25">
        <v>4.32</v>
      </c>
      <c r="D25" s="15">
        <f t="shared" si="0"/>
        <v>4.3200000000000002E-2</v>
      </c>
    </row>
    <row r="26" spans="2:4" x14ac:dyDescent="0.3">
      <c r="B26">
        <v>2023</v>
      </c>
      <c r="C26">
        <v>19.420000000000002</v>
      </c>
      <c r="D26" s="15">
        <f t="shared" si="0"/>
        <v>0.19420000000000001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C903-EE5D-443A-AEE3-7E13776948D3}">
  <dimension ref="B2:AA164"/>
  <sheetViews>
    <sheetView topLeftCell="A25" workbookViewId="0">
      <selection activeCell="Y5" sqref="Y5"/>
    </sheetView>
  </sheetViews>
  <sheetFormatPr defaultRowHeight="14.4" x14ac:dyDescent="0.3"/>
  <cols>
    <col min="1" max="1" width="1.88671875" customWidth="1"/>
    <col min="2" max="2" width="11.77734375" customWidth="1"/>
    <col min="3" max="3" width="14.77734375" bestFit="1" customWidth="1"/>
    <col min="4" max="9" width="13" customWidth="1"/>
    <col min="10" max="10" width="17.77734375" customWidth="1"/>
    <col min="11" max="11" width="18.21875" bestFit="1" customWidth="1"/>
    <col min="12" max="12" width="15.109375" customWidth="1"/>
    <col min="13" max="13" width="10.44140625" bestFit="1" customWidth="1"/>
    <col min="14" max="14" width="10.5546875" bestFit="1" customWidth="1"/>
    <col min="17" max="17" width="10.33203125" bestFit="1" customWidth="1"/>
    <col min="21" max="21" width="10.33203125" bestFit="1" customWidth="1"/>
    <col min="25" max="25" width="10.33203125" bestFit="1" customWidth="1"/>
  </cols>
  <sheetData>
    <row r="2" spans="2:27" x14ac:dyDescent="0.3">
      <c r="B2" s="197" t="s">
        <v>307</v>
      </c>
      <c r="C2" s="197"/>
      <c r="D2" s="197"/>
      <c r="E2" s="197"/>
    </row>
    <row r="4" spans="2:27" x14ac:dyDescent="0.3">
      <c r="B4" s="198" t="s">
        <v>308</v>
      </c>
      <c r="C4" s="198"/>
      <c r="D4" s="198"/>
      <c r="E4" s="22"/>
      <c r="F4" s="198" t="s">
        <v>312</v>
      </c>
      <c r="G4" s="198"/>
      <c r="H4" s="198"/>
      <c r="J4" s="198" t="s">
        <v>318</v>
      </c>
      <c r="K4" s="198"/>
      <c r="M4" s="198" t="s">
        <v>306</v>
      </c>
      <c r="N4" s="198"/>
      <c r="O4" s="198"/>
      <c r="Q4" s="198" t="s">
        <v>320</v>
      </c>
      <c r="R4" s="198"/>
      <c r="S4" s="198"/>
      <c r="U4" s="198" t="s">
        <v>323</v>
      </c>
      <c r="V4" s="198"/>
      <c r="W4" s="198"/>
      <c r="Y4" s="198" t="s">
        <v>284</v>
      </c>
      <c r="Z4" s="198"/>
      <c r="AA4" s="198"/>
    </row>
    <row r="5" spans="2:27" x14ac:dyDescent="0.3">
      <c r="C5" s="66"/>
      <c r="D5" s="20"/>
      <c r="K5" s="62"/>
    </row>
    <row r="6" spans="2:27" x14ac:dyDescent="0.3">
      <c r="B6" s="13" t="s">
        <v>309</v>
      </c>
      <c r="C6" s="105" t="s">
        <v>310</v>
      </c>
      <c r="D6" s="50" t="s">
        <v>311</v>
      </c>
      <c r="E6" s="55"/>
      <c r="F6" s="13" t="s">
        <v>309</v>
      </c>
      <c r="G6" s="105" t="s">
        <v>310</v>
      </c>
      <c r="H6" s="50" t="s">
        <v>311</v>
      </c>
      <c r="J6" t="s">
        <v>313</v>
      </c>
      <c r="K6" s="62">
        <f>COVAR(D8:D164,H8:H164)/VAR(H8:H164)</f>
        <v>0.59826722234089991</v>
      </c>
      <c r="M6" s="13" t="s">
        <v>309</v>
      </c>
      <c r="N6" s="105" t="s">
        <v>310</v>
      </c>
      <c r="O6" s="50" t="s">
        <v>311</v>
      </c>
      <c r="Q6" s="13" t="s">
        <v>309</v>
      </c>
      <c r="R6" s="105" t="s">
        <v>310</v>
      </c>
      <c r="S6" s="50" t="s">
        <v>311</v>
      </c>
      <c r="U6" s="13" t="s">
        <v>309</v>
      </c>
      <c r="V6" s="105" t="s">
        <v>310</v>
      </c>
      <c r="W6" s="50" t="s">
        <v>311</v>
      </c>
      <c r="Y6" s="13" t="s">
        <v>309</v>
      </c>
      <c r="Z6" s="105" t="s">
        <v>310</v>
      </c>
      <c r="AA6" s="50" t="s">
        <v>311</v>
      </c>
    </row>
    <row r="7" spans="2:27" x14ac:dyDescent="0.3">
      <c r="B7" s="104">
        <v>44263</v>
      </c>
      <c r="C7" s="62">
        <v>2090.6354980000001</v>
      </c>
      <c r="D7" s="20"/>
      <c r="F7" s="104">
        <v>44263</v>
      </c>
      <c r="G7" s="62">
        <v>15030.950194999999</v>
      </c>
      <c r="J7" t="s">
        <v>314</v>
      </c>
      <c r="K7" s="106">
        <v>0.75</v>
      </c>
      <c r="M7" s="104">
        <v>44263</v>
      </c>
      <c r="N7" s="62">
        <v>5360.4252930000002</v>
      </c>
      <c r="Q7" s="104">
        <v>44263</v>
      </c>
      <c r="R7">
        <v>3252.999268</v>
      </c>
      <c r="U7" s="104">
        <v>44263</v>
      </c>
      <c r="V7">
        <v>683.02038600000003</v>
      </c>
      <c r="Y7" s="104">
        <v>44263</v>
      </c>
      <c r="Z7">
        <v>508.80654900000002</v>
      </c>
    </row>
    <row r="8" spans="2:27" x14ac:dyDescent="0.3">
      <c r="B8" s="104">
        <v>44270</v>
      </c>
      <c r="C8" s="62">
        <v>2192.3820799999999</v>
      </c>
      <c r="D8" s="55">
        <f>+C8/C7-1</f>
        <v>4.8667776901968551E-2</v>
      </c>
      <c r="F8" s="104">
        <v>44270</v>
      </c>
      <c r="G8" s="62">
        <v>14744</v>
      </c>
      <c r="H8" s="55">
        <f>+G8/G7-1</f>
        <v>-1.9090622434199345E-2</v>
      </c>
      <c r="M8" s="104">
        <v>44270</v>
      </c>
      <c r="N8" s="62">
        <v>5165.2583009999998</v>
      </c>
      <c r="O8" s="55">
        <f>+N8/N7-1</f>
        <v>-3.6408863351731102E-2</v>
      </c>
      <c r="Q8" s="104">
        <v>44270</v>
      </c>
      <c r="R8">
        <v>3283.641846</v>
      </c>
      <c r="S8" s="55">
        <f>+R8/R7-1</f>
        <v>9.4197924670420541E-3</v>
      </c>
      <c r="U8" s="104">
        <v>44270</v>
      </c>
      <c r="V8">
        <v>669.18878199999995</v>
      </c>
      <c r="W8" s="55">
        <f>+V8/V7-1</f>
        <v>-2.0250645930208089E-2</v>
      </c>
      <c r="Y8" s="104">
        <v>44270</v>
      </c>
      <c r="Z8">
        <v>510.11874399999999</v>
      </c>
      <c r="AA8" s="55">
        <f>+Z8/Z7-1</f>
        <v>2.5789664118494038E-3</v>
      </c>
    </row>
    <row r="9" spans="2:27" x14ac:dyDescent="0.3">
      <c r="B9" s="104">
        <v>44277</v>
      </c>
      <c r="C9" s="62">
        <v>2197.929443</v>
      </c>
      <c r="D9" s="55">
        <f t="shared" ref="D9:D72" si="0">+C9/C8-1</f>
        <v>2.5302902494077628E-3</v>
      </c>
      <c r="F9" s="104">
        <v>44277</v>
      </c>
      <c r="G9" s="62">
        <v>14507.299805000001</v>
      </c>
      <c r="H9" s="55">
        <f t="shared" ref="H9:H72" si="1">+G9/G8-1</f>
        <v>-1.6054001288659747E-2</v>
      </c>
      <c r="J9" t="s">
        <v>316</v>
      </c>
      <c r="K9">
        <v>1</v>
      </c>
      <c r="M9" s="104">
        <v>44277</v>
      </c>
      <c r="N9" s="62">
        <v>5331.5380859999996</v>
      </c>
      <c r="O9" s="55">
        <f t="shared" ref="O9:O72" si="2">+N9/N8-1</f>
        <v>3.2191959300042594E-2</v>
      </c>
      <c r="Q9" s="104">
        <v>44277</v>
      </c>
      <c r="R9">
        <v>3319.6362300000001</v>
      </c>
      <c r="S9" s="55">
        <f t="shared" ref="S9:S72" si="3">+R9/R8-1</f>
        <v>1.0961726548785133E-2</v>
      </c>
      <c r="U9" s="104">
        <v>44277</v>
      </c>
      <c r="V9">
        <v>706.75292999999999</v>
      </c>
      <c r="W9" s="55">
        <f t="shared" ref="W9:W72" si="4">+V9/V8-1</f>
        <v>5.6133857904390405E-2</v>
      </c>
      <c r="Y9" s="104">
        <v>44277</v>
      </c>
      <c r="Z9">
        <v>514.97894299999996</v>
      </c>
      <c r="AA9" s="55">
        <f t="shared" ref="AA9:AA72" si="5">+Z9/Z8-1</f>
        <v>9.527583640408066E-3</v>
      </c>
    </row>
    <row r="10" spans="2:27" x14ac:dyDescent="0.3">
      <c r="B10" s="104">
        <v>44284</v>
      </c>
      <c r="C10" s="62">
        <v>2274.9265140000002</v>
      </c>
      <c r="D10" s="55">
        <f t="shared" si="0"/>
        <v>3.5031639093430211E-2</v>
      </c>
      <c r="F10" s="104">
        <v>44284</v>
      </c>
      <c r="G10" s="62">
        <v>14867.349609000001</v>
      </c>
      <c r="H10" s="55">
        <f t="shared" si="1"/>
        <v>2.4818526454930545E-2</v>
      </c>
      <c r="J10" t="s">
        <v>315</v>
      </c>
      <c r="K10" s="106">
        <v>0.25</v>
      </c>
      <c r="M10" s="104">
        <v>44284</v>
      </c>
      <c r="N10" s="62">
        <v>5380.0932620000003</v>
      </c>
      <c r="O10" s="55">
        <f t="shared" si="2"/>
        <v>9.1071610512361012E-3</v>
      </c>
      <c r="Q10" s="104">
        <v>44284</v>
      </c>
      <c r="R10">
        <v>3427.5246579999998</v>
      </c>
      <c r="S10" s="55">
        <f t="shared" si="3"/>
        <v>3.2500075467606138E-2</v>
      </c>
      <c r="U10" s="104">
        <v>44284</v>
      </c>
      <c r="V10">
        <v>722.72387700000002</v>
      </c>
      <c r="W10" s="55">
        <f t="shared" si="4"/>
        <v>2.2597638187364932E-2</v>
      </c>
      <c r="Y10" s="104">
        <v>44284</v>
      </c>
      <c r="Z10">
        <v>523.58136000000002</v>
      </c>
      <c r="AA10" s="55">
        <f t="shared" si="5"/>
        <v>1.6704405329442951E-2</v>
      </c>
    </row>
    <row r="11" spans="2:27" x14ac:dyDescent="0.3">
      <c r="B11" s="104">
        <v>44291</v>
      </c>
      <c r="C11" s="62">
        <v>2347.8459469999998</v>
      </c>
      <c r="D11" s="55">
        <f t="shared" si="0"/>
        <v>3.205353340041972E-2</v>
      </c>
      <c r="F11" s="104">
        <v>44291</v>
      </c>
      <c r="G11" s="62">
        <v>14834.849609000001</v>
      </c>
      <c r="H11" s="55">
        <f t="shared" si="1"/>
        <v>-2.1859982347038898E-3</v>
      </c>
      <c r="M11" s="104">
        <v>44291</v>
      </c>
      <c r="N11" s="62">
        <v>5197.3139650000003</v>
      </c>
      <c r="O11" s="55">
        <f t="shared" si="2"/>
        <v>-3.3973258101487547E-2</v>
      </c>
      <c r="Q11" s="104">
        <v>44291</v>
      </c>
      <c r="R11">
        <v>3597.2670899999998</v>
      </c>
      <c r="S11" s="55">
        <f t="shared" si="3"/>
        <v>4.9523329206053512E-2</v>
      </c>
      <c r="U11" s="104">
        <v>44291</v>
      </c>
      <c r="V11">
        <v>735.46087599999998</v>
      </c>
      <c r="W11" s="55">
        <f t="shared" si="4"/>
        <v>1.76236034332653E-2</v>
      </c>
      <c r="Y11" s="104">
        <v>44291</v>
      </c>
      <c r="Z11">
        <v>544.82006799999999</v>
      </c>
      <c r="AA11" s="55">
        <f t="shared" si="5"/>
        <v>4.0564293579893551E-2</v>
      </c>
    </row>
    <row r="12" spans="2:27" x14ac:dyDescent="0.3">
      <c r="B12" s="104">
        <v>44298</v>
      </c>
      <c r="C12" s="62">
        <v>2331.6313479999999</v>
      </c>
      <c r="D12" s="55">
        <f t="shared" si="0"/>
        <v>-6.9061596740273012E-3</v>
      </c>
      <c r="F12" s="104">
        <v>44298</v>
      </c>
      <c r="G12" s="62">
        <v>14617.849609000001</v>
      </c>
      <c r="H12" s="55">
        <f t="shared" si="1"/>
        <v>-1.4627718225626696E-2</v>
      </c>
      <c r="J12" t="s">
        <v>317</v>
      </c>
      <c r="K12" s="62">
        <f>+K6*K7+K9*K10</f>
        <v>0.69870041675567496</v>
      </c>
      <c r="M12" s="104">
        <v>44298</v>
      </c>
      <c r="N12" s="62">
        <v>5205.6821289999998</v>
      </c>
      <c r="O12" s="55">
        <f t="shared" si="2"/>
        <v>1.6100939940040249E-3</v>
      </c>
      <c r="Q12" s="104">
        <v>44298</v>
      </c>
      <c r="R12">
        <v>3559.351318</v>
      </c>
      <c r="S12" s="55">
        <f t="shared" si="3"/>
        <v>-1.0540160363794349E-2</v>
      </c>
      <c r="U12" s="104">
        <v>44298</v>
      </c>
      <c r="V12">
        <v>728.29638699999998</v>
      </c>
      <c r="W12" s="55">
        <f t="shared" si="4"/>
        <v>-9.7414957529298185E-3</v>
      </c>
      <c r="Y12" s="104">
        <v>44298</v>
      </c>
      <c r="Z12">
        <v>558.91442900000004</v>
      </c>
      <c r="AA12" s="55">
        <f t="shared" si="5"/>
        <v>2.5869753755105807E-2</v>
      </c>
    </row>
    <row r="13" spans="2:27" x14ac:dyDescent="0.3">
      <c r="B13" s="104">
        <v>44305</v>
      </c>
      <c r="C13" s="62">
        <v>2188.3046880000002</v>
      </c>
      <c r="D13" s="55">
        <f t="shared" si="0"/>
        <v>-6.1470549417231291E-2</v>
      </c>
      <c r="F13" s="104">
        <v>44305</v>
      </c>
      <c r="G13" s="62">
        <v>14341.349609000001</v>
      </c>
      <c r="H13" s="55">
        <f t="shared" si="1"/>
        <v>-1.8915230857879606E-2</v>
      </c>
      <c r="M13" s="104">
        <v>44305</v>
      </c>
      <c r="N13" s="62">
        <v>5124.0786129999997</v>
      </c>
      <c r="O13" s="55">
        <f t="shared" si="2"/>
        <v>-1.5675854571565284E-2</v>
      </c>
      <c r="Q13" s="104">
        <v>44305</v>
      </c>
      <c r="R13">
        <v>3514.8657229999999</v>
      </c>
      <c r="S13" s="55">
        <f t="shared" si="3"/>
        <v>-1.2498231004911431E-2</v>
      </c>
      <c r="U13" s="104">
        <v>44305</v>
      </c>
      <c r="V13">
        <v>695.25982699999997</v>
      </c>
      <c r="W13" s="55">
        <f t="shared" si="4"/>
        <v>-4.5361422340819635E-2</v>
      </c>
      <c r="Y13" s="104">
        <v>44305</v>
      </c>
      <c r="Z13">
        <v>544.28546100000005</v>
      </c>
      <c r="AA13" s="55">
        <f t="shared" si="5"/>
        <v>-2.6173895753906162E-2</v>
      </c>
    </row>
    <row r="14" spans="2:27" x14ac:dyDescent="0.3">
      <c r="B14" s="104">
        <v>44312</v>
      </c>
      <c r="C14" s="62">
        <v>2231.9235840000001</v>
      </c>
      <c r="D14" s="55">
        <f t="shared" si="0"/>
        <v>1.9932734339597635E-2</v>
      </c>
      <c r="F14" s="104">
        <v>44312</v>
      </c>
      <c r="G14" s="62">
        <v>14631.099609000001</v>
      </c>
      <c r="H14" s="55">
        <f t="shared" si="1"/>
        <v>2.0203816788495699E-2</v>
      </c>
      <c r="M14" s="104">
        <v>44312</v>
      </c>
      <c r="N14" s="62">
        <v>5193.8618159999996</v>
      </c>
      <c r="O14" s="55">
        <f t="shared" si="2"/>
        <v>1.361868313709258E-2</v>
      </c>
      <c r="Q14" s="104">
        <v>44312</v>
      </c>
      <c r="R14">
        <v>3321.0341800000001</v>
      </c>
      <c r="S14" s="55">
        <f t="shared" si="3"/>
        <v>-5.5146215609784721E-2</v>
      </c>
      <c r="U14" s="104">
        <v>44312</v>
      </c>
      <c r="V14">
        <v>688.34405500000003</v>
      </c>
      <c r="W14" s="55">
        <f t="shared" si="4"/>
        <v>-9.9470323631972724E-3</v>
      </c>
      <c r="Y14" s="104">
        <v>44312</v>
      </c>
      <c r="Z14">
        <v>522.99816899999996</v>
      </c>
      <c r="AA14" s="55">
        <f t="shared" si="5"/>
        <v>-3.9110528436474445E-2</v>
      </c>
    </row>
    <row r="15" spans="2:27" x14ac:dyDescent="0.3">
      <c r="B15" s="104">
        <v>44319</v>
      </c>
      <c r="C15" s="62">
        <v>2286.4001459999999</v>
      </c>
      <c r="D15" s="55">
        <f t="shared" si="0"/>
        <v>2.4407897470382078E-2</v>
      </c>
      <c r="F15" s="104">
        <v>44319</v>
      </c>
      <c r="G15" s="62">
        <v>14823.150390999999</v>
      </c>
      <c r="H15" s="55">
        <f t="shared" si="1"/>
        <v>1.3126202891945438E-2</v>
      </c>
      <c r="J15" s="198" t="s">
        <v>319</v>
      </c>
      <c r="K15" s="198"/>
      <c r="M15" s="104">
        <v>44319</v>
      </c>
      <c r="N15" s="62">
        <v>5292.0131840000004</v>
      </c>
      <c r="O15" s="55">
        <f t="shared" si="2"/>
        <v>1.8897570146675813E-2</v>
      </c>
      <c r="Q15" s="104">
        <v>44319</v>
      </c>
      <c r="R15">
        <v>3332.8298340000001</v>
      </c>
      <c r="S15" s="55">
        <f t="shared" si="3"/>
        <v>3.5518014451751956E-3</v>
      </c>
      <c r="U15" s="104">
        <v>44319</v>
      </c>
      <c r="V15">
        <v>698.64306599999998</v>
      </c>
      <c r="W15" s="55">
        <f t="shared" si="4"/>
        <v>1.4962010531201608E-2</v>
      </c>
      <c r="Y15" s="104">
        <v>44319</v>
      </c>
      <c r="Z15">
        <v>519.64459199999999</v>
      </c>
      <c r="AA15" s="55">
        <f t="shared" si="5"/>
        <v>-6.412215565519408E-3</v>
      </c>
    </row>
    <row r="16" spans="2:27" x14ac:dyDescent="0.3">
      <c r="B16" s="104">
        <v>44326</v>
      </c>
      <c r="C16" s="62">
        <v>2253.828125</v>
      </c>
      <c r="D16" s="55">
        <f t="shared" si="0"/>
        <v>-1.4245984482193053E-2</v>
      </c>
      <c r="F16" s="104">
        <v>44326</v>
      </c>
      <c r="G16" s="62">
        <v>14677.799805000001</v>
      </c>
      <c r="H16" s="55">
        <f t="shared" si="1"/>
        <v>-9.8056473938393784E-3</v>
      </c>
      <c r="K16" s="62"/>
      <c r="M16" s="104">
        <v>44326</v>
      </c>
      <c r="N16" s="62">
        <v>5202.4204099999997</v>
      </c>
      <c r="O16" s="55">
        <f t="shared" si="2"/>
        <v>-1.692980929655985E-2</v>
      </c>
      <c r="Q16" s="104">
        <v>44326</v>
      </c>
      <c r="R16">
        <v>3371.5383299999999</v>
      </c>
      <c r="S16" s="55">
        <f t="shared" si="3"/>
        <v>1.1614303138166138E-2</v>
      </c>
      <c r="U16" s="104">
        <v>44326</v>
      </c>
      <c r="V16">
        <v>847.60595699999999</v>
      </c>
      <c r="W16" s="55">
        <f t="shared" si="4"/>
        <v>0.21321744714775437</v>
      </c>
      <c r="Y16" s="104">
        <v>44326</v>
      </c>
      <c r="Z16">
        <v>520.03350799999998</v>
      </c>
      <c r="AA16" s="55">
        <f t="shared" si="5"/>
        <v>7.4842691714183118E-4</v>
      </c>
    </row>
    <row r="17" spans="2:27" x14ac:dyDescent="0.3">
      <c r="B17" s="104">
        <v>44333</v>
      </c>
      <c r="C17" s="62">
        <v>2239.983643</v>
      </c>
      <c r="D17" s="55">
        <f t="shared" si="0"/>
        <v>-6.1426520711289623E-3</v>
      </c>
      <c r="F17" s="104">
        <v>44333</v>
      </c>
      <c r="G17" s="62">
        <v>15175.299805000001</v>
      </c>
      <c r="H17" s="55">
        <f t="shared" si="1"/>
        <v>3.3894725817865901E-2</v>
      </c>
      <c r="J17" t="s">
        <v>313</v>
      </c>
      <c r="K17" s="62">
        <f>COVAR(O8:O164,$H$8:$H$164)/VAR($H$8:$H$164)</f>
        <v>0.42888044589629476</v>
      </c>
      <c r="M17" s="104">
        <v>44333</v>
      </c>
      <c r="N17" s="62">
        <v>5228.8413090000004</v>
      </c>
      <c r="O17" s="55">
        <f t="shared" si="2"/>
        <v>5.078578222785568E-3</v>
      </c>
      <c r="Q17" s="104">
        <v>44333</v>
      </c>
      <c r="R17">
        <v>3308.2758789999998</v>
      </c>
      <c r="S17" s="55">
        <f t="shared" si="3"/>
        <v>-1.8763675452564077E-2</v>
      </c>
      <c r="U17" s="104">
        <v>44333</v>
      </c>
      <c r="V17">
        <v>814.42022699999995</v>
      </c>
      <c r="W17" s="55">
        <f t="shared" si="4"/>
        <v>-3.9152308600398422E-2</v>
      </c>
      <c r="Y17" s="104">
        <v>44333</v>
      </c>
      <c r="Z17">
        <v>521.73449700000003</v>
      </c>
      <c r="AA17" s="55">
        <f t="shared" si="5"/>
        <v>3.2709219191315864E-3</v>
      </c>
    </row>
    <row r="18" spans="2:27" x14ac:dyDescent="0.3">
      <c r="B18" s="104">
        <v>44340</v>
      </c>
      <c r="C18" s="62">
        <v>2201.532471</v>
      </c>
      <c r="D18" s="55">
        <f t="shared" si="0"/>
        <v>-1.7165827134568934E-2</v>
      </c>
      <c r="F18" s="104">
        <v>44340</v>
      </c>
      <c r="G18" s="62">
        <v>15435.650390999999</v>
      </c>
      <c r="H18" s="55">
        <f t="shared" si="1"/>
        <v>1.7156207082921426E-2</v>
      </c>
      <c r="J18" t="s">
        <v>314</v>
      </c>
      <c r="K18" s="106">
        <v>0.75</v>
      </c>
      <c r="M18" s="104">
        <v>44340</v>
      </c>
      <c r="N18" s="62">
        <v>5350.6381840000004</v>
      </c>
      <c r="O18" s="55">
        <f t="shared" si="2"/>
        <v>2.3293281972501356E-2</v>
      </c>
      <c r="Q18" s="104">
        <v>44340</v>
      </c>
      <c r="R18">
        <v>3296.4321289999998</v>
      </c>
      <c r="S18" s="55">
        <f t="shared" si="3"/>
        <v>-3.5800369839712465E-3</v>
      </c>
      <c r="U18" s="104">
        <v>44340</v>
      </c>
      <c r="V18">
        <v>840.54095500000005</v>
      </c>
      <c r="W18" s="55">
        <f t="shared" si="4"/>
        <v>3.2072788879788039E-2</v>
      </c>
      <c r="Y18" s="104">
        <v>44340</v>
      </c>
      <c r="Z18">
        <v>515.56213400000001</v>
      </c>
      <c r="AA18" s="55">
        <f t="shared" si="5"/>
        <v>-1.1830467480090756E-2</v>
      </c>
    </row>
    <row r="19" spans="2:27" x14ac:dyDescent="0.3">
      <c r="B19" s="104">
        <v>44347</v>
      </c>
      <c r="C19" s="62">
        <v>2220.829346</v>
      </c>
      <c r="D19" s="55">
        <f t="shared" si="0"/>
        <v>8.7652011742687108E-3</v>
      </c>
      <c r="F19" s="104">
        <v>44347</v>
      </c>
      <c r="G19" s="62">
        <v>15670.25</v>
      </c>
      <c r="H19" s="55">
        <f t="shared" si="1"/>
        <v>1.5198556786229611E-2</v>
      </c>
      <c r="M19" s="104">
        <v>44347</v>
      </c>
      <c r="N19" s="62">
        <v>5399.013672</v>
      </c>
      <c r="O19" s="55">
        <f t="shared" si="2"/>
        <v>9.0410688101947301E-3</v>
      </c>
      <c r="Q19" s="104">
        <v>44347</v>
      </c>
      <c r="R19">
        <v>3372.3139649999998</v>
      </c>
      <c r="S19" s="55">
        <f t="shared" si="3"/>
        <v>2.3019383694400375E-2</v>
      </c>
      <c r="U19" s="104">
        <v>44347</v>
      </c>
      <c r="V19">
        <v>848.35229500000003</v>
      </c>
      <c r="W19" s="55">
        <f t="shared" si="4"/>
        <v>9.2932295012322363E-3</v>
      </c>
      <c r="Y19" s="104">
        <v>44347</v>
      </c>
      <c r="Z19">
        <v>528.83026099999995</v>
      </c>
      <c r="AA19" s="55">
        <f t="shared" si="5"/>
        <v>2.5735262784058355E-2</v>
      </c>
    </row>
    <row r="20" spans="2:27" x14ac:dyDescent="0.3">
      <c r="B20" s="104">
        <v>44354</v>
      </c>
      <c r="C20" s="62">
        <v>2244.013672</v>
      </c>
      <c r="D20" s="55">
        <f t="shared" si="0"/>
        <v>1.0439490112897687E-2</v>
      </c>
      <c r="F20" s="104">
        <v>44354</v>
      </c>
      <c r="G20" s="62">
        <v>15799.349609000001</v>
      </c>
      <c r="H20" s="55">
        <f t="shared" si="1"/>
        <v>8.2385162329892125E-3</v>
      </c>
      <c r="J20" t="s">
        <v>316</v>
      </c>
      <c r="K20">
        <v>1</v>
      </c>
      <c r="M20" s="104">
        <v>44354</v>
      </c>
      <c r="N20" s="62">
        <v>5578.9189450000003</v>
      </c>
      <c r="O20" s="55">
        <f t="shared" si="2"/>
        <v>3.3321877648321729E-2</v>
      </c>
      <c r="Q20" s="104">
        <v>44354</v>
      </c>
      <c r="R20">
        <v>3438.6137699999999</v>
      </c>
      <c r="S20" s="55">
        <f t="shared" si="3"/>
        <v>1.9660033344493177E-2</v>
      </c>
      <c r="U20" s="104">
        <v>44354</v>
      </c>
      <c r="V20">
        <v>895.12085000000002</v>
      </c>
      <c r="W20" s="55">
        <f t="shared" si="4"/>
        <v>5.5128695090050917E-2</v>
      </c>
      <c r="Y20" s="104">
        <v>44354</v>
      </c>
      <c r="Z20">
        <v>549.38861099999997</v>
      </c>
      <c r="AA20" s="55">
        <f t="shared" si="5"/>
        <v>3.8875139181946405E-2</v>
      </c>
    </row>
    <row r="21" spans="2:27" x14ac:dyDescent="0.3">
      <c r="B21" s="104">
        <v>44361</v>
      </c>
      <c r="C21" s="62">
        <v>2354.388672</v>
      </c>
      <c r="D21" s="55">
        <f t="shared" si="0"/>
        <v>4.9186420464910618E-2</v>
      </c>
      <c r="F21" s="104">
        <v>44361</v>
      </c>
      <c r="G21" s="62">
        <v>15683.349609000001</v>
      </c>
      <c r="H21" s="55">
        <f t="shared" si="1"/>
        <v>-7.3420743809555766E-3</v>
      </c>
      <c r="J21" t="s">
        <v>315</v>
      </c>
      <c r="K21" s="106">
        <v>0.25</v>
      </c>
      <c r="M21" s="104">
        <v>44361</v>
      </c>
      <c r="N21" s="62">
        <v>5342.4326170000004</v>
      </c>
      <c r="O21" s="55">
        <f t="shared" si="2"/>
        <v>-4.2389274755810225E-2</v>
      </c>
      <c r="Q21" s="104">
        <v>44361</v>
      </c>
      <c r="R21">
        <v>3497.858643</v>
      </c>
      <c r="S21" s="55">
        <f t="shared" si="3"/>
        <v>1.7229289755330779E-2</v>
      </c>
      <c r="U21" s="104">
        <v>44361</v>
      </c>
      <c r="V21">
        <v>888.553406</v>
      </c>
      <c r="W21" s="55">
        <f t="shared" si="4"/>
        <v>-7.3369355657395552E-3</v>
      </c>
      <c r="Y21" s="104">
        <v>44361</v>
      </c>
      <c r="Z21">
        <v>560.95574999999997</v>
      </c>
      <c r="AA21" s="55">
        <f t="shared" si="5"/>
        <v>2.105456641874226E-2</v>
      </c>
    </row>
    <row r="22" spans="2:27" x14ac:dyDescent="0.3">
      <c r="B22" s="104">
        <v>44368</v>
      </c>
      <c r="C22" s="62">
        <v>2338.711914</v>
      </c>
      <c r="D22" s="55">
        <f t="shared" si="0"/>
        <v>-6.6585259207363467E-3</v>
      </c>
      <c r="F22" s="104">
        <v>44368</v>
      </c>
      <c r="G22" s="62">
        <v>15860.349609000001</v>
      </c>
      <c r="H22" s="55">
        <f t="shared" si="1"/>
        <v>1.1285854387791394E-2</v>
      </c>
      <c r="M22" s="104">
        <v>44368</v>
      </c>
      <c r="N22" s="62">
        <v>5447.7709960000002</v>
      </c>
      <c r="O22" s="55">
        <f t="shared" si="2"/>
        <v>1.9717306057320361E-2</v>
      </c>
      <c r="Q22" s="104">
        <v>44368</v>
      </c>
      <c r="R22">
        <v>3547.0039059999999</v>
      </c>
      <c r="S22" s="55">
        <f t="shared" si="3"/>
        <v>1.4050099794155724E-2</v>
      </c>
      <c r="U22" s="104">
        <v>44368</v>
      </c>
      <c r="V22">
        <v>866.26367200000004</v>
      </c>
      <c r="W22" s="55">
        <f t="shared" si="4"/>
        <v>-2.508541844472989E-2</v>
      </c>
      <c r="Y22" s="104">
        <v>44368</v>
      </c>
      <c r="Z22">
        <v>548.65966800000001</v>
      </c>
      <c r="AA22" s="55">
        <f t="shared" si="5"/>
        <v>-2.1919878707010287E-2</v>
      </c>
    </row>
    <row r="23" spans="2:27" x14ac:dyDescent="0.3">
      <c r="B23" s="104">
        <v>44375</v>
      </c>
      <c r="C23" s="62">
        <v>2375.626953</v>
      </c>
      <c r="D23" s="55">
        <f t="shared" si="0"/>
        <v>1.5784346408387995E-2</v>
      </c>
      <c r="F23" s="104">
        <v>44375</v>
      </c>
      <c r="G23" s="62">
        <v>15722.200194999999</v>
      </c>
      <c r="H23" s="55">
        <f t="shared" si="1"/>
        <v>-8.7103637313018512E-3</v>
      </c>
      <c r="J23" t="s">
        <v>317</v>
      </c>
      <c r="K23" s="62">
        <f>+K17*K18+K20*K21</f>
        <v>0.57166033442222108</v>
      </c>
      <c r="M23" s="104">
        <v>44375</v>
      </c>
      <c r="N23" s="62">
        <v>5398.4887699999999</v>
      </c>
      <c r="O23" s="55">
        <f t="shared" si="2"/>
        <v>-9.0463101397223467E-3</v>
      </c>
      <c r="Q23" s="104">
        <v>44375</v>
      </c>
      <c r="R23">
        <v>3426.436279</v>
      </c>
      <c r="S23" s="55">
        <f t="shared" si="3"/>
        <v>-3.3991399557257718E-2</v>
      </c>
      <c r="U23" s="104">
        <v>44375</v>
      </c>
      <c r="V23">
        <v>886.86175500000002</v>
      </c>
      <c r="W23" s="55">
        <f t="shared" si="4"/>
        <v>2.3778075504937046E-2</v>
      </c>
      <c r="Y23" s="104">
        <v>44375</v>
      </c>
      <c r="Z23">
        <v>573.93225099999995</v>
      </c>
      <c r="AA23" s="55">
        <f t="shared" si="5"/>
        <v>4.6062403478871916E-2</v>
      </c>
    </row>
    <row r="24" spans="2:27" x14ac:dyDescent="0.3">
      <c r="B24" s="104">
        <v>44382</v>
      </c>
      <c r="C24" s="62">
        <v>2341.3862300000001</v>
      </c>
      <c r="D24" s="55">
        <f t="shared" si="0"/>
        <v>-1.4413341689342163E-2</v>
      </c>
      <c r="F24" s="104">
        <v>44382</v>
      </c>
      <c r="G24" s="62">
        <v>15689.799805000001</v>
      </c>
      <c r="H24" s="55">
        <f t="shared" si="1"/>
        <v>-2.0608050780515086E-3</v>
      </c>
      <c r="M24" s="104">
        <v>44382</v>
      </c>
      <c r="N24" s="62">
        <v>5360.0844729999999</v>
      </c>
      <c r="O24" s="55">
        <f t="shared" si="2"/>
        <v>-7.1138977288267569E-3</v>
      </c>
      <c r="Q24" s="104">
        <v>44382</v>
      </c>
      <c r="R24">
        <v>3359.4113769999999</v>
      </c>
      <c r="S24" s="55">
        <f t="shared" si="3"/>
        <v>-1.9561111470475456E-2</v>
      </c>
      <c r="U24" s="104">
        <v>44382</v>
      </c>
      <c r="V24">
        <v>960.89544699999999</v>
      </c>
      <c r="W24" s="55">
        <f t="shared" si="4"/>
        <v>8.3478277851771754E-2</v>
      </c>
      <c r="Y24" s="104">
        <v>44382</v>
      </c>
      <c r="Z24">
        <v>578.93817100000001</v>
      </c>
      <c r="AA24" s="55">
        <f t="shared" si="5"/>
        <v>8.7221444539453685E-3</v>
      </c>
    </row>
    <row r="25" spans="2:27" x14ac:dyDescent="0.3">
      <c r="B25" s="104">
        <v>44389</v>
      </c>
      <c r="C25" s="62">
        <v>2308.8652339999999</v>
      </c>
      <c r="D25" s="55">
        <f t="shared" si="0"/>
        <v>-1.3889633236631838E-2</v>
      </c>
      <c r="F25" s="104">
        <v>44389</v>
      </c>
      <c r="G25" s="62">
        <v>15923.400390999999</v>
      </c>
      <c r="H25" s="55">
        <f t="shared" si="1"/>
        <v>1.488869130921322E-2</v>
      </c>
      <c r="M25" s="104">
        <v>44389</v>
      </c>
      <c r="N25" s="62">
        <v>5744.4160160000001</v>
      </c>
      <c r="O25" s="55">
        <f t="shared" si="2"/>
        <v>7.1702516058463006E-2</v>
      </c>
      <c r="Q25" s="104">
        <v>44389</v>
      </c>
      <c r="R25">
        <v>3325.633057</v>
      </c>
      <c r="S25" s="55">
        <f t="shared" si="3"/>
        <v>-1.0054832888660492E-2</v>
      </c>
      <c r="U25" s="104">
        <v>44389</v>
      </c>
      <c r="V25">
        <v>946.41705300000001</v>
      </c>
      <c r="W25" s="55">
        <f t="shared" si="4"/>
        <v>-1.5067605997304723E-2</v>
      </c>
      <c r="Y25" s="104">
        <v>44389</v>
      </c>
      <c r="Z25">
        <v>564.06616199999996</v>
      </c>
      <c r="AA25" s="55">
        <f t="shared" si="5"/>
        <v>-2.5688423643429159E-2</v>
      </c>
    </row>
    <row r="26" spans="2:27" x14ac:dyDescent="0.3">
      <c r="B26" s="104">
        <v>44396</v>
      </c>
      <c r="C26" s="62">
        <v>2252.227539</v>
      </c>
      <c r="D26" s="55">
        <f t="shared" si="0"/>
        <v>-2.4530533080043715E-2</v>
      </c>
      <c r="F26" s="104">
        <v>44396</v>
      </c>
      <c r="G26" s="62">
        <v>15856.049805000001</v>
      </c>
      <c r="H26" s="55">
        <f t="shared" si="1"/>
        <v>-4.2296610237889665E-3</v>
      </c>
      <c r="J26" s="198" t="s">
        <v>321</v>
      </c>
      <c r="K26" s="198"/>
      <c r="M26" s="104">
        <v>44396</v>
      </c>
      <c r="N26" s="62">
        <v>5802.2373049999997</v>
      </c>
      <c r="O26" s="55">
        <f t="shared" si="2"/>
        <v>1.0065651380218421E-2</v>
      </c>
      <c r="Q26" s="104">
        <v>44396</v>
      </c>
      <c r="R26">
        <v>3324.4733890000002</v>
      </c>
      <c r="S26" s="55">
        <f t="shared" si="3"/>
        <v>-3.4870593962821328E-4</v>
      </c>
      <c r="U26" s="104">
        <v>44396</v>
      </c>
      <c r="V26">
        <v>975.32403599999998</v>
      </c>
      <c r="W26" s="55">
        <f t="shared" si="4"/>
        <v>3.0543599049033476E-2</v>
      </c>
      <c r="Y26" s="104">
        <v>44396</v>
      </c>
      <c r="Z26">
        <v>573.640625</v>
      </c>
      <c r="AA26" s="55">
        <f t="shared" si="5"/>
        <v>1.6974007031465899E-2</v>
      </c>
    </row>
    <row r="27" spans="2:27" x14ac:dyDescent="0.3">
      <c r="B27" s="104">
        <v>44403</v>
      </c>
      <c r="C27" s="62">
        <v>2228.54126</v>
      </c>
      <c r="D27" s="55">
        <f t="shared" si="0"/>
        <v>-1.0516823273778453E-2</v>
      </c>
      <c r="F27" s="104">
        <v>44403</v>
      </c>
      <c r="G27" s="62">
        <v>15763.049805000001</v>
      </c>
      <c r="H27" s="55">
        <f t="shared" si="1"/>
        <v>-5.8652691650018518E-3</v>
      </c>
      <c r="K27" s="62"/>
      <c r="M27" s="104">
        <v>44403</v>
      </c>
      <c r="N27" s="62">
        <v>5719.4648440000001</v>
      </c>
      <c r="O27" s="55">
        <f t="shared" si="2"/>
        <v>-1.4265611116710319E-2</v>
      </c>
      <c r="Q27" s="104">
        <v>44403</v>
      </c>
      <c r="R27">
        <v>3308.6232909999999</v>
      </c>
      <c r="S27" s="55">
        <f t="shared" si="3"/>
        <v>-4.7677018719551878E-3</v>
      </c>
      <c r="U27" s="104">
        <v>44403</v>
      </c>
      <c r="V27">
        <v>982.93633999999997</v>
      </c>
      <c r="W27" s="55">
        <f t="shared" si="4"/>
        <v>7.8048973664379684E-3</v>
      </c>
      <c r="Y27" s="104">
        <v>44403</v>
      </c>
      <c r="Z27">
        <v>583.89550799999995</v>
      </c>
      <c r="AA27" s="55">
        <f t="shared" si="5"/>
        <v>1.7876842317435138E-2</v>
      </c>
    </row>
    <row r="28" spans="2:27" x14ac:dyDescent="0.3">
      <c r="B28" s="104">
        <v>44410</v>
      </c>
      <c r="C28" s="62">
        <v>2265.0261230000001</v>
      </c>
      <c r="D28" s="55">
        <f t="shared" si="0"/>
        <v>1.6371634510370381E-2</v>
      </c>
      <c r="F28" s="104">
        <v>44410</v>
      </c>
      <c r="G28" s="62">
        <v>16238.200194999999</v>
      </c>
      <c r="H28" s="55">
        <f t="shared" si="1"/>
        <v>3.0143303223547635E-2</v>
      </c>
      <c r="J28" t="s">
        <v>313</v>
      </c>
      <c r="K28" s="62">
        <f>COVAR(S8:S164,$H$8:$H$164)/VAR($H$8:$H$164)</f>
        <v>0.49357387719486534</v>
      </c>
      <c r="M28" s="104">
        <v>44410</v>
      </c>
      <c r="N28" s="62">
        <v>5613.6499020000001</v>
      </c>
      <c r="O28" s="55">
        <f t="shared" si="2"/>
        <v>-1.8500846650190583E-2</v>
      </c>
      <c r="Q28" s="104">
        <v>44410</v>
      </c>
      <c r="R28">
        <v>3483.1682129999999</v>
      </c>
      <c r="S28" s="55">
        <f t="shared" si="3"/>
        <v>5.2754546724854023E-2</v>
      </c>
      <c r="U28" s="104">
        <v>44410</v>
      </c>
      <c r="V28">
        <v>967.46295199999997</v>
      </c>
      <c r="W28" s="55">
        <f t="shared" si="4"/>
        <v>-1.5742004207515592E-2</v>
      </c>
      <c r="Y28" s="104">
        <v>44410</v>
      </c>
      <c r="Z28">
        <v>571.73577899999998</v>
      </c>
      <c r="AA28" s="55">
        <f t="shared" si="5"/>
        <v>-2.0825179905305857E-2</v>
      </c>
    </row>
    <row r="29" spans="2:27" x14ac:dyDescent="0.3">
      <c r="B29" s="104">
        <v>44417</v>
      </c>
      <c r="C29" s="62">
        <v>2296.5441890000002</v>
      </c>
      <c r="D29" s="55">
        <f t="shared" si="0"/>
        <v>1.391510043966071E-2</v>
      </c>
      <c r="F29" s="104">
        <v>44417</v>
      </c>
      <c r="G29" s="62">
        <v>16529.099609000001</v>
      </c>
      <c r="H29" s="55">
        <f t="shared" si="1"/>
        <v>1.79145108760006E-2</v>
      </c>
      <c r="I29" s="103"/>
      <c r="J29" t="s">
        <v>314</v>
      </c>
      <c r="K29" s="106">
        <v>0.75</v>
      </c>
      <c r="M29" s="104">
        <v>44417</v>
      </c>
      <c r="N29" s="62">
        <v>5655.6323240000002</v>
      </c>
      <c r="O29" s="55">
        <f t="shared" si="2"/>
        <v>7.4786320367150605E-3</v>
      </c>
      <c r="Q29" s="104">
        <v>44417</v>
      </c>
      <c r="R29">
        <v>3459.538086</v>
      </c>
      <c r="S29" s="55">
        <f t="shared" si="3"/>
        <v>-6.7840901027422795E-3</v>
      </c>
      <c r="U29" s="104">
        <v>44417</v>
      </c>
      <c r="V29">
        <v>978.40875200000005</v>
      </c>
      <c r="W29" s="55">
        <f t="shared" si="4"/>
        <v>1.131392161050937E-2</v>
      </c>
      <c r="Y29" s="104">
        <v>44417</v>
      </c>
      <c r="Z29">
        <v>574.76440400000001</v>
      </c>
      <c r="AA29" s="55">
        <f t="shared" si="5"/>
        <v>5.2972458804261269E-3</v>
      </c>
    </row>
    <row r="30" spans="2:27" x14ac:dyDescent="0.3">
      <c r="B30" s="104">
        <v>44424</v>
      </c>
      <c r="C30" s="62">
        <v>2501.795654</v>
      </c>
      <c r="D30" s="55">
        <f t="shared" si="0"/>
        <v>8.9374054278212656E-2</v>
      </c>
      <c r="F30" s="104">
        <v>44424</v>
      </c>
      <c r="G30" s="62">
        <v>16450.5</v>
      </c>
      <c r="H30" s="55">
        <f t="shared" si="1"/>
        <v>-4.7552262893499897E-3</v>
      </c>
      <c r="M30" s="104">
        <v>44424</v>
      </c>
      <c r="N30" s="62">
        <v>5718.2724609999996</v>
      </c>
      <c r="O30" s="55">
        <f t="shared" si="2"/>
        <v>1.1075708852957611E-2</v>
      </c>
      <c r="Q30" s="104">
        <v>44424</v>
      </c>
      <c r="R30">
        <v>3765.3298340000001</v>
      </c>
      <c r="S30" s="55">
        <f t="shared" si="3"/>
        <v>8.839091820884204E-2</v>
      </c>
      <c r="U30" s="104">
        <v>44424</v>
      </c>
      <c r="V30">
        <v>1028.0631100000001</v>
      </c>
      <c r="W30" s="55">
        <f t="shared" si="4"/>
        <v>5.0750116348100782E-2</v>
      </c>
      <c r="Y30" s="104">
        <v>44424</v>
      </c>
      <c r="Z30">
        <v>597.62603799999999</v>
      </c>
      <c r="AA30" s="55">
        <f t="shared" si="5"/>
        <v>3.9775660846248284E-2</v>
      </c>
    </row>
    <row r="31" spans="2:27" x14ac:dyDescent="0.3">
      <c r="B31" s="104">
        <v>44431</v>
      </c>
      <c r="C31" s="62">
        <v>2557.7170409999999</v>
      </c>
      <c r="D31" s="55">
        <f t="shared" si="0"/>
        <v>2.2352499857688057E-2</v>
      </c>
      <c r="F31" s="104">
        <v>44431</v>
      </c>
      <c r="G31" s="62">
        <v>16705.199218999998</v>
      </c>
      <c r="H31" s="55">
        <f t="shared" si="1"/>
        <v>1.5482764596820742E-2</v>
      </c>
      <c r="J31" t="s">
        <v>316</v>
      </c>
      <c r="K31">
        <v>1</v>
      </c>
      <c r="M31" s="104">
        <v>44431</v>
      </c>
      <c r="N31" s="62">
        <v>5558.1655270000001</v>
      </c>
      <c r="O31" s="55">
        <f t="shared" si="2"/>
        <v>-2.7999178963920901E-2</v>
      </c>
      <c r="Q31" s="104">
        <v>44431</v>
      </c>
      <c r="R31">
        <v>3809.4013669999999</v>
      </c>
      <c r="S31" s="55">
        <f t="shared" si="3"/>
        <v>1.1704561072457542E-2</v>
      </c>
      <c r="U31" s="104">
        <v>44431</v>
      </c>
      <c r="V31">
        <v>1048.8602289999999</v>
      </c>
      <c r="W31" s="55">
        <f t="shared" si="4"/>
        <v>2.022941860057581E-2</v>
      </c>
      <c r="Y31" s="104">
        <v>44431</v>
      </c>
      <c r="Z31">
        <v>594.74389599999995</v>
      </c>
      <c r="AA31" s="55">
        <f t="shared" si="5"/>
        <v>-4.8226513182815234E-3</v>
      </c>
    </row>
    <row r="32" spans="2:27" x14ac:dyDescent="0.3">
      <c r="B32" s="104">
        <v>44438</v>
      </c>
      <c r="C32" s="62">
        <v>2642.4826659999999</v>
      </c>
      <c r="D32" s="55">
        <f t="shared" si="0"/>
        <v>3.3141126888242001E-2</v>
      </c>
      <c r="F32" s="104">
        <v>44438</v>
      </c>
      <c r="G32" s="62">
        <v>17323.599609000001</v>
      </c>
      <c r="H32" s="55">
        <f t="shared" si="1"/>
        <v>3.7018438504860862E-2</v>
      </c>
      <c r="J32" t="s">
        <v>315</v>
      </c>
      <c r="K32" s="106">
        <v>0.25</v>
      </c>
      <c r="M32" s="104">
        <v>44438</v>
      </c>
      <c r="N32" s="62">
        <v>5556.3530270000001</v>
      </c>
      <c r="O32" s="55">
        <f t="shared" si="2"/>
        <v>-3.2609680139883412E-4</v>
      </c>
      <c r="Q32" s="104">
        <v>44438</v>
      </c>
      <c r="R32">
        <v>3985.9277339999999</v>
      </c>
      <c r="S32" s="55">
        <f t="shared" si="3"/>
        <v>4.6339660748066391E-2</v>
      </c>
      <c r="U32" s="104">
        <v>44438</v>
      </c>
      <c r="V32">
        <v>1113.8386230000001</v>
      </c>
      <c r="W32" s="55">
        <f t="shared" si="4"/>
        <v>6.1951432806210738E-2</v>
      </c>
      <c r="Y32" s="104">
        <v>44438</v>
      </c>
      <c r="Z32">
        <v>626.49615500000004</v>
      </c>
      <c r="AA32" s="55">
        <f t="shared" si="5"/>
        <v>5.3388120859335642E-2</v>
      </c>
    </row>
    <row r="33" spans="2:27" x14ac:dyDescent="0.3">
      <c r="B33" s="104">
        <v>44445</v>
      </c>
      <c r="C33" s="62">
        <v>2684.4592290000001</v>
      </c>
      <c r="D33" s="55">
        <f t="shared" si="0"/>
        <v>1.5885274685090378E-2</v>
      </c>
      <c r="F33" s="104">
        <v>44445</v>
      </c>
      <c r="G33" s="62">
        <v>17369.25</v>
      </c>
      <c r="H33" s="55">
        <f t="shared" si="1"/>
        <v>2.6351562048503308E-3</v>
      </c>
      <c r="M33" s="104">
        <v>44445</v>
      </c>
      <c r="N33" s="62">
        <v>5819.2211909999996</v>
      </c>
      <c r="O33" s="55">
        <f t="shared" si="2"/>
        <v>4.730947848753364E-2</v>
      </c>
      <c r="Q33" s="104">
        <v>44445</v>
      </c>
      <c r="R33">
        <v>3934.3178710000002</v>
      </c>
      <c r="S33" s="55">
        <f t="shared" si="3"/>
        <v>-1.2948017737443474E-2</v>
      </c>
      <c r="U33" s="104">
        <v>44445</v>
      </c>
      <c r="V33">
        <v>1103.7883300000001</v>
      </c>
      <c r="W33" s="55">
        <f t="shared" si="4"/>
        <v>-9.0231141140811877E-3</v>
      </c>
      <c r="Y33" s="104">
        <v>44445</v>
      </c>
      <c r="Z33">
        <v>623.614014</v>
      </c>
      <c r="AA33" s="55">
        <f t="shared" si="5"/>
        <v>-4.6004129107545255E-3</v>
      </c>
    </row>
    <row r="34" spans="2:27" x14ac:dyDescent="0.3">
      <c r="B34" s="104">
        <v>44452</v>
      </c>
      <c r="C34" s="62">
        <v>2600.0280760000001</v>
      </c>
      <c r="D34" s="55">
        <f t="shared" si="0"/>
        <v>-3.145182913858291E-2</v>
      </c>
      <c r="F34" s="104">
        <v>44452</v>
      </c>
      <c r="G34" s="62">
        <v>17585.150390999999</v>
      </c>
      <c r="H34" s="55">
        <f t="shared" si="1"/>
        <v>1.2430035321041366E-2</v>
      </c>
      <c r="I34" s="103"/>
      <c r="J34" t="s">
        <v>317</v>
      </c>
      <c r="K34" s="62">
        <f>+K28*K29+K31*K32</f>
        <v>0.62018040789614903</v>
      </c>
      <c r="L34" s="103"/>
      <c r="M34" s="104">
        <v>44452</v>
      </c>
      <c r="N34" s="62">
        <v>5672.9023440000001</v>
      </c>
      <c r="O34" s="55">
        <f t="shared" si="2"/>
        <v>-2.5144060037844307E-2</v>
      </c>
      <c r="Q34" s="104">
        <v>44452</v>
      </c>
      <c r="R34">
        <v>3916.0031739999999</v>
      </c>
      <c r="S34" s="55">
        <f t="shared" si="3"/>
        <v>-4.6551136945488514E-3</v>
      </c>
      <c r="U34" s="104">
        <v>44452</v>
      </c>
      <c r="V34">
        <v>1085.230225</v>
      </c>
      <c r="W34" s="55">
        <f t="shared" si="4"/>
        <v>-1.6813101294520849E-2</v>
      </c>
      <c r="Y34" s="104">
        <v>44452</v>
      </c>
      <c r="Z34">
        <v>638.90393100000006</v>
      </c>
      <c r="AA34" s="55">
        <f t="shared" si="5"/>
        <v>2.4518238296036943E-2</v>
      </c>
    </row>
    <row r="35" spans="2:27" x14ac:dyDescent="0.3">
      <c r="B35" s="104">
        <v>44459</v>
      </c>
      <c r="C35" s="62">
        <v>2623.3327640000002</v>
      </c>
      <c r="D35" s="55">
        <f t="shared" si="0"/>
        <v>8.9632447492078438E-3</v>
      </c>
      <c r="F35" s="104">
        <v>44459</v>
      </c>
      <c r="G35" s="62">
        <v>17853.199218999998</v>
      </c>
      <c r="H35" s="55">
        <f t="shared" si="1"/>
        <v>1.5242907910368864E-2</v>
      </c>
      <c r="J35" s="103"/>
      <c r="K35" s="103"/>
      <c r="M35" s="104">
        <v>44459</v>
      </c>
      <c r="N35" s="62">
        <v>5689.0278319999998</v>
      </c>
      <c r="O35" s="55">
        <f t="shared" si="2"/>
        <v>2.8425463761163616E-3</v>
      </c>
      <c r="Q35" s="104">
        <v>44459</v>
      </c>
      <c r="R35">
        <v>3907.3530270000001</v>
      </c>
      <c r="S35" s="55">
        <f t="shared" si="3"/>
        <v>-2.208922366925492E-3</v>
      </c>
      <c r="U35" s="104">
        <v>44459</v>
      </c>
      <c r="V35">
        <v>1036.52124</v>
      </c>
      <c r="W35" s="55">
        <f t="shared" si="4"/>
        <v>-4.488354993982957E-2</v>
      </c>
      <c r="Y35" s="104">
        <v>44459</v>
      </c>
      <c r="Z35">
        <v>636.90112299999998</v>
      </c>
      <c r="AA35" s="55">
        <f t="shared" si="5"/>
        <v>-3.1347561078005626E-3</v>
      </c>
    </row>
    <row r="36" spans="2:27" x14ac:dyDescent="0.3">
      <c r="B36" s="104">
        <v>44466</v>
      </c>
      <c r="C36" s="62">
        <v>2582.6452640000002</v>
      </c>
      <c r="D36" s="55">
        <f t="shared" si="0"/>
        <v>-1.5509850888287824E-2</v>
      </c>
      <c r="F36" s="104">
        <v>44466</v>
      </c>
      <c r="G36" s="62">
        <v>17532.050781000002</v>
      </c>
      <c r="H36" s="55">
        <f t="shared" si="1"/>
        <v>-1.7988285128091697E-2</v>
      </c>
      <c r="J36" s="198" t="s">
        <v>322</v>
      </c>
      <c r="K36" s="198"/>
      <c r="M36" s="104">
        <v>44466</v>
      </c>
      <c r="N36" s="62">
        <v>5600.0532229999999</v>
      </c>
      <c r="O36" s="55">
        <f t="shared" si="2"/>
        <v>-1.5639686010943676E-2</v>
      </c>
      <c r="Q36" s="104">
        <v>44466</v>
      </c>
      <c r="R36">
        <v>3789.6369629999999</v>
      </c>
      <c r="S36" s="55">
        <f t="shared" si="3"/>
        <v>-3.012680532999612E-2</v>
      </c>
      <c r="U36" s="104">
        <v>44466</v>
      </c>
      <c r="V36">
        <v>1015.32605</v>
      </c>
      <c r="W36" s="55">
        <f t="shared" si="4"/>
        <v>-2.0448389460885563E-2</v>
      </c>
      <c r="Y36" s="104">
        <v>44466</v>
      </c>
      <c r="Z36">
        <v>603.73223900000005</v>
      </c>
      <c r="AA36" s="55">
        <f t="shared" si="5"/>
        <v>-5.207854532233247E-2</v>
      </c>
    </row>
    <row r="37" spans="2:27" x14ac:dyDescent="0.3">
      <c r="B37" s="104">
        <v>44473</v>
      </c>
      <c r="C37" s="62">
        <v>2521.5190429999998</v>
      </c>
      <c r="D37" s="55">
        <f t="shared" si="0"/>
        <v>-2.3668066943629773E-2</v>
      </c>
      <c r="F37" s="104">
        <v>44473</v>
      </c>
      <c r="G37" s="62">
        <v>17895.199218999998</v>
      </c>
      <c r="H37" s="55">
        <f t="shared" si="1"/>
        <v>2.0713403271313213E-2</v>
      </c>
      <c r="K37" s="62"/>
      <c r="M37" s="104">
        <v>44473</v>
      </c>
      <c r="N37" s="62">
        <v>5566.4189450000003</v>
      </c>
      <c r="O37" s="55">
        <f t="shared" si="2"/>
        <v>-6.0060639891528211E-3</v>
      </c>
      <c r="Q37" s="104">
        <v>44473</v>
      </c>
      <c r="R37">
        <v>3753.1042480000001</v>
      </c>
      <c r="S37" s="55">
        <f t="shared" si="3"/>
        <v>-9.6401621993572606E-3</v>
      </c>
      <c r="U37" s="104">
        <v>44473</v>
      </c>
      <c r="V37">
        <v>1014.28125</v>
      </c>
      <c r="W37" s="55">
        <f t="shared" si="4"/>
        <v>-1.0290290493384369E-3</v>
      </c>
      <c r="Y37" s="104">
        <v>44473</v>
      </c>
      <c r="Z37">
        <v>593.03417999999999</v>
      </c>
      <c r="AA37" s="55">
        <f t="shared" si="5"/>
        <v>-1.7719873660747232E-2</v>
      </c>
    </row>
    <row r="38" spans="2:27" x14ac:dyDescent="0.3">
      <c r="B38" s="104">
        <v>44480</v>
      </c>
      <c r="C38" s="62">
        <v>2530.5922850000002</v>
      </c>
      <c r="D38" s="55">
        <f t="shared" si="0"/>
        <v>3.5983238061154665E-3</v>
      </c>
      <c r="F38" s="104">
        <v>44480</v>
      </c>
      <c r="G38" s="62">
        <v>18338.550781000002</v>
      </c>
      <c r="H38" s="55">
        <f t="shared" si="1"/>
        <v>2.4774888313580767E-2</v>
      </c>
      <c r="J38" t="s">
        <v>313</v>
      </c>
      <c r="K38" s="62">
        <f>COVAR(W8:W164,$H$8:$H$164)/VAR($H$8:$H$164)</f>
        <v>0.45091296302277861</v>
      </c>
      <c r="M38" s="104">
        <v>44480</v>
      </c>
      <c r="N38" s="62">
        <v>5565.4174800000001</v>
      </c>
      <c r="O38" s="55">
        <f t="shared" si="2"/>
        <v>-1.7991189845667499E-4</v>
      </c>
      <c r="Q38" s="104">
        <v>44480</v>
      </c>
      <c r="R38">
        <v>3764.266846</v>
      </c>
      <c r="S38" s="55">
        <f t="shared" si="3"/>
        <v>2.974230733385097E-3</v>
      </c>
      <c r="U38" s="104">
        <v>44480</v>
      </c>
      <c r="V38">
        <v>1033.585693</v>
      </c>
      <c r="W38" s="55">
        <f t="shared" si="4"/>
        <v>1.9032633207012317E-2</v>
      </c>
      <c r="Y38" s="104">
        <v>44480</v>
      </c>
      <c r="Z38">
        <v>601.04553199999998</v>
      </c>
      <c r="AA38" s="55">
        <f t="shared" si="5"/>
        <v>1.3509089813339203E-2</v>
      </c>
    </row>
    <row r="39" spans="2:27" x14ac:dyDescent="0.3">
      <c r="B39" s="104">
        <v>44487</v>
      </c>
      <c r="C39" s="62">
        <v>2343.9174800000001</v>
      </c>
      <c r="D39" s="55">
        <f t="shared" si="0"/>
        <v>-7.3767238644687483E-2</v>
      </c>
      <c r="F39" s="104">
        <v>44487</v>
      </c>
      <c r="G39" s="62">
        <v>18114.900390999999</v>
      </c>
      <c r="H39" s="55">
        <f t="shared" si="1"/>
        <v>-1.2195641447944716E-2</v>
      </c>
      <c r="J39" t="s">
        <v>314</v>
      </c>
      <c r="K39" s="106">
        <v>0.75</v>
      </c>
      <c r="M39" s="104">
        <v>44487</v>
      </c>
      <c r="N39" s="62">
        <v>5430.4052730000003</v>
      </c>
      <c r="O39" s="55">
        <f t="shared" si="2"/>
        <v>-2.4259133746063477E-2</v>
      </c>
      <c r="Q39" s="104">
        <v>44487</v>
      </c>
      <c r="R39">
        <v>3566.2849120000001</v>
      </c>
      <c r="S39" s="55">
        <f t="shared" si="3"/>
        <v>-5.2595084806588588E-2</v>
      </c>
      <c r="U39" s="104">
        <v>44487</v>
      </c>
      <c r="V39">
        <v>956.06927499999995</v>
      </c>
      <c r="W39" s="55">
        <f t="shared" si="4"/>
        <v>-7.4997572552506386E-2</v>
      </c>
      <c r="Y39" s="104">
        <v>44487</v>
      </c>
      <c r="Z39">
        <v>577.15808100000004</v>
      </c>
      <c r="AA39" s="55">
        <f t="shared" si="5"/>
        <v>-3.9743163750861954E-2</v>
      </c>
    </row>
    <row r="40" spans="2:27" x14ac:dyDescent="0.3">
      <c r="B40" s="104">
        <v>44494</v>
      </c>
      <c r="C40" s="62">
        <v>2285.703857</v>
      </c>
      <c r="D40" s="55">
        <f t="shared" si="0"/>
        <v>-2.4836037743103501E-2</v>
      </c>
      <c r="F40" s="104">
        <v>44494</v>
      </c>
      <c r="G40" s="62">
        <v>17671.650390999999</v>
      </c>
      <c r="H40" s="55">
        <f t="shared" si="1"/>
        <v>-2.4468806917658736E-2</v>
      </c>
      <c r="M40" s="104">
        <v>44494</v>
      </c>
      <c r="N40" s="62">
        <v>5382.6977539999998</v>
      </c>
      <c r="O40" s="55">
        <f t="shared" si="2"/>
        <v>-8.7852594054448341E-3</v>
      </c>
      <c r="Q40" s="104">
        <v>44494</v>
      </c>
      <c r="R40">
        <v>3552.5126949999999</v>
      </c>
      <c r="S40" s="55">
        <f t="shared" si="3"/>
        <v>-3.8617825944469164E-3</v>
      </c>
      <c r="U40" s="104">
        <v>44494</v>
      </c>
      <c r="V40">
        <v>951.93975799999998</v>
      </c>
      <c r="W40" s="55">
        <f t="shared" si="4"/>
        <v>-4.3192654632687733E-3</v>
      </c>
      <c r="Y40" s="104">
        <v>44494</v>
      </c>
      <c r="Z40">
        <v>572.37066700000003</v>
      </c>
      <c r="AA40" s="55">
        <f t="shared" si="5"/>
        <v>-8.2948054572937746E-3</v>
      </c>
    </row>
    <row r="41" spans="2:27" x14ac:dyDescent="0.3">
      <c r="B41" s="104">
        <v>44501</v>
      </c>
      <c r="C41" s="62">
        <v>2328.2915039999998</v>
      </c>
      <c r="D41" s="55">
        <f t="shared" si="0"/>
        <v>1.8632180572988322E-2</v>
      </c>
      <c r="F41" s="104">
        <v>44501</v>
      </c>
      <c r="G41" s="62">
        <v>17916.800781000002</v>
      </c>
      <c r="H41" s="55">
        <f t="shared" si="1"/>
        <v>1.3872523764099309E-2</v>
      </c>
      <c r="J41" t="s">
        <v>316</v>
      </c>
      <c r="K41">
        <v>1</v>
      </c>
      <c r="M41" s="104">
        <v>44501</v>
      </c>
      <c r="N41" s="62">
        <v>5500.392578</v>
      </c>
      <c r="O41" s="55">
        <f t="shared" si="2"/>
        <v>2.1865397125918618E-2</v>
      </c>
      <c r="Q41" s="104">
        <v>44501</v>
      </c>
      <c r="R41">
        <v>3508.1516109999998</v>
      </c>
      <c r="S41" s="55">
        <f t="shared" si="3"/>
        <v>-1.2487241512869507E-2</v>
      </c>
      <c r="U41" s="104">
        <v>44501</v>
      </c>
      <c r="V41">
        <v>966.91564900000003</v>
      </c>
      <c r="W41" s="55">
        <f t="shared" si="4"/>
        <v>1.5731973451202474E-2</v>
      </c>
      <c r="Y41" s="104">
        <v>44501</v>
      </c>
      <c r="Z41">
        <v>598.45636000000002</v>
      </c>
      <c r="AA41" s="55">
        <f t="shared" si="5"/>
        <v>4.5574825028551036E-2</v>
      </c>
    </row>
    <row r="42" spans="2:27" x14ac:dyDescent="0.3">
      <c r="B42" s="104">
        <v>44508</v>
      </c>
      <c r="C42" s="62">
        <v>2311.0898440000001</v>
      </c>
      <c r="D42" s="55">
        <f t="shared" si="0"/>
        <v>-7.3881040971233158E-3</v>
      </c>
      <c r="F42" s="104">
        <v>44508</v>
      </c>
      <c r="G42" s="62">
        <v>18102.75</v>
      </c>
      <c r="H42" s="55">
        <f t="shared" si="1"/>
        <v>1.0378483372834646E-2</v>
      </c>
      <c r="J42" t="s">
        <v>315</v>
      </c>
      <c r="K42" s="106">
        <v>0.25</v>
      </c>
      <c r="M42" s="104">
        <v>44508</v>
      </c>
      <c r="N42" s="62">
        <v>5440.9965819999998</v>
      </c>
      <c r="O42" s="55">
        <f t="shared" si="2"/>
        <v>-1.07985012265428E-2</v>
      </c>
      <c r="Q42" s="104">
        <v>44508</v>
      </c>
      <c r="R42">
        <v>3564.303711</v>
      </c>
      <c r="S42" s="55">
        <f t="shared" si="3"/>
        <v>1.6006178246097624E-2</v>
      </c>
      <c r="U42" s="104">
        <v>44508</v>
      </c>
      <c r="V42">
        <v>915.07214399999998</v>
      </c>
      <c r="W42" s="55">
        <f t="shared" si="4"/>
        <v>-5.3617401945678989E-2</v>
      </c>
      <c r="Y42" s="104">
        <v>44508</v>
      </c>
      <c r="Z42">
        <v>588.58886700000005</v>
      </c>
      <c r="AA42" s="55">
        <f t="shared" si="5"/>
        <v>-1.6488241515220881E-2</v>
      </c>
    </row>
    <row r="43" spans="2:27" x14ac:dyDescent="0.3">
      <c r="B43" s="104">
        <v>44515</v>
      </c>
      <c r="C43" s="62">
        <v>2305.7563479999999</v>
      </c>
      <c r="D43" s="55">
        <f t="shared" si="0"/>
        <v>-2.3077839288018209E-3</v>
      </c>
      <c r="F43" s="104">
        <v>44515</v>
      </c>
      <c r="G43" s="62">
        <v>17764.800781000002</v>
      </c>
      <c r="H43" s="55">
        <f t="shared" si="1"/>
        <v>-1.8668391211279944E-2</v>
      </c>
      <c r="M43" s="104">
        <v>44515</v>
      </c>
      <c r="N43" s="62">
        <v>5302.8828130000002</v>
      </c>
      <c r="O43" s="55">
        <f t="shared" si="2"/>
        <v>-2.5383910266900345E-2</v>
      </c>
      <c r="Q43" s="104">
        <v>44515</v>
      </c>
      <c r="R43">
        <v>3451.8547359999998</v>
      </c>
      <c r="S43" s="55">
        <f t="shared" si="3"/>
        <v>-3.1548651326475108E-2</v>
      </c>
      <c r="U43" s="104">
        <v>44515</v>
      </c>
      <c r="V43">
        <v>915.02239999999995</v>
      </c>
      <c r="W43" s="55">
        <f t="shared" si="4"/>
        <v>-5.4360741200798479E-5</v>
      </c>
      <c r="Y43" s="104">
        <v>44515</v>
      </c>
      <c r="Z43">
        <v>597.21069299999999</v>
      </c>
      <c r="AA43" s="55">
        <f t="shared" si="5"/>
        <v>1.4648299489497418E-2</v>
      </c>
    </row>
    <row r="44" spans="2:27" x14ac:dyDescent="0.3">
      <c r="B44" s="104">
        <v>44522</v>
      </c>
      <c r="C44" s="62">
        <v>2243.9663089999999</v>
      </c>
      <c r="D44" s="55">
        <f t="shared" si="0"/>
        <v>-2.6798164972459571E-2</v>
      </c>
      <c r="F44" s="104">
        <v>44522</v>
      </c>
      <c r="G44" s="62">
        <v>17026.449218999998</v>
      </c>
      <c r="H44" s="55">
        <f t="shared" si="1"/>
        <v>-4.1562614245001406E-2</v>
      </c>
      <c r="J44" t="s">
        <v>317</v>
      </c>
      <c r="K44" s="62">
        <f>+K38*K39+K41*K42</f>
        <v>0.58818472226708396</v>
      </c>
      <c r="M44" s="104">
        <v>44522</v>
      </c>
      <c r="N44" s="62">
        <v>5296.7329099999997</v>
      </c>
      <c r="O44" s="55">
        <f t="shared" si="2"/>
        <v>-1.1597282491183636E-3</v>
      </c>
      <c r="Q44" s="104">
        <v>44522</v>
      </c>
      <c r="R44">
        <v>3436.101318</v>
      </c>
      <c r="S44" s="55">
        <f t="shared" si="3"/>
        <v>-4.5637546202929036E-3</v>
      </c>
      <c r="U44" s="104">
        <v>44522</v>
      </c>
      <c r="V44">
        <v>893.03125</v>
      </c>
      <c r="W44" s="55">
        <f t="shared" si="4"/>
        <v>-2.4033455355847E-2</v>
      </c>
      <c r="Y44" s="104">
        <v>44522</v>
      </c>
      <c r="Z44">
        <v>590.58868399999994</v>
      </c>
      <c r="AA44" s="55">
        <f t="shared" si="5"/>
        <v>-1.1088229125194249E-2</v>
      </c>
    </row>
    <row r="45" spans="2:27" x14ac:dyDescent="0.3">
      <c r="B45" s="104">
        <v>44529</v>
      </c>
      <c r="C45" s="62">
        <v>2252.1821289999998</v>
      </c>
      <c r="D45" s="55">
        <f t="shared" si="0"/>
        <v>3.6612938291666897E-3</v>
      </c>
      <c r="F45" s="104">
        <v>44529</v>
      </c>
      <c r="G45" s="62">
        <v>17196.699218999998</v>
      </c>
      <c r="H45" s="55">
        <f t="shared" si="1"/>
        <v>9.9991488424970854E-3</v>
      </c>
      <c r="M45" s="104">
        <v>44529</v>
      </c>
      <c r="N45" s="62">
        <v>5208.6523440000001</v>
      </c>
      <c r="O45" s="55">
        <f t="shared" si="2"/>
        <v>-1.6629225504972589E-2</v>
      </c>
      <c r="Q45" s="104">
        <v>44529</v>
      </c>
      <c r="R45">
        <v>3434.6030270000001</v>
      </c>
      <c r="S45" s="55">
        <f t="shared" si="3"/>
        <v>-4.3604389432616575E-4</v>
      </c>
      <c r="U45" s="104">
        <v>44529</v>
      </c>
      <c r="V45">
        <v>908.60412599999995</v>
      </c>
      <c r="W45" s="55">
        <f t="shared" si="4"/>
        <v>1.7438220666969872E-2</v>
      </c>
      <c r="Y45" s="104">
        <v>44529</v>
      </c>
      <c r="Z45">
        <v>570.330017</v>
      </c>
      <c r="AA45" s="55">
        <f t="shared" si="5"/>
        <v>-3.430249774308225E-2</v>
      </c>
    </row>
    <row r="46" spans="2:27" x14ac:dyDescent="0.3">
      <c r="B46" s="104">
        <v>44536</v>
      </c>
      <c r="C46" s="62">
        <v>2241.7558589999999</v>
      </c>
      <c r="D46" s="55">
        <f t="shared" si="0"/>
        <v>-4.6294080153408412E-3</v>
      </c>
      <c r="F46" s="104">
        <v>44536</v>
      </c>
      <c r="G46" s="62">
        <v>17511.300781000002</v>
      </c>
      <c r="H46" s="55">
        <f t="shared" si="1"/>
        <v>1.8294299271828462E-2</v>
      </c>
      <c r="M46" s="104">
        <v>44536</v>
      </c>
      <c r="N46" s="62">
        <v>5329.1044920000004</v>
      </c>
      <c r="O46" s="55">
        <f t="shared" si="2"/>
        <v>2.312539598438601E-2</v>
      </c>
      <c r="Q46" s="104">
        <v>44536</v>
      </c>
      <c r="R46">
        <v>3510.6645509999998</v>
      </c>
      <c r="S46" s="55">
        <f t="shared" si="3"/>
        <v>2.2145652176413622E-2</v>
      </c>
      <c r="U46" s="104">
        <v>44536</v>
      </c>
      <c r="V46">
        <v>938.35693400000002</v>
      </c>
      <c r="W46" s="55">
        <f t="shared" si="4"/>
        <v>3.2745622817037523E-2</v>
      </c>
      <c r="Y46" s="104">
        <v>44536</v>
      </c>
      <c r="Z46">
        <v>566.847351</v>
      </c>
      <c r="AA46" s="55">
        <f t="shared" si="5"/>
        <v>-6.1064048817195404E-3</v>
      </c>
    </row>
    <row r="47" spans="2:27" x14ac:dyDescent="0.3">
      <c r="B47" s="104">
        <v>44543</v>
      </c>
      <c r="C47" s="62">
        <v>2143.2080080000001</v>
      </c>
      <c r="D47" s="55">
        <f t="shared" si="0"/>
        <v>-4.3960117514295183E-2</v>
      </c>
      <c r="F47" s="104">
        <v>44543</v>
      </c>
      <c r="G47" s="62">
        <v>16985.199218999998</v>
      </c>
      <c r="H47" s="55">
        <f t="shared" si="1"/>
        <v>-3.0043545512668635E-2</v>
      </c>
      <c r="J47" s="198" t="s">
        <v>324</v>
      </c>
      <c r="K47" s="198"/>
      <c r="M47" s="104">
        <v>44543</v>
      </c>
      <c r="N47" s="62">
        <v>5171.1103519999997</v>
      </c>
      <c r="O47" s="55">
        <f t="shared" si="2"/>
        <v>-2.9647408910292494E-2</v>
      </c>
      <c r="Q47" s="104">
        <v>44543</v>
      </c>
      <c r="R47">
        <v>3417.593018</v>
      </c>
      <c r="S47" s="55">
        <f t="shared" si="3"/>
        <v>-2.6511086903329706E-2</v>
      </c>
      <c r="U47" s="104">
        <v>44543</v>
      </c>
      <c r="V47">
        <v>894.57360800000004</v>
      </c>
      <c r="W47" s="55">
        <f t="shared" si="4"/>
        <v>-4.665956462149401E-2</v>
      </c>
      <c r="Y47" s="104">
        <v>44543</v>
      </c>
      <c r="Z47">
        <v>554.04480000000001</v>
      </c>
      <c r="AA47" s="55">
        <f t="shared" si="5"/>
        <v>-2.2585535554527136E-2</v>
      </c>
    </row>
    <row r="48" spans="2:27" x14ac:dyDescent="0.3">
      <c r="B48" s="104">
        <v>44550</v>
      </c>
      <c r="C48" s="62">
        <v>2207.3051759999998</v>
      </c>
      <c r="D48" s="55">
        <f t="shared" si="0"/>
        <v>2.9907114830078463E-2</v>
      </c>
      <c r="F48" s="104">
        <v>44550</v>
      </c>
      <c r="G48" s="62">
        <v>17003.75</v>
      </c>
      <c r="H48" s="55">
        <f t="shared" si="1"/>
        <v>1.0921732951623131E-3</v>
      </c>
      <c r="K48" s="62"/>
      <c r="M48" s="104">
        <v>44550</v>
      </c>
      <c r="N48" s="62">
        <v>5200.2456050000001</v>
      </c>
      <c r="O48" s="55">
        <f t="shared" si="2"/>
        <v>5.6342353995080252E-3</v>
      </c>
      <c r="Q48" s="104">
        <v>44550</v>
      </c>
      <c r="R48">
        <v>3422.5703130000002</v>
      </c>
      <c r="S48" s="55">
        <f t="shared" si="3"/>
        <v>1.4563744055495764E-3</v>
      </c>
      <c r="U48" s="104">
        <v>44550</v>
      </c>
      <c r="V48">
        <v>961.49249299999997</v>
      </c>
      <c r="W48" s="55">
        <f t="shared" si="4"/>
        <v>7.4805342345847459E-2</v>
      </c>
      <c r="Y48" s="104">
        <v>44550</v>
      </c>
      <c r="Z48">
        <v>553.01464799999997</v>
      </c>
      <c r="AA48" s="55">
        <f t="shared" si="5"/>
        <v>-1.8593297870498349E-3</v>
      </c>
    </row>
    <row r="49" spans="2:27" x14ac:dyDescent="0.3">
      <c r="B49" s="104">
        <v>44557</v>
      </c>
      <c r="C49" s="62">
        <v>2268.0383299999999</v>
      </c>
      <c r="D49" s="55">
        <f t="shared" si="0"/>
        <v>2.7514615858446279E-2</v>
      </c>
      <c r="F49" s="104">
        <v>44557</v>
      </c>
      <c r="G49" s="62">
        <v>17354.050781000002</v>
      </c>
      <c r="H49" s="55">
        <f t="shared" si="1"/>
        <v>2.0601383871204915E-2</v>
      </c>
      <c r="J49" t="s">
        <v>313</v>
      </c>
      <c r="K49" s="62">
        <f>COVAR(AA8:AA164,$H$8:$H$164)/VAR($H$8:$H$164)</f>
        <v>0.59928336671258597</v>
      </c>
      <c r="M49" s="104">
        <v>44557</v>
      </c>
      <c r="N49" s="62">
        <v>5084.0927730000003</v>
      </c>
      <c r="O49" s="55">
        <f t="shared" si="2"/>
        <v>-2.2336028107657002E-2</v>
      </c>
      <c r="Q49" s="104">
        <v>44557</v>
      </c>
      <c r="R49">
        <v>3485.101318</v>
      </c>
      <c r="S49" s="55">
        <f t="shared" si="3"/>
        <v>1.8270188566320344E-2</v>
      </c>
      <c r="U49" s="104">
        <v>44557</v>
      </c>
      <c r="V49">
        <v>963.58209199999999</v>
      </c>
      <c r="W49" s="55">
        <f t="shared" si="4"/>
        <v>2.1732868589334764E-3</v>
      </c>
      <c r="Y49" s="104">
        <v>44557</v>
      </c>
      <c r="Z49">
        <v>569.05474900000002</v>
      </c>
      <c r="AA49" s="55">
        <f t="shared" si="5"/>
        <v>2.9004839307620101E-2</v>
      </c>
    </row>
    <row r="50" spans="2:27" x14ac:dyDescent="0.3">
      <c r="B50" s="104">
        <v>44564</v>
      </c>
      <c r="C50" s="62">
        <v>2321.8530270000001</v>
      </c>
      <c r="D50" s="55">
        <f t="shared" si="0"/>
        <v>2.3727419544977479E-2</v>
      </c>
      <c r="F50" s="104">
        <v>44564</v>
      </c>
      <c r="G50" s="62">
        <v>17812.699218999998</v>
      </c>
      <c r="H50" s="55">
        <f t="shared" si="1"/>
        <v>2.6428898001275014E-2</v>
      </c>
      <c r="J50" t="s">
        <v>314</v>
      </c>
      <c r="K50" s="106">
        <v>0.75</v>
      </c>
      <c r="M50" s="104">
        <v>44564</v>
      </c>
      <c r="N50" s="62">
        <v>5122.6494140000004</v>
      </c>
      <c r="O50" s="55">
        <f t="shared" si="2"/>
        <v>7.583779982293537E-3</v>
      </c>
      <c r="Q50" s="104">
        <v>44564</v>
      </c>
      <c r="R50">
        <v>3612.047607</v>
      </c>
      <c r="S50" s="55">
        <f t="shared" si="3"/>
        <v>3.6425422797421225E-2</v>
      </c>
      <c r="U50" s="104">
        <v>44564</v>
      </c>
      <c r="V50">
        <v>952.83532700000001</v>
      </c>
      <c r="W50" s="55">
        <f t="shared" si="4"/>
        <v>-1.1152931430776336E-2</v>
      </c>
      <c r="Y50" s="104">
        <v>44564</v>
      </c>
      <c r="Z50">
        <v>576.36346400000002</v>
      </c>
      <c r="AA50" s="55">
        <f t="shared" si="5"/>
        <v>1.284360602005985E-2</v>
      </c>
    </row>
    <row r="51" spans="2:27" x14ac:dyDescent="0.3">
      <c r="B51" s="104">
        <v>44571</v>
      </c>
      <c r="C51" s="62">
        <v>2271.4499510000001</v>
      </c>
      <c r="D51" s="55">
        <f t="shared" si="0"/>
        <v>-2.1708125111228216E-2</v>
      </c>
      <c r="F51" s="104">
        <v>44571</v>
      </c>
      <c r="G51" s="62">
        <v>18255.75</v>
      </c>
      <c r="H51" s="55">
        <f t="shared" si="1"/>
        <v>2.4872748119354027E-2</v>
      </c>
      <c r="M51" s="104">
        <v>44571</v>
      </c>
      <c r="N51" s="62">
        <v>5032.2495120000003</v>
      </c>
      <c r="O51" s="55">
        <f t="shared" si="2"/>
        <v>-1.7647099126662957E-2</v>
      </c>
      <c r="Q51" s="104">
        <v>44571</v>
      </c>
      <c r="R51">
        <v>3587.595703</v>
      </c>
      <c r="S51" s="55">
        <f t="shared" si="3"/>
        <v>-6.7695408976928828E-3</v>
      </c>
      <c r="U51" s="104">
        <v>44571</v>
      </c>
      <c r="V51">
        <v>914.22637899999995</v>
      </c>
      <c r="W51" s="55">
        <f t="shared" si="4"/>
        <v>-4.0520063547140106E-2</v>
      </c>
      <c r="Y51" s="104">
        <v>44571</v>
      </c>
      <c r="Z51">
        <v>564.88531499999999</v>
      </c>
      <c r="AA51" s="55">
        <f t="shared" si="5"/>
        <v>-1.9914775513945493E-2</v>
      </c>
    </row>
    <row r="52" spans="2:27" x14ac:dyDescent="0.3">
      <c r="B52" s="104">
        <v>44578</v>
      </c>
      <c r="C52" s="62">
        <v>2234.6445309999999</v>
      </c>
      <c r="D52" s="55">
        <f t="shared" si="0"/>
        <v>-1.6203491511576851E-2</v>
      </c>
      <c r="F52" s="104">
        <v>44578</v>
      </c>
      <c r="G52" s="62">
        <v>17617.150390999999</v>
      </c>
      <c r="H52" s="55">
        <f t="shared" si="1"/>
        <v>-3.4980738068827621E-2</v>
      </c>
      <c r="J52" t="s">
        <v>316</v>
      </c>
      <c r="K52">
        <v>1</v>
      </c>
      <c r="M52" s="104">
        <v>44578</v>
      </c>
      <c r="N52" s="62">
        <v>5026.3066410000001</v>
      </c>
      <c r="O52" s="55">
        <f t="shared" si="2"/>
        <v>-1.1809571416975251E-3</v>
      </c>
      <c r="Q52" s="104">
        <v>44578</v>
      </c>
      <c r="R52">
        <v>3496.9890140000002</v>
      </c>
      <c r="S52" s="55">
        <f t="shared" si="3"/>
        <v>-2.5255546193299616E-2</v>
      </c>
      <c r="U52" s="104">
        <v>44578</v>
      </c>
      <c r="V52">
        <v>886.81201199999998</v>
      </c>
      <c r="W52" s="55">
        <f t="shared" si="4"/>
        <v>-2.9986409963346672E-2</v>
      </c>
      <c r="Y52" s="104">
        <v>44578</v>
      </c>
      <c r="Z52">
        <v>541.09491000000003</v>
      </c>
      <c r="AA52" s="55">
        <f t="shared" si="5"/>
        <v>-4.2115460197438392E-2</v>
      </c>
    </row>
    <row r="53" spans="2:27" x14ac:dyDescent="0.3">
      <c r="B53" s="104">
        <v>44585</v>
      </c>
      <c r="C53" s="62">
        <v>2194.4279790000001</v>
      </c>
      <c r="D53" s="55">
        <f t="shared" si="0"/>
        <v>-1.7996845333607903E-2</v>
      </c>
      <c r="F53" s="104">
        <v>44585</v>
      </c>
      <c r="G53" s="62">
        <v>17101.949218999998</v>
      </c>
      <c r="H53" s="55">
        <f t="shared" si="1"/>
        <v>-2.9244296640800638E-2</v>
      </c>
      <c r="J53" t="s">
        <v>315</v>
      </c>
      <c r="K53" s="106">
        <v>0.25</v>
      </c>
      <c r="M53" s="104">
        <v>44585</v>
      </c>
      <c r="N53" s="62">
        <v>5083.2709960000002</v>
      </c>
      <c r="O53" s="55">
        <f t="shared" si="2"/>
        <v>1.133324308854089E-2</v>
      </c>
      <c r="Q53" s="104">
        <v>44585</v>
      </c>
      <c r="R53">
        <v>3391.9814449999999</v>
      </c>
      <c r="S53" s="55">
        <f t="shared" si="3"/>
        <v>-3.0027995106535532E-2</v>
      </c>
      <c r="U53" s="104">
        <v>44585</v>
      </c>
      <c r="V53">
        <v>876.61248799999998</v>
      </c>
      <c r="W53" s="55">
        <f t="shared" si="4"/>
        <v>-1.1501337219144481E-2</v>
      </c>
      <c r="Y53" s="104">
        <v>44585</v>
      </c>
      <c r="Z53">
        <v>523.82855199999995</v>
      </c>
      <c r="AA53" s="55">
        <f t="shared" si="5"/>
        <v>-3.1910035893703115E-2</v>
      </c>
    </row>
    <row r="54" spans="2:27" x14ac:dyDescent="0.3">
      <c r="B54" s="104">
        <v>44592</v>
      </c>
      <c r="C54" s="62">
        <v>2216.5783689999998</v>
      </c>
      <c r="D54" s="55">
        <f t="shared" si="0"/>
        <v>1.0093924344736882E-2</v>
      </c>
      <c r="F54" s="104">
        <v>44592</v>
      </c>
      <c r="G54" s="62">
        <v>17516.300781000002</v>
      </c>
      <c r="H54" s="55">
        <f t="shared" si="1"/>
        <v>2.4228323724623468E-2</v>
      </c>
      <c r="M54" s="104">
        <v>44592</v>
      </c>
      <c r="N54" s="62">
        <v>4945.1352539999998</v>
      </c>
      <c r="O54" s="55">
        <f t="shared" si="2"/>
        <v>-2.7174577571941083E-2</v>
      </c>
      <c r="Q54" s="104">
        <v>44592</v>
      </c>
      <c r="R54">
        <v>3442.5764159999999</v>
      </c>
      <c r="S54" s="55">
        <f t="shared" si="3"/>
        <v>1.4916051818202103E-2</v>
      </c>
      <c r="U54" s="104">
        <v>44592</v>
      </c>
      <c r="V54">
        <v>907.85784899999999</v>
      </c>
      <c r="W54" s="55">
        <f t="shared" si="4"/>
        <v>3.5643298980700733E-2</v>
      </c>
      <c r="Y54" s="104">
        <v>44592</v>
      </c>
      <c r="Z54">
        <v>558.21423300000004</v>
      </c>
      <c r="AA54" s="55">
        <f t="shared" si="5"/>
        <v>6.5643006416343797E-2</v>
      </c>
    </row>
    <row r="55" spans="2:27" x14ac:dyDescent="0.3">
      <c r="B55" s="104">
        <v>44599</v>
      </c>
      <c r="C55" s="62">
        <v>2169.8752439999998</v>
      </c>
      <c r="D55" s="55">
        <f t="shared" si="0"/>
        <v>-2.1069918236669372E-2</v>
      </c>
      <c r="F55" s="104">
        <v>44599</v>
      </c>
      <c r="G55" s="62">
        <v>17374.75</v>
      </c>
      <c r="H55" s="55">
        <f t="shared" si="1"/>
        <v>-8.0810887395552644E-3</v>
      </c>
      <c r="J55" t="s">
        <v>317</v>
      </c>
      <c r="K55" s="62">
        <f>+K49*K50+K52*K53</f>
        <v>0.69946252503443951</v>
      </c>
      <c r="M55" s="104">
        <v>44599</v>
      </c>
      <c r="N55" s="62">
        <v>4914.4541019999997</v>
      </c>
      <c r="O55" s="55">
        <f t="shared" si="2"/>
        <v>-6.2043099782119748E-3</v>
      </c>
      <c r="Q55" s="104">
        <v>44599</v>
      </c>
      <c r="R55">
        <v>3363.857422</v>
      </c>
      <c r="S55" s="55">
        <f t="shared" si="3"/>
        <v>-2.2866302584929943E-2</v>
      </c>
      <c r="U55" s="104">
        <v>44599</v>
      </c>
      <c r="V55">
        <v>820.93792699999995</v>
      </c>
      <c r="W55" s="55">
        <f t="shared" si="4"/>
        <v>-9.5741775098096893E-2</v>
      </c>
      <c r="Y55" s="104">
        <v>44599</v>
      </c>
      <c r="Z55">
        <v>550.21868900000004</v>
      </c>
      <c r="AA55" s="55">
        <f t="shared" si="5"/>
        <v>-1.432343270258396E-2</v>
      </c>
    </row>
    <row r="56" spans="2:27" x14ac:dyDescent="0.3">
      <c r="B56" s="104">
        <v>44606</v>
      </c>
      <c r="C56" s="62">
        <v>2222.2963869999999</v>
      </c>
      <c r="D56" s="55">
        <f t="shared" si="0"/>
        <v>2.4158597663599179E-2</v>
      </c>
      <c r="F56" s="104">
        <v>44606</v>
      </c>
      <c r="G56" s="62">
        <v>17276.300781000002</v>
      </c>
      <c r="H56" s="55">
        <f t="shared" si="1"/>
        <v>-5.66622362911684E-3</v>
      </c>
      <c r="M56" s="104">
        <v>44606</v>
      </c>
      <c r="N56" s="62">
        <v>4963.3247069999998</v>
      </c>
      <c r="O56" s="55">
        <f t="shared" si="2"/>
        <v>9.9442591151908122E-3</v>
      </c>
      <c r="Q56" s="104">
        <v>44606</v>
      </c>
      <c r="R56">
        <v>3364.9204100000002</v>
      </c>
      <c r="S56" s="55">
        <f t="shared" si="3"/>
        <v>3.1600269174547613E-4</v>
      </c>
      <c r="U56" s="104">
        <v>44606</v>
      </c>
      <c r="V56">
        <v>821.33599900000002</v>
      </c>
      <c r="W56" s="55">
        <f t="shared" si="4"/>
        <v>4.8489902452764078E-4</v>
      </c>
      <c r="Y56" s="104">
        <v>44606</v>
      </c>
      <c r="Z56">
        <v>537.41601600000001</v>
      </c>
      <c r="AA56" s="55">
        <f t="shared" si="5"/>
        <v>-2.3268335401816942E-2</v>
      </c>
    </row>
    <row r="57" spans="2:27" x14ac:dyDescent="0.3">
      <c r="B57" s="104">
        <v>44613</v>
      </c>
      <c r="C57" s="62">
        <v>2085.9826659999999</v>
      </c>
      <c r="D57" s="55">
        <f t="shared" si="0"/>
        <v>-6.1339127308764341E-2</v>
      </c>
      <c r="F57" s="104">
        <v>44613</v>
      </c>
      <c r="G57" s="62">
        <v>16658.400390999999</v>
      </c>
      <c r="H57" s="55">
        <f t="shared" si="1"/>
        <v>-3.5765780987070617E-2</v>
      </c>
      <c r="M57" s="104">
        <v>44613</v>
      </c>
      <c r="N57" s="62">
        <v>5010.0585940000001</v>
      </c>
      <c r="O57" s="55">
        <f t="shared" si="2"/>
        <v>9.4158431613571292E-3</v>
      </c>
      <c r="Q57" s="104">
        <v>44613</v>
      </c>
      <c r="R57">
        <v>3307.9948730000001</v>
      </c>
      <c r="S57" s="55">
        <f t="shared" si="3"/>
        <v>-1.691735020858931E-2</v>
      </c>
      <c r="U57" s="104">
        <v>44613</v>
      </c>
      <c r="V57">
        <v>774.51763900000003</v>
      </c>
      <c r="W57" s="55">
        <f t="shared" si="4"/>
        <v>-5.7002688372362442E-2</v>
      </c>
      <c r="Y57" s="104">
        <v>44613</v>
      </c>
      <c r="Z57">
        <v>534.52191200000004</v>
      </c>
      <c r="AA57" s="55">
        <f t="shared" si="5"/>
        <v>-5.385220971903415E-3</v>
      </c>
    </row>
    <row r="58" spans="2:27" x14ac:dyDescent="0.3">
      <c r="B58" s="104">
        <v>44620</v>
      </c>
      <c r="C58" s="62">
        <v>1940.68335</v>
      </c>
      <c r="D58" s="55">
        <f t="shared" si="0"/>
        <v>-6.9655092713987066E-2</v>
      </c>
      <c r="F58" s="104">
        <v>44620</v>
      </c>
      <c r="G58" s="62">
        <v>16245.349609000001</v>
      </c>
      <c r="H58" s="55">
        <f t="shared" si="1"/>
        <v>-2.479534482933643E-2</v>
      </c>
      <c r="M58" s="104">
        <v>44620</v>
      </c>
      <c r="N58" s="62">
        <v>4952.4311520000001</v>
      </c>
      <c r="O58" s="55">
        <f t="shared" si="2"/>
        <v>-1.1502348908456694E-2</v>
      </c>
      <c r="Q58" s="104">
        <v>44620</v>
      </c>
      <c r="R58">
        <v>3258.3183589999999</v>
      </c>
      <c r="S58" s="55">
        <f t="shared" si="3"/>
        <v>-1.5017107313394673E-2</v>
      </c>
      <c r="U58" s="104">
        <v>44620</v>
      </c>
      <c r="V58">
        <v>718.49481200000002</v>
      </c>
      <c r="W58" s="55">
        <f t="shared" si="4"/>
        <v>-7.2332538575018868E-2</v>
      </c>
      <c r="Y58" s="104">
        <v>44620</v>
      </c>
      <c r="Z58">
        <v>528.831909</v>
      </c>
      <c r="AA58" s="55">
        <f t="shared" si="5"/>
        <v>-1.0645032265768073E-2</v>
      </c>
    </row>
    <row r="59" spans="2:27" x14ac:dyDescent="0.3">
      <c r="B59" s="104">
        <v>44627</v>
      </c>
      <c r="C59" s="62">
        <v>2012.660034</v>
      </c>
      <c r="D59" s="55">
        <f t="shared" si="0"/>
        <v>3.708831943140023E-2</v>
      </c>
      <c r="F59" s="104">
        <v>44627</v>
      </c>
      <c r="G59" s="62">
        <v>16630.449218999998</v>
      </c>
      <c r="H59" s="55">
        <f t="shared" si="1"/>
        <v>2.3705221449137115E-2</v>
      </c>
      <c r="M59" s="104">
        <v>44627</v>
      </c>
      <c r="N59" s="62">
        <v>4899.9594729999999</v>
      </c>
      <c r="O59" s="55">
        <f t="shared" si="2"/>
        <v>-1.0595135477816764E-2</v>
      </c>
      <c r="Q59" s="104">
        <v>44627</v>
      </c>
      <c r="R59">
        <v>3092.6164549999999</v>
      </c>
      <c r="S59" s="55">
        <f t="shared" si="3"/>
        <v>-5.0855038011342502E-2</v>
      </c>
      <c r="U59" s="104">
        <v>44627</v>
      </c>
      <c r="V59">
        <v>705.956909</v>
      </c>
      <c r="W59" s="55">
        <f t="shared" si="4"/>
        <v>-1.7450234560635991E-2</v>
      </c>
      <c r="Y59" s="104">
        <v>44627</v>
      </c>
      <c r="Z59">
        <v>537.17083700000001</v>
      </c>
      <c r="AA59" s="55">
        <f t="shared" si="5"/>
        <v>1.5768579501506563E-2</v>
      </c>
    </row>
    <row r="60" spans="2:27" x14ac:dyDescent="0.3">
      <c r="B60" s="104">
        <v>44634</v>
      </c>
      <c r="C60" s="62">
        <v>2020.011475</v>
      </c>
      <c r="D60" s="55">
        <f t="shared" si="0"/>
        <v>3.6525994831773101E-3</v>
      </c>
      <c r="F60" s="104">
        <v>44634</v>
      </c>
      <c r="G60" s="62">
        <v>17287.050781000002</v>
      </c>
      <c r="H60" s="55">
        <f t="shared" si="1"/>
        <v>3.9481889716475482E-2</v>
      </c>
      <c r="M60" s="104">
        <v>44634</v>
      </c>
      <c r="N60" s="62">
        <v>4736.609375</v>
      </c>
      <c r="O60" s="55">
        <f t="shared" si="2"/>
        <v>-3.3337030418333025E-2</v>
      </c>
      <c r="Q60" s="104">
        <v>44634</v>
      </c>
      <c r="R60">
        <v>3243.4348140000002</v>
      </c>
      <c r="S60" s="55">
        <f t="shared" si="3"/>
        <v>4.8767236802405245E-2</v>
      </c>
      <c r="U60" s="104">
        <v>44634</v>
      </c>
      <c r="V60">
        <v>742.82446300000004</v>
      </c>
      <c r="W60" s="55">
        <f t="shared" si="4"/>
        <v>5.2223518928688595E-2</v>
      </c>
      <c r="Y60" s="104">
        <v>44634</v>
      </c>
      <c r="Z60">
        <v>549.63006600000006</v>
      </c>
      <c r="AA60" s="55">
        <f t="shared" si="5"/>
        <v>2.3194164950544494E-2</v>
      </c>
    </row>
    <row r="61" spans="2:27" x14ac:dyDescent="0.3">
      <c r="B61" s="104">
        <v>44641</v>
      </c>
      <c r="C61" s="62">
        <v>1876.778564</v>
      </c>
      <c r="D61" s="55">
        <f t="shared" si="0"/>
        <v>-7.0906978882384841E-2</v>
      </c>
      <c r="F61" s="104">
        <v>44641</v>
      </c>
      <c r="G61" s="62">
        <v>17153</v>
      </c>
      <c r="H61" s="55">
        <f t="shared" si="1"/>
        <v>-7.7544043051771538E-3</v>
      </c>
      <c r="M61" s="104">
        <v>44641</v>
      </c>
      <c r="N61" s="62">
        <v>4777.3134769999997</v>
      </c>
      <c r="O61" s="55">
        <f t="shared" si="2"/>
        <v>8.5935104158763043E-3</v>
      </c>
      <c r="Q61" s="104">
        <v>44641</v>
      </c>
      <c r="R61">
        <v>2990.7502439999998</v>
      </c>
      <c r="S61" s="55">
        <f t="shared" si="3"/>
        <v>-7.7906473997661263E-2</v>
      </c>
      <c r="U61" s="104">
        <v>44641</v>
      </c>
      <c r="V61">
        <v>681.47796600000004</v>
      </c>
      <c r="W61" s="55">
        <f t="shared" si="4"/>
        <v>-8.2585455993524515E-2</v>
      </c>
      <c r="Y61" s="104">
        <v>44641</v>
      </c>
      <c r="Z61">
        <v>509.946777</v>
      </c>
      <c r="AA61" s="55">
        <f t="shared" si="5"/>
        <v>-7.2199996788385401E-2</v>
      </c>
    </row>
    <row r="62" spans="2:27" x14ac:dyDescent="0.3">
      <c r="B62" s="104">
        <v>44648</v>
      </c>
      <c r="C62" s="62">
        <v>1997.044189</v>
      </c>
      <c r="D62" s="55">
        <f t="shared" si="0"/>
        <v>6.408088162711989E-2</v>
      </c>
      <c r="F62" s="104">
        <v>44648</v>
      </c>
      <c r="G62" s="62">
        <v>17670.449218999998</v>
      </c>
      <c r="H62" s="55">
        <f t="shared" si="1"/>
        <v>3.0166689150585846E-2</v>
      </c>
      <c r="M62" s="104">
        <v>44648</v>
      </c>
      <c r="N62" s="62">
        <v>4877.2490230000003</v>
      </c>
      <c r="O62" s="55">
        <f t="shared" si="2"/>
        <v>2.0918775056552708E-2</v>
      </c>
      <c r="Q62" s="104">
        <v>44648</v>
      </c>
      <c r="R62">
        <v>3122.3354490000002</v>
      </c>
      <c r="S62" s="55">
        <f t="shared" si="3"/>
        <v>4.3997390040838358E-2</v>
      </c>
      <c r="U62" s="104">
        <v>44648</v>
      </c>
      <c r="V62">
        <v>749.29247999999995</v>
      </c>
      <c r="W62" s="55">
        <f t="shared" si="4"/>
        <v>9.9510941488018645E-2</v>
      </c>
      <c r="Y62" s="104">
        <v>44648</v>
      </c>
      <c r="Z62">
        <v>532.167419</v>
      </c>
      <c r="AA62" s="55">
        <f t="shared" si="5"/>
        <v>4.3574433651141664E-2</v>
      </c>
    </row>
    <row r="63" spans="2:27" x14ac:dyDescent="0.3">
      <c r="B63" s="104">
        <v>44655</v>
      </c>
      <c r="C63" s="62">
        <v>2097.8500979999999</v>
      </c>
      <c r="D63" s="55">
        <f t="shared" si="0"/>
        <v>5.0477555556984077E-2</v>
      </c>
      <c r="F63" s="104">
        <v>44655</v>
      </c>
      <c r="G63" s="62">
        <v>17784.349609000001</v>
      </c>
      <c r="H63" s="55">
        <f t="shared" si="1"/>
        <v>6.4458117950692007E-3</v>
      </c>
      <c r="M63" s="104">
        <v>44655</v>
      </c>
      <c r="N63" s="62">
        <v>5060.5859380000002</v>
      </c>
      <c r="O63" s="55">
        <f t="shared" si="2"/>
        <v>3.7590230504004341E-2</v>
      </c>
      <c r="Q63" s="104">
        <v>44655</v>
      </c>
      <c r="R63">
        <v>3235.6545409999999</v>
      </c>
      <c r="S63" s="55">
        <f t="shared" si="3"/>
        <v>3.629305494266899E-2</v>
      </c>
      <c r="U63" s="104">
        <v>44655</v>
      </c>
      <c r="V63">
        <v>807.65368699999999</v>
      </c>
      <c r="W63" s="55">
        <f t="shared" si="4"/>
        <v>7.7888419486073168E-2</v>
      </c>
      <c r="Y63" s="104">
        <v>44655</v>
      </c>
      <c r="Z63">
        <v>546.39263900000003</v>
      </c>
      <c r="AA63" s="55">
        <f t="shared" si="5"/>
        <v>2.6730723250083077E-2</v>
      </c>
    </row>
    <row r="64" spans="2:27" x14ac:dyDescent="0.3">
      <c r="B64" s="104">
        <v>44662</v>
      </c>
      <c r="C64" s="62">
        <v>2068.15625</v>
      </c>
      <c r="D64" s="55">
        <f t="shared" si="0"/>
        <v>-1.4154418386856493E-2</v>
      </c>
      <c r="F64" s="104">
        <v>44662</v>
      </c>
      <c r="G64" s="62">
        <v>17475.650390999999</v>
      </c>
      <c r="H64" s="55">
        <f t="shared" si="1"/>
        <v>-1.7357914390289553E-2</v>
      </c>
      <c r="M64" s="104">
        <v>44662</v>
      </c>
      <c r="N64" s="62">
        <v>5035.638672</v>
      </c>
      <c r="O64" s="55">
        <f t="shared" si="2"/>
        <v>-4.9297188716174167E-3</v>
      </c>
      <c r="Q64" s="104">
        <v>44662</v>
      </c>
      <c r="R64">
        <v>3237.3459469999998</v>
      </c>
      <c r="S64" s="55">
        <f t="shared" si="3"/>
        <v>5.2273998307539316E-4</v>
      </c>
      <c r="U64" s="104">
        <v>44662</v>
      </c>
      <c r="V64">
        <v>782.47820999999999</v>
      </c>
      <c r="W64" s="55">
        <f t="shared" si="4"/>
        <v>-3.1171128672133452E-2</v>
      </c>
      <c r="Y64" s="104">
        <v>44662</v>
      </c>
      <c r="Z64">
        <v>545.36248799999998</v>
      </c>
      <c r="AA64" s="55">
        <f t="shared" si="5"/>
        <v>-1.8853676394422481E-3</v>
      </c>
    </row>
    <row r="65" spans="2:27" x14ac:dyDescent="0.3">
      <c r="B65" s="104">
        <v>44669</v>
      </c>
      <c r="C65" s="62">
        <v>2043.9398189999999</v>
      </c>
      <c r="D65" s="55">
        <f t="shared" si="0"/>
        <v>-1.1709188316888608E-2</v>
      </c>
      <c r="F65" s="104">
        <v>44669</v>
      </c>
      <c r="G65" s="62">
        <v>17171.949218999998</v>
      </c>
      <c r="H65" s="55">
        <f t="shared" si="1"/>
        <v>-1.7378533285170805E-2</v>
      </c>
      <c r="M65" s="104">
        <v>44669</v>
      </c>
      <c r="N65" s="62">
        <v>5031.8940430000002</v>
      </c>
      <c r="O65" s="55">
        <f t="shared" si="2"/>
        <v>-7.4362543540329451E-4</v>
      </c>
      <c r="Q65" s="104">
        <v>44669</v>
      </c>
      <c r="R65">
        <v>3251.3115229999999</v>
      </c>
      <c r="S65" s="55">
        <f t="shared" si="3"/>
        <v>4.3138967007656515E-3</v>
      </c>
      <c r="U65" s="104">
        <v>44669</v>
      </c>
      <c r="V65">
        <v>793.12554899999998</v>
      </c>
      <c r="W65" s="55">
        <f t="shared" si="4"/>
        <v>1.3607201918121037E-2</v>
      </c>
      <c r="Y65" s="104">
        <v>44669</v>
      </c>
      <c r="Z65">
        <v>549.23767099999998</v>
      </c>
      <c r="AA65" s="55">
        <f t="shared" si="5"/>
        <v>7.1057014101050253E-3</v>
      </c>
    </row>
    <row r="66" spans="2:27" x14ac:dyDescent="0.3">
      <c r="B66" s="104">
        <v>44676</v>
      </c>
      <c r="C66" s="62">
        <v>2147.6289059999999</v>
      </c>
      <c r="D66" s="55">
        <f t="shared" si="0"/>
        <v>5.073000977628106E-2</v>
      </c>
      <c r="F66" s="104">
        <v>44676</v>
      </c>
      <c r="G66" s="62">
        <v>17102.550781000002</v>
      </c>
      <c r="H66" s="55">
        <f t="shared" si="1"/>
        <v>-4.041383835634127E-3</v>
      </c>
      <c r="M66" s="104">
        <v>44676</v>
      </c>
      <c r="N66" s="62">
        <v>5120.9848629999997</v>
      </c>
      <c r="O66" s="55">
        <f t="shared" si="2"/>
        <v>1.7705225753697151E-2</v>
      </c>
      <c r="Q66" s="104">
        <v>44676</v>
      </c>
      <c r="R66">
        <v>3169.3061520000001</v>
      </c>
      <c r="S66" s="55">
        <f t="shared" si="3"/>
        <v>-2.5222243522310395E-2</v>
      </c>
      <c r="U66" s="104">
        <v>44676</v>
      </c>
      <c r="V66">
        <v>778.547729</v>
      </c>
      <c r="W66" s="55">
        <f t="shared" si="4"/>
        <v>-1.8380217379682429E-2</v>
      </c>
      <c r="Y66" s="104">
        <v>44676</v>
      </c>
      <c r="Z66">
        <v>546.14739999999995</v>
      </c>
      <c r="AA66" s="55">
        <f t="shared" si="5"/>
        <v>-5.6264731338867557E-3</v>
      </c>
    </row>
    <row r="67" spans="2:27" x14ac:dyDescent="0.3">
      <c r="B67" s="104">
        <v>44683</v>
      </c>
      <c r="C67" s="62">
        <v>2065.3210450000001</v>
      </c>
      <c r="D67" s="55">
        <f t="shared" si="0"/>
        <v>-3.8324992166966054E-2</v>
      </c>
      <c r="F67" s="104">
        <v>44683</v>
      </c>
      <c r="G67" s="62">
        <v>16411.25</v>
      </c>
      <c r="H67" s="55">
        <f t="shared" si="1"/>
        <v>-4.0420916730619982E-2</v>
      </c>
      <c r="M67" s="104">
        <v>44683</v>
      </c>
      <c r="N67" s="62">
        <v>4915.5209960000002</v>
      </c>
      <c r="O67" s="55">
        <f t="shared" si="2"/>
        <v>-4.0121943824616868E-2</v>
      </c>
      <c r="Q67" s="104">
        <v>44683</v>
      </c>
      <c r="R67">
        <v>3196.8989259999998</v>
      </c>
      <c r="S67" s="55">
        <f t="shared" si="3"/>
        <v>8.7062507301756131E-3</v>
      </c>
      <c r="U67" s="104">
        <v>44683</v>
      </c>
      <c r="V67">
        <v>752.37713599999995</v>
      </c>
      <c r="W67" s="55">
        <f t="shared" si="4"/>
        <v>-3.3614628911209699E-2</v>
      </c>
      <c r="Y67" s="104">
        <v>44683</v>
      </c>
      <c r="Z67">
        <v>501.11740099999997</v>
      </c>
      <c r="AA67" s="55">
        <f t="shared" si="5"/>
        <v>-8.2450267089067886E-2</v>
      </c>
    </row>
    <row r="68" spans="2:27" x14ac:dyDescent="0.3">
      <c r="B68" s="104">
        <v>44690</v>
      </c>
      <c r="C68" s="62">
        <v>2108.4692380000001</v>
      </c>
      <c r="D68" s="55">
        <f t="shared" si="0"/>
        <v>2.0891760680238347E-2</v>
      </c>
      <c r="F68" s="104">
        <v>44690</v>
      </c>
      <c r="G68" s="62">
        <v>15782.150390999999</v>
      </c>
      <c r="H68" s="55">
        <f t="shared" si="1"/>
        <v>-3.8333436453652281E-2</v>
      </c>
      <c r="M68" s="104">
        <v>44690</v>
      </c>
      <c r="N68" s="62">
        <v>4722.701172</v>
      </c>
      <c r="O68" s="55">
        <f t="shared" si="2"/>
        <v>-3.9226731847327501E-2</v>
      </c>
      <c r="Q68" s="104">
        <v>44690</v>
      </c>
      <c r="R68">
        <v>3168.5812989999999</v>
      </c>
      <c r="S68" s="55">
        <f t="shared" si="3"/>
        <v>-8.8578424452822047E-3</v>
      </c>
      <c r="U68" s="104">
        <v>44690</v>
      </c>
      <c r="V68">
        <v>793.27484100000004</v>
      </c>
      <c r="W68" s="55">
        <f t="shared" si="4"/>
        <v>5.4357984902933199E-2</v>
      </c>
      <c r="Y68" s="104">
        <v>44690</v>
      </c>
      <c r="Z68">
        <v>491.30697600000002</v>
      </c>
      <c r="AA68" s="55">
        <f t="shared" si="5"/>
        <v>-1.9577099059866709E-2</v>
      </c>
    </row>
    <row r="69" spans="2:27" x14ac:dyDescent="0.3">
      <c r="B69" s="104">
        <v>44697</v>
      </c>
      <c r="C69" s="62">
        <v>2235.1728520000001</v>
      </c>
      <c r="D69" s="55">
        <f t="shared" si="0"/>
        <v>6.009270219193974E-2</v>
      </c>
      <c r="F69" s="104">
        <v>44697</v>
      </c>
      <c r="G69" s="62">
        <v>16266.150390999999</v>
      </c>
      <c r="H69" s="55">
        <f t="shared" si="1"/>
        <v>3.0667557209187901E-2</v>
      </c>
      <c r="M69" s="104">
        <v>44697</v>
      </c>
      <c r="N69" s="62">
        <v>4748.7670900000003</v>
      </c>
      <c r="O69" s="55">
        <f t="shared" si="2"/>
        <v>5.519281667563547E-3</v>
      </c>
      <c r="Q69" s="104">
        <v>44697</v>
      </c>
      <c r="R69">
        <v>3334.5732419999999</v>
      </c>
      <c r="S69" s="55">
        <f t="shared" si="3"/>
        <v>5.2386834149525052E-2</v>
      </c>
      <c r="U69" s="104">
        <v>44697</v>
      </c>
      <c r="V69">
        <v>754.66589399999998</v>
      </c>
      <c r="W69" s="55">
        <f t="shared" si="4"/>
        <v>-4.8670328371097415E-2</v>
      </c>
      <c r="Y69" s="104">
        <v>44697</v>
      </c>
      <c r="Z69">
        <v>493.80865499999999</v>
      </c>
      <c r="AA69" s="55">
        <f t="shared" si="5"/>
        <v>5.0918857704149723E-3</v>
      </c>
    </row>
    <row r="70" spans="2:27" x14ac:dyDescent="0.3">
      <c r="B70" s="104">
        <v>44704</v>
      </c>
      <c r="C70" s="62">
        <v>2239.6420899999998</v>
      </c>
      <c r="D70" s="55">
        <f t="shared" si="0"/>
        <v>1.9995044213250157E-3</v>
      </c>
      <c r="F70" s="104">
        <v>44704</v>
      </c>
      <c r="G70" s="62">
        <v>16352.450194999999</v>
      </c>
      <c r="H70" s="55">
        <f t="shared" si="1"/>
        <v>5.3054842064996777E-3</v>
      </c>
      <c r="M70" s="104">
        <v>44704</v>
      </c>
      <c r="N70" s="62">
        <v>4730.4331050000001</v>
      </c>
      <c r="O70" s="55">
        <f t="shared" si="2"/>
        <v>-3.8607884220323019E-3</v>
      </c>
      <c r="Q70" s="104">
        <v>44704</v>
      </c>
      <c r="R70">
        <v>3438.3239749999998</v>
      </c>
      <c r="S70" s="55">
        <f t="shared" si="3"/>
        <v>3.1113646476024881E-2</v>
      </c>
      <c r="U70" s="104">
        <v>44704</v>
      </c>
      <c r="V70">
        <v>780.23931900000002</v>
      </c>
      <c r="W70" s="55">
        <f t="shared" si="4"/>
        <v>3.3887081956826881E-2</v>
      </c>
      <c r="Y70" s="104">
        <v>44704</v>
      </c>
      <c r="Z70">
        <v>488.26577800000001</v>
      </c>
      <c r="AA70" s="55">
        <f t="shared" si="5"/>
        <v>-1.1224746556943166E-2</v>
      </c>
    </row>
    <row r="71" spans="2:27" x14ac:dyDescent="0.3">
      <c r="B71" s="104">
        <v>44711</v>
      </c>
      <c r="C71" s="62">
        <v>2202.5</v>
      </c>
      <c r="D71" s="55">
        <f t="shared" si="0"/>
        <v>-1.6583939981231532E-2</v>
      </c>
      <c r="F71" s="104">
        <v>44711</v>
      </c>
      <c r="G71" s="62">
        <v>16584.300781000002</v>
      </c>
      <c r="H71" s="55">
        <f t="shared" si="1"/>
        <v>1.4178339223494207E-2</v>
      </c>
      <c r="M71" s="104">
        <v>44711</v>
      </c>
      <c r="N71" s="62">
        <v>4762.3833009999998</v>
      </c>
      <c r="O71" s="55">
        <f t="shared" si="2"/>
        <v>6.7541798585479818E-3</v>
      </c>
      <c r="Q71" s="104">
        <v>44711</v>
      </c>
      <c r="R71">
        <v>3411.6491700000001</v>
      </c>
      <c r="S71" s="55">
        <f t="shared" si="3"/>
        <v>-7.7580836459716362E-3</v>
      </c>
      <c r="U71" s="104">
        <v>44711</v>
      </c>
      <c r="V71">
        <v>759.59149200000002</v>
      </c>
      <c r="W71" s="55">
        <f t="shared" si="4"/>
        <v>-2.646345358045199E-2</v>
      </c>
      <c r="Y71" s="104">
        <v>44711</v>
      </c>
      <c r="Z71">
        <v>504.20773300000002</v>
      </c>
      <c r="AA71" s="55">
        <f t="shared" si="5"/>
        <v>3.2650158414337938E-2</v>
      </c>
    </row>
    <row r="72" spans="2:27" x14ac:dyDescent="0.3">
      <c r="B72" s="104">
        <v>44718</v>
      </c>
      <c r="C72" s="62">
        <v>2114.0427249999998</v>
      </c>
      <c r="D72" s="55">
        <f t="shared" si="0"/>
        <v>-4.0162213393870716E-2</v>
      </c>
      <c r="F72" s="104">
        <v>44718</v>
      </c>
      <c r="G72" s="62">
        <v>16201.799805000001</v>
      </c>
      <c r="H72" s="55">
        <f t="shared" si="1"/>
        <v>-2.3064039964724836E-2</v>
      </c>
      <c r="M72" s="104">
        <v>44718</v>
      </c>
      <c r="N72" s="62">
        <v>4818.4541019999997</v>
      </c>
      <c r="O72" s="55">
        <f t="shared" si="2"/>
        <v>1.1773685034597303E-2</v>
      </c>
      <c r="Q72" s="104">
        <v>44718</v>
      </c>
      <c r="R72">
        <v>3248.1704100000002</v>
      </c>
      <c r="S72" s="55">
        <f t="shared" si="3"/>
        <v>-4.7917810962960217E-2</v>
      </c>
      <c r="U72" s="104">
        <v>44718</v>
      </c>
      <c r="V72">
        <v>746.25750700000003</v>
      </c>
      <c r="W72" s="55">
        <f t="shared" si="4"/>
        <v>-1.7554152647091481E-2</v>
      </c>
      <c r="Y72" s="104">
        <v>44718</v>
      </c>
      <c r="Z72">
        <v>492.72952299999997</v>
      </c>
      <c r="AA72" s="55">
        <f t="shared" si="5"/>
        <v>-2.2764843235754229E-2</v>
      </c>
    </row>
    <row r="73" spans="2:27" x14ac:dyDescent="0.3">
      <c r="B73" s="104">
        <v>44725</v>
      </c>
      <c r="C73" s="62">
        <v>2028.0836179999999</v>
      </c>
      <c r="D73" s="55">
        <f t="shared" ref="D73:D136" si="6">+C73/C72-1</f>
        <v>-4.0661007454331322E-2</v>
      </c>
      <c r="F73" s="104">
        <v>44725</v>
      </c>
      <c r="G73" s="62">
        <v>15293.5</v>
      </c>
      <c r="H73" s="55">
        <f t="shared" ref="H73:H136" si="7">+G73/G72-1</f>
        <v>-5.606166079892505E-2</v>
      </c>
      <c r="M73" s="104">
        <v>44725</v>
      </c>
      <c r="N73" s="62">
        <v>4771.3315430000002</v>
      </c>
      <c r="O73" s="55">
        <f t="shared" ref="O73:O136" si="8">+N73/N72-1</f>
        <v>-9.7796010924832144E-3</v>
      </c>
      <c r="Q73" s="104">
        <v>44725</v>
      </c>
      <c r="R73">
        <v>3220.3842770000001</v>
      </c>
      <c r="S73" s="55">
        <f t="shared" ref="S73:S136" si="9">+R73/R72-1</f>
        <v>-8.5543950879104491E-3</v>
      </c>
      <c r="U73" s="104">
        <v>44725</v>
      </c>
      <c r="V73">
        <v>721.72882100000004</v>
      </c>
      <c r="W73" s="55">
        <f t="shared" ref="W73:W136" si="10">+V73/V72-1</f>
        <v>-3.2868930322197731E-2</v>
      </c>
      <c r="Y73" s="104">
        <v>44725</v>
      </c>
      <c r="Z73">
        <v>475.414063</v>
      </c>
      <c r="AA73" s="55">
        <f t="shared" ref="AA73:AA136" si="11">+Z73/Z72-1</f>
        <v>-3.5141916998547629E-2</v>
      </c>
    </row>
    <row r="74" spans="2:27" x14ac:dyDescent="0.3">
      <c r="B74" s="104">
        <v>44732</v>
      </c>
      <c r="C74" s="62">
        <v>2253.477539</v>
      </c>
      <c r="D74" s="55">
        <f t="shared" si="6"/>
        <v>0.11113640433734817</v>
      </c>
      <c r="F74" s="104">
        <v>44732</v>
      </c>
      <c r="G74" s="62">
        <v>15699.25</v>
      </c>
      <c r="H74" s="55">
        <f t="shared" si="7"/>
        <v>2.6530879131657192E-2</v>
      </c>
      <c r="M74" s="104">
        <v>44732</v>
      </c>
      <c r="N74" s="62">
        <v>4843.5966799999997</v>
      </c>
      <c r="O74" s="55">
        <f t="shared" si="8"/>
        <v>1.5145695986274355E-2</v>
      </c>
      <c r="Q74" s="104">
        <v>44732</v>
      </c>
      <c r="R74">
        <v>3353.0327149999998</v>
      </c>
      <c r="S74" s="55">
        <f t="shared" si="9"/>
        <v>4.1190251407999812E-2</v>
      </c>
      <c r="U74" s="104">
        <v>44732</v>
      </c>
      <c r="V74">
        <v>790.637878</v>
      </c>
      <c r="W74" s="55">
        <f t="shared" si="10"/>
        <v>9.5477768096502214E-2</v>
      </c>
      <c r="Y74" s="104">
        <v>44732</v>
      </c>
      <c r="Z74">
        <v>500.08734099999998</v>
      </c>
      <c r="AA74" s="55">
        <f t="shared" si="11"/>
        <v>5.1898502632220067E-2</v>
      </c>
    </row>
    <row r="75" spans="2:27" x14ac:dyDescent="0.3">
      <c r="B75" s="104">
        <v>44739</v>
      </c>
      <c r="C75" s="62">
        <v>2232.399414</v>
      </c>
      <c r="D75" s="55">
        <f t="shared" si="6"/>
        <v>-9.3535988867027298E-3</v>
      </c>
      <c r="F75" s="104">
        <v>44739</v>
      </c>
      <c r="G75" s="62">
        <v>15752.049805000001</v>
      </c>
      <c r="H75" s="55">
        <f t="shared" si="7"/>
        <v>3.3632055671448668E-3</v>
      </c>
      <c r="M75" s="104">
        <v>44739</v>
      </c>
      <c r="N75" s="62">
        <v>4899.1806640000004</v>
      </c>
      <c r="O75" s="55">
        <f t="shared" si="8"/>
        <v>1.1475766392671893E-2</v>
      </c>
      <c r="Q75" s="104">
        <v>44739</v>
      </c>
      <c r="R75">
        <v>3523.929932</v>
      </c>
      <c r="S75" s="55">
        <f t="shared" si="9"/>
        <v>5.096795394673026E-2</v>
      </c>
      <c r="U75" s="104">
        <v>44739</v>
      </c>
      <c r="V75">
        <v>777.65210000000002</v>
      </c>
      <c r="W75" s="55">
        <f t="shared" si="10"/>
        <v>-1.6424431919261018E-2</v>
      </c>
      <c r="Y75" s="104">
        <v>44739</v>
      </c>
      <c r="Z75">
        <v>501.55886800000002</v>
      </c>
      <c r="AA75" s="55">
        <f t="shared" si="11"/>
        <v>2.9425399912292871E-3</v>
      </c>
    </row>
    <row r="76" spans="2:27" x14ac:dyDescent="0.3">
      <c r="B76" s="104">
        <v>44746</v>
      </c>
      <c r="C76" s="62">
        <v>2442.2048340000001</v>
      </c>
      <c r="D76" s="55">
        <f t="shared" si="6"/>
        <v>9.3982026103506255E-2</v>
      </c>
      <c r="F76" s="104">
        <v>44746</v>
      </c>
      <c r="G76" s="62">
        <v>16220.599609000001</v>
      </c>
      <c r="H76" s="55">
        <f t="shared" si="7"/>
        <v>2.9745322659611828E-2</v>
      </c>
      <c r="M76" s="104">
        <v>44746</v>
      </c>
      <c r="N76" s="62">
        <v>4908.1289059999999</v>
      </c>
      <c r="O76" s="55">
        <f t="shared" si="8"/>
        <v>1.8264772446039412E-3</v>
      </c>
      <c r="Q76" s="104">
        <v>44746</v>
      </c>
      <c r="R76">
        <v>3752.6088869999999</v>
      </c>
      <c r="S76" s="55">
        <f t="shared" si="9"/>
        <v>6.4893161729300708E-2</v>
      </c>
      <c r="U76" s="104">
        <v>44746</v>
      </c>
      <c r="V76">
        <v>846.06359899999995</v>
      </c>
      <c r="W76" s="55">
        <f t="shared" si="10"/>
        <v>8.7971856566708917E-2</v>
      </c>
      <c r="Y76" s="104">
        <v>44746</v>
      </c>
      <c r="Z76">
        <v>533.59002699999996</v>
      </c>
      <c r="AA76" s="55">
        <f t="shared" si="11"/>
        <v>6.3863209373062002E-2</v>
      </c>
    </row>
    <row r="77" spans="2:27" x14ac:dyDescent="0.3">
      <c r="B77" s="104">
        <v>44753</v>
      </c>
      <c r="C77" s="62">
        <v>2512.2866210000002</v>
      </c>
      <c r="D77" s="55">
        <f t="shared" si="6"/>
        <v>2.869611345630485E-2</v>
      </c>
      <c r="F77" s="104">
        <v>44753</v>
      </c>
      <c r="G77" s="62">
        <v>16049.200194999999</v>
      </c>
      <c r="H77" s="55">
        <f t="shared" si="7"/>
        <v>-1.0566774233481513E-2</v>
      </c>
      <c r="M77" s="104">
        <v>44753</v>
      </c>
      <c r="N77" s="62">
        <v>4939.3500979999999</v>
      </c>
      <c r="O77" s="55">
        <f t="shared" si="8"/>
        <v>6.3611189921750633E-3</v>
      </c>
      <c r="Q77" s="104">
        <v>44753</v>
      </c>
      <c r="R77">
        <v>3784.0202640000002</v>
      </c>
      <c r="S77" s="55">
        <f t="shared" si="9"/>
        <v>8.3705437859025178E-3</v>
      </c>
      <c r="U77" s="104">
        <v>44753</v>
      </c>
      <c r="V77">
        <v>869.89569100000006</v>
      </c>
      <c r="W77" s="55">
        <f t="shared" si="10"/>
        <v>2.8168203936640657E-2</v>
      </c>
      <c r="Y77" s="104">
        <v>44753</v>
      </c>
      <c r="Z77">
        <v>537.95556599999998</v>
      </c>
      <c r="AA77" s="55">
        <f t="shared" si="11"/>
        <v>8.1814478890176456E-3</v>
      </c>
    </row>
    <row r="78" spans="2:27" x14ac:dyDescent="0.3">
      <c r="B78" s="104">
        <v>44760</v>
      </c>
      <c r="C78" s="62">
        <v>2582.8085940000001</v>
      </c>
      <c r="D78" s="55">
        <f t="shared" si="6"/>
        <v>2.8070830935655433E-2</v>
      </c>
      <c r="F78" s="104">
        <v>44760</v>
      </c>
      <c r="G78" s="62">
        <v>16719.449218999998</v>
      </c>
      <c r="H78" s="55">
        <f t="shared" si="7"/>
        <v>4.1762144895470144E-2</v>
      </c>
      <c r="M78" s="104">
        <v>44760</v>
      </c>
      <c r="N78" s="62">
        <v>5363.3588870000003</v>
      </c>
      <c r="O78" s="55">
        <f t="shared" si="8"/>
        <v>8.5843032096810878E-2</v>
      </c>
      <c r="Q78" s="104">
        <v>44760</v>
      </c>
      <c r="R78">
        <v>3806.1901859999998</v>
      </c>
      <c r="S78" s="55">
        <f t="shared" si="9"/>
        <v>5.8588275044182403E-3</v>
      </c>
      <c r="U78" s="104">
        <v>44760</v>
      </c>
      <c r="V78">
        <v>879.00061000000005</v>
      </c>
      <c r="W78" s="55">
        <f t="shared" si="10"/>
        <v>1.0466679044625726E-2</v>
      </c>
      <c r="Y78" s="104">
        <v>44760</v>
      </c>
      <c r="Z78">
        <v>565.37579300000004</v>
      </c>
      <c r="AA78" s="55">
        <f t="shared" si="11"/>
        <v>5.0971174448263046E-2</v>
      </c>
    </row>
    <row r="79" spans="2:27" x14ac:dyDescent="0.3">
      <c r="B79" s="104">
        <v>44767</v>
      </c>
      <c r="C79" s="62">
        <v>2579.6784670000002</v>
      </c>
      <c r="D79" s="55">
        <f t="shared" si="6"/>
        <v>-1.2119082332586739E-3</v>
      </c>
      <c r="F79" s="104">
        <v>44767</v>
      </c>
      <c r="G79" s="62">
        <v>17158.25</v>
      </c>
      <c r="H79" s="55">
        <f t="shared" si="7"/>
        <v>2.6244930395275645E-2</v>
      </c>
      <c r="M79" s="104">
        <v>44767</v>
      </c>
      <c r="N79" s="62">
        <v>5058.8344729999999</v>
      </c>
      <c r="O79" s="55">
        <f t="shared" si="8"/>
        <v>-5.6778675530761769E-2</v>
      </c>
      <c r="Q79" s="104">
        <v>44767</v>
      </c>
      <c r="R79">
        <v>3834.6520999999998</v>
      </c>
      <c r="S79" s="55">
        <f t="shared" si="9"/>
        <v>7.4777960661789322E-3</v>
      </c>
      <c r="U79" s="104">
        <v>44767</v>
      </c>
      <c r="V79">
        <v>849.54638699999998</v>
      </c>
      <c r="W79" s="55">
        <f t="shared" si="10"/>
        <v>-3.3508762866501396E-2</v>
      </c>
      <c r="Y79" s="104">
        <v>44767</v>
      </c>
      <c r="Z79">
        <v>575.81292699999995</v>
      </c>
      <c r="AA79" s="55">
        <f t="shared" si="11"/>
        <v>1.8460525068854317E-2</v>
      </c>
    </row>
    <row r="80" spans="2:27" x14ac:dyDescent="0.3">
      <c r="B80" s="104">
        <v>44774</v>
      </c>
      <c r="C80" s="62">
        <v>2587.5034179999998</v>
      </c>
      <c r="D80" s="55">
        <f t="shared" si="6"/>
        <v>3.0333047703807736E-3</v>
      </c>
      <c r="F80" s="104">
        <v>44774</v>
      </c>
      <c r="G80" s="62">
        <v>17397.5</v>
      </c>
      <c r="H80" s="55">
        <f t="shared" si="7"/>
        <v>1.3943729692713402E-2</v>
      </c>
      <c r="M80" s="104">
        <v>44774</v>
      </c>
      <c r="N80" s="62">
        <v>4971.5429690000001</v>
      </c>
      <c r="O80" s="55">
        <f t="shared" si="8"/>
        <v>-1.7255259974583437E-2</v>
      </c>
      <c r="Q80" s="104">
        <v>44774</v>
      </c>
      <c r="R80">
        <v>3625.9309079999998</v>
      </c>
      <c r="S80" s="55">
        <f t="shared" si="9"/>
        <v>-5.4430281172052064E-2</v>
      </c>
      <c r="U80" s="104">
        <v>44774</v>
      </c>
      <c r="V80">
        <v>868.80108600000005</v>
      </c>
      <c r="W80" s="55">
        <f t="shared" si="10"/>
        <v>2.2664682346533294E-2</v>
      </c>
      <c r="Y80" s="104">
        <v>44774</v>
      </c>
      <c r="Z80">
        <v>570.93322799999999</v>
      </c>
      <c r="AA80" s="55">
        <f t="shared" si="11"/>
        <v>-8.4744519811725816E-3</v>
      </c>
    </row>
    <row r="81" spans="2:27" x14ac:dyDescent="0.3">
      <c r="B81" s="104">
        <v>44781</v>
      </c>
      <c r="C81" s="62">
        <v>2538.157471</v>
      </c>
      <c r="D81" s="55">
        <f t="shared" si="6"/>
        <v>-1.9070872199327016E-2</v>
      </c>
      <c r="F81" s="104">
        <v>44781</v>
      </c>
      <c r="G81" s="62">
        <v>17698.150390999999</v>
      </c>
      <c r="H81" s="55">
        <f t="shared" si="7"/>
        <v>1.7281241040379314E-2</v>
      </c>
      <c r="M81" s="104">
        <v>44781</v>
      </c>
      <c r="N81" s="62">
        <v>5050.1303710000002</v>
      </c>
      <c r="O81" s="55">
        <f t="shared" si="8"/>
        <v>1.5807447001872754E-2</v>
      </c>
      <c r="Q81" s="104">
        <v>44781</v>
      </c>
      <c r="R81">
        <v>3598.0588379999999</v>
      </c>
      <c r="S81" s="55">
        <f t="shared" si="9"/>
        <v>-7.6868728906293038E-3</v>
      </c>
      <c r="U81" s="104">
        <v>44781</v>
      </c>
      <c r="V81">
        <v>860.54199200000005</v>
      </c>
      <c r="W81" s="55">
        <f t="shared" si="10"/>
        <v>-9.5063117819352838E-3</v>
      </c>
      <c r="Y81" s="104">
        <v>44781</v>
      </c>
      <c r="Z81">
        <v>573.34832800000004</v>
      </c>
      <c r="AA81" s="55">
        <f t="shared" si="11"/>
        <v>4.2300918593585202E-3</v>
      </c>
    </row>
    <row r="82" spans="2:27" x14ac:dyDescent="0.3">
      <c r="B82" s="104">
        <v>44788</v>
      </c>
      <c r="C82" s="62">
        <v>2576.8908689999998</v>
      </c>
      <c r="D82" s="55">
        <f t="shared" si="6"/>
        <v>1.5260439292105632E-2</v>
      </c>
      <c r="F82" s="104">
        <v>44788</v>
      </c>
      <c r="G82" s="62">
        <v>17758.449218999998</v>
      </c>
      <c r="H82" s="55">
        <f t="shared" si="7"/>
        <v>3.4070694771959342E-3</v>
      </c>
      <c r="M82" s="104">
        <v>44788</v>
      </c>
      <c r="N82" s="62">
        <v>5172.2895509999998</v>
      </c>
      <c r="O82" s="55">
        <f t="shared" si="8"/>
        <v>2.4189312161422505E-2</v>
      </c>
      <c r="Q82" s="104">
        <v>44788</v>
      </c>
      <c r="R82">
        <v>3600.811768</v>
      </c>
      <c r="S82" s="55">
        <f t="shared" si="9"/>
        <v>7.6511533689371802E-4</v>
      </c>
      <c r="U82" s="104">
        <v>44788</v>
      </c>
      <c r="V82">
        <v>901.43963599999995</v>
      </c>
      <c r="W82" s="55">
        <f t="shared" si="10"/>
        <v>4.7525448357202293E-2</v>
      </c>
      <c r="Y82" s="104">
        <v>44788</v>
      </c>
      <c r="Z82">
        <v>578.86895800000002</v>
      </c>
      <c r="AA82" s="55">
        <f t="shared" si="11"/>
        <v>9.6287539884480911E-3</v>
      </c>
    </row>
    <row r="83" spans="2:27" x14ac:dyDescent="0.3">
      <c r="B83" s="104">
        <v>44795</v>
      </c>
      <c r="C83" s="62">
        <v>2515.2700199999999</v>
      </c>
      <c r="D83" s="55">
        <f t="shared" si="6"/>
        <v>-2.3912867145946648E-2</v>
      </c>
      <c r="F83" s="104">
        <v>44795</v>
      </c>
      <c r="G83" s="62">
        <v>17558.900390999999</v>
      </c>
      <c r="H83" s="55">
        <f t="shared" si="7"/>
        <v>-1.1236838619134604E-2</v>
      </c>
      <c r="M83" s="104">
        <v>44795</v>
      </c>
      <c r="N83" s="62">
        <v>5284.8701170000004</v>
      </c>
      <c r="O83" s="55">
        <f t="shared" si="8"/>
        <v>2.1766098918076793E-2</v>
      </c>
      <c r="Q83" s="104">
        <v>44795</v>
      </c>
      <c r="R83">
        <v>3588.6206050000001</v>
      </c>
      <c r="S83" s="55">
        <f t="shared" si="9"/>
        <v>-3.3856707280123244E-3</v>
      </c>
      <c r="U83" s="104">
        <v>44795</v>
      </c>
      <c r="V83">
        <v>893.37951699999996</v>
      </c>
      <c r="W83" s="55">
        <f t="shared" si="10"/>
        <v>-8.9413851777868647E-3</v>
      </c>
      <c r="Y83" s="104">
        <v>44795</v>
      </c>
      <c r="Z83">
        <v>563.88458300000002</v>
      </c>
      <c r="AA83" s="55">
        <f t="shared" si="11"/>
        <v>-2.5885608120655212E-2</v>
      </c>
    </row>
    <row r="84" spans="2:27" x14ac:dyDescent="0.3">
      <c r="B84" s="104">
        <v>44802</v>
      </c>
      <c r="C84" s="62">
        <v>2546.6184079999998</v>
      </c>
      <c r="D84" s="55">
        <f t="shared" si="6"/>
        <v>1.246322969332736E-2</v>
      </c>
      <c r="F84" s="104">
        <v>44802</v>
      </c>
      <c r="G84" s="62">
        <v>17539.449218999998</v>
      </c>
      <c r="H84" s="55">
        <f t="shared" si="7"/>
        <v>-1.1077670905844661E-3</v>
      </c>
      <c r="M84" s="104">
        <v>44802</v>
      </c>
      <c r="N84" s="62">
        <v>5291.9213870000003</v>
      </c>
      <c r="O84" s="55">
        <f t="shared" si="8"/>
        <v>1.3342371418585408E-3</v>
      </c>
      <c r="Q84" s="104">
        <v>44802</v>
      </c>
      <c r="R84">
        <v>3641.8085940000001</v>
      </c>
      <c r="S84" s="55">
        <f t="shared" si="9"/>
        <v>1.4821290644626339E-2</v>
      </c>
      <c r="U84" s="104">
        <v>44802</v>
      </c>
      <c r="V84">
        <v>911.14166299999999</v>
      </c>
      <c r="W84" s="55">
        <f t="shared" si="10"/>
        <v>1.9881971392903486E-2</v>
      </c>
      <c r="Y84" s="104">
        <v>44802</v>
      </c>
      <c r="Z84">
        <v>562.603027</v>
      </c>
      <c r="AA84" s="55">
        <f t="shared" si="11"/>
        <v>-2.2727275024648774E-3</v>
      </c>
    </row>
    <row r="85" spans="2:27" x14ac:dyDescent="0.3">
      <c r="B85" s="104">
        <v>44809</v>
      </c>
      <c r="C85" s="62">
        <v>2532.0446780000002</v>
      </c>
      <c r="D85" s="55">
        <f t="shared" si="6"/>
        <v>-5.7227772932989529E-3</v>
      </c>
      <c r="F85" s="104">
        <v>44809</v>
      </c>
      <c r="G85" s="62">
        <v>17833.349609000001</v>
      </c>
      <c r="H85" s="55">
        <f t="shared" si="7"/>
        <v>1.6756534730955508E-2</v>
      </c>
      <c r="M85" s="104">
        <v>44809</v>
      </c>
      <c r="N85" s="62">
        <v>5286.4252930000002</v>
      </c>
      <c r="O85" s="55">
        <f t="shared" si="8"/>
        <v>-1.0385819436965482E-3</v>
      </c>
      <c r="Q85" s="104">
        <v>44809</v>
      </c>
      <c r="R85">
        <v>3587.9816890000002</v>
      </c>
      <c r="S85" s="55">
        <f t="shared" si="9"/>
        <v>-1.4780267444225781E-2</v>
      </c>
      <c r="U85" s="104">
        <v>44809</v>
      </c>
      <c r="V85">
        <v>933.38159199999996</v>
      </c>
      <c r="W85" s="55">
        <f t="shared" si="10"/>
        <v>2.440885967915607E-2</v>
      </c>
      <c r="Y85" s="104">
        <v>44809</v>
      </c>
      <c r="Z85">
        <v>566.743469</v>
      </c>
      <c r="AA85" s="55">
        <f t="shared" si="11"/>
        <v>7.3594378296866214E-3</v>
      </c>
    </row>
    <row r="86" spans="2:27" x14ac:dyDescent="0.3">
      <c r="B86" s="104">
        <v>44816</v>
      </c>
      <c r="C86" s="62">
        <v>2472.8195799999999</v>
      </c>
      <c r="D86" s="55">
        <f t="shared" si="6"/>
        <v>-2.3390226292049787E-2</v>
      </c>
      <c r="F86" s="104">
        <v>44816</v>
      </c>
      <c r="G86" s="62">
        <v>17530.849609000001</v>
      </c>
      <c r="H86" s="55">
        <f t="shared" si="7"/>
        <v>-1.6962601341440453E-2</v>
      </c>
      <c r="M86" s="104">
        <v>44816</v>
      </c>
      <c r="N86" s="62">
        <v>5272.955078</v>
      </c>
      <c r="O86" s="55">
        <f t="shared" si="8"/>
        <v>-2.5480762998461026E-3</v>
      </c>
      <c r="Q86" s="104">
        <v>44816</v>
      </c>
      <c r="R86">
        <v>3578.1994629999999</v>
      </c>
      <c r="S86" s="55">
        <f t="shared" si="9"/>
        <v>-2.726386823542204E-3</v>
      </c>
      <c r="U86" s="104">
        <v>44816</v>
      </c>
      <c r="V86">
        <v>885.76721199999997</v>
      </c>
      <c r="W86" s="55">
        <f t="shared" si="10"/>
        <v>-5.1012769491172838E-2</v>
      </c>
      <c r="Y86" s="104">
        <v>44816</v>
      </c>
      <c r="Z86">
        <v>538.64782700000001</v>
      </c>
      <c r="AA86" s="55">
        <f t="shared" si="11"/>
        <v>-4.9573825790306558E-2</v>
      </c>
    </row>
    <row r="87" spans="2:27" x14ac:dyDescent="0.3">
      <c r="B87" s="104">
        <v>44823</v>
      </c>
      <c r="C87" s="62">
        <v>2623.3515630000002</v>
      </c>
      <c r="D87" s="55">
        <f t="shared" si="6"/>
        <v>6.0874632430725217E-2</v>
      </c>
      <c r="F87" s="104">
        <v>44823</v>
      </c>
      <c r="G87" s="62">
        <v>17327.349609000001</v>
      </c>
      <c r="H87" s="55">
        <f t="shared" si="7"/>
        <v>-1.1608108251383698E-2</v>
      </c>
      <c r="M87" s="104">
        <v>44823</v>
      </c>
      <c r="N87" s="62">
        <v>5150.6005859999996</v>
      </c>
      <c r="O87" s="55">
        <f t="shared" si="8"/>
        <v>-2.3204159752942322E-2</v>
      </c>
      <c r="Q87" s="104">
        <v>44823</v>
      </c>
      <c r="R87">
        <v>3732.7001949999999</v>
      </c>
      <c r="S87" s="55">
        <f t="shared" si="9"/>
        <v>4.3178345309589083E-2</v>
      </c>
      <c r="U87" s="104">
        <v>44823</v>
      </c>
      <c r="V87">
        <v>886.06567399999994</v>
      </c>
      <c r="W87" s="55">
        <f t="shared" si="10"/>
        <v>3.369530910113383E-4</v>
      </c>
      <c r="Y87" s="104">
        <v>44823</v>
      </c>
      <c r="Z87">
        <v>560.48358199999996</v>
      </c>
      <c r="AA87" s="55">
        <f t="shared" si="11"/>
        <v>4.0538091690844213E-2</v>
      </c>
    </row>
    <row r="88" spans="2:27" x14ac:dyDescent="0.3">
      <c r="B88" s="104">
        <v>44830</v>
      </c>
      <c r="C88" s="62">
        <v>2637.436279</v>
      </c>
      <c r="D88" s="55">
        <f t="shared" si="6"/>
        <v>5.3689776843683923E-3</v>
      </c>
      <c r="F88" s="104">
        <v>44830</v>
      </c>
      <c r="G88" s="62">
        <v>17094.349609000001</v>
      </c>
      <c r="H88" s="55">
        <f t="shared" si="7"/>
        <v>-1.3446949779265527E-2</v>
      </c>
      <c r="M88" s="104">
        <v>44830</v>
      </c>
      <c r="N88" s="62">
        <v>5032.2827150000003</v>
      </c>
      <c r="O88" s="55">
        <f t="shared" si="8"/>
        <v>-2.297166495915115E-2</v>
      </c>
      <c r="Q88" s="104">
        <v>44830</v>
      </c>
      <c r="R88">
        <v>3778.2690429999998</v>
      </c>
      <c r="S88" s="55">
        <f t="shared" si="9"/>
        <v>1.2208011792921303E-2</v>
      </c>
      <c r="U88" s="104">
        <v>44830</v>
      </c>
      <c r="V88">
        <v>905.96722399999999</v>
      </c>
      <c r="W88" s="55">
        <f t="shared" si="10"/>
        <v>2.2460581178094463E-2</v>
      </c>
      <c r="Y88" s="104">
        <v>44830</v>
      </c>
      <c r="Z88">
        <v>564.82110599999999</v>
      </c>
      <c r="AA88" s="55">
        <f t="shared" si="11"/>
        <v>7.738895730937001E-3</v>
      </c>
    </row>
    <row r="89" spans="2:27" x14ac:dyDescent="0.3">
      <c r="B89" s="104">
        <v>44837</v>
      </c>
      <c r="C89" s="62">
        <v>2542.8039549999999</v>
      </c>
      <c r="D89" s="55">
        <f t="shared" si="6"/>
        <v>-3.5880420980589744E-2</v>
      </c>
      <c r="F89" s="104">
        <v>44837</v>
      </c>
      <c r="G89" s="62">
        <v>17314.650390999999</v>
      </c>
      <c r="H89" s="55">
        <f t="shared" si="7"/>
        <v>1.2887345060733635E-2</v>
      </c>
      <c r="M89" s="104">
        <v>44837</v>
      </c>
      <c r="N89" s="62">
        <v>5031.0668949999999</v>
      </c>
      <c r="O89" s="55">
        <f t="shared" si="8"/>
        <v>-2.4160407291429209E-4</v>
      </c>
      <c r="Q89" s="104">
        <v>44837</v>
      </c>
      <c r="R89">
        <v>3721.8364259999998</v>
      </c>
      <c r="S89" s="55">
        <f t="shared" si="9"/>
        <v>-1.4936103373726861E-2</v>
      </c>
      <c r="U89" s="104">
        <v>44837</v>
      </c>
      <c r="V89">
        <v>825.76403800000003</v>
      </c>
      <c r="W89" s="55">
        <f t="shared" si="10"/>
        <v>-8.8527690489606403E-2</v>
      </c>
      <c r="Y89" s="104">
        <v>44837</v>
      </c>
      <c r="Z89">
        <v>532.48651099999995</v>
      </c>
      <c r="AA89" s="55">
        <f t="shared" si="11"/>
        <v>-5.724749775905158E-2</v>
      </c>
    </row>
    <row r="90" spans="2:27" x14ac:dyDescent="0.3">
      <c r="B90" s="104">
        <v>44844</v>
      </c>
      <c r="C90" s="62">
        <v>2519.4270019999999</v>
      </c>
      <c r="D90" s="55">
        <f t="shared" si="6"/>
        <v>-9.1933760579666624E-3</v>
      </c>
      <c r="F90" s="104">
        <v>44844</v>
      </c>
      <c r="G90" s="62">
        <v>17185.699218999998</v>
      </c>
      <c r="H90" s="55">
        <f t="shared" si="7"/>
        <v>-7.4475180894804094E-3</v>
      </c>
      <c r="M90" s="104">
        <v>44844</v>
      </c>
      <c r="N90" s="62">
        <v>4972.078125</v>
      </c>
      <c r="O90" s="55">
        <f t="shared" si="8"/>
        <v>-1.1724902735565812E-2</v>
      </c>
      <c r="Q90" s="104">
        <v>44844</v>
      </c>
      <c r="R90">
        <v>3732.2578130000002</v>
      </c>
      <c r="S90" s="55">
        <f t="shared" si="9"/>
        <v>2.8000658296529757E-3</v>
      </c>
      <c r="U90" s="104">
        <v>44844</v>
      </c>
      <c r="V90">
        <v>829.29663100000005</v>
      </c>
      <c r="W90" s="55">
        <f t="shared" si="10"/>
        <v>4.2779690534306969E-3</v>
      </c>
      <c r="Y90" s="104">
        <v>44844</v>
      </c>
      <c r="Z90">
        <v>523.81133999999997</v>
      </c>
      <c r="AA90" s="55">
        <f t="shared" si="11"/>
        <v>-1.6291813634317531E-2</v>
      </c>
    </row>
    <row r="91" spans="2:27" x14ac:dyDescent="0.3">
      <c r="B91" s="104">
        <v>44851</v>
      </c>
      <c r="C91" s="62">
        <v>2595.8173830000001</v>
      </c>
      <c r="D91" s="55">
        <f t="shared" si="6"/>
        <v>3.032053754260744E-2</v>
      </c>
      <c r="F91" s="104">
        <v>44851</v>
      </c>
      <c r="G91" s="62">
        <v>17576.300781000002</v>
      </c>
      <c r="H91" s="55">
        <f t="shared" si="7"/>
        <v>2.2728290366455628E-2</v>
      </c>
      <c r="M91" s="104">
        <v>44851</v>
      </c>
      <c r="N91" s="62">
        <v>5027.3222660000001</v>
      </c>
      <c r="O91" s="55">
        <f t="shared" si="8"/>
        <v>1.1110875495344397E-2</v>
      </c>
      <c r="Q91" s="104">
        <v>44851</v>
      </c>
      <c r="R91">
        <v>3728.767578</v>
      </c>
      <c r="S91" s="55">
        <f t="shared" si="9"/>
        <v>-9.3515377952813061E-4</v>
      </c>
      <c r="U91" s="104">
        <v>44851</v>
      </c>
      <c r="V91">
        <v>816.21130400000004</v>
      </c>
      <c r="W91" s="55">
        <f t="shared" si="10"/>
        <v>-1.5778825707058686E-2</v>
      </c>
      <c r="Y91" s="104">
        <v>44851</v>
      </c>
      <c r="Z91">
        <v>530.31768799999998</v>
      </c>
      <c r="AA91" s="55">
        <f t="shared" si="11"/>
        <v>1.2421166750609114E-2</v>
      </c>
    </row>
    <row r="92" spans="2:27" x14ac:dyDescent="0.3">
      <c r="B92" s="104">
        <v>44858</v>
      </c>
      <c r="C92" s="62">
        <v>2469.0048830000001</v>
      </c>
      <c r="D92" s="55">
        <f t="shared" si="6"/>
        <v>-4.8852627627233969E-2</v>
      </c>
      <c r="F92" s="104">
        <v>44858</v>
      </c>
      <c r="G92" s="62">
        <v>17786.800781000002</v>
      </c>
      <c r="H92" s="55">
        <f t="shared" si="7"/>
        <v>1.197635399068453E-2</v>
      </c>
      <c r="M92" s="104">
        <v>44858</v>
      </c>
      <c r="N92" s="62">
        <v>4989.0986329999996</v>
      </c>
      <c r="O92" s="55">
        <f t="shared" si="8"/>
        <v>-7.6031793820954263E-3</v>
      </c>
      <c r="Q92" s="104">
        <v>44858</v>
      </c>
      <c r="R92">
        <v>3714.0205080000001</v>
      </c>
      <c r="S92" s="55">
        <f t="shared" si="9"/>
        <v>-3.9549448152812472E-3</v>
      </c>
      <c r="U92" s="104">
        <v>44858</v>
      </c>
      <c r="V92">
        <v>825.76403800000003</v>
      </c>
      <c r="W92" s="55">
        <f t="shared" si="10"/>
        <v>1.1703751164906739E-2</v>
      </c>
      <c r="Y92" s="104">
        <v>44858</v>
      </c>
      <c r="Z92">
        <v>543.23187299999995</v>
      </c>
      <c r="AA92" s="55">
        <f t="shared" si="11"/>
        <v>2.4351790053813938E-2</v>
      </c>
    </row>
    <row r="93" spans="2:27" x14ac:dyDescent="0.3">
      <c r="B93" s="104">
        <v>44865</v>
      </c>
      <c r="C93" s="62">
        <v>2465.1904300000001</v>
      </c>
      <c r="D93" s="55">
        <f t="shared" si="6"/>
        <v>-1.5449353811585187E-3</v>
      </c>
      <c r="F93" s="104">
        <v>44865</v>
      </c>
      <c r="G93" s="62">
        <v>18117.150390999999</v>
      </c>
      <c r="H93" s="55">
        <f t="shared" si="7"/>
        <v>1.8572739081492262E-2</v>
      </c>
      <c r="M93" s="104">
        <v>44865</v>
      </c>
      <c r="N93" s="62">
        <v>4994.3505859999996</v>
      </c>
      <c r="O93" s="55">
        <f t="shared" si="8"/>
        <v>1.0526857427233249E-3</v>
      </c>
      <c r="Q93" s="104">
        <v>44865</v>
      </c>
      <c r="R93">
        <v>3740.0737300000001</v>
      </c>
      <c r="S93" s="55">
        <f t="shared" si="9"/>
        <v>7.0148298707239931E-3</v>
      </c>
      <c r="U93" s="104">
        <v>44865</v>
      </c>
      <c r="V93">
        <v>825.06756600000006</v>
      </c>
      <c r="W93" s="55">
        <f t="shared" si="10"/>
        <v>-8.4342738112797022E-4</v>
      </c>
      <c r="Y93" s="104">
        <v>44865</v>
      </c>
      <c r="Z93">
        <v>549.59033199999999</v>
      </c>
      <c r="AA93" s="55">
        <f t="shared" si="11"/>
        <v>1.1704871006344764E-2</v>
      </c>
    </row>
    <row r="94" spans="2:27" x14ac:dyDescent="0.3">
      <c r="B94" s="104">
        <v>44872</v>
      </c>
      <c r="C94" s="62">
        <v>2464.6958009999998</v>
      </c>
      <c r="D94" s="55">
        <f t="shared" si="6"/>
        <v>-2.0064535136143924E-4</v>
      </c>
      <c r="F94" s="104">
        <v>44872</v>
      </c>
      <c r="G94" s="62">
        <v>18349.699218999998</v>
      </c>
      <c r="H94" s="55">
        <f t="shared" si="7"/>
        <v>1.2835839134808014E-2</v>
      </c>
      <c r="M94" s="104">
        <v>44872</v>
      </c>
      <c r="N94" s="62">
        <v>5034.6166990000002</v>
      </c>
      <c r="O94" s="55">
        <f t="shared" si="8"/>
        <v>8.062332090357005E-3</v>
      </c>
      <c r="Q94" s="104">
        <v>44872</v>
      </c>
      <c r="R94">
        <v>4029.5603030000002</v>
      </c>
      <c r="S94" s="55">
        <f t="shared" si="9"/>
        <v>7.7401301123547706E-2</v>
      </c>
      <c r="U94" s="104">
        <v>44872</v>
      </c>
      <c r="V94">
        <v>814.96746800000005</v>
      </c>
      <c r="W94" s="55">
        <f t="shared" si="10"/>
        <v>-1.2241540470395829E-2</v>
      </c>
      <c r="Y94" s="104">
        <v>44872</v>
      </c>
      <c r="Z94">
        <v>547.68798800000002</v>
      </c>
      <c r="AA94" s="55">
        <f t="shared" si="11"/>
        <v>-3.4613854888553286E-3</v>
      </c>
    </row>
    <row r="95" spans="2:27" x14ac:dyDescent="0.3">
      <c r="B95" s="104">
        <v>44879</v>
      </c>
      <c r="C95" s="62">
        <v>2445.6420899999998</v>
      </c>
      <c r="D95" s="55">
        <f t="shared" si="6"/>
        <v>-7.7306542220217933E-3</v>
      </c>
      <c r="F95" s="104">
        <v>44879</v>
      </c>
      <c r="G95" s="62">
        <v>18307.650390999999</v>
      </c>
      <c r="H95" s="55">
        <f t="shared" si="7"/>
        <v>-2.2915268254892762E-3</v>
      </c>
      <c r="M95" s="104">
        <v>44879</v>
      </c>
      <c r="N95" s="62">
        <v>4972.0517579999996</v>
      </c>
      <c r="O95" s="55">
        <f t="shared" si="8"/>
        <v>-1.2426952187328921E-2</v>
      </c>
      <c r="Q95" s="104">
        <v>44879</v>
      </c>
      <c r="R95">
        <v>4036.8354490000002</v>
      </c>
      <c r="S95" s="55">
        <f t="shared" si="9"/>
        <v>1.8054441311086133E-3</v>
      </c>
      <c r="U95" s="104">
        <v>44879</v>
      </c>
      <c r="V95">
        <v>834.76953100000003</v>
      </c>
      <c r="W95" s="55">
        <f t="shared" si="10"/>
        <v>2.4297979707823103E-2</v>
      </c>
      <c r="Y95" s="104">
        <v>44879</v>
      </c>
      <c r="Z95">
        <v>543.13299600000005</v>
      </c>
      <c r="AA95" s="55">
        <f t="shared" si="11"/>
        <v>-8.3167644713799671E-3</v>
      </c>
    </row>
    <row r="96" spans="2:27" x14ac:dyDescent="0.3">
      <c r="B96" s="104">
        <v>44886</v>
      </c>
      <c r="C96" s="62">
        <v>2498.5683589999999</v>
      </c>
      <c r="D96" s="55">
        <f t="shared" si="6"/>
        <v>2.1641052554832285E-2</v>
      </c>
      <c r="F96" s="104">
        <v>44886</v>
      </c>
      <c r="G96" s="62">
        <v>18512.75</v>
      </c>
      <c r="H96" s="55">
        <f t="shared" si="7"/>
        <v>1.1202945469224623E-2</v>
      </c>
      <c r="M96" s="104">
        <v>44886</v>
      </c>
      <c r="N96" s="62">
        <v>4951.1416019999997</v>
      </c>
      <c r="O96" s="55">
        <f t="shared" si="8"/>
        <v>-4.2055386825681218E-3</v>
      </c>
      <c r="Q96" s="104">
        <v>44886</v>
      </c>
      <c r="R96">
        <v>4113.1767579999996</v>
      </c>
      <c r="S96" s="55">
        <f t="shared" si="9"/>
        <v>1.8911176827609122E-2</v>
      </c>
      <c r="U96" s="104">
        <v>44886</v>
      </c>
      <c r="V96">
        <v>855.11877400000003</v>
      </c>
      <c r="W96" s="55">
        <f t="shared" si="10"/>
        <v>2.4377079234819465E-2</v>
      </c>
      <c r="Y96" s="104">
        <v>44886</v>
      </c>
      <c r="Z96">
        <v>551.10424799999998</v>
      </c>
      <c r="AA96" s="55">
        <f t="shared" si="11"/>
        <v>1.4676427428835348E-2</v>
      </c>
    </row>
    <row r="97" spans="2:27" x14ac:dyDescent="0.3">
      <c r="B97" s="104">
        <v>44893</v>
      </c>
      <c r="C97" s="62">
        <v>2575.0290530000002</v>
      </c>
      <c r="D97" s="55">
        <f t="shared" si="6"/>
        <v>3.0601801917719884E-2</v>
      </c>
      <c r="F97" s="104">
        <v>44893</v>
      </c>
      <c r="G97" s="62">
        <v>18696.099609000001</v>
      </c>
      <c r="H97" s="55">
        <f t="shared" si="7"/>
        <v>9.9039639707769744E-3</v>
      </c>
      <c r="M97" s="104">
        <v>44893</v>
      </c>
      <c r="N97" s="62">
        <v>5067.4941410000001</v>
      </c>
      <c r="O97" s="55">
        <f t="shared" si="8"/>
        <v>2.3500143674541674E-2</v>
      </c>
      <c r="Q97" s="104">
        <v>44893</v>
      </c>
      <c r="R97">
        <v>4358.1757809999999</v>
      </c>
      <c r="S97" s="55">
        <f t="shared" si="9"/>
        <v>5.9564428521940993E-2</v>
      </c>
      <c r="U97" s="104">
        <v>44893</v>
      </c>
      <c r="V97">
        <v>877.30902100000003</v>
      </c>
      <c r="W97" s="55">
        <f t="shared" si="10"/>
        <v>2.5949900381908808E-2</v>
      </c>
      <c r="Y97" s="104">
        <v>44893</v>
      </c>
      <c r="Z97">
        <v>585.365723</v>
      </c>
      <c r="AA97" s="55">
        <f t="shared" si="11"/>
        <v>6.2168773193706173E-2</v>
      </c>
    </row>
    <row r="98" spans="2:27" x14ac:dyDescent="0.3">
      <c r="B98" s="104">
        <v>44900</v>
      </c>
      <c r="C98" s="62">
        <v>2680.536865</v>
      </c>
      <c r="D98" s="55">
        <f t="shared" si="6"/>
        <v>4.0973445280968468E-2</v>
      </c>
      <c r="F98" s="104">
        <v>44900</v>
      </c>
      <c r="G98" s="62">
        <v>18496.599609000001</v>
      </c>
      <c r="H98" s="55">
        <f t="shared" si="7"/>
        <v>-1.0670674855838058E-2</v>
      </c>
      <c r="M98" s="104">
        <v>44900</v>
      </c>
      <c r="N98" s="62">
        <v>5006.625</v>
      </c>
      <c r="O98" s="55">
        <f t="shared" si="8"/>
        <v>-1.2011684534081857E-2</v>
      </c>
      <c r="Q98" s="104">
        <v>44900</v>
      </c>
      <c r="R98">
        <v>4335.9570309999999</v>
      </c>
      <c r="S98" s="55">
        <f t="shared" si="9"/>
        <v>-5.0981766492451674E-3</v>
      </c>
      <c r="U98" s="104">
        <v>44900</v>
      </c>
      <c r="V98">
        <v>919.05242899999996</v>
      </c>
      <c r="W98" s="55">
        <f t="shared" si="10"/>
        <v>4.7581190892598713E-2</v>
      </c>
      <c r="Y98" s="104">
        <v>44900</v>
      </c>
      <c r="Z98">
        <v>592.89135699999997</v>
      </c>
      <c r="AA98" s="55">
        <f t="shared" si="11"/>
        <v>1.2856294286298642E-2</v>
      </c>
    </row>
    <row r="99" spans="2:27" x14ac:dyDescent="0.3">
      <c r="B99" s="104">
        <v>44907</v>
      </c>
      <c r="C99" s="62">
        <v>2630.3676759999998</v>
      </c>
      <c r="D99" s="55">
        <f t="shared" si="6"/>
        <v>-1.8716097381484831E-2</v>
      </c>
      <c r="F99" s="104">
        <v>44907</v>
      </c>
      <c r="G99" s="62">
        <v>18269</v>
      </c>
      <c r="H99" s="55">
        <f t="shared" si="7"/>
        <v>-1.2304943276668867E-2</v>
      </c>
      <c r="M99" s="104">
        <v>44907</v>
      </c>
      <c r="N99" s="62">
        <v>4960.6909180000002</v>
      </c>
      <c r="O99" s="55">
        <f t="shared" si="8"/>
        <v>-9.174659975532351E-3</v>
      </c>
      <c r="Q99" s="104">
        <v>44907</v>
      </c>
      <c r="R99">
        <v>4369.7773440000001</v>
      </c>
      <c r="S99" s="55">
        <f t="shared" si="9"/>
        <v>7.7999649807876104E-3</v>
      </c>
      <c r="U99" s="104">
        <v>44907</v>
      </c>
      <c r="V99">
        <v>892.38439900000003</v>
      </c>
      <c r="W99" s="55">
        <f t="shared" si="10"/>
        <v>-2.9016875597637881E-2</v>
      </c>
      <c r="Y99" s="104">
        <v>44907</v>
      </c>
      <c r="Z99">
        <v>574.077271</v>
      </c>
      <c r="AA99" s="55">
        <f t="shared" si="11"/>
        <v>-3.1732771574202512E-2</v>
      </c>
    </row>
    <row r="100" spans="2:27" x14ac:dyDescent="0.3">
      <c r="B100" s="104">
        <v>44914</v>
      </c>
      <c r="C100" s="62">
        <v>2580.9370119999999</v>
      </c>
      <c r="D100" s="55">
        <f t="shared" si="6"/>
        <v>-1.8792302099442271E-2</v>
      </c>
      <c r="F100" s="104">
        <v>44914</v>
      </c>
      <c r="G100" s="62">
        <v>17806.800781000002</v>
      </c>
      <c r="H100" s="55">
        <f t="shared" si="7"/>
        <v>-2.529964524604511E-2</v>
      </c>
      <c r="M100" s="104">
        <v>44914</v>
      </c>
      <c r="N100" s="62">
        <v>4761.3349609999996</v>
      </c>
      <c r="O100" s="55">
        <f t="shared" si="8"/>
        <v>-4.0187135279207253E-2</v>
      </c>
      <c r="Q100" s="104">
        <v>44914</v>
      </c>
      <c r="R100">
        <v>4258.8784180000002</v>
      </c>
      <c r="S100" s="55">
        <f t="shared" si="9"/>
        <v>-2.5378621671026669E-2</v>
      </c>
      <c r="U100" s="104">
        <v>44914</v>
      </c>
      <c r="V100">
        <v>869.09966999999995</v>
      </c>
      <c r="W100" s="55">
        <f t="shared" si="10"/>
        <v>-2.6092711869562968E-2</v>
      </c>
      <c r="Y100" s="104">
        <v>44914</v>
      </c>
      <c r="Z100">
        <v>560.31323199999997</v>
      </c>
      <c r="AA100" s="55">
        <f t="shared" si="11"/>
        <v>-2.3975934417372224E-2</v>
      </c>
    </row>
    <row r="101" spans="2:27" x14ac:dyDescent="0.3">
      <c r="B101" s="104">
        <v>44921</v>
      </c>
      <c r="C101" s="62">
        <v>2521.8071289999998</v>
      </c>
      <c r="D101" s="55">
        <f t="shared" si="6"/>
        <v>-2.291023869434905E-2</v>
      </c>
      <c r="F101" s="104">
        <v>44921</v>
      </c>
      <c r="G101" s="62">
        <v>18105.300781000002</v>
      </c>
      <c r="H101" s="55">
        <f t="shared" si="7"/>
        <v>1.6763258244484991E-2</v>
      </c>
      <c r="M101" s="104">
        <v>44921</v>
      </c>
      <c r="N101" s="62">
        <v>4929.4975590000004</v>
      </c>
      <c r="O101" s="55">
        <f t="shared" si="8"/>
        <v>3.5318371712433017E-2</v>
      </c>
      <c r="Q101" s="104">
        <v>44921</v>
      </c>
      <c r="R101">
        <v>4234.8408200000003</v>
      </c>
      <c r="S101" s="55">
        <f t="shared" si="9"/>
        <v>-5.6441146331873693E-3</v>
      </c>
      <c r="U101" s="104">
        <v>44921</v>
      </c>
      <c r="V101">
        <v>869.746399</v>
      </c>
      <c r="W101" s="55">
        <f t="shared" si="10"/>
        <v>7.4413674555873222E-4</v>
      </c>
      <c r="Y101" s="104">
        <v>44921</v>
      </c>
      <c r="Z101">
        <v>555.95629899999994</v>
      </c>
      <c r="AA101" s="55">
        <f t="shared" si="11"/>
        <v>-7.7758881125263857E-3</v>
      </c>
    </row>
    <row r="102" spans="2:27" x14ac:dyDescent="0.3">
      <c r="B102" s="104">
        <v>44928</v>
      </c>
      <c r="C102" s="62">
        <v>2536.9709469999998</v>
      </c>
      <c r="D102" s="55">
        <f t="shared" si="6"/>
        <v>6.0130760301295716E-3</v>
      </c>
      <c r="F102" s="104">
        <v>44928</v>
      </c>
      <c r="G102" s="62">
        <v>17859.449218999998</v>
      </c>
      <c r="H102" s="55">
        <f t="shared" si="7"/>
        <v>-1.3578982474458767E-2</v>
      </c>
      <c r="M102" s="104">
        <v>44928</v>
      </c>
      <c r="N102" s="62">
        <v>4893.6025390000004</v>
      </c>
      <c r="O102" s="55">
        <f t="shared" si="8"/>
        <v>-7.2816792320882229E-3</v>
      </c>
      <c r="Q102" s="104">
        <v>44928</v>
      </c>
      <c r="R102">
        <v>4285.5708009999998</v>
      </c>
      <c r="S102" s="55">
        <f t="shared" si="9"/>
        <v>1.1979194297083273E-2</v>
      </c>
      <c r="U102" s="104">
        <v>44928</v>
      </c>
      <c r="V102">
        <v>912.93273899999997</v>
      </c>
      <c r="W102" s="55">
        <f t="shared" si="10"/>
        <v>4.9653945161088231E-2</v>
      </c>
      <c r="Y102" s="104">
        <v>44928</v>
      </c>
      <c r="Z102">
        <v>547.44042999999999</v>
      </c>
      <c r="AA102" s="55">
        <f t="shared" si="11"/>
        <v>-1.5317515091235578E-2</v>
      </c>
    </row>
    <row r="103" spans="2:27" x14ac:dyDescent="0.3">
      <c r="B103" s="104">
        <v>44935</v>
      </c>
      <c r="C103" s="62">
        <v>2583.7922359999998</v>
      </c>
      <c r="D103" s="55">
        <f t="shared" si="6"/>
        <v>1.8455587382806504E-2</v>
      </c>
      <c r="F103" s="104">
        <v>44935</v>
      </c>
      <c r="G103" s="62">
        <v>17956.599609000001</v>
      </c>
      <c r="H103" s="55">
        <f t="shared" si="7"/>
        <v>5.4397192661825855E-3</v>
      </c>
      <c r="M103" s="104">
        <v>44935</v>
      </c>
      <c r="N103" s="62">
        <v>4881.1640630000002</v>
      </c>
      <c r="O103" s="55">
        <f t="shared" si="8"/>
        <v>-2.5417830526428542E-3</v>
      </c>
      <c r="Q103" s="104">
        <v>44935</v>
      </c>
      <c r="R103">
        <v>4263.0078130000002</v>
      </c>
      <c r="S103" s="55">
        <f t="shared" si="9"/>
        <v>-5.2648734667350983E-3</v>
      </c>
      <c r="U103" s="104">
        <v>44935</v>
      </c>
      <c r="V103">
        <v>912.68402100000003</v>
      </c>
      <c r="W103" s="55">
        <f t="shared" si="10"/>
        <v>-2.7243847150493217E-4</v>
      </c>
      <c r="Y103" s="104">
        <v>44935</v>
      </c>
      <c r="Z103">
        <v>538.37994400000002</v>
      </c>
      <c r="AA103" s="55">
        <f t="shared" si="11"/>
        <v>-1.6550633646111867E-2</v>
      </c>
    </row>
    <row r="104" spans="2:27" x14ac:dyDescent="0.3">
      <c r="B104" s="104">
        <v>44942</v>
      </c>
      <c r="C104" s="62">
        <v>2509.695557</v>
      </c>
      <c r="D104" s="55">
        <f t="shared" si="6"/>
        <v>-2.8677491157226176E-2</v>
      </c>
      <c r="F104" s="104">
        <v>44942</v>
      </c>
      <c r="G104" s="62">
        <v>18027.650390999999</v>
      </c>
      <c r="H104" s="55">
        <f t="shared" si="7"/>
        <v>3.9568060516528281E-3</v>
      </c>
      <c r="M104" s="104">
        <v>44942</v>
      </c>
      <c r="N104" s="62">
        <v>4833.173828</v>
      </c>
      <c r="O104" s="55">
        <f t="shared" si="8"/>
        <v>-9.8317193154341398E-3</v>
      </c>
      <c r="Q104" s="104">
        <v>44942</v>
      </c>
      <c r="R104">
        <v>4246.1469729999999</v>
      </c>
      <c r="S104" s="55">
        <f t="shared" si="9"/>
        <v>-3.9551510904068943E-3</v>
      </c>
      <c r="U104" s="104">
        <v>44942</v>
      </c>
      <c r="V104">
        <v>927.80914299999995</v>
      </c>
      <c r="W104" s="55">
        <f t="shared" si="10"/>
        <v>1.6572134114310133E-2</v>
      </c>
      <c r="Y104" s="104">
        <v>44942</v>
      </c>
      <c r="Z104">
        <v>560.46179199999995</v>
      </c>
      <c r="AA104" s="55">
        <f t="shared" si="11"/>
        <v>4.101536144890261E-2</v>
      </c>
    </row>
    <row r="105" spans="2:27" x14ac:dyDescent="0.3">
      <c r="B105" s="104">
        <v>44949</v>
      </c>
      <c r="C105" s="62">
        <v>2572.1240229999999</v>
      </c>
      <c r="D105" s="55">
        <f t="shared" si="6"/>
        <v>2.4874915933877029E-2</v>
      </c>
      <c r="F105" s="104">
        <v>44949</v>
      </c>
      <c r="G105" s="62">
        <v>17604.349609000001</v>
      </c>
      <c r="H105" s="55">
        <f t="shared" si="7"/>
        <v>-2.3480640727941093E-2</v>
      </c>
      <c r="M105" s="104">
        <v>44949</v>
      </c>
      <c r="N105" s="62">
        <v>4769.6108400000003</v>
      </c>
      <c r="O105" s="55">
        <f t="shared" si="8"/>
        <v>-1.3151397045097046E-2</v>
      </c>
      <c r="Q105" s="104">
        <v>44949</v>
      </c>
      <c r="R105">
        <v>4306.5610349999997</v>
      </c>
      <c r="S105" s="55">
        <f t="shared" si="9"/>
        <v>1.4227972414557311E-2</v>
      </c>
      <c r="U105" s="104">
        <v>44949</v>
      </c>
      <c r="V105">
        <v>902.63366699999995</v>
      </c>
      <c r="W105" s="55">
        <f t="shared" si="10"/>
        <v>-2.7134326267358233E-2</v>
      </c>
      <c r="Y105" s="104">
        <v>44949</v>
      </c>
      <c r="Z105">
        <v>556.55041500000004</v>
      </c>
      <c r="AA105" s="55">
        <f t="shared" si="11"/>
        <v>-6.9788468292231176E-3</v>
      </c>
    </row>
    <row r="106" spans="2:27" x14ac:dyDescent="0.3">
      <c r="B106" s="104">
        <v>44956</v>
      </c>
      <c r="C106" s="62">
        <v>2608.163086</v>
      </c>
      <c r="D106" s="55">
        <f t="shared" si="6"/>
        <v>1.401140173558435E-2</v>
      </c>
      <c r="F106" s="104">
        <v>44956</v>
      </c>
      <c r="G106" s="62">
        <v>17854.050781000002</v>
      </c>
      <c r="H106" s="55">
        <f t="shared" si="7"/>
        <v>1.4184061186352848E-2</v>
      </c>
      <c r="M106" s="104">
        <v>44956</v>
      </c>
      <c r="N106" s="62">
        <v>4825.7788090000004</v>
      </c>
      <c r="O106" s="55">
        <f t="shared" si="8"/>
        <v>1.1776216317052945E-2</v>
      </c>
      <c r="Q106" s="104">
        <v>44956</v>
      </c>
      <c r="R106">
        <v>4550.8232420000004</v>
      </c>
      <c r="S106" s="55">
        <f t="shared" si="9"/>
        <v>5.6718621892235754E-2</v>
      </c>
      <c r="U106" s="104">
        <v>44956</v>
      </c>
      <c r="V106">
        <v>930.39636199999995</v>
      </c>
      <c r="W106" s="55">
        <f t="shared" si="10"/>
        <v>3.0757433513722399E-2</v>
      </c>
      <c r="Y106" s="104">
        <v>44956</v>
      </c>
      <c r="Z106">
        <v>528.477844</v>
      </c>
      <c r="AA106" s="55">
        <f t="shared" si="11"/>
        <v>-5.0440301980549274E-2</v>
      </c>
    </row>
    <row r="107" spans="2:27" x14ac:dyDescent="0.3">
      <c r="B107" s="104">
        <v>44963</v>
      </c>
      <c r="C107" s="62">
        <v>2538.0048830000001</v>
      </c>
      <c r="D107" s="55">
        <f t="shared" si="6"/>
        <v>-2.6899469353198202E-2</v>
      </c>
      <c r="F107" s="104">
        <v>44963</v>
      </c>
      <c r="G107" s="62">
        <v>17856.5</v>
      </c>
      <c r="H107" s="55">
        <f t="shared" si="7"/>
        <v>1.371800175793414E-4</v>
      </c>
      <c r="M107" s="104">
        <v>44963</v>
      </c>
      <c r="N107" s="62">
        <v>4805.3095700000003</v>
      </c>
      <c r="O107" s="55">
        <f t="shared" si="8"/>
        <v>-4.2416446775026539E-3</v>
      </c>
      <c r="Q107" s="104">
        <v>44963</v>
      </c>
      <c r="R107">
        <v>4544.7768550000001</v>
      </c>
      <c r="S107" s="55">
        <f t="shared" si="9"/>
        <v>-1.3286358705821844E-3</v>
      </c>
      <c r="U107" s="104">
        <v>44963</v>
      </c>
      <c r="V107">
        <v>935.76977499999998</v>
      </c>
      <c r="W107" s="55">
        <f t="shared" si="10"/>
        <v>5.7754019893727637E-3</v>
      </c>
      <c r="Y107" s="104">
        <v>44963</v>
      </c>
      <c r="Z107">
        <v>527.19061299999998</v>
      </c>
      <c r="AA107" s="55">
        <f t="shared" si="11"/>
        <v>-2.4357331430530094E-3</v>
      </c>
    </row>
    <row r="108" spans="2:27" x14ac:dyDescent="0.3">
      <c r="B108" s="104">
        <v>44970</v>
      </c>
      <c r="C108" s="62">
        <v>2476.9548340000001</v>
      </c>
      <c r="D108" s="55">
        <f t="shared" si="6"/>
        <v>-2.4054346549497896E-2</v>
      </c>
      <c r="F108" s="104">
        <v>44970</v>
      </c>
      <c r="G108" s="62">
        <v>17944.199218999998</v>
      </c>
      <c r="H108" s="55">
        <f t="shared" si="7"/>
        <v>4.9113330719905424E-3</v>
      </c>
      <c r="M108" s="104">
        <v>44970</v>
      </c>
      <c r="N108" s="62">
        <v>4776.1367190000001</v>
      </c>
      <c r="O108" s="55">
        <f t="shared" si="8"/>
        <v>-6.0709618339949145E-3</v>
      </c>
      <c r="Q108" s="104">
        <v>44970</v>
      </c>
      <c r="R108">
        <v>4456.8344729999999</v>
      </c>
      <c r="S108" s="55">
        <f t="shared" si="9"/>
        <v>-1.9350208999425189E-2</v>
      </c>
      <c r="U108" s="104">
        <v>44970</v>
      </c>
      <c r="V108">
        <v>937.461365</v>
      </c>
      <c r="W108" s="55">
        <f t="shared" si="10"/>
        <v>1.8076989075652694E-3</v>
      </c>
      <c r="Y108" s="104">
        <v>44970</v>
      </c>
      <c r="Z108">
        <v>529.27002000000005</v>
      </c>
      <c r="AA108" s="55">
        <f t="shared" si="11"/>
        <v>3.9443171951927258E-3</v>
      </c>
    </row>
    <row r="109" spans="2:27" x14ac:dyDescent="0.3">
      <c r="B109" s="104">
        <v>44977</v>
      </c>
      <c r="C109" s="62">
        <v>2446.1347660000001</v>
      </c>
      <c r="D109" s="55">
        <f t="shared" si="6"/>
        <v>-1.2442725065853977E-2</v>
      </c>
      <c r="F109" s="104">
        <v>44977</v>
      </c>
      <c r="G109" s="62">
        <v>17465.800781000002</v>
      </c>
      <c r="H109" s="55">
        <f t="shared" si="7"/>
        <v>-2.6660339208308015E-2</v>
      </c>
      <c r="M109" s="104">
        <v>44977</v>
      </c>
      <c r="N109" s="62">
        <v>4734.6083980000003</v>
      </c>
      <c r="O109" s="55">
        <f t="shared" si="8"/>
        <v>-8.6949606854417327E-3</v>
      </c>
      <c r="Q109" s="104">
        <v>44977</v>
      </c>
      <c r="R109">
        <v>4367.6630859999996</v>
      </c>
      <c r="S109" s="55">
        <f t="shared" si="9"/>
        <v>-2.0007785243138509E-2</v>
      </c>
      <c r="U109" s="104">
        <v>44977</v>
      </c>
      <c r="V109">
        <v>923.23175000000003</v>
      </c>
      <c r="W109" s="55">
        <f t="shared" si="10"/>
        <v>-1.5178881531827115E-2</v>
      </c>
      <c r="Y109" s="104">
        <v>44977</v>
      </c>
      <c r="Z109">
        <v>529.66607699999997</v>
      </c>
      <c r="AA109" s="55">
        <f t="shared" si="11"/>
        <v>7.4830801865544139E-4</v>
      </c>
    </row>
    <row r="110" spans="2:27" x14ac:dyDescent="0.3">
      <c r="B110" s="104">
        <v>44984</v>
      </c>
      <c r="C110" s="62">
        <v>2433.1367190000001</v>
      </c>
      <c r="D110" s="55">
        <f t="shared" si="6"/>
        <v>-5.3137084598388062E-3</v>
      </c>
      <c r="F110" s="104">
        <v>44984</v>
      </c>
      <c r="G110" s="62">
        <v>17594.349609000001</v>
      </c>
      <c r="H110" s="55">
        <f t="shared" si="7"/>
        <v>7.3600305884538031E-3</v>
      </c>
      <c r="M110" s="104">
        <v>44984</v>
      </c>
      <c r="N110" s="62">
        <v>4641.2934569999998</v>
      </c>
      <c r="O110" s="55">
        <f t="shared" si="8"/>
        <v>-1.9709114916329429E-2</v>
      </c>
      <c r="Q110" s="104">
        <v>44984</v>
      </c>
      <c r="R110">
        <v>4337.5795900000003</v>
      </c>
      <c r="S110" s="55">
        <f t="shared" si="9"/>
        <v>-6.8877785231256095E-3</v>
      </c>
      <c r="U110" s="104">
        <v>44984</v>
      </c>
      <c r="V110">
        <v>921.19189500000005</v>
      </c>
      <c r="W110" s="55">
        <f t="shared" si="10"/>
        <v>-2.2094723237150449E-3</v>
      </c>
      <c r="Y110" s="104">
        <v>44984</v>
      </c>
      <c r="Z110">
        <v>529.56707800000004</v>
      </c>
      <c r="AA110" s="55">
        <f t="shared" si="11"/>
        <v>-1.8690832639434163E-4</v>
      </c>
    </row>
    <row r="111" spans="2:27" x14ac:dyDescent="0.3">
      <c r="B111" s="104">
        <v>44991</v>
      </c>
      <c r="C111" s="62">
        <v>2427.671875</v>
      </c>
      <c r="D111" s="55">
        <f t="shared" si="6"/>
        <v>-2.2460077797215039E-3</v>
      </c>
      <c r="F111" s="104">
        <v>44991</v>
      </c>
      <c r="G111" s="62">
        <v>17412.900390999999</v>
      </c>
      <c r="H111" s="55">
        <f t="shared" si="7"/>
        <v>-1.0312925571695164E-2</v>
      </c>
      <c r="M111" s="104">
        <v>44991</v>
      </c>
      <c r="N111" s="62">
        <v>4531.5546880000002</v>
      </c>
      <c r="O111" s="55">
        <f t="shared" si="8"/>
        <v>-2.3644005710195204E-2</v>
      </c>
      <c r="Q111" s="104">
        <v>44991</v>
      </c>
      <c r="R111">
        <v>4238.3310549999997</v>
      </c>
      <c r="S111" s="55">
        <f t="shared" si="9"/>
        <v>-2.2881086776784798E-2</v>
      </c>
      <c r="U111" s="104">
        <v>44991</v>
      </c>
      <c r="V111">
        <v>911.83813499999997</v>
      </c>
      <c r="W111" s="55">
        <f t="shared" si="10"/>
        <v>-1.0153975573135132E-2</v>
      </c>
      <c r="Y111" s="104">
        <v>44991</v>
      </c>
      <c r="Z111">
        <v>524.76452600000005</v>
      </c>
      <c r="AA111" s="55">
        <f t="shared" si="11"/>
        <v>-9.0688265934839585E-3</v>
      </c>
    </row>
    <row r="112" spans="2:27" x14ac:dyDescent="0.3">
      <c r="B112" s="104">
        <v>44998</v>
      </c>
      <c r="C112" s="62">
        <v>2409.8984380000002</v>
      </c>
      <c r="D112" s="55">
        <f t="shared" si="6"/>
        <v>-7.3211858583647205E-3</v>
      </c>
      <c r="F112" s="104">
        <v>44998</v>
      </c>
      <c r="G112" s="62">
        <v>17100.050781000002</v>
      </c>
      <c r="H112" s="55">
        <f t="shared" si="7"/>
        <v>-1.7966542217268788E-2</v>
      </c>
      <c r="M112" s="104">
        <v>44998</v>
      </c>
      <c r="N112" s="62">
        <v>4129.3427730000003</v>
      </c>
      <c r="O112" s="55">
        <f t="shared" si="8"/>
        <v>-8.8758040604717037E-2</v>
      </c>
      <c r="Q112" s="104">
        <v>44998</v>
      </c>
      <c r="R112">
        <v>4289.0117190000001</v>
      </c>
      <c r="S112" s="55">
        <f t="shared" si="9"/>
        <v>1.1957693569078831E-2</v>
      </c>
      <c r="U112" s="104">
        <v>44998</v>
      </c>
      <c r="V112">
        <v>942.785034</v>
      </c>
      <c r="W112" s="55">
        <f t="shared" si="10"/>
        <v>3.3939026908542225E-2</v>
      </c>
      <c r="Y112" s="104">
        <v>44998</v>
      </c>
      <c r="Z112">
        <v>530.90386999999998</v>
      </c>
      <c r="AA112" s="55">
        <f t="shared" si="11"/>
        <v>1.1699235935014318E-2</v>
      </c>
    </row>
    <row r="113" spans="2:27" x14ac:dyDescent="0.3">
      <c r="B113" s="104">
        <v>45005</v>
      </c>
      <c r="C113" s="62">
        <v>2442.786865</v>
      </c>
      <c r="D113" s="55">
        <f t="shared" si="6"/>
        <v>1.3647225327592771E-2</v>
      </c>
      <c r="F113" s="104">
        <v>45005</v>
      </c>
      <c r="G113" s="62">
        <v>16945.050781000002</v>
      </c>
      <c r="H113" s="55">
        <f t="shared" si="7"/>
        <v>-9.0643005675878907E-3</v>
      </c>
      <c r="M113" s="104">
        <v>45005</v>
      </c>
      <c r="N113" s="62">
        <v>4287.0708009999998</v>
      </c>
      <c r="O113" s="55">
        <f t="shared" si="8"/>
        <v>3.8196884267229114E-2</v>
      </c>
      <c r="Q113" s="104">
        <v>45005</v>
      </c>
      <c r="R113">
        <v>4129.1528319999998</v>
      </c>
      <c r="S113" s="55">
        <f t="shared" si="9"/>
        <v>-3.7271730056562369E-2</v>
      </c>
      <c r="U113" s="104">
        <v>45005</v>
      </c>
      <c r="V113">
        <v>946.51660200000003</v>
      </c>
      <c r="W113" s="55">
        <f t="shared" si="10"/>
        <v>3.9580263426202134E-3</v>
      </c>
      <c r="Y113" s="104">
        <v>45005</v>
      </c>
      <c r="Z113">
        <v>531.15142800000001</v>
      </c>
      <c r="AA113" s="55">
        <f t="shared" si="11"/>
        <v>4.6629533892827979E-4</v>
      </c>
    </row>
    <row r="114" spans="2:27" x14ac:dyDescent="0.3">
      <c r="B114" s="104">
        <v>45012</v>
      </c>
      <c r="C114" s="62">
        <v>2521.1179200000001</v>
      </c>
      <c r="D114" s="55">
        <f t="shared" si="6"/>
        <v>3.2066266657283737E-2</v>
      </c>
      <c r="F114" s="104">
        <v>45012</v>
      </c>
      <c r="G114" s="62">
        <v>17359.75</v>
      </c>
      <c r="H114" s="55">
        <f t="shared" si="7"/>
        <v>2.4473176525678486E-2</v>
      </c>
      <c r="M114" s="104">
        <v>45012</v>
      </c>
      <c r="N114" s="62">
        <v>4257.4785160000001</v>
      </c>
      <c r="O114" s="55">
        <f t="shared" si="8"/>
        <v>-6.9026816615898046E-3</v>
      </c>
      <c r="Q114" s="104">
        <v>45012</v>
      </c>
      <c r="R114">
        <v>4249.2929690000001</v>
      </c>
      <c r="S114" s="55">
        <f t="shared" si="9"/>
        <v>2.9095589794822185E-2</v>
      </c>
      <c r="U114" s="104">
        <v>45012</v>
      </c>
      <c r="V114">
        <v>963.38311799999997</v>
      </c>
      <c r="W114" s="55">
        <f t="shared" si="10"/>
        <v>1.7819566993712233E-2</v>
      </c>
      <c r="Y114" s="104">
        <v>45012</v>
      </c>
      <c r="Z114">
        <v>539.56829800000003</v>
      </c>
      <c r="AA114" s="55">
        <f t="shared" si="11"/>
        <v>1.5846460267824103E-2</v>
      </c>
    </row>
    <row r="115" spans="2:27" x14ac:dyDescent="0.3">
      <c r="B115" s="104">
        <v>45019</v>
      </c>
      <c r="C115" s="62">
        <v>2525.9426269999999</v>
      </c>
      <c r="D115" s="55">
        <f t="shared" si="6"/>
        <v>1.913717308391405E-3</v>
      </c>
      <c r="F115" s="104">
        <v>45019</v>
      </c>
      <c r="G115" s="62">
        <v>17599.150390999999</v>
      </c>
      <c r="H115" s="55">
        <f t="shared" si="7"/>
        <v>1.3790543700226143E-2</v>
      </c>
      <c r="M115" s="104">
        <v>45019</v>
      </c>
      <c r="N115" s="62">
        <v>4227.984375</v>
      </c>
      <c r="O115" s="55">
        <f t="shared" si="8"/>
        <v>-6.9276077117379486E-3</v>
      </c>
      <c r="Q115" s="104">
        <v>45019</v>
      </c>
      <c r="R115">
        <v>4227.3193359999996</v>
      </c>
      <c r="S115" s="55">
        <f t="shared" si="9"/>
        <v>-5.1711268581162706E-3</v>
      </c>
      <c r="U115" s="104">
        <v>45019</v>
      </c>
      <c r="V115">
        <v>962.88562000000002</v>
      </c>
      <c r="W115" s="55">
        <f t="shared" si="10"/>
        <v>-5.164072223237115E-4</v>
      </c>
      <c r="Y115" s="104">
        <v>45019</v>
      </c>
      <c r="Z115">
        <v>520.75421100000005</v>
      </c>
      <c r="AA115" s="55">
        <f t="shared" si="11"/>
        <v>-3.486877763155749E-2</v>
      </c>
    </row>
    <row r="116" spans="2:27" x14ac:dyDescent="0.3">
      <c r="B116" s="104">
        <v>45026</v>
      </c>
      <c r="C116" s="62">
        <v>2497.3378910000001</v>
      </c>
      <c r="D116" s="55">
        <f t="shared" si="6"/>
        <v>-1.1324380725928451E-2</v>
      </c>
      <c r="F116" s="104">
        <v>45026</v>
      </c>
      <c r="G116" s="62">
        <v>17828</v>
      </c>
      <c r="H116" s="55">
        <f t="shared" si="7"/>
        <v>1.3003446411653519E-2</v>
      </c>
      <c r="M116" s="104">
        <v>45026</v>
      </c>
      <c r="N116" s="62">
        <v>4319.2280270000001</v>
      </c>
      <c r="O116" s="55">
        <f t="shared" si="8"/>
        <v>2.1580886755287576E-2</v>
      </c>
      <c r="Q116" s="104">
        <v>45026</v>
      </c>
      <c r="R116">
        <v>4192.3198240000002</v>
      </c>
      <c r="S116" s="55">
        <f t="shared" si="9"/>
        <v>-8.2793631656691291E-3</v>
      </c>
      <c r="U116" s="104">
        <v>45026</v>
      </c>
      <c r="V116">
        <v>958.45752000000005</v>
      </c>
      <c r="W116" s="55">
        <f t="shared" si="10"/>
        <v>-4.5987809019309989E-3</v>
      </c>
      <c r="Y116" s="104">
        <v>45026</v>
      </c>
      <c r="Z116">
        <v>521.99194299999999</v>
      </c>
      <c r="AA116" s="55">
        <f t="shared" si="11"/>
        <v>2.3768065122760085E-3</v>
      </c>
    </row>
    <row r="117" spans="2:27" x14ac:dyDescent="0.3">
      <c r="B117" s="104">
        <v>45033</v>
      </c>
      <c r="C117" s="62">
        <v>2459.673828</v>
      </c>
      <c r="D117" s="55">
        <f t="shared" si="6"/>
        <v>-1.5081684835574483E-2</v>
      </c>
      <c r="F117" s="104">
        <v>45033</v>
      </c>
      <c r="G117" s="62">
        <v>17624.050781000002</v>
      </c>
      <c r="H117" s="55">
        <f t="shared" si="7"/>
        <v>-1.1439826060130054E-2</v>
      </c>
      <c r="M117" s="104">
        <v>45033</v>
      </c>
      <c r="N117" s="62">
        <v>4235.3828130000002</v>
      </c>
      <c r="O117" s="55">
        <f t="shared" si="8"/>
        <v>-1.9412083241698186E-2</v>
      </c>
      <c r="Q117" s="104">
        <v>45033</v>
      </c>
      <c r="R117">
        <v>4327.7998049999997</v>
      </c>
      <c r="S117" s="55">
        <f t="shared" si="9"/>
        <v>3.2316232226465624E-2</v>
      </c>
      <c r="U117" s="104">
        <v>45033</v>
      </c>
      <c r="V117">
        <v>982.28961200000003</v>
      </c>
      <c r="W117" s="55">
        <f t="shared" si="10"/>
        <v>2.4865047748803715E-2</v>
      </c>
      <c r="Y117" s="104">
        <v>45033</v>
      </c>
      <c r="Z117">
        <v>520.01153599999998</v>
      </c>
      <c r="AA117" s="55">
        <f t="shared" si="11"/>
        <v>-3.7939417007438747E-3</v>
      </c>
    </row>
    <row r="118" spans="2:27" x14ac:dyDescent="0.3">
      <c r="B118" s="104">
        <v>45040</v>
      </c>
      <c r="C118" s="62">
        <v>2419.6469729999999</v>
      </c>
      <c r="D118" s="55">
        <f t="shared" si="6"/>
        <v>-1.6273236940747782E-2</v>
      </c>
      <c r="F118" s="104">
        <v>45040</v>
      </c>
      <c r="G118" s="62">
        <v>18065</v>
      </c>
      <c r="H118" s="55">
        <f t="shared" si="7"/>
        <v>2.5019742877464557E-2</v>
      </c>
      <c r="M118" s="104">
        <v>45040</v>
      </c>
      <c r="N118" s="62">
        <v>4352.8647460000002</v>
      </c>
      <c r="O118" s="55">
        <f t="shared" si="8"/>
        <v>2.7738208843697265E-2</v>
      </c>
      <c r="Q118" s="104">
        <v>45040</v>
      </c>
      <c r="R118">
        <v>4553.5498049999997</v>
      </c>
      <c r="S118" s="55">
        <f t="shared" si="9"/>
        <v>5.2162764030625031E-2</v>
      </c>
      <c r="U118" s="104">
        <v>45040</v>
      </c>
      <c r="V118">
        <v>903.03173800000002</v>
      </c>
      <c r="W118" s="55">
        <f t="shared" si="10"/>
        <v>-8.0686869770134617E-2</v>
      </c>
      <c r="Y118" s="104">
        <v>45040</v>
      </c>
      <c r="Z118">
        <v>527.68566899999996</v>
      </c>
      <c r="AA118" s="55">
        <f t="shared" si="11"/>
        <v>1.4757620684784145E-2</v>
      </c>
    </row>
    <row r="119" spans="2:27" x14ac:dyDescent="0.3">
      <c r="B119" s="104">
        <v>45047</v>
      </c>
      <c r="C119" s="62">
        <v>2462.4309079999998</v>
      </c>
      <c r="D119" s="55">
        <f t="shared" si="6"/>
        <v>1.7681891398791283E-2</v>
      </c>
      <c r="F119" s="104">
        <v>45047</v>
      </c>
      <c r="G119" s="62">
        <v>18069</v>
      </c>
      <c r="H119" s="55">
        <f t="shared" si="7"/>
        <v>2.2142264046509652E-4</v>
      </c>
      <c r="M119" s="104">
        <v>45047</v>
      </c>
      <c r="N119" s="62">
        <v>4573.9208980000003</v>
      </c>
      <c r="O119" s="55">
        <f t="shared" si="8"/>
        <v>5.0784061738453179E-2</v>
      </c>
      <c r="Q119" s="104">
        <v>45047</v>
      </c>
      <c r="R119">
        <v>4626</v>
      </c>
      <c r="S119" s="55">
        <f t="shared" si="9"/>
        <v>1.5910706614089776E-2</v>
      </c>
      <c r="U119" s="104">
        <v>45047</v>
      </c>
      <c r="V119">
        <v>932.03826900000001</v>
      </c>
      <c r="W119" s="55">
        <f t="shared" si="10"/>
        <v>3.2121275232521285E-2</v>
      </c>
      <c r="Y119" s="104">
        <v>45047</v>
      </c>
      <c r="Z119">
        <v>500.05865499999999</v>
      </c>
      <c r="AA119" s="55">
        <f t="shared" si="11"/>
        <v>-5.2355058367143159E-2</v>
      </c>
    </row>
    <row r="120" spans="2:27" x14ac:dyDescent="0.3">
      <c r="B120" s="104">
        <v>45054</v>
      </c>
      <c r="C120" s="62">
        <v>2583.2014159999999</v>
      </c>
      <c r="D120" s="55">
        <f t="shared" si="6"/>
        <v>4.9045237211585491E-2</v>
      </c>
      <c r="F120" s="104">
        <v>45054</v>
      </c>
      <c r="G120" s="62">
        <v>18314.800781000002</v>
      </c>
      <c r="H120" s="55">
        <f t="shared" si="7"/>
        <v>1.3603452376999448E-2</v>
      </c>
      <c r="M120" s="104">
        <v>45054</v>
      </c>
      <c r="N120" s="62">
        <v>4515.0322269999997</v>
      </c>
      <c r="O120" s="55">
        <f t="shared" si="8"/>
        <v>-1.2874877443934452E-2</v>
      </c>
      <c r="Q120" s="104">
        <v>45054</v>
      </c>
      <c r="R120">
        <v>4616.5</v>
      </c>
      <c r="S120" s="55">
        <f t="shared" si="9"/>
        <v>-2.0536100302637195E-3</v>
      </c>
      <c r="U120" s="104">
        <v>45054</v>
      </c>
      <c r="V120">
        <v>994.28027299999997</v>
      </c>
      <c r="W120" s="55">
        <f t="shared" si="10"/>
        <v>6.6780524008719588E-2</v>
      </c>
      <c r="Y120" s="104">
        <v>45054</v>
      </c>
      <c r="Z120">
        <v>513.27801499999998</v>
      </c>
      <c r="AA120" s="55">
        <f t="shared" si="11"/>
        <v>2.6435618837554076E-2</v>
      </c>
    </row>
    <row r="121" spans="2:27" x14ac:dyDescent="0.3">
      <c r="B121" s="104">
        <v>45061</v>
      </c>
      <c r="C121" s="62">
        <v>2600.9750979999999</v>
      </c>
      <c r="D121" s="55">
        <f t="shared" si="6"/>
        <v>6.8804863182221343E-3</v>
      </c>
      <c r="F121" s="104">
        <v>45061</v>
      </c>
      <c r="G121" s="62">
        <v>18203.400390999999</v>
      </c>
      <c r="H121" s="55">
        <f t="shared" si="7"/>
        <v>-6.0825335384249168E-3</v>
      </c>
      <c r="M121" s="104">
        <v>45061</v>
      </c>
      <c r="N121" s="62">
        <v>4336.3422849999997</v>
      </c>
      <c r="O121" s="55">
        <f t="shared" si="8"/>
        <v>-3.9576670335026654E-2</v>
      </c>
      <c r="Q121" s="104">
        <v>45061</v>
      </c>
      <c r="R121">
        <v>4499.8500979999999</v>
      </c>
      <c r="S121" s="55">
        <f t="shared" si="9"/>
        <v>-2.526803899057728E-2</v>
      </c>
      <c r="U121" s="104">
        <v>45061</v>
      </c>
      <c r="V121">
        <v>1004.77832</v>
      </c>
      <c r="W121" s="55">
        <f t="shared" si="10"/>
        <v>1.055843838510917E-2</v>
      </c>
      <c r="Y121" s="104">
        <v>45061</v>
      </c>
      <c r="Z121">
        <v>514.02069100000006</v>
      </c>
      <c r="AA121" s="55">
        <f t="shared" si="11"/>
        <v>1.4469273537851546E-3</v>
      </c>
    </row>
    <row r="122" spans="2:27" x14ac:dyDescent="0.3">
      <c r="B122" s="104">
        <v>45068</v>
      </c>
      <c r="C122" s="62">
        <v>2611.7082519999999</v>
      </c>
      <c r="D122" s="55">
        <f t="shared" si="6"/>
        <v>4.1265885276076109E-3</v>
      </c>
      <c r="F122" s="104">
        <v>45068</v>
      </c>
      <c r="G122" s="62">
        <v>18499.349609000001</v>
      </c>
      <c r="H122" s="55">
        <f t="shared" si="7"/>
        <v>1.6257908502980811E-2</v>
      </c>
      <c r="M122" s="104">
        <v>45068</v>
      </c>
      <c r="N122" s="62">
        <v>4337.7724609999996</v>
      </c>
      <c r="O122" s="55">
        <f t="shared" si="8"/>
        <v>3.2981160296019496E-4</v>
      </c>
      <c r="Q122" s="104">
        <v>45068</v>
      </c>
      <c r="R122">
        <v>4596.2001950000003</v>
      </c>
      <c r="S122" s="55">
        <f t="shared" si="9"/>
        <v>2.1411845928561934E-2</v>
      </c>
      <c r="U122" s="104">
        <v>45068</v>
      </c>
      <c r="V122">
        <v>1044.7802730000001</v>
      </c>
      <c r="W122" s="55">
        <f t="shared" si="10"/>
        <v>3.9811719862745454E-2</v>
      </c>
      <c r="Y122" s="104">
        <v>45068</v>
      </c>
      <c r="Z122">
        <v>536.79565400000001</v>
      </c>
      <c r="AA122" s="55">
        <f t="shared" si="11"/>
        <v>4.430748294527298E-2</v>
      </c>
    </row>
    <row r="123" spans="2:27" x14ac:dyDescent="0.3">
      <c r="B123" s="104">
        <v>45075</v>
      </c>
      <c r="C123" s="62">
        <v>2675.0720209999999</v>
      </c>
      <c r="D123" s="55">
        <f t="shared" si="6"/>
        <v>2.4261426961253107E-2</v>
      </c>
      <c r="F123" s="104">
        <v>45075</v>
      </c>
      <c r="G123" s="62">
        <v>18534.099609000001</v>
      </c>
      <c r="H123" s="55">
        <f t="shared" si="7"/>
        <v>1.8784444174779757E-3</v>
      </c>
      <c r="M123" s="104">
        <v>45075</v>
      </c>
      <c r="N123" s="62">
        <v>4384.6274409999996</v>
      </c>
      <c r="O123" s="55">
        <f t="shared" si="8"/>
        <v>1.0801622358310281E-2</v>
      </c>
      <c r="Q123" s="104">
        <v>45075</v>
      </c>
      <c r="R123">
        <v>4654.1499020000001</v>
      </c>
      <c r="S123" s="55">
        <f t="shared" si="9"/>
        <v>1.2608177307646518E-2</v>
      </c>
      <c r="U123" s="104">
        <v>45075</v>
      </c>
      <c r="V123">
        <v>1055.7261960000001</v>
      </c>
      <c r="W123" s="55">
        <f t="shared" si="10"/>
        <v>1.0476770362987109E-2</v>
      </c>
      <c r="Y123" s="104">
        <v>45075</v>
      </c>
      <c r="Z123">
        <v>551.74786400000005</v>
      </c>
      <c r="AA123" s="55">
        <f t="shared" si="11"/>
        <v>2.7854566050566465E-2</v>
      </c>
    </row>
    <row r="124" spans="2:27" x14ac:dyDescent="0.3">
      <c r="B124" s="104">
        <v>45082</v>
      </c>
      <c r="C124" s="62">
        <v>2595.805664</v>
      </c>
      <c r="D124" s="55">
        <f t="shared" si="6"/>
        <v>-2.9631485200300678E-2</v>
      </c>
      <c r="F124" s="104">
        <v>45082</v>
      </c>
      <c r="G124" s="62">
        <v>18563.400390999999</v>
      </c>
      <c r="H124" s="55">
        <f t="shared" si="7"/>
        <v>1.5809120819534339E-3</v>
      </c>
      <c r="M124" s="104">
        <v>45082</v>
      </c>
      <c r="N124" s="62">
        <v>4379.9418949999999</v>
      </c>
      <c r="O124" s="55">
        <f t="shared" si="8"/>
        <v>-1.0686303598307356E-3</v>
      </c>
      <c r="Q124" s="104">
        <v>45082</v>
      </c>
      <c r="R124">
        <v>4878.75</v>
      </c>
      <c r="S124" s="55">
        <f t="shared" si="9"/>
        <v>4.8258028368077133E-2</v>
      </c>
      <c r="U124" s="104">
        <v>45082</v>
      </c>
      <c r="V124">
        <v>1030.252197</v>
      </c>
      <c r="W124" s="55">
        <f t="shared" si="10"/>
        <v>-2.4129361473190225E-2</v>
      </c>
      <c r="Y124" s="104">
        <v>45082</v>
      </c>
      <c r="Z124">
        <v>544.568848</v>
      </c>
      <c r="AA124" s="55">
        <f t="shared" si="11"/>
        <v>-1.3011406963960748E-2</v>
      </c>
    </row>
    <row r="125" spans="2:27" x14ac:dyDescent="0.3">
      <c r="B125" s="104">
        <v>45089</v>
      </c>
      <c r="C125" s="62">
        <v>2674.0378420000002</v>
      </c>
      <c r="D125" s="55">
        <f t="shared" si="6"/>
        <v>3.0137917905398437E-2</v>
      </c>
      <c r="F125" s="104">
        <v>45089</v>
      </c>
      <c r="G125" s="62">
        <v>18826</v>
      </c>
      <c r="H125" s="55">
        <f t="shared" si="7"/>
        <v>1.4146094113625551E-2</v>
      </c>
      <c r="M125" s="104">
        <v>45089</v>
      </c>
      <c r="N125" s="62">
        <v>4478.6333009999998</v>
      </c>
      <c r="O125" s="55">
        <f t="shared" si="8"/>
        <v>2.2532583391725591E-2</v>
      </c>
      <c r="Q125" s="104">
        <v>45089</v>
      </c>
      <c r="R125">
        <v>5044.7001950000003</v>
      </c>
      <c r="S125" s="55">
        <f t="shared" si="9"/>
        <v>3.4014900333077192E-2</v>
      </c>
      <c r="U125" s="104">
        <v>45089</v>
      </c>
      <c r="V125">
        <v>1064.731689</v>
      </c>
      <c r="W125" s="55">
        <f t="shared" si="10"/>
        <v>3.3467040497851874E-2</v>
      </c>
      <c r="Y125" s="104">
        <v>45089</v>
      </c>
      <c r="Z125">
        <v>565.31390399999998</v>
      </c>
      <c r="AA125" s="55">
        <f t="shared" si="11"/>
        <v>3.809445963754432E-2</v>
      </c>
    </row>
    <row r="126" spans="2:27" x14ac:dyDescent="0.3">
      <c r="B126" s="104">
        <v>45096</v>
      </c>
      <c r="C126" s="62">
        <v>2601.123047</v>
      </c>
      <c r="D126" s="55">
        <f t="shared" si="6"/>
        <v>-2.7267675069798103E-2</v>
      </c>
      <c r="F126" s="104">
        <v>45096</v>
      </c>
      <c r="G126" s="62">
        <v>18665.5</v>
      </c>
      <c r="H126" s="55">
        <f t="shared" si="7"/>
        <v>-8.5254435355359703E-3</v>
      </c>
      <c r="M126" s="104">
        <v>45096</v>
      </c>
      <c r="N126" s="62">
        <v>4768.689453</v>
      </c>
      <c r="O126" s="55">
        <f t="shared" si="8"/>
        <v>6.4764434260611514E-2</v>
      </c>
      <c r="Q126" s="104">
        <v>45096</v>
      </c>
      <c r="R126">
        <v>4970.7998049999997</v>
      </c>
      <c r="S126" s="55">
        <f t="shared" si="9"/>
        <v>-1.4649114346427572E-2</v>
      </c>
      <c r="U126" s="104">
        <v>45096</v>
      </c>
      <c r="V126">
        <v>1030.8492429999999</v>
      </c>
      <c r="W126" s="55">
        <f t="shared" si="10"/>
        <v>-3.182252049981027E-2</v>
      </c>
      <c r="Y126" s="104">
        <v>45096</v>
      </c>
      <c r="Z126">
        <v>557.83770800000002</v>
      </c>
      <c r="AA126" s="55">
        <f t="shared" si="11"/>
        <v>-1.3224857812801916E-2</v>
      </c>
    </row>
    <row r="127" spans="2:27" x14ac:dyDescent="0.3">
      <c r="B127" s="104">
        <v>45103</v>
      </c>
      <c r="C127" s="62">
        <v>2658.6508789999998</v>
      </c>
      <c r="D127" s="55">
        <f t="shared" si="6"/>
        <v>2.2116536188608649E-2</v>
      </c>
      <c r="F127" s="104">
        <v>45103</v>
      </c>
      <c r="G127" s="62">
        <v>19189.050781000002</v>
      </c>
      <c r="H127" s="55">
        <f t="shared" si="7"/>
        <v>2.804911633762841E-2</v>
      </c>
      <c r="M127" s="104">
        <v>45103</v>
      </c>
      <c r="N127" s="62">
        <v>5006.0219729999999</v>
      </c>
      <c r="O127" s="55">
        <f t="shared" si="8"/>
        <v>4.9768919184010496E-2</v>
      </c>
      <c r="Q127" s="104">
        <v>45103</v>
      </c>
      <c r="R127">
        <v>5024.5498049999997</v>
      </c>
      <c r="S127" s="55">
        <f t="shared" si="9"/>
        <v>1.0813149213117379E-2</v>
      </c>
      <c r="U127" s="104">
        <v>45103</v>
      </c>
      <c r="V127">
        <v>1075.67749</v>
      </c>
      <c r="W127" s="55">
        <f t="shared" si="10"/>
        <v>4.348671476882493E-2</v>
      </c>
      <c r="Y127" s="104">
        <v>45103</v>
      </c>
      <c r="Z127">
        <v>567.34381099999996</v>
      </c>
      <c r="AA127" s="55">
        <f t="shared" si="11"/>
        <v>1.7040983181437985E-2</v>
      </c>
    </row>
    <row r="128" spans="2:27" x14ac:dyDescent="0.3">
      <c r="B128" s="104">
        <v>45110</v>
      </c>
      <c r="C128" s="62">
        <v>2678.4558109999998</v>
      </c>
      <c r="D128" s="55">
        <f t="shared" si="6"/>
        <v>7.4492413262809976E-3</v>
      </c>
      <c r="F128" s="104">
        <v>45110</v>
      </c>
      <c r="G128" s="62">
        <v>19331.800781000002</v>
      </c>
      <c r="H128" s="55">
        <f t="shared" si="7"/>
        <v>7.4391381642151533E-3</v>
      </c>
      <c r="M128" s="104">
        <v>45110</v>
      </c>
      <c r="N128" s="62">
        <v>5002.125</v>
      </c>
      <c r="O128" s="55">
        <f t="shared" si="8"/>
        <v>-7.7845703055601234E-4</v>
      </c>
      <c r="Q128" s="104">
        <v>45110</v>
      </c>
      <c r="R128">
        <v>5054.5</v>
      </c>
      <c r="S128" s="55">
        <f t="shared" si="9"/>
        <v>5.9607718427223677E-3</v>
      </c>
      <c r="U128" s="104">
        <v>45110</v>
      </c>
      <c r="V128">
        <v>1057.3680420000001</v>
      </c>
      <c r="W128" s="55">
        <f t="shared" si="10"/>
        <v>-1.7021317421079374E-2</v>
      </c>
      <c r="Y128" s="104">
        <v>45110</v>
      </c>
      <c r="Z128">
        <v>566.601135</v>
      </c>
      <c r="AA128" s="55">
        <f t="shared" si="11"/>
        <v>-1.3090404541311607E-3</v>
      </c>
    </row>
    <row r="129" spans="2:27" x14ac:dyDescent="0.3">
      <c r="B129" s="104">
        <v>45117</v>
      </c>
      <c r="C129" s="62">
        <v>2657.4099120000001</v>
      </c>
      <c r="D129" s="55">
        <f t="shared" si="6"/>
        <v>-7.8574747858700666E-3</v>
      </c>
      <c r="F129" s="104">
        <v>45117</v>
      </c>
      <c r="G129" s="62">
        <v>19564.5</v>
      </c>
      <c r="H129" s="55">
        <f t="shared" si="7"/>
        <v>1.2037120681933855E-2</v>
      </c>
      <c r="M129" s="104">
        <v>45117</v>
      </c>
      <c r="N129" s="62">
        <v>5701.1992190000001</v>
      </c>
      <c r="O129" s="55">
        <f t="shared" si="8"/>
        <v>0.13975544773471271</v>
      </c>
      <c r="Q129" s="104">
        <v>45117</v>
      </c>
      <c r="R129">
        <v>5133.2001950000003</v>
      </c>
      <c r="S129" s="55">
        <f t="shared" si="9"/>
        <v>1.5570322484914412E-2</v>
      </c>
      <c r="U129" s="104">
        <v>45117</v>
      </c>
      <c r="V129">
        <v>1057.7163089999999</v>
      </c>
      <c r="W129" s="55">
        <f t="shared" si="10"/>
        <v>3.2937159642276725E-4</v>
      </c>
      <c r="Y129" s="104">
        <v>45117</v>
      </c>
      <c r="Z129">
        <v>580.76122999999995</v>
      </c>
      <c r="AA129" s="55">
        <f t="shared" si="11"/>
        <v>2.4991293037208484E-2</v>
      </c>
    </row>
    <row r="130" spans="2:27" x14ac:dyDescent="0.3">
      <c r="B130" s="104">
        <v>45124</v>
      </c>
      <c r="C130" s="62">
        <v>2585.0407709999999</v>
      </c>
      <c r="D130" s="55">
        <f t="shared" si="6"/>
        <v>-2.723296119021934E-2</v>
      </c>
      <c r="F130" s="104">
        <v>45124</v>
      </c>
      <c r="G130" s="62">
        <v>19745</v>
      </c>
      <c r="H130" s="55">
        <f t="shared" si="7"/>
        <v>9.225893838329613E-3</v>
      </c>
      <c r="M130" s="104">
        <v>45124</v>
      </c>
      <c r="N130" s="62">
        <v>5520.1918949999999</v>
      </c>
      <c r="O130" s="55">
        <f t="shared" si="8"/>
        <v>-3.1748991229208268E-2</v>
      </c>
      <c r="Q130" s="104">
        <v>45124</v>
      </c>
      <c r="R130">
        <v>5047</v>
      </c>
      <c r="S130" s="55">
        <f t="shared" si="9"/>
        <v>-1.6792681314857671E-2</v>
      </c>
      <c r="U130" s="104">
        <v>45124</v>
      </c>
      <c r="V130">
        <v>1051.3479</v>
      </c>
      <c r="W130" s="55">
        <f t="shared" si="10"/>
        <v>-6.0209046091204144E-3</v>
      </c>
      <c r="Y130" s="104">
        <v>45124</v>
      </c>
      <c r="Z130">
        <v>559.66961700000002</v>
      </c>
      <c r="AA130" s="55">
        <f t="shared" si="11"/>
        <v>-3.6317184947073589E-2</v>
      </c>
    </row>
    <row r="131" spans="2:27" x14ac:dyDescent="0.3">
      <c r="B131" s="104">
        <v>45131</v>
      </c>
      <c r="C131" s="62">
        <v>2565.781982</v>
      </c>
      <c r="D131" s="55">
        <f t="shared" si="6"/>
        <v>-7.450091006707793E-3</v>
      </c>
      <c r="F131" s="104">
        <v>45131</v>
      </c>
      <c r="G131" s="62">
        <v>19646.050781000002</v>
      </c>
      <c r="H131" s="55">
        <f t="shared" si="7"/>
        <v>-5.0113557356291638E-3</v>
      </c>
      <c r="M131" s="104">
        <v>45131</v>
      </c>
      <c r="N131" s="62">
        <v>5637.0327150000003</v>
      </c>
      <c r="O131" s="55">
        <f t="shared" si="8"/>
        <v>2.116607940854931E-2</v>
      </c>
      <c r="Q131" s="104">
        <v>45131</v>
      </c>
      <c r="R131">
        <v>4903.3500979999999</v>
      </c>
      <c r="S131" s="55">
        <f t="shared" si="9"/>
        <v>-2.8462433524866326E-2</v>
      </c>
      <c r="U131" s="104">
        <v>45131</v>
      </c>
      <c r="V131">
        <v>1030.8492429999999</v>
      </c>
      <c r="W131" s="55">
        <f t="shared" si="10"/>
        <v>-1.949750125529337E-2</v>
      </c>
      <c r="Y131" s="104">
        <v>45131</v>
      </c>
      <c r="Z131">
        <v>578.70910600000002</v>
      </c>
      <c r="AA131" s="55">
        <f t="shared" si="11"/>
        <v>3.4019157770360131E-2</v>
      </c>
    </row>
    <row r="132" spans="2:27" x14ac:dyDescent="0.3">
      <c r="B132" s="104">
        <v>45138</v>
      </c>
      <c r="C132" s="62">
        <v>2527.463135</v>
      </c>
      <c r="D132" s="55">
        <f t="shared" si="6"/>
        <v>-1.4934568591104869E-2</v>
      </c>
      <c r="F132" s="104">
        <v>45138</v>
      </c>
      <c r="G132" s="62">
        <v>19517</v>
      </c>
      <c r="H132" s="55">
        <f t="shared" si="7"/>
        <v>-6.568789953694365E-3</v>
      </c>
      <c r="M132" s="104">
        <v>45138</v>
      </c>
      <c r="N132" s="62">
        <v>5614.986328</v>
      </c>
      <c r="O132" s="55">
        <f t="shared" si="8"/>
        <v>-3.9109914940418378E-3</v>
      </c>
      <c r="Q132" s="104">
        <v>45138</v>
      </c>
      <c r="R132">
        <v>4798.5</v>
      </c>
      <c r="S132" s="55">
        <f t="shared" si="9"/>
        <v>-2.1383359520415812E-2</v>
      </c>
      <c r="U132" s="104">
        <v>45138</v>
      </c>
      <c r="V132">
        <v>1012.539856</v>
      </c>
      <c r="W132" s="55">
        <f t="shared" si="10"/>
        <v>-1.7761459422248271E-2</v>
      </c>
      <c r="Y132" s="104">
        <v>45138</v>
      </c>
      <c r="Z132">
        <v>566.77081299999998</v>
      </c>
      <c r="AA132" s="55">
        <f t="shared" si="11"/>
        <v>-2.062917772716033E-2</v>
      </c>
    </row>
    <row r="133" spans="2:27" x14ac:dyDescent="0.3">
      <c r="B133" s="104">
        <v>45145</v>
      </c>
      <c r="C133" s="62">
        <v>2483.584961</v>
      </c>
      <c r="D133" s="55">
        <f t="shared" si="6"/>
        <v>-1.7360559444915435E-2</v>
      </c>
      <c r="F133" s="104">
        <v>45145</v>
      </c>
      <c r="G133" s="62">
        <v>19428.300781000002</v>
      </c>
      <c r="H133" s="55">
        <f t="shared" si="7"/>
        <v>-4.5447158374749552E-3</v>
      </c>
      <c r="M133" s="104">
        <v>45145</v>
      </c>
      <c r="N133" s="62">
        <v>5420.3173829999996</v>
      </c>
      <c r="O133" s="55">
        <f t="shared" si="8"/>
        <v>-3.4669531433986434E-2</v>
      </c>
      <c r="Q133" s="104">
        <v>45145</v>
      </c>
      <c r="R133">
        <v>4510.2998049999997</v>
      </c>
      <c r="S133" s="55">
        <f t="shared" si="9"/>
        <v>-6.0060476190476275E-2</v>
      </c>
      <c r="U133" s="104">
        <v>45145</v>
      </c>
      <c r="V133">
        <v>1015.127136</v>
      </c>
      <c r="W133" s="55">
        <f t="shared" si="10"/>
        <v>2.5552376873547722E-3</v>
      </c>
      <c r="Y133" s="104">
        <v>45145</v>
      </c>
      <c r="Z133">
        <v>560.25451699999996</v>
      </c>
      <c r="AA133" s="55">
        <f t="shared" si="11"/>
        <v>-1.1497232832982873E-2</v>
      </c>
    </row>
    <row r="134" spans="2:27" x14ac:dyDescent="0.3">
      <c r="B134" s="104">
        <v>45152</v>
      </c>
      <c r="C134" s="62">
        <v>2536.149414</v>
      </c>
      <c r="D134" s="55">
        <f t="shared" si="6"/>
        <v>2.1164749273902439E-2</v>
      </c>
      <c r="F134" s="104">
        <v>45152</v>
      </c>
      <c r="G134" s="62">
        <v>19310.150390999999</v>
      </c>
      <c r="H134" s="55">
        <f t="shared" si="7"/>
        <v>-6.0813547891717112E-3</v>
      </c>
      <c r="M134" s="104">
        <v>45152</v>
      </c>
      <c r="N134" s="62">
        <v>5427.8134769999997</v>
      </c>
      <c r="O134" s="55">
        <f t="shared" si="8"/>
        <v>1.3829621902787803E-3</v>
      </c>
      <c r="Q134" s="104">
        <v>45152</v>
      </c>
      <c r="R134">
        <v>4535.0498049999997</v>
      </c>
      <c r="S134" s="55">
        <f t="shared" si="9"/>
        <v>5.4874400971223203E-3</v>
      </c>
      <c r="U134" s="104">
        <v>45152</v>
      </c>
      <c r="V134">
        <v>1021.395996</v>
      </c>
      <c r="W134" s="55">
        <f t="shared" si="10"/>
        <v>6.1754432303935403E-3</v>
      </c>
      <c r="Y134" s="104">
        <v>45152</v>
      </c>
      <c r="Z134">
        <v>562.59240699999998</v>
      </c>
      <c r="AA134" s="55">
        <f t="shared" si="11"/>
        <v>4.1729070075484653E-3</v>
      </c>
    </row>
    <row r="135" spans="2:27" x14ac:dyDescent="0.3">
      <c r="B135" s="104">
        <v>45159</v>
      </c>
      <c r="C135" s="62">
        <v>2544.8852539999998</v>
      </c>
      <c r="D135" s="55">
        <f t="shared" si="6"/>
        <v>3.4445289192255313E-3</v>
      </c>
      <c r="F135" s="104">
        <v>45159</v>
      </c>
      <c r="G135" s="62">
        <v>19265.800781000002</v>
      </c>
      <c r="H135" s="55">
        <f t="shared" si="7"/>
        <v>-2.2966993576947203E-3</v>
      </c>
      <c r="M135" s="104">
        <v>45159</v>
      </c>
      <c r="N135" s="62">
        <v>5393.4375</v>
      </c>
      <c r="O135" s="55">
        <f t="shared" si="8"/>
        <v>-6.3333010881205798E-3</v>
      </c>
      <c r="Q135" s="104">
        <v>45159</v>
      </c>
      <c r="R135">
        <v>4525.7998049999997</v>
      </c>
      <c r="S135" s="55">
        <f t="shared" si="9"/>
        <v>-2.0396688895900628E-3</v>
      </c>
      <c r="U135" s="104">
        <v>45159</v>
      </c>
      <c r="V135">
        <v>1025.2768550000001</v>
      </c>
      <c r="W135" s="55">
        <f t="shared" si="10"/>
        <v>3.7995635534096017E-3</v>
      </c>
      <c r="Y135" s="104">
        <v>45159</v>
      </c>
      <c r="Z135">
        <v>555.18072500000005</v>
      </c>
      <c r="AA135" s="55">
        <f t="shared" si="11"/>
        <v>-1.3174159316373335E-2</v>
      </c>
    </row>
    <row r="136" spans="2:27" x14ac:dyDescent="0.3">
      <c r="B136" s="104">
        <v>45166</v>
      </c>
      <c r="C136" s="62">
        <v>2486.5629880000001</v>
      </c>
      <c r="D136" s="55">
        <f t="shared" si="6"/>
        <v>-2.2917444277037569E-2</v>
      </c>
      <c r="F136" s="104">
        <v>45166</v>
      </c>
      <c r="G136" s="62">
        <v>19435.300781000002</v>
      </c>
      <c r="H136" s="55">
        <f t="shared" si="7"/>
        <v>8.797973254616176E-3</v>
      </c>
      <c r="M136" s="104">
        <v>45166</v>
      </c>
      <c r="N136" s="62">
        <v>5461.9931640000004</v>
      </c>
      <c r="O136" s="55">
        <f t="shared" si="8"/>
        <v>1.2710940657048475E-2</v>
      </c>
      <c r="Q136" s="104">
        <v>45166</v>
      </c>
      <c r="R136">
        <v>4484.3500979999999</v>
      </c>
      <c r="S136" s="55">
        <f t="shared" si="9"/>
        <v>-9.1585374488299953E-3</v>
      </c>
      <c r="U136" s="104">
        <v>45166</v>
      </c>
      <c r="V136">
        <v>1000.399902</v>
      </c>
      <c r="W136" s="55">
        <f t="shared" si="10"/>
        <v>-2.4263644379254101E-2</v>
      </c>
      <c r="Y136" s="104">
        <v>45166</v>
      </c>
      <c r="Z136">
        <v>550.50488299999995</v>
      </c>
      <c r="AA136" s="55">
        <f t="shared" si="11"/>
        <v>-8.422198014889859E-3</v>
      </c>
    </row>
    <row r="137" spans="2:27" x14ac:dyDescent="0.3">
      <c r="B137" s="104">
        <v>45173</v>
      </c>
      <c r="C137" s="62">
        <v>2495.4975589999999</v>
      </c>
      <c r="D137" s="55">
        <f t="shared" ref="D137:D164" si="12">+C137/C136-1</f>
        <v>3.5931408305831525E-3</v>
      </c>
      <c r="F137" s="104">
        <v>45173</v>
      </c>
      <c r="G137" s="62">
        <v>19819.949218999998</v>
      </c>
      <c r="H137" s="55">
        <f t="shared" ref="H137:H164" si="13">+G137/G136-1</f>
        <v>1.9791226404688889E-2</v>
      </c>
      <c r="M137" s="104">
        <v>45173</v>
      </c>
      <c r="N137" s="62">
        <v>5822.7255859999996</v>
      </c>
      <c r="O137" s="55">
        <f t="shared" ref="O137:O164" si="14">+N137/N136-1</f>
        <v>6.6044099867716088E-2</v>
      </c>
      <c r="Q137" s="104">
        <v>45173</v>
      </c>
      <c r="R137">
        <v>4540.5</v>
      </c>
      <c r="S137" s="55">
        <f t="shared" ref="S137:S164" si="15">+R137/R136-1</f>
        <v>1.2521302033273951E-2</v>
      </c>
      <c r="U137" s="104">
        <v>45173</v>
      </c>
      <c r="V137">
        <v>1015.276306</v>
      </c>
      <c r="W137" s="55">
        <f t="shared" ref="W137:W164" si="16">+V137/V136-1</f>
        <v>1.4870457274394955E-2</v>
      </c>
      <c r="Y137" s="104">
        <v>45173</v>
      </c>
      <c r="Z137">
        <v>564.18414299999995</v>
      </c>
      <c r="AA137" s="55">
        <f t="shared" ref="AA137:AA164" si="17">+Z137/Z136-1</f>
        <v>2.4848571597501978E-2</v>
      </c>
    </row>
    <row r="138" spans="2:27" x14ac:dyDescent="0.3">
      <c r="B138" s="104">
        <v>45180</v>
      </c>
      <c r="C138" s="62">
        <v>2451.7185060000002</v>
      </c>
      <c r="D138" s="55">
        <f t="shared" si="12"/>
        <v>-1.754321611820886E-2</v>
      </c>
      <c r="F138" s="104">
        <v>45180</v>
      </c>
      <c r="G138" s="62">
        <v>20192.349609000001</v>
      </c>
      <c r="H138" s="55">
        <f t="shared" si="13"/>
        <v>1.8789169734249711E-2</v>
      </c>
      <c r="M138" s="104">
        <v>45180</v>
      </c>
      <c r="N138" s="62">
        <v>6196.5288090000004</v>
      </c>
      <c r="O138" s="55">
        <f t="shared" si="14"/>
        <v>6.4197293428830404E-2</v>
      </c>
      <c r="Q138" s="104">
        <v>45180</v>
      </c>
      <c r="R138">
        <v>4532.8500979999999</v>
      </c>
      <c r="S138" s="55">
        <f t="shared" si="15"/>
        <v>-1.6848148882282477E-3</v>
      </c>
      <c r="U138" s="104">
        <v>45180</v>
      </c>
      <c r="V138">
        <v>997.11621100000002</v>
      </c>
      <c r="W138" s="55">
        <f t="shared" si="16"/>
        <v>-1.7886850005933264E-2</v>
      </c>
      <c r="Y138" s="104">
        <v>45180</v>
      </c>
      <c r="Z138">
        <v>562.59240699999998</v>
      </c>
      <c r="AA138" s="55">
        <f t="shared" si="17"/>
        <v>-2.8213058090148513E-3</v>
      </c>
    </row>
    <row r="139" spans="2:27" x14ac:dyDescent="0.3">
      <c r="B139" s="104">
        <v>45187</v>
      </c>
      <c r="C139" s="62">
        <v>2464.375732</v>
      </c>
      <c r="D139" s="55">
        <f t="shared" si="12"/>
        <v>5.1625934906573967E-3</v>
      </c>
      <c r="F139" s="104">
        <v>45187</v>
      </c>
      <c r="G139" s="62">
        <v>19674.25</v>
      </c>
      <c r="H139" s="55">
        <f t="shared" si="13"/>
        <v>-2.5658213087251469E-2</v>
      </c>
      <c r="M139" s="104">
        <v>45187</v>
      </c>
      <c r="N139" s="62">
        <v>5914.1171880000002</v>
      </c>
      <c r="O139" s="55">
        <f t="shared" si="14"/>
        <v>-4.5575777940355611E-2</v>
      </c>
      <c r="Q139" s="104">
        <v>45187</v>
      </c>
      <c r="R139">
        <v>4564.6499020000001</v>
      </c>
      <c r="S139" s="55">
        <f t="shared" si="15"/>
        <v>7.0154104619588598E-3</v>
      </c>
      <c r="U139" s="104">
        <v>45187</v>
      </c>
      <c r="V139">
        <v>981.29449499999998</v>
      </c>
      <c r="W139" s="55">
        <f t="shared" si="16"/>
        <v>-1.5867474448271746E-2</v>
      </c>
      <c r="Y139" s="104">
        <v>45187</v>
      </c>
      <c r="Z139">
        <v>558.41400099999998</v>
      </c>
      <c r="AA139" s="55">
        <f t="shared" si="17"/>
        <v>-7.4270572229745424E-3</v>
      </c>
    </row>
    <row r="140" spans="2:27" x14ac:dyDescent="0.3">
      <c r="B140" s="104">
        <v>45194</v>
      </c>
      <c r="C140" s="62">
        <v>2447.6484380000002</v>
      </c>
      <c r="D140" s="55">
        <f t="shared" si="12"/>
        <v>-6.7876394750991942E-3</v>
      </c>
      <c r="F140" s="104">
        <v>45194</v>
      </c>
      <c r="G140" s="62">
        <v>19638.300781000002</v>
      </c>
      <c r="H140" s="55">
        <f t="shared" si="13"/>
        <v>-1.8272218254824502E-3</v>
      </c>
      <c r="M140" s="104">
        <v>45194</v>
      </c>
      <c r="N140" s="62">
        <v>6043.4370120000003</v>
      </c>
      <c r="O140" s="55">
        <f t="shared" si="14"/>
        <v>2.1866293799925884E-2</v>
      </c>
      <c r="Q140" s="104">
        <v>45194</v>
      </c>
      <c r="R140">
        <v>4537.1499020000001</v>
      </c>
      <c r="S140" s="55">
        <f t="shared" si="15"/>
        <v>-6.0245584196831903E-3</v>
      </c>
      <c r="U140" s="104">
        <v>45194</v>
      </c>
      <c r="V140">
        <v>986.71765100000005</v>
      </c>
      <c r="W140" s="55">
        <f t="shared" si="16"/>
        <v>5.5265325828615097E-3</v>
      </c>
      <c r="Y140" s="104">
        <v>45194</v>
      </c>
      <c r="Z140">
        <v>548.76385500000004</v>
      </c>
      <c r="AA140" s="55">
        <f t="shared" si="17"/>
        <v>-1.7281346783423412E-2</v>
      </c>
    </row>
    <row r="141" spans="2:27" x14ac:dyDescent="0.3">
      <c r="B141" s="104">
        <v>45201</v>
      </c>
      <c r="C141" s="62">
        <v>2481.2021479999999</v>
      </c>
      <c r="D141" s="55">
        <f t="shared" si="12"/>
        <v>1.3708549593591357E-2</v>
      </c>
      <c r="F141" s="104">
        <v>45201</v>
      </c>
      <c r="G141" s="62">
        <v>19653.5</v>
      </c>
      <c r="H141" s="55">
        <f t="shared" si="13"/>
        <v>7.7395794928980521E-4</v>
      </c>
      <c r="M141" s="104">
        <v>45201</v>
      </c>
      <c r="N141" s="62">
        <v>6119.4902339999999</v>
      </c>
      <c r="O141" s="55">
        <f t="shared" si="14"/>
        <v>1.258443197951542E-2</v>
      </c>
      <c r="Q141" s="104">
        <v>45201</v>
      </c>
      <c r="R141">
        <v>4538.4501950000003</v>
      </c>
      <c r="S141" s="55">
        <f t="shared" si="15"/>
        <v>2.8658806256931513E-4</v>
      </c>
      <c r="U141" s="104">
        <v>45201</v>
      </c>
      <c r="V141">
        <v>966.865906</v>
      </c>
      <c r="W141" s="55">
        <f t="shared" si="16"/>
        <v>-2.0118972210420139E-2</v>
      </c>
      <c r="Y141" s="104">
        <v>45201</v>
      </c>
      <c r="Z141">
        <v>544.33679199999995</v>
      </c>
      <c r="AA141" s="55">
        <f t="shared" si="17"/>
        <v>-8.0673370880086637E-3</v>
      </c>
    </row>
    <row r="142" spans="2:27" x14ac:dyDescent="0.3">
      <c r="B142" s="104">
        <v>45208</v>
      </c>
      <c r="C142" s="62">
        <v>2550.7421880000002</v>
      </c>
      <c r="D142" s="55">
        <f t="shared" si="12"/>
        <v>2.8026753102746493E-2</v>
      </c>
      <c r="F142" s="104">
        <v>45208</v>
      </c>
      <c r="G142" s="62">
        <v>19751.050781000002</v>
      </c>
      <c r="H142" s="55">
        <f t="shared" si="13"/>
        <v>4.96353224616497E-3</v>
      </c>
      <c r="M142" s="104">
        <v>45208</v>
      </c>
      <c r="N142" s="62">
        <v>6237.7119140000004</v>
      </c>
      <c r="O142" s="55">
        <f t="shared" si="14"/>
        <v>1.9318877141621726E-2</v>
      </c>
      <c r="Q142" s="104">
        <v>45208</v>
      </c>
      <c r="R142">
        <v>4574.7001950000003</v>
      </c>
      <c r="S142" s="55">
        <f t="shared" si="15"/>
        <v>7.9873080991252898E-3</v>
      </c>
      <c r="U142" s="104">
        <v>45208</v>
      </c>
      <c r="V142">
        <v>978.110229</v>
      </c>
      <c r="W142" s="55">
        <f t="shared" si="16"/>
        <v>1.1629661290383675E-2</v>
      </c>
      <c r="Y142" s="104">
        <v>45208</v>
      </c>
      <c r="Z142">
        <v>536.07940699999995</v>
      </c>
      <c r="AA142" s="55">
        <f t="shared" si="17"/>
        <v>-1.5169624984673113E-2</v>
      </c>
    </row>
    <row r="143" spans="2:27" x14ac:dyDescent="0.3">
      <c r="B143" s="104">
        <v>45215</v>
      </c>
      <c r="C143" s="62">
        <v>2476.983154</v>
      </c>
      <c r="D143" s="55">
        <f t="shared" si="12"/>
        <v>-2.891669504938621E-2</v>
      </c>
      <c r="F143" s="104">
        <v>45215</v>
      </c>
      <c r="G143" s="62">
        <v>19542.650390999999</v>
      </c>
      <c r="H143" s="55">
        <f t="shared" si="13"/>
        <v>-1.0551357105540893E-2</v>
      </c>
      <c r="M143" s="104">
        <v>45215</v>
      </c>
      <c r="N143" s="62">
        <v>6222.1762699999999</v>
      </c>
      <c r="O143" s="55">
        <f t="shared" si="14"/>
        <v>-2.4905997927111567E-3</v>
      </c>
      <c r="Q143" s="104">
        <v>45215</v>
      </c>
      <c r="R143">
        <v>4580</v>
      </c>
      <c r="S143" s="55">
        <f t="shared" si="15"/>
        <v>1.1585032404510809E-3</v>
      </c>
      <c r="U143" s="104">
        <v>45215</v>
      </c>
      <c r="V143">
        <v>983.28466800000001</v>
      </c>
      <c r="W143" s="55">
        <f t="shared" si="16"/>
        <v>5.2902411676956085E-3</v>
      </c>
      <c r="Y143" s="104">
        <v>45215</v>
      </c>
      <c r="Z143">
        <v>522.10168499999997</v>
      </c>
      <c r="AA143" s="55">
        <f t="shared" si="17"/>
        <v>-2.6073976760685347E-2</v>
      </c>
    </row>
    <row r="144" spans="2:27" x14ac:dyDescent="0.3">
      <c r="B144" s="104">
        <v>45222</v>
      </c>
      <c r="C144" s="62">
        <v>2463.97876</v>
      </c>
      <c r="D144" s="55">
        <f t="shared" si="12"/>
        <v>-5.2500938405655173E-3</v>
      </c>
      <c r="F144" s="104">
        <v>45222</v>
      </c>
      <c r="G144" s="62">
        <v>19047.25</v>
      </c>
      <c r="H144" s="55">
        <f t="shared" si="13"/>
        <v>-2.5349703396840506E-2</v>
      </c>
      <c r="M144" s="104">
        <v>45222</v>
      </c>
      <c r="N144" s="62">
        <v>6153.6196289999998</v>
      </c>
      <c r="O144" s="55">
        <f t="shared" si="14"/>
        <v>-1.1018112960017423E-2</v>
      </c>
      <c r="Q144" s="104">
        <v>45222</v>
      </c>
      <c r="R144">
        <v>4514.2998049999997</v>
      </c>
      <c r="S144" s="55">
        <f t="shared" si="15"/>
        <v>-1.4345020742358106E-2</v>
      </c>
      <c r="U144" s="104">
        <v>45222</v>
      </c>
      <c r="V144">
        <v>982.38909899999999</v>
      </c>
      <c r="W144" s="55">
        <f t="shared" si="16"/>
        <v>-9.1079321090359322E-4</v>
      </c>
      <c r="Y144" s="104">
        <v>45222</v>
      </c>
      <c r="Z144">
        <v>521.85296600000004</v>
      </c>
      <c r="AA144" s="55">
        <f t="shared" si="17"/>
        <v>-4.7638038172570507E-4</v>
      </c>
    </row>
    <row r="145" spans="2:27" x14ac:dyDescent="0.3">
      <c r="B145" s="104">
        <v>45229</v>
      </c>
      <c r="C145" s="62">
        <v>2490.9804690000001</v>
      </c>
      <c r="D145" s="55">
        <f t="shared" si="12"/>
        <v>1.0958580259839534E-2</v>
      </c>
      <c r="F145" s="104">
        <v>45229</v>
      </c>
      <c r="G145" s="62">
        <v>19230.599609000001</v>
      </c>
      <c r="H145" s="55">
        <f t="shared" si="13"/>
        <v>9.6260409770438926E-3</v>
      </c>
      <c r="M145" s="104">
        <v>45229</v>
      </c>
      <c r="N145" s="62">
        <v>6165.4072269999997</v>
      </c>
      <c r="O145" s="55">
        <f t="shared" si="14"/>
        <v>1.9155551871370413E-3</v>
      </c>
      <c r="Q145" s="104">
        <v>45229</v>
      </c>
      <c r="R145">
        <v>4539.5498049999997</v>
      </c>
      <c r="S145" s="55">
        <f t="shared" si="15"/>
        <v>5.5933369715572834E-3</v>
      </c>
      <c r="U145" s="104">
        <v>45229</v>
      </c>
      <c r="V145">
        <v>1015.674377</v>
      </c>
      <c r="W145" s="55">
        <f t="shared" si="16"/>
        <v>3.3881970019701946E-2</v>
      </c>
      <c r="Y145" s="104">
        <v>45229</v>
      </c>
      <c r="Z145">
        <v>532.74664299999995</v>
      </c>
      <c r="AA145" s="55">
        <f t="shared" si="17"/>
        <v>2.0874992976469775E-2</v>
      </c>
    </row>
    <row r="146" spans="2:27" x14ac:dyDescent="0.3">
      <c r="B146" s="104">
        <v>45236</v>
      </c>
      <c r="C146" s="62">
        <v>2486.5500489999999</v>
      </c>
      <c r="D146" s="55">
        <f t="shared" si="12"/>
        <v>-1.7785848002970228E-3</v>
      </c>
      <c r="F146" s="104">
        <v>45236</v>
      </c>
      <c r="G146" s="62">
        <v>19425.349609000001</v>
      </c>
      <c r="H146" s="55">
        <f t="shared" si="13"/>
        <v>1.0127089324289962E-2</v>
      </c>
      <c r="M146" s="104">
        <v>45236</v>
      </c>
      <c r="N146" s="62">
        <v>6286.7861329999996</v>
      </c>
      <c r="O146" s="55">
        <f t="shared" si="14"/>
        <v>1.9687086599640802E-2</v>
      </c>
      <c r="Q146" s="104">
        <v>45236</v>
      </c>
      <c r="R146">
        <v>4681.9501950000003</v>
      </c>
      <c r="S146" s="55">
        <f t="shared" si="15"/>
        <v>3.1368835262729489E-2</v>
      </c>
      <c r="U146" s="104">
        <v>45236</v>
      </c>
      <c r="V146">
        <v>979.45361300000002</v>
      </c>
      <c r="W146" s="55">
        <f t="shared" si="16"/>
        <v>-3.566178769517192E-2</v>
      </c>
      <c r="Y146" s="104">
        <v>45236</v>
      </c>
      <c r="Z146">
        <v>530.60766599999999</v>
      </c>
      <c r="AA146" s="55">
        <f t="shared" si="17"/>
        <v>-4.0149985515721687E-3</v>
      </c>
    </row>
    <row r="147" spans="2:27" x14ac:dyDescent="0.3">
      <c r="B147" s="104">
        <v>45243</v>
      </c>
      <c r="C147" s="62">
        <v>2528.8000489999999</v>
      </c>
      <c r="D147" s="55">
        <f t="shared" si="12"/>
        <v>1.6991413471444616E-2</v>
      </c>
      <c r="F147" s="104">
        <v>45243</v>
      </c>
      <c r="G147" s="62">
        <v>19731.800781000002</v>
      </c>
      <c r="H147" s="55">
        <f t="shared" si="13"/>
        <v>1.5775838178892609E-2</v>
      </c>
      <c r="M147" s="104">
        <v>45243</v>
      </c>
      <c r="N147" s="62">
        <v>6251.8671880000002</v>
      </c>
      <c r="O147" s="55">
        <f t="shared" si="14"/>
        <v>-5.55433957212359E-3</v>
      </c>
      <c r="Q147" s="104">
        <v>45243</v>
      </c>
      <c r="R147">
        <v>4718.2998049999997</v>
      </c>
      <c r="S147" s="55">
        <f t="shared" si="15"/>
        <v>7.7637754538308901E-3</v>
      </c>
      <c r="U147" s="104">
        <v>45243</v>
      </c>
      <c r="V147">
        <v>996.95001200000002</v>
      </c>
      <c r="W147" s="55">
        <f t="shared" si="16"/>
        <v>1.7863427902838236E-2</v>
      </c>
      <c r="Y147" s="104">
        <v>45243</v>
      </c>
      <c r="Z147">
        <v>540.70001200000002</v>
      </c>
      <c r="AA147" s="55">
        <f t="shared" si="17"/>
        <v>1.9020354673880746E-2</v>
      </c>
    </row>
    <row r="148" spans="2:27" x14ac:dyDescent="0.3">
      <c r="B148" s="104">
        <v>45250</v>
      </c>
      <c r="C148" s="62">
        <v>2515.1999510000001</v>
      </c>
      <c r="D148" s="55">
        <f t="shared" si="12"/>
        <v>-5.3780835718418851E-3</v>
      </c>
      <c r="F148" s="104">
        <v>45250</v>
      </c>
      <c r="G148" s="62">
        <v>19794.699218999998</v>
      </c>
      <c r="H148" s="55">
        <f t="shared" si="13"/>
        <v>3.1876684088845142E-3</v>
      </c>
      <c r="M148" s="104">
        <v>45250</v>
      </c>
      <c r="N148" s="62">
        <v>6279.1416019999997</v>
      </c>
      <c r="O148" s="55">
        <f t="shared" si="14"/>
        <v>4.362602912030944E-3</v>
      </c>
      <c r="Q148" s="104">
        <v>45250</v>
      </c>
      <c r="R148">
        <v>4644.1499020000001</v>
      </c>
      <c r="S148" s="55">
        <f t="shared" si="15"/>
        <v>-1.5715386063730574E-2</v>
      </c>
      <c r="U148" s="104">
        <v>45250</v>
      </c>
      <c r="V148">
        <v>1009.5</v>
      </c>
      <c r="W148" s="55">
        <f t="shared" si="16"/>
        <v>1.2588382415306132E-2</v>
      </c>
      <c r="Y148" s="104">
        <v>45250</v>
      </c>
      <c r="Z148">
        <v>537.34997599999997</v>
      </c>
      <c r="AA148" s="55">
        <f t="shared" si="17"/>
        <v>-6.1957387195323843E-3</v>
      </c>
    </row>
    <row r="149" spans="2:27" x14ac:dyDescent="0.3">
      <c r="B149" s="104">
        <v>45257</v>
      </c>
      <c r="C149" s="62">
        <v>2563.6499020000001</v>
      </c>
      <c r="D149" s="55">
        <f t="shared" si="12"/>
        <v>1.926286257310772E-2</v>
      </c>
      <c r="F149" s="104">
        <v>45257</v>
      </c>
      <c r="G149" s="62">
        <v>20267.900390999999</v>
      </c>
      <c r="H149" s="55">
        <f t="shared" si="13"/>
        <v>2.390544896715574E-2</v>
      </c>
      <c r="M149" s="104">
        <v>45257</v>
      </c>
      <c r="N149" s="62">
        <v>6284.8720700000003</v>
      </c>
      <c r="O149" s="55">
        <f t="shared" si="14"/>
        <v>9.1261964822964003E-4</v>
      </c>
      <c r="Q149" s="104">
        <v>45257</v>
      </c>
      <c r="R149">
        <v>4970.75</v>
      </c>
      <c r="S149" s="55">
        <f t="shared" si="15"/>
        <v>7.0325055153656724E-2</v>
      </c>
      <c r="U149" s="104">
        <v>45257</v>
      </c>
      <c r="V149">
        <v>1025.400024</v>
      </c>
      <c r="W149" s="55">
        <f t="shared" si="16"/>
        <v>1.5750395245170967E-2</v>
      </c>
      <c r="Y149" s="104">
        <v>45257</v>
      </c>
      <c r="Z149">
        <v>541.15002400000003</v>
      </c>
      <c r="AA149" s="55">
        <f t="shared" si="17"/>
        <v>7.0718305940709048E-3</v>
      </c>
    </row>
    <row r="150" spans="2:27" x14ac:dyDescent="0.3">
      <c r="B150" s="104">
        <v>45264</v>
      </c>
      <c r="C150" s="62">
        <v>2522.3000489999999</v>
      </c>
      <c r="D150" s="55">
        <f t="shared" si="12"/>
        <v>-1.6129290106165262E-2</v>
      </c>
      <c r="F150" s="104">
        <v>45264</v>
      </c>
      <c r="G150" s="62">
        <v>20969.400390999999</v>
      </c>
      <c r="H150" s="55">
        <f t="shared" si="13"/>
        <v>3.4611379889724736E-2</v>
      </c>
      <c r="M150" s="104">
        <v>45264</v>
      </c>
      <c r="N150" s="62">
        <v>6202.2543949999999</v>
      </c>
      <c r="O150" s="55">
        <f t="shared" si="14"/>
        <v>-1.3145482370972128E-2</v>
      </c>
      <c r="Q150" s="104">
        <v>45264</v>
      </c>
      <c r="R150">
        <v>4942.2001950000003</v>
      </c>
      <c r="S150" s="55">
        <f t="shared" si="15"/>
        <v>-5.7435608308604724E-3</v>
      </c>
      <c r="U150" s="104">
        <v>45264</v>
      </c>
      <c r="V150">
        <v>1021.549988</v>
      </c>
      <c r="W150" s="55">
        <f t="shared" si="16"/>
        <v>-3.7546673589702317E-3</v>
      </c>
      <c r="Y150" s="104">
        <v>45264</v>
      </c>
      <c r="Z150">
        <v>547.5</v>
      </c>
      <c r="AA150" s="55">
        <f t="shared" si="17"/>
        <v>1.173422474060537E-2</v>
      </c>
    </row>
    <row r="151" spans="2:27" x14ac:dyDescent="0.3">
      <c r="B151" s="104">
        <v>45271</v>
      </c>
      <c r="C151" s="62">
        <v>2522.8999020000001</v>
      </c>
      <c r="D151" s="55">
        <f t="shared" si="12"/>
        <v>2.3781984234516607E-4</v>
      </c>
      <c r="F151" s="104">
        <v>45271</v>
      </c>
      <c r="G151" s="62">
        <v>21456.650390999999</v>
      </c>
      <c r="H151" s="55">
        <f t="shared" si="13"/>
        <v>2.3236239039487572E-2</v>
      </c>
      <c r="M151" s="104">
        <v>45271</v>
      </c>
      <c r="N151" s="62">
        <v>6125.5024409999996</v>
      </c>
      <c r="O151" s="55">
        <f t="shared" si="14"/>
        <v>-1.2374847775008191E-2</v>
      </c>
      <c r="Q151" s="104">
        <v>45271</v>
      </c>
      <c r="R151">
        <v>4913.8999020000001</v>
      </c>
      <c r="S151" s="55">
        <f t="shared" si="15"/>
        <v>-5.7262538714298872E-3</v>
      </c>
      <c r="U151" s="104">
        <v>45271</v>
      </c>
      <c r="V151">
        <v>1042.150024</v>
      </c>
      <c r="W151" s="55">
        <f t="shared" si="16"/>
        <v>2.0165470355817838E-2</v>
      </c>
      <c r="Y151" s="104">
        <v>45271</v>
      </c>
      <c r="Z151">
        <v>539.70001200000002</v>
      </c>
      <c r="AA151" s="55">
        <f t="shared" si="17"/>
        <v>-1.4246553424657526E-2</v>
      </c>
    </row>
    <row r="152" spans="2:27" x14ac:dyDescent="0.3">
      <c r="B152" s="104">
        <v>45278</v>
      </c>
      <c r="C152" s="62">
        <v>2575.6000979999999</v>
      </c>
      <c r="D152" s="55">
        <f t="shared" si="12"/>
        <v>2.0888738375320459E-2</v>
      </c>
      <c r="F152" s="104">
        <v>45278</v>
      </c>
      <c r="G152" s="62">
        <v>21349.400390999999</v>
      </c>
      <c r="H152" s="55">
        <f t="shared" si="13"/>
        <v>-4.9984502727874469E-3</v>
      </c>
      <c r="M152" s="104">
        <v>45278</v>
      </c>
      <c r="N152" s="62">
        <v>6105.1708980000003</v>
      </c>
      <c r="O152" s="55">
        <f t="shared" si="14"/>
        <v>-3.3191633169409318E-3</v>
      </c>
      <c r="Q152" s="104">
        <v>45278</v>
      </c>
      <c r="R152">
        <v>5161.1000979999999</v>
      </c>
      <c r="S152" s="55">
        <f t="shared" si="15"/>
        <v>5.0306314929082552E-2</v>
      </c>
      <c r="U152" s="104">
        <v>45278</v>
      </c>
      <c r="V152">
        <v>1074.25</v>
      </c>
      <c r="W152" s="55">
        <f t="shared" si="16"/>
        <v>3.0801684268828344E-2</v>
      </c>
      <c r="Y152" s="104">
        <v>45278</v>
      </c>
      <c r="Z152">
        <v>529.29998799999998</v>
      </c>
      <c r="AA152" s="55">
        <f t="shared" si="17"/>
        <v>-1.9270008835945762E-2</v>
      </c>
    </row>
    <row r="153" spans="2:27" x14ac:dyDescent="0.3">
      <c r="B153" s="104">
        <v>45285</v>
      </c>
      <c r="C153" s="62">
        <v>2663.9499510000001</v>
      </c>
      <c r="D153" s="55">
        <f t="shared" si="12"/>
        <v>3.4302628373327648E-2</v>
      </c>
      <c r="F153" s="104">
        <v>45285</v>
      </c>
      <c r="G153" s="62">
        <v>21731.400390999999</v>
      </c>
      <c r="H153" s="55">
        <f t="shared" si="13"/>
        <v>1.7892774176507364E-2</v>
      </c>
      <c r="M153" s="104">
        <v>45285</v>
      </c>
      <c r="N153" s="62">
        <v>6445.1367190000001</v>
      </c>
      <c r="O153" s="55">
        <f t="shared" si="14"/>
        <v>5.5684898372192926E-2</v>
      </c>
      <c r="Q153" s="104">
        <v>45285</v>
      </c>
      <c r="R153">
        <v>5338.4501950000003</v>
      </c>
      <c r="S153" s="55">
        <f t="shared" si="15"/>
        <v>3.4362847771297167E-2</v>
      </c>
      <c r="U153" s="104">
        <v>45285</v>
      </c>
      <c r="V153">
        <v>1131.1999510000001</v>
      </c>
      <c r="W153" s="55">
        <f t="shared" si="16"/>
        <v>5.3013684896439317E-2</v>
      </c>
      <c r="Y153" s="104">
        <v>45285</v>
      </c>
      <c r="Z153">
        <v>557.20001200000002</v>
      </c>
      <c r="AA153" s="55">
        <f t="shared" si="17"/>
        <v>5.2711174442724662E-2</v>
      </c>
    </row>
    <row r="154" spans="2:27" x14ac:dyDescent="0.3">
      <c r="B154" s="104">
        <v>45292</v>
      </c>
      <c r="C154" s="62">
        <v>2620.0500489999999</v>
      </c>
      <c r="D154" s="55">
        <f t="shared" si="12"/>
        <v>-1.6479251790567973E-2</v>
      </c>
      <c r="F154" s="104">
        <v>45292</v>
      </c>
      <c r="G154" s="62">
        <v>21710.800781000002</v>
      </c>
      <c r="H154" s="55">
        <f t="shared" si="13"/>
        <v>-9.4791912299074799E-4</v>
      </c>
      <c r="M154" s="104">
        <v>45292</v>
      </c>
      <c r="N154" s="62">
        <v>6611.8642579999996</v>
      </c>
      <c r="O154" s="55">
        <f t="shared" si="14"/>
        <v>2.5868735803306286E-2</v>
      </c>
      <c r="Q154" s="104">
        <v>45292</v>
      </c>
      <c r="R154">
        <v>5272.3500979999999</v>
      </c>
      <c r="S154" s="55">
        <f t="shared" si="15"/>
        <v>-1.2381888860162005E-2</v>
      </c>
      <c r="U154" s="104">
        <v>45292</v>
      </c>
      <c r="V154">
        <v>1219.849976</v>
      </c>
      <c r="W154" s="55">
        <f t="shared" si="16"/>
        <v>7.8368130162693062E-2</v>
      </c>
      <c r="Y154" s="104">
        <v>45292</v>
      </c>
      <c r="Z154">
        <v>569.04998799999998</v>
      </c>
      <c r="AA154" s="55">
        <f t="shared" si="17"/>
        <v>2.1267006002864131E-2</v>
      </c>
    </row>
    <row r="155" spans="2:27" x14ac:dyDescent="0.3">
      <c r="B155" s="104">
        <v>45299</v>
      </c>
      <c r="C155" s="62">
        <v>2544</v>
      </c>
      <c r="D155" s="55">
        <f t="shared" si="12"/>
        <v>-2.9026181781919069E-2</v>
      </c>
      <c r="F155" s="104">
        <v>45299</v>
      </c>
      <c r="G155" s="62">
        <v>21894.550781000002</v>
      </c>
      <c r="H155" s="55">
        <f t="shared" si="13"/>
        <v>8.4635293674109047E-3</v>
      </c>
      <c r="M155" s="104">
        <v>45299</v>
      </c>
      <c r="N155" s="62">
        <v>6761.9379879999997</v>
      </c>
      <c r="O155" s="55">
        <f t="shared" si="14"/>
        <v>2.2697642320532951E-2</v>
      </c>
      <c r="Q155" s="104">
        <v>45299</v>
      </c>
      <c r="R155">
        <v>5151.1000979999999</v>
      </c>
      <c r="S155" s="55">
        <f t="shared" si="15"/>
        <v>-2.2997334726689411E-2</v>
      </c>
      <c r="U155" s="104">
        <v>45299</v>
      </c>
      <c r="V155">
        <v>1155.5</v>
      </c>
      <c r="W155" s="55">
        <f t="shared" si="16"/>
        <v>-5.2752368951966888E-2</v>
      </c>
      <c r="Y155" s="104">
        <v>45299</v>
      </c>
      <c r="Z155">
        <v>549.70001200000002</v>
      </c>
      <c r="AA155" s="55">
        <f t="shared" si="17"/>
        <v>-3.4004000365605802E-2</v>
      </c>
    </row>
    <row r="156" spans="2:27" x14ac:dyDescent="0.3">
      <c r="B156" s="104">
        <v>45306</v>
      </c>
      <c r="C156" s="62">
        <v>2565.3999020000001</v>
      </c>
      <c r="D156" s="55">
        <f t="shared" si="12"/>
        <v>8.4119111635221344E-3</v>
      </c>
      <c r="F156" s="104">
        <v>45306</v>
      </c>
      <c r="G156" s="62">
        <v>21622.400390999999</v>
      </c>
      <c r="H156" s="55">
        <f t="shared" si="13"/>
        <v>-1.2430051327482539E-2</v>
      </c>
      <c r="M156" s="104">
        <v>45306</v>
      </c>
      <c r="N156" s="62">
        <v>6543.0654299999997</v>
      </c>
      <c r="O156" s="55">
        <f t="shared" si="14"/>
        <v>-3.2368317838527894E-2</v>
      </c>
      <c r="Q156" s="104">
        <v>45306</v>
      </c>
      <c r="R156">
        <v>5138.6499020000001</v>
      </c>
      <c r="S156" s="55">
        <f t="shared" si="15"/>
        <v>-2.4169974885236423E-3</v>
      </c>
      <c r="U156" s="104">
        <v>45306</v>
      </c>
      <c r="V156">
        <v>1149.25</v>
      </c>
      <c r="W156" s="55">
        <f t="shared" si="16"/>
        <v>-5.4089138900909051E-3</v>
      </c>
      <c r="Y156" s="104">
        <v>45306</v>
      </c>
      <c r="Z156">
        <v>542.29998799999998</v>
      </c>
      <c r="AA156" s="55">
        <f t="shared" si="17"/>
        <v>-1.3461931669013771E-2</v>
      </c>
    </row>
    <row r="157" spans="2:27" x14ac:dyDescent="0.3">
      <c r="B157" s="104">
        <v>45313</v>
      </c>
      <c r="C157" s="62">
        <v>2428.3000489999999</v>
      </c>
      <c r="D157" s="55">
        <f t="shared" si="12"/>
        <v>-5.3441903109576194E-2</v>
      </c>
      <c r="F157" s="104">
        <v>45313</v>
      </c>
      <c r="G157" s="62">
        <v>21352.599609000001</v>
      </c>
      <c r="H157" s="55">
        <f t="shared" si="13"/>
        <v>-1.2477836739731241E-2</v>
      </c>
      <c r="M157" s="104">
        <v>45313</v>
      </c>
      <c r="N157" s="62">
        <v>6468.451172</v>
      </c>
      <c r="O157" s="55">
        <f t="shared" si="14"/>
        <v>-1.1403562870988981E-2</v>
      </c>
      <c r="Q157" s="104">
        <v>45313</v>
      </c>
      <c r="R157">
        <v>5141.8999020000001</v>
      </c>
      <c r="S157" s="55">
        <f t="shared" si="15"/>
        <v>6.324618454227604E-4</v>
      </c>
      <c r="U157" s="104">
        <v>45313</v>
      </c>
      <c r="V157">
        <v>1157.3000489999999</v>
      </c>
      <c r="W157" s="55">
        <f t="shared" si="16"/>
        <v>7.0046108331520696E-3</v>
      </c>
      <c r="Y157" s="104">
        <v>45313</v>
      </c>
      <c r="Z157">
        <v>531.59997599999997</v>
      </c>
      <c r="AA157" s="55">
        <f t="shared" si="17"/>
        <v>-1.9730798887644507E-2</v>
      </c>
    </row>
    <row r="158" spans="2:27" x14ac:dyDescent="0.3">
      <c r="B158" s="104">
        <v>45320</v>
      </c>
      <c r="C158" s="62">
        <v>2452.6000979999999</v>
      </c>
      <c r="D158" s="55">
        <f t="shared" si="12"/>
        <v>1.0007020759237317E-2</v>
      </c>
      <c r="F158" s="104">
        <v>45320</v>
      </c>
      <c r="G158" s="62">
        <v>21853.800781000002</v>
      </c>
      <c r="H158" s="55">
        <f t="shared" si="13"/>
        <v>2.3472606669810325E-2</v>
      </c>
      <c r="M158" s="104">
        <v>45320</v>
      </c>
      <c r="N158" s="62">
        <v>6528.6992190000001</v>
      </c>
      <c r="O158" s="55">
        <f t="shared" si="14"/>
        <v>9.3141380212926617E-3</v>
      </c>
      <c r="Q158" s="104">
        <v>45320</v>
      </c>
      <c r="R158">
        <v>5148.8500979999999</v>
      </c>
      <c r="S158" s="55">
        <f t="shared" si="15"/>
        <v>1.3516785881608762E-3</v>
      </c>
      <c r="U158" s="104">
        <v>45320</v>
      </c>
      <c r="V158">
        <v>1236.849976</v>
      </c>
      <c r="W158" s="55">
        <f t="shared" si="16"/>
        <v>6.8737512859122107E-2</v>
      </c>
      <c r="Y158" s="104">
        <v>45320</v>
      </c>
      <c r="Z158">
        <v>544.65002400000003</v>
      </c>
      <c r="AA158" s="55">
        <f t="shared" si="17"/>
        <v>2.4548624133120756E-2</v>
      </c>
    </row>
    <row r="159" spans="2:27" x14ac:dyDescent="0.3">
      <c r="B159" s="104">
        <v>45327</v>
      </c>
      <c r="C159" s="62">
        <v>2424.1499020000001</v>
      </c>
      <c r="D159" s="55">
        <f t="shared" si="12"/>
        <v>-1.1600014214791843E-2</v>
      </c>
      <c r="F159" s="104">
        <v>45327</v>
      </c>
      <c r="G159" s="62">
        <v>21782.5</v>
      </c>
      <c r="H159" s="55">
        <f t="shared" si="13"/>
        <v>-3.2626261085894059E-3</v>
      </c>
      <c r="M159" s="104">
        <v>45327</v>
      </c>
      <c r="N159" s="62">
        <v>6769.6928710000002</v>
      </c>
      <c r="O159" s="55">
        <f t="shared" si="14"/>
        <v>3.6912965954788213E-2</v>
      </c>
      <c r="Q159" s="104">
        <v>45327</v>
      </c>
      <c r="R159">
        <v>4971.5</v>
      </c>
      <c r="S159" s="55">
        <f t="shared" si="15"/>
        <v>-3.4444603090870496E-2</v>
      </c>
      <c r="U159" s="104">
        <v>45327</v>
      </c>
      <c r="V159">
        <v>1218.650024</v>
      </c>
      <c r="W159" s="55">
        <f t="shared" si="16"/>
        <v>-1.471476117003212E-2</v>
      </c>
      <c r="Y159" s="104">
        <v>45327</v>
      </c>
      <c r="Z159">
        <v>539.20001200000002</v>
      </c>
      <c r="AA159" s="55">
        <f t="shared" si="17"/>
        <v>-1.0006447736794821E-2</v>
      </c>
    </row>
    <row r="160" spans="2:27" x14ac:dyDescent="0.3">
      <c r="B160" s="104">
        <v>45334</v>
      </c>
      <c r="C160" s="62">
        <v>2375.25</v>
      </c>
      <c r="D160" s="55">
        <f t="shared" si="12"/>
        <v>-2.0171979447168753E-2</v>
      </c>
      <c r="F160" s="104">
        <v>45334</v>
      </c>
      <c r="G160" s="62">
        <v>22040.699218999998</v>
      </c>
      <c r="H160" s="55">
        <f t="shared" si="13"/>
        <v>1.1853516308963474E-2</v>
      </c>
      <c r="M160" s="104">
        <v>45334</v>
      </c>
      <c r="N160" s="62">
        <v>6688.6499020000001</v>
      </c>
      <c r="O160" s="55">
        <f t="shared" si="14"/>
        <v>-1.1971439553361662E-2</v>
      </c>
      <c r="Q160" s="104">
        <v>45334</v>
      </c>
      <c r="R160">
        <v>4913.7001950000003</v>
      </c>
      <c r="S160" s="55">
        <f t="shared" si="15"/>
        <v>-1.1626230513929303E-2</v>
      </c>
      <c r="U160" s="104">
        <v>45334</v>
      </c>
      <c r="V160">
        <v>1241.349976</v>
      </c>
      <c r="W160" s="55">
        <f t="shared" si="16"/>
        <v>1.8627129654083419E-2</v>
      </c>
      <c r="Y160" s="104">
        <v>45334</v>
      </c>
      <c r="Z160">
        <v>544.5</v>
      </c>
      <c r="AA160" s="55">
        <f t="shared" si="17"/>
        <v>9.8293543806522443E-3</v>
      </c>
    </row>
    <row r="161" spans="2:27" x14ac:dyDescent="0.3">
      <c r="B161" s="104">
        <v>45341</v>
      </c>
      <c r="C161" s="62">
        <v>2394.1000979999999</v>
      </c>
      <c r="D161" s="55">
        <f t="shared" si="12"/>
        <v>7.936047994947959E-3</v>
      </c>
      <c r="F161" s="104">
        <v>45341</v>
      </c>
      <c r="G161" s="62">
        <v>22212.699218999998</v>
      </c>
      <c r="H161" s="55">
        <f t="shared" si="13"/>
        <v>7.803745166656384E-3</v>
      </c>
      <c r="M161" s="104">
        <v>45341</v>
      </c>
      <c r="N161" s="62">
        <v>6507.1000979999999</v>
      </c>
      <c r="O161" s="55">
        <f t="shared" si="14"/>
        <v>-2.714296706510444E-2</v>
      </c>
      <c r="Q161" s="104">
        <v>45341</v>
      </c>
      <c r="R161">
        <v>4936.3500979999999</v>
      </c>
      <c r="S161" s="55">
        <f t="shared" si="15"/>
        <v>4.6095410996069841E-3</v>
      </c>
      <c r="U161" s="104">
        <v>45341</v>
      </c>
      <c r="V161">
        <v>1250.9499510000001</v>
      </c>
      <c r="W161" s="55">
        <f t="shared" si="16"/>
        <v>7.7334959403907444E-3</v>
      </c>
      <c r="Y161" s="104">
        <v>45341</v>
      </c>
      <c r="Z161">
        <v>535.29998799999998</v>
      </c>
      <c r="AA161" s="55">
        <f t="shared" si="17"/>
        <v>-1.6896257116620794E-2</v>
      </c>
    </row>
    <row r="162" spans="2:27" x14ac:dyDescent="0.3">
      <c r="B162" s="104">
        <v>45348</v>
      </c>
      <c r="C162" s="62">
        <v>2409.6999510000001</v>
      </c>
      <c r="D162" s="55">
        <f t="shared" si="12"/>
        <v>6.5159568779233901E-3</v>
      </c>
      <c r="F162" s="104">
        <v>45348</v>
      </c>
      <c r="G162" s="62">
        <v>22338.75</v>
      </c>
      <c r="H162" s="55">
        <f t="shared" si="13"/>
        <v>5.6747169606556902E-3</v>
      </c>
      <c r="M162" s="104">
        <v>45348</v>
      </c>
      <c r="N162" s="62">
        <v>6565.7001950000003</v>
      </c>
      <c r="O162" s="55">
        <f t="shared" si="14"/>
        <v>9.0055625574303466E-3</v>
      </c>
      <c r="Q162" s="104">
        <v>45348</v>
      </c>
      <c r="R162">
        <v>4927.7001950000003</v>
      </c>
      <c r="S162" s="55">
        <f t="shared" si="15"/>
        <v>-1.7522871814752428E-3</v>
      </c>
      <c r="U162" s="104">
        <v>45348</v>
      </c>
      <c r="V162">
        <v>1267.4499510000001</v>
      </c>
      <c r="W162" s="55">
        <f t="shared" si="16"/>
        <v>1.3189976135184356E-2</v>
      </c>
      <c r="Y162" s="104">
        <v>45348</v>
      </c>
      <c r="Z162">
        <v>541.09997599999997</v>
      </c>
      <c r="AA162" s="55">
        <f t="shared" si="17"/>
        <v>1.083502359428401E-2</v>
      </c>
    </row>
    <row r="163" spans="2:27" x14ac:dyDescent="0.3">
      <c r="B163" s="104">
        <v>45355</v>
      </c>
      <c r="C163" s="62">
        <v>2419.5500489999999</v>
      </c>
      <c r="D163" s="55">
        <f t="shared" si="12"/>
        <v>4.0876865171168841E-3</v>
      </c>
      <c r="F163" s="104">
        <v>45355</v>
      </c>
      <c r="G163" s="62">
        <v>22493.550781000002</v>
      </c>
      <c r="H163" s="55">
        <f t="shared" si="13"/>
        <v>6.9296975435062524E-3</v>
      </c>
      <c r="M163" s="104">
        <v>45355</v>
      </c>
      <c r="N163" s="62">
        <v>6517.7998049999997</v>
      </c>
      <c r="O163" s="55">
        <f t="shared" si="14"/>
        <v>-7.2955493819956141E-3</v>
      </c>
      <c r="Q163" s="104">
        <v>45355</v>
      </c>
      <c r="R163">
        <v>4889.1499020000001</v>
      </c>
      <c r="S163" s="55">
        <f t="shared" si="15"/>
        <v>-7.8231814993769966E-3</v>
      </c>
      <c r="U163" s="104">
        <v>45355</v>
      </c>
      <c r="V163">
        <v>1234.25</v>
      </c>
      <c r="W163" s="55">
        <f t="shared" si="16"/>
        <v>-2.619428954477121E-2</v>
      </c>
      <c r="Y163" s="104">
        <v>45355</v>
      </c>
      <c r="Z163">
        <v>535.25</v>
      </c>
      <c r="AA163" s="55">
        <f t="shared" si="17"/>
        <v>-1.0811266419276211E-2</v>
      </c>
    </row>
    <row r="164" spans="2:27" x14ac:dyDescent="0.3">
      <c r="B164" s="104">
        <v>45358</v>
      </c>
      <c r="C164" s="62">
        <v>2419.5500489999999</v>
      </c>
      <c r="D164" s="55">
        <f t="shared" si="12"/>
        <v>0</v>
      </c>
      <c r="F164" s="104">
        <v>45358</v>
      </c>
      <c r="G164" s="62">
        <v>22493.550781000002</v>
      </c>
      <c r="H164" s="55">
        <f t="shared" si="13"/>
        <v>0</v>
      </c>
      <c r="M164" s="104">
        <v>45358</v>
      </c>
      <c r="N164" s="62">
        <v>6517.7998049999997</v>
      </c>
      <c r="O164" s="55">
        <f t="shared" si="14"/>
        <v>0</v>
      </c>
      <c r="Q164" s="104">
        <v>45358</v>
      </c>
      <c r="R164">
        <v>4889.1499020000001</v>
      </c>
      <c r="S164" s="55">
        <f t="shared" si="15"/>
        <v>0</v>
      </c>
      <c r="U164" s="104">
        <v>45358</v>
      </c>
      <c r="V164">
        <v>1234.25</v>
      </c>
      <c r="W164" s="55">
        <f t="shared" si="16"/>
        <v>0</v>
      </c>
      <c r="Y164" s="104">
        <v>45358</v>
      </c>
      <c r="Z164">
        <v>535.25</v>
      </c>
      <c r="AA164" s="55">
        <f t="shared" si="17"/>
        <v>0</v>
      </c>
    </row>
  </sheetData>
  <mergeCells count="12">
    <mergeCell ref="B4:D4"/>
    <mergeCell ref="B2:E2"/>
    <mergeCell ref="F4:H4"/>
    <mergeCell ref="J4:K4"/>
    <mergeCell ref="M4:O4"/>
    <mergeCell ref="J47:K47"/>
    <mergeCell ref="Y4:AA4"/>
    <mergeCell ref="J15:K15"/>
    <mergeCell ref="Q4:S4"/>
    <mergeCell ref="J26:K26"/>
    <mergeCell ref="J36:K36"/>
    <mergeCell ref="U4:W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17228-4D91-4B0F-B053-CF2E9481A13E}">
  <dimension ref="A4:O47"/>
  <sheetViews>
    <sheetView showGridLines="0" workbookViewId="0">
      <pane ySplit="1" topLeftCell="A27" activePane="bottomLeft" state="frozen"/>
      <selection pane="bottomLeft" activeCell="J43" sqref="J43"/>
    </sheetView>
  </sheetViews>
  <sheetFormatPr defaultRowHeight="14.4" x14ac:dyDescent="0.3"/>
  <cols>
    <col min="1" max="1" width="1.88671875" customWidth="1"/>
    <col min="2" max="2" width="28.44140625" bestFit="1" customWidth="1"/>
    <col min="3" max="3" width="14.77734375" bestFit="1" customWidth="1"/>
    <col min="4" max="12" width="13" customWidth="1"/>
    <col min="13" max="13" width="15.109375" customWidth="1"/>
    <col min="14" max="14" width="10.44140625" bestFit="1" customWidth="1"/>
    <col min="15" max="15" width="10" bestFit="1" customWidth="1"/>
  </cols>
  <sheetData>
    <row r="4" spans="2:5" x14ac:dyDescent="0.3">
      <c r="B4" s="11" t="s">
        <v>241</v>
      </c>
      <c r="C4" s="12" t="s">
        <v>56</v>
      </c>
      <c r="D4" s="11" t="s">
        <v>12</v>
      </c>
      <c r="E4" s="12" t="s">
        <v>59</v>
      </c>
    </row>
    <row r="5" spans="2:5" x14ac:dyDescent="0.3">
      <c r="B5">
        <v>1</v>
      </c>
      <c r="C5" s="66">
        <v>2014</v>
      </c>
      <c r="D5" s="20">
        <v>29233.74</v>
      </c>
    </row>
    <row r="6" spans="2:5" x14ac:dyDescent="0.3">
      <c r="B6">
        <f>+B5+1</f>
        <v>2</v>
      </c>
      <c r="C6" s="66">
        <f>+C5+1</f>
        <v>2015</v>
      </c>
      <c r="D6" s="20">
        <v>31972.19</v>
      </c>
      <c r="E6" s="15">
        <f>+D6/D5-1</f>
        <v>9.3674295522912843E-2</v>
      </c>
    </row>
    <row r="7" spans="2:5" x14ac:dyDescent="0.3">
      <c r="B7">
        <f t="shared" ref="B7:B19" si="0">+B6+1</f>
        <v>3</v>
      </c>
      <c r="C7" s="66">
        <f t="shared" ref="C7:C19" si="1">+C6+1</f>
        <v>2016</v>
      </c>
      <c r="D7" s="20">
        <v>32186</v>
      </c>
      <c r="E7" s="15">
        <f t="shared" ref="E7:E19" si="2">+D7/D6-1</f>
        <v>6.6873742461808217E-3</v>
      </c>
    </row>
    <row r="8" spans="2:5" x14ac:dyDescent="0.3">
      <c r="B8">
        <f t="shared" si="0"/>
        <v>4</v>
      </c>
      <c r="C8" s="66">
        <f t="shared" si="1"/>
        <v>2017</v>
      </c>
      <c r="D8" s="20">
        <v>33162</v>
      </c>
      <c r="E8" s="15">
        <f t="shared" si="2"/>
        <v>3.03237432424035E-2</v>
      </c>
    </row>
    <row r="9" spans="2:5" x14ac:dyDescent="0.3">
      <c r="B9">
        <f t="shared" si="0"/>
        <v>5</v>
      </c>
      <c r="C9" s="66">
        <f t="shared" si="1"/>
        <v>2018</v>
      </c>
      <c r="D9" s="20">
        <v>35545</v>
      </c>
      <c r="E9" s="15">
        <f t="shared" si="2"/>
        <v>7.1859357095470644E-2</v>
      </c>
    </row>
    <row r="10" spans="2:5" x14ac:dyDescent="0.3">
      <c r="B10">
        <f t="shared" si="0"/>
        <v>6</v>
      </c>
      <c r="C10" s="66">
        <f t="shared" si="1"/>
        <v>2019</v>
      </c>
      <c r="D10" s="20">
        <v>39310</v>
      </c>
      <c r="E10" s="15">
        <f t="shared" si="2"/>
        <v>0.1059220706147137</v>
      </c>
    </row>
    <row r="11" spans="2:5" x14ac:dyDescent="0.3">
      <c r="B11">
        <f t="shared" si="0"/>
        <v>7</v>
      </c>
      <c r="C11" s="66">
        <f t="shared" si="1"/>
        <v>2020</v>
      </c>
      <c r="D11" s="20">
        <v>39783</v>
      </c>
      <c r="E11" s="15">
        <f t="shared" si="2"/>
        <v>1.2032561689137689E-2</v>
      </c>
    </row>
    <row r="12" spans="2:5" x14ac:dyDescent="0.3">
      <c r="B12">
        <f t="shared" si="0"/>
        <v>8</v>
      </c>
      <c r="C12" s="66">
        <f t="shared" si="1"/>
        <v>2021</v>
      </c>
      <c r="D12" s="20">
        <v>47028</v>
      </c>
      <c r="E12" s="15">
        <f t="shared" si="2"/>
        <v>0.18211296282331646</v>
      </c>
    </row>
    <row r="13" spans="2:5" x14ac:dyDescent="0.3">
      <c r="B13">
        <f t="shared" si="0"/>
        <v>9</v>
      </c>
      <c r="C13" s="66">
        <f t="shared" si="1"/>
        <v>2022</v>
      </c>
      <c r="D13" s="20">
        <v>52446</v>
      </c>
      <c r="E13" s="15">
        <f t="shared" si="2"/>
        <v>0.11520796121459553</v>
      </c>
    </row>
    <row r="14" spans="2:5" x14ac:dyDescent="0.3">
      <c r="B14">
        <f t="shared" si="0"/>
        <v>10</v>
      </c>
      <c r="C14" s="66">
        <f t="shared" si="1"/>
        <v>2023</v>
      </c>
      <c r="D14" s="20">
        <v>60580</v>
      </c>
      <c r="E14" s="15">
        <f t="shared" si="2"/>
        <v>0.15509285741524614</v>
      </c>
    </row>
    <row r="15" spans="2:5" x14ac:dyDescent="0.3">
      <c r="B15">
        <f t="shared" si="0"/>
        <v>11</v>
      </c>
      <c r="C15" s="67">
        <f t="shared" si="1"/>
        <v>2024</v>
      </c>
      <c r="D15" s="20">
        <f>$H$35+B15*$H$36</f>
        <v>57566.960000000006</v>
      </c>
      <c r="E15" s="15">
        <f t="shared" si="2"/>
        <v>-4.9736546715087426E-2</v>
      </c>
    </row>
    <row r="16" spans="2:5" x14ac:dyDescent="0.3">
      <c r="B16">
        <f t="shared" si="0"/>
        <v>12</v>
      </c>
      <c r="C16" s="67">
        <f t="shared" si="1"/>
        <v>2025</v>
      </c>
      <c r="D16" s="20">
        <f t="shared" ref="D16:D19" si="3">$H$35+B16*$H$36</f>
        <v>60738.299454545457</v>
      </c>
      <c r="E16" s="15">
        <f t="shared" si="2"/>
        <v>5.5089576634678172E-2</v>
      </c>
    </row>
    <row r="17" spans="1:12" x14ac:dyDescent="0.3">
      <c r="B17">
        <f t="shared" si="0"/>
        <v>13</v>
      </c>
      <c r="C17" s="67">
        <f t="shared" si="1"/>
        <v>2026</v>
      </c>
      <c r="D17" s="20">
        <f t="shared" si="3"/>
        <v>63909.638909090914</v>
      </c>
      <c r="E17" s="15">
        <f t="shared" si="2"/>
        <v>5.2213174932873807E-2</v>
      </c>
    </row>
    <row r="18" spans="1:12" x14ac:dyDescent="0.3">
      <c r="B18">
        <f t="shared" si="0"/>
        <v>14</v>
      </c>
      <c r="C18" s="67">
        <f t="shared" si="1"/>
        <v>2027</v>
      </c>
      <c r="D18" s="20">
        <f t="shared" si="3"/>
        <v>67080.978363636372</v>
      </c>
      <c r="E18" s="15">
        <f t="shared" si="2"/>
        <v>4.9622240223522018E-2</v>
      </c>
    </row>
    <row r="19" spans="1:12" x14ac:dyDescent="0.3">
      <c r="B19">
        <f t="shared" si="0"/>
        <v>15</v>
      </c>
      <c r="C19" s="67">
        <f t="shared" si="1"/>
        <v>2028</v>
      </c>
      <c r="D19" s="20">
        <f t="shared" si="3"/>
        <v>70252.317818181822</v>
      </c>
      <c r="E19" s="15">
        <f t="shared" si="2"/>
        <v>4.7276285049900002E-2</v>
      </c>
      <c r="G19" t="s">
        <v>242</v>
      </c>
    </row>
    <row r="20" spans="1:12" ht="15" thickBot="1" x14ac:dyDescent="0.35">
      <c r="D20" s="20"/>
      <c r="E20" s="15"/>
    </row>
    <row r="21" spans="1:12" x14ac:dyDescent="0.3">
      <c r="D21" s="20"/>
      <c r="E21" s="15"/>
      <c r="G21" s="70" t="s">
        <v>243</v>
      </c>
      <c r="H21" s="70"/>
    </row>
    <row r="22" spans="1:12" x14ac:dyDescent="0.3">
      <c r="D22" s="20"/>
      <c r="E22" s="15"/>
      <c r="G22" t="s">
        <v>244</v>
      </c>
      <c r="H22">
        <v>0.94141319682686564</v>
      </c>
    </row>
    <row r="23" spans="1:12" x14ac:dyDescent="0.3">
      <c r="D23" s="20"/>
      <c r="E23" s="15"/>
      <c r="G23" t="s">
        <v>245</v>
      </c>
      <c r="H23">
        <v>0.88625880715977889</v>
      </c>
    </row>
    <row r="24" spans="1:12" x14ac:dyDescent="0.3">
      <c r="G24" t="s">
        <v>246</v>
      </c>
      <c r="H24">
        <v>0.87204115805475124</v>
      </c>
    </row>
    <row r="25" spans="1:12" x14ac:dyDescent="0.3">
      <c r="G25" t="s">
        <v>247</v>
      </c>
      <c r="H25">
        <v>3648.4073222226962</v>
      </c>
    </row>
    <row r="26" spans="1:12" ht="15" thickBot="1" x14ac:dyDescent="0.35">
      <c r="D26" s="42"/>
      <c r="G26" s="68" t="s">
        <v>248</v>
      </c>
      <c r="H26" s="68">
        <v>10</v>
      </c>
    </row>
    <row r="27" spans="1:12" x14ac:dyDescent="0.3">
      <c r="D27" s="15"/>
    </row>
    <row r="28" spans="1:12" ht="15" thickBot="1" x14ac:dyDescent="0.35">
      <c r="G28" t="s">
        <v>249</v>
      </c>
    </row>
    <row r="29" spans="1:12" x14ac:dyDescent="0.3">
      <c r="D29" s="15"/>
      <c r="G29" s="69"/>
      <c r="H29" s="69" t="s">
        <v>253</v>
      </c>
      <c r="I29" s="69" t="s">
        <v>254</v>
      </c>
      <c r="J29" s="69" t="s">
        <v>255</v>
      </c>
      <c r="K29" s="69" t="s">
        <v>256</v>
      </c>
      <c r="L29" s="69" t="s">
        <v>257</v>
      </c>
    </row>
    <row r="30" spans="1:12" x14ac:dyDescent="0.3">
      <c r="G30" t="s">
        <v>250</v>
      </c>
      <c r="H30">
        <v>1</v>
      </c>
      <c r="I30">
        <v>829734999.71642447</v>
      </c>
      <c r="J30">
        <v>829734999.71642447</v>
      </c>
      <c r="K30">
        <v>62.33511606685947</v>
      </c>
      <c r="L30">
        <v>4.8007867279578194E-5</v>
      </c>
    </row>
    <row r="31" spans="1:12" x14ac:dyDescent="0.3">
      <c r="A31" t="s">
        <v>58</v>
      </c>
      <c r="G31" t="s">
        <v>251</v>
      </c>
      <c r="H31">
        <v>8</v>
      </c>
      <c r="I31">
        <v>106487007.91078548</v>
      </c>
      <c r="J31">
        <v>13310875.988848185</v>
      </c>
    </row>
    <row r="32" spans="1:12" ht="15" thickBot="1" x14ac:dyDescent="0.35">
      <c r="G32" s="68" t="s">
        <v>37</v>
      </c>
      <c r="H32" s="68">
        <v>9</v>
      </c>
      <c r="I32" s="68">
        <v>936222007.6272099</v>
      </c>
      <c r="J32" s="68"/>
      <c r="K32" s="68"/>
      <c r="L32" s="68"/>
    </row>
    <row r="33" spans="2:15" ht="15" thickBot="1" x14ac:dyDescent="0.35"/>
    <row r="34" spans="2:15" x14ac:dyDescent="0.3">
      <c r="G34" s="69"/>
      <c r="H34" s="69" t="s">
        <v>258</v>
      </c>
      <c r="I34" s="69" t="s">
        <v>247</v>
      </c>
      <c r="J34" s="69" t="s">
        <v>259</v>
      </c>
      <c r="K34" s="69" t="s">
        <v>260</v>
      </c>
      <c r="L34" s="69" t="s">
        <v>261</v>
      </c>
      <c r="M34" s="69" t="s">
        <v>262</v>
      </c>
      <c r="N34" s="69" t="s">
        <v>263</v>
      </c>
      <c r="O34" s="69" t="s">
        <v>264</v>
      </c>
    </row>
    <row r="35" spans="2:15" x14ac:dyDescent="0.3">
      <c r="G35" t="s">
        <v>252</v>
      </c>
      <c r="H35">
        <v>22682.225999999995</v>
      </c>
      <c r="I35">
        <v>2492.3366803321642</v>
      </c>
      <c r="J35">
        <v>9.1007872969140902</v>
      </c>
      <c r="K35">
        <v>1.7073203002426545E-5</v>
      </c>
      <c r="L35">
        <v>16934.887308833</v>
      </c>
      <c r="M35">
        <v>28429.56469116699</v>
      </c>
      <c r="N35">
        <v>16934.887308833</v>
      </c>
      <c r="O35">
        <v>28429.56469116699</v>
      </c>
    </row>
    <row r="36" spans="2:15" ht="15" thickBot="1" x14ac:dyDescent="0.35">
      <c r="G36" s="68" t="s">
        <v>241</v>
      </c>
      <c r="H36" s="68">
        <v>3171.3394545454553</v>
      </c>
      <c r="I36" s="68">
        <v>401.67642621888831</v>
      </c>
      <c r="J36" s="68">
        <v>7.895259088013483</v>
      </c>
      <c r="K36" s="68">
        <v>4.8007867279578194E-5</v>
      </c>
      <c r="L36" s="68">
        <v>2245.0719546706673</v>
      </c>
      <c r="M36" s="68">
        <v>4097.6069544202437</v>
      </c>
      <c r="N36" s="68">
        <v>2245.0719546706673</v>
      </c>
      <c r="O36" s="68">
        <v>4097.6069544202437</v>
      </c>
    </row>
    <row r="42" spans="2:15" ht="28.8" x14ac:dyDescent="0.3">
      <c r="C42" s="145" t="s">
        <v>271</v>
      </c>
      <c r="D42" s="147" t="s">
        <v>395</v>
      </c>
      <c r="E42" s="147" t="s">
        <v>396</v>
      </c>
      <c r="F42" s="147" t="s">
        <v>397</v>
      </c>
      <c r="G42" s="147" t="s">
        <v>398</v>
      </c>
      <c r="H42" s="147" t="s">
        <v>399</v>
      </c>
      <c r="I42" s="147" t="s">
        <v>403</v>
      </c>
      <c r="J42" s="147" t="s">
        <v>408</v>
      </c>
      <c r="K42" s="147" t="s">
        <v>400</v>
      </c>
      <c r="L42" s="147" t="s">
        <v>401</v>
      </c>
      <c r="M42" s="147" t="s">
        <v>402</v>
      </c>
    </row>
    <row r="43" spans="2:15" x14ac:dyDescent="0.3">
      <c r="B43" s="148">
        <v>1</v>
      </c>
      <c r="C43" s="145" t="s">
        <v>280</v>
      </c>
      <c r="D43" s="149">
        <v>2327.6999999999998</v>
      </c>
      <c r="E43" s="149">
        <v>234.96</v>
      </c>
      <c r="F43" s="149">
        <v>1272</v>
      </c>
      <c r="G43" s="149">
        <v>4678</v>
      </c>
      <c r="H43" s="149">
        <v>540615.36</v>
      </c>
      <c r="I43" s="149">
        <v>546914.36</v>
      </c>
      <c r="J43" s="149">
        <f>+F43+I43-G43</f>
        <v>543508.36</v>
      </c>
      <c r="K43" s="149">
        <v>61901</v>
      </c>
      <c r="L43" s="149">
        <v>10322</v>
      </c>
      <c r="M43" s="149">
        <v>14660</v>
      </c>
    </row>
    <row r="44" spans="2:15" x14ac:dyDescent="0.3">
      <c r="B44" s="148">
        <v>2</v>
      </c>
      <c r="C44" s="145" t="s">
        <v>404</v>
      </c>
      <c r="D44" s="149">
        <v>2728.55</v>
      </c>
      <c r="E44" s="149">
        <v>27.2</v>
      </c>
      <c r="F44" s="149">
        <v>68.67</v>
      </c>
      <c r="G44" s="149">
        <v>923</v>
      </c>
      <c r="H44" s="149">
        <v>72997.58</v>
      </c>
      <c r="I44" s="149">
        <v>74212.639999999999</v>
      </c>
      <c r="J44" s="149">
        <f t="shared" ref="J44:J46" si="4">+F44+I44-G44</f>
        <v>73358.31</v>
      </c>
      <c r="K44" s="149">
        <v>5541.04</v>
      </c>
      <c r="L44" s="149">
        <v>1260.06</v>
      </c>
      <c r="M44" s="149">
        <v>1600.29</v>
      </c>
    </row>
    <row r="45" spans="2:15" x14ac:dyDescent="0.3">
      <c r="B45" s="148">
        <v>3</v>
      </c>
      <c r="C45" s="145" t="s">
        <v>405</v>
      </c>
      <c r="D45" s="149">
        <v>15754.1</v>
      </c>
      <c r="E45" s="149">
        <v>3.25</v>
      </c>
      <c r="F45" s="149">
        <v>3.58</v>
      </c>
      <c r="G45" s="149">
        <v>977.99</v>
      </c>
      <c r="H45" s="149">
        <v>50440.13</v>
      </c>
      <c r="I45" s="149">
        <v>51138.97</v>
      </c>
      <c r="J45" s="149">
        <f t="shared" si="4"/>
        <v>50164.560000000005</v>
      </c>
      <c r="K45" s="149">
        <v>4007.4</v>
      </c>
      <c r="L45" s="149">
        <v>755.85</v>
      </c>
      <c r="M45" s="149">
        <v>910.04</v>
      </c>
    </row>
    <row r="46" spans="2:15" x14ac:dyDescent="0.3">
      <c r="B46" s="148">
        <v>4</v>
      </c>
      <c r="C46" s="145" t="s">
        <v>406</v>
      </c>
      <c r="D46" s="149">
        <v>6510.95</v>
      </c>
      <c r="E46" s="149">
        <v>3.26</v>
      </c>
      <c r="F46" s="149">
        <v>0.05</v>
      </c>
      <c r="G46" s="149">
        <v>455.56</v>
      </c>
      <c r="H46" s="149">
        <v>20810.89</v>
      </c>
      <c r="I46" s="149">
        <v>21219.19</v>
      </c>
      <c r="J46" s="149">
        <f t="shared" si="4"/>
        <v>20763.679999999997</v>
      </c>
      <c r="K46" s="149">
        <v>2545.52</v>
      </c>
      <c r="L46" s="149">
        <v>391.09</v>
      </c>
      <c r="M46" s="149">
        <v>561.88</v>
      </c>
    </row>
    <row r="47" spans="2:15" x14ac:dyDescent="0.3">
      <c r="B47" s="146"/>
      <c r="C47" s="144" t="s">
        <v>407</v>
      </c>
      <c r="D47" s="146">
        <v>4619.75</v>
      </c>
      <c r="E47" s="146">
        <v>15.23</v>
      </c>
      <c r="F47" s="146">
        <v>36.119999999999997</v>
      </c>
      <c r="G47" s="146">
        <v>950.5</v>
      </c>
      <c r="H47" s="146">
        <v>61718.85</v>
      </c>
      <c r="I47" s="146">
        <v>62675.81</v>
      </c>
      <c r="J47" s="146"/>
      <c r="K47" s="146">
        <v>4774.22</v>
      </c>
      <c r="L47" s="146">
        <v>1007.95</v>
      </c>
      <c r="M47" s="146">
        <v>1255.1600000000001</v>
      </c>
    </row>
  </sheetData>
  <hyperlinks>
    <hyperlink ref="C42" r:id="rId1" display="https://www.screener.in/company/compare/00000027/00000066/?sort=name&amp;order=desc" xr:uid="{290C4632-40B6-4CBC-B407-74D4C79246A3}"/>
    <hyperlink ref="D42" r:id="rId2" display="https://www.screener.in/company/compare/00000027/00000066/?sort=current+price&amp;order=desc" xr:uid="{7297C4F0-494B-4AB2-8C0A-9C15C9B15A62}"/>
    <hyperlink ref="E42" r:id="rId3" display="https://www.screener.in/company/compare/00000027/00000066/?sort=number+of+equity+shares&amp;order=desc" xr:uid="{FA8D23E6-600F-4B9C-B58B-1EFC65A8E444}"/>
    <hyperlink ref="F42" r:id="rId4" display="https://www.screener.in/company/compare/00000027/00000066/?sort=debt&amp;order=desc" xr:uid="{3F7F75AD-EDF5-447B-80EC-4DF7E2EE8353}"/>
    <hyperlink ref="G42" r:id="rId5" display="https://www.screener.in/company/compare/00000027/00000066/?sort=cash+end+of+last+year&amp;order=desc" xr:uid="{61280E5B-A2D5-4995-BB50-97416D444377}"/>
    <hyperlink ref="H42" r:id="rId6" display="https://www.screener.in/company/compare/00000027/00000066/?sort=enterprise+value&amp;order=desc" xr:uid="{062867E5-6C72-47A7-83D2-3BD82AA91CBB}"/>
    <hyperlink ref="K42" r:id="rId7" display="https://www.screener.in/company/compare/00000027/00000066/?sort=sales&amp;order=desc" xr:uid="{62E1FD33-516A-4BDC-99F3-44F02E67704E}"/>
    <hyperlink ref="L42" r:id="rId8" display="https://www.screener.in/company/compare/00000027/00000066/?sort=net+profit&amp;order=desc" xr:uid="{E54BAF5C-51A3-446D-AA2F-6540D9ADDD3E}"/>
    <hyperlink ref="M42" r:id="rId9" display="https://www.screener.in/company/compare/00000027/00000066/?sort=ebidt+last+year&amp;order=desc" xr:uid="{C0143A87-34A4-4AC9-985D-35BC73A34705}"/>
    <hyperlink ref="I42" r:id="rId10" display="https://www.screener.in/company/compare/00000027/00000066/?sort=market+capitalization&amp;order=desc" xr:uid="{BB9A541B-CFC0-43ED-A8B1-7A33A99AA6B5}"/>
    <hyperlink ref="C43" r:id="rId11" display="https://www.screener.in/company/HINDUNILVR/consolidated/" xr:uid="{BB7F6EB0-30B5-4D54-9BB9-BD5782AFBDBE}"/>
    <hyperlink ref="C44" r:id="rId12" display="https://www.screener.in/company/COLPAL/" xr:uid="{76945C50-532C-436D-9C31-C53E755752C5}"/>
    <hyperlink ref="C45" r:id="rId13" display="https://www.screener.in/company/PGHH/" xr:uid="{AFCE79AA-98D2-4F6F-A272-D6C4BDE3FB03}"/>
    <hyperlink ref="C46" r:id="rId14" display="https://www.screener.in/company/GILLETTE/" xr:uid="{A4D717A6-1321-4403-88D7-08C7D8F22A8C}"/>
  </hyperlinks>
  <pageMargins left="0.7" right="0.7" top="0.75" bottom="0.75" header="0.3" footer="0.3"/>
  <pageSetup orientation="portrait" r:id="rId15"/>
  <drawing r:id="rId1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4FB1A-A6B8-462D-984E-AABCD7639EA8}">
  <dimension ref="A2:O70"/>
  <sheetViews>
    <sheetView showGridLines="0" workbookViewId="0">
      <pane ySplit="3" topLeftCell="A15" activePane="bottomLeft" state="frozen"/>
      <selection pane="bottomLeft" activeCell="L24" sqref="L24"/>
    </sheetView>
  </sheetViews>
  <sheetFormatPr defaultRowHeight="14.4" x14ac:dyDescent="0.3"/>
  <cols>
    <col min="1" max="1" width="1.88671875" customWidth="1"/>
    <col min="2" max="2" width="28.44140625" bestFit="1" customWidth="1"/>
    <col min="3" max="3" width="20.21875" bestFit="1" customWidth="1"/>
    <col min="4" max="12" width="13" customWidth="1"/>
    <col min="13" max="13" width="15.109375" customWidth="1"/>
    <col min="14" max="14" width="10.44140625" bestFit="1" customWidth="1"/>
    <col min="15" max="15" width="10" bestFit="1" customWidth="1"/>
  </cols>
  <sheetData>
    <row r="2" spans="2:15" x14ac:dyDescent="0.3">
      <c r="B2" s="199" t="str">
        <f>"Historical Financial Statement - "&amp;'Data Sheet'!B1</f>
        <v>Historical Financial Statement - HINDUSTAN UNILEVER LTD</v>
      </c>
      <c r="C2" s="199"/>
      <c r="D2" s="199"/>
      <c r="E2" s="199"/>
      <c r="F2" s="199"/>
      <c r="G2" s="199"/>
      <c r="H2" s="199"/>
      <c r="I2" s="199"/>
      <c r="J2" s="199"/>
      <c r="K2" s="199"/>
      <c r="L2" s="199"/>
    </row>
    <row r="3" spans="2:15" x14ac:dyDescent="0.3">
      <c r="B3" s="11" t="s">
        <v>152</v>
      </c>
      <c r="C3" s="12">
        <f>'Data Sheet'!B16</f>
        <v>41729</v>
      </c>
      <c r="D3" s="12">
        <f>'Data Sheet'!C16</f>
        <v>42094</v>
      </c>
      <c r="E3" s="12">
        <f>'Data Sheet'!D16</f>
        <v>42460</v>
      </c>
      <c r="F3" s="12">
        <f>'Data Sheet'!E16</f>
        <v>42825</v>
      </c>
      <c r="G3" s="12">
        <f>'Data Sheet'!F16</f>
        <v>43190</v>
      </c>
      <c r="H3" s="12">
        <f>'Data Sheet'!G16</f>
        <v>43555</v>
      </c>
      <c r="I3" s="12">
        <f>'Data Sheet'!H16</f>
        <v>43921</v>
      </c>
      <c r="J3" s="12">
        <f>'Data Sheet'!I16</f>
        <v>44286</v>
      </c>
      <c r="K3" s="12">
        <f>'Data Sheet'!J16</f>
        <v>44651</v>
      </c>
      <c r="L3" s="12">
        <f>'Data Sheet'!K16</f>
        <v>45016</v>
      </c>
      <c r="N3" s="12" t="s">
        <v>239</v>
      </c>
      <c r="O3" s="12" t="s">
        <v>240</v>
      </c>
    </row>
    <row r="5" spans="2:15" x14ac:dyDescent="0.3">
      <c r="B5" s="53" t="s">
        <v>122</v>
      </c>
      <c r="C5" s="53"/>
      <c r="D5" s="54">
        <f>IFERROR(HistoricalFS!D7,0)</f>
        <v>9.3674295522912843E-2</v>
      </c>
      <c r="E5" s="54">
        <f>IFERROR(HistoricalFS!E7,0)</f>
        <v>6.6873742461808217E-3</v>
      </c>
      <c r="F5" s="54">
        <f>IFERROR(HistoricalFS!F7,0)</f>
        <v>3.03237432424035E-2</v>
      </c>
      <c r="G5" s="54">
        <f>IFERROR(HistoricalFS!G7,0)</f>
        <v>7.1859357095470644E-2</v>
      </c>
      <c r="H5" s="54">
        <f>IFERROR(HistoricalFS!H7,0)</f>
        <v>0.1059220706147137</v>
      </c>
      <c r="I5" s="54">
        <f>IFERROR(HistoricalFS!I7,0)</f>
        <v>1.2032561689137689E-2</v>
      </c>
      <c r="J5" s="54">
        <f>IFERROR(HistoricalFS!J7,0)</f>
        <v>0.18211296282331646</v>
      </c>
      <c r="K5" s="54">
        <f>IFERROR(HistoricalFS!K7,0)</f>
        <v>0.11520796121459553</v>
      </c>
      <c r="L5" s="54">
        <f>IFERROR(HistoricalFS!L7,0)</f>
        <v>0.15509285741524614</v>
      </c>
      <c r="M5" s="54"/>
      <c r="N5" s="54">
        <f>AVERAGE(D5:L5)</f>
        <v>8.5879242651553042E-2</v>
      </c>
      <c r="O5" s="54">
        <f>MEDIAN(C5:L5)</f>
        <v>9.3674295522912843E-2</v>
      </c>
    </row>
    <row r="6" spans="2:15" x14ac:dyDescent="0.3">
      <c r="B6" t="s">
        <v>123</v>
      </c>
      <c r="C6" s="55" cm="1">
        <f t="array" ref="C6">IFERROR(HistoricalFS!C13,o)</f>
        <v>0.40656583796667828</v>
      </c>
      <c r="D6" s="55" cm="1">
        <f t="array" ref="D6">IFERROR(HistoricalFS!D13,o)</f>
        <v>0.41192892948528081</v>
      </c>
      <c r="E6" s="55" cm="1">
        <f t="array" ref="E6">IFERROR(HistoricalFS!E13,o)</f>
        <v>0.43385322811160132</v>
      </c>
      <c r="F6" s="55" cm="1">
        <f t="array" ref="F6">IFERROR(HistoricalFS!F13,o)</f>
        <v>0.43685543694590195</v>
      </c>
      <c r="G6" s="55" cm="1">
        <f t="array" ref="G6">IFERROR(HistoricalFS!G13,o)</f>
        <v>0.45663243775495849</v>
      </c>
      <c r="H6" s="55" cm="1">
        <f t="array" ref="H6">IFERROR(HistoricalFS!H13,o)</f>
        <v>0.46372424319511574</v>
      </c>
      <c r="I6" s="55" cm="1">
        <f t="array" ref="I6">IFERROR(HistoricalFS!I13,o)</f>
        <v>0.48183897644722617</v>
      </c>
      <c r="J6" s="55" cm="1">
        <f t="array" ref="J6">IFERROR(HistoricalFS!J13,o)</f>
        <v>0.46200136089138388</v>
      </c>
      <c r="K6" s="55" cm="1">
        <f t="array" ref="K6">IFERROR(HistoricalFS!K13,o)</f>
        <v>0.44579186210578498</v>
      </c>
      <c r="L6" s="55" cm="1">
        <f t="array" ref="L6">IFERROR(HistoricalFS!L13,o)</f>
        <v>0.41596236381644108</v>
      </c>
      <c r="M6" s="55"/>
      <c r="N6" s="55">
        <f>AVERAGE(C6:L6)</f>
        <v>0.44151546767203725</v>
      </c>
      <c r="O6" s="55">
        <f t="shared" ref="O6:O10" si="0">MEDIAN(C6:L6)</f>
        <v>0.44132364952584346</v>
      </c>
    </row>
    <row r="7" spans="2:15" x14ac:dyDescent="0.3">
      <c r="B7" t="s">
        <v>124</v>
      </c>
      <c r="D7" s="55">
        <f>IFERROR((HistoricalFS!D21/HistoricalFS!C21-1),0)</f>
        <v>0.19962531973916442</v>
      </c>
      <c r="E7" s="55">
        <f>IFERROR((HistoricalFS!E21/HistoricalFS!D21-1),0)</f>
        <v>-3.9581956874286783E-2</v>
      </c>
      <c r="F7" s="55">
        <f>IFERROR((HistoricalFS!F21/HistoricalFS!E21-1),0)</f>
        <v>8.4115071919949935E-2</v>
      </c>
      <c r="G7" s="55">
        <f>IFERROR((HistoricalFS!G21/HistoricalFS!F21-1),0)</f>
        <v>0.13239111623882316</v>
      </c>
      <c r="H7" s="55">
        <f>IFERROR((HistoricalFS!H21/HistoricalFS!G21-1),0)</f>
        <v>0.17193071828833428</v>
      </c>
      <c r="I7" s="55">
        <f>IFERROR((HistoricalFS!I21/HistoricalFS!H21-1),0)</f>
        <v>0.11769180612910235</v>
      </c>
      <c r="J7" s="55">
        <f>IFERROR((HistoricalFS!J21/HistoricalFS!I21-1),0)</f>
        <v>0.14691298006806019</v>
      </c>
      <c r="K7" s="55">
        <f>IFERROR((HistoricalFS!K21/HistoricalFS!J21-1),0)</f>
        <v>0.10851135978297721</v>
      </c>
      <c r="L7" s="55">
        <f>IFERROR((HistoricalFS!L21/HistoricalFS!K21-1),0)</f>
        <v>0.11616702355460395</v>
      </c>
      <c r="M7" s="55"/>
      <c r="N7" s="55">
        <f t="shared" ref="N7:N10" si="1">AVERAGE(D7:L7)</f>
        <v>0.11530704876074764</v>
      </c>
      <c r="O7" s="55">
        <f t="shared" si="0"/>
        <v>0.11769180612910235</v>
      </c>
    </row>
    <row r="8" spans="2:15" x14ac:dyDescent="0.3">
      <c r="B8" t="s">
        <v>125</v>
      </c>
      <c r="D8" s="55">
        <f>IFERROR((HistoricalFS!D30/HistoricalFS!C30-1),0)</f>
        <v>0.21175299797897629</v>
      </c>
      <c r="E8" s="55">
        <f>IFERROR((HistoricalFS!E30/HistoricalFS!D30-1),0)</f>
        <v>-4.6445056657873796E-2</v>
      </c>
      <c r="F8" s="55">
        <f>IFERROR((HistoricalFS!F30/HistoricalFS!E30-1),0)</f>
        <v>7.3182874211749072E-2</v>
      </c>
      <c r="G8" s="55">
        <f>IFERROR((HistoricalFS!G30/HistoricalFS!F30-1),0)</f>
        <v>0.12973558064017321</v>
      </c>
      <c r="H8" s="55">
        <f>IFERROR((HistoricalFS!H30/HistoricalFS!G30-1),0)</f>
        <v>0.17766219545578976</v>
      </c>
      <c r="I8" s="55">
        <f>IFERROR((HistoricalFS!I30/HistoricalFS!H30-1),0)</f>
        <v>6.5202231520223197E-2</v>
      </c>
      <c r="J8" s="55">
        <f>IFERROR((HistoricalFS!J30/HistoricalFS!I30-1),0)</f>
        <v>0.15711947626841249</v>
      </c>
      <c r="K8" s="55">
        <f>IFERROR((HistoricalFS!K30/HistoricalFS!J30-1),0)</f>
        <v>0.12013201320132016</v>
      </c>
      <c r="L8" s="55">
        <f>IFERROR((HistoricalFS!L30/HistoricalFS!K30-1),0)</f>
        <v>0.12332687936694997</v>
      </c>
      <c r="M8" s="55"/>
      <c r="N8" s="55">
        <f t="shared" si="1"/>
        <v>0.11240768799841337</v>
      </c>
      <c r="O8" s="55">
        <f t="shared" si="0"/>
        <v>0.12332687936694997</v>
      </c>
    </row>
    <row r="9" spans="2:15" x14ac:dyDescent="0.3">
      <c r="B9" t="s">
        <v>126</v>
      </c>
      <c r="C9" s="20"/>
      <c r="D9" s="55">
        <f>IFERROR((HistoricalFS!D36/HistoricalFS!C36-1),0)</f>
        <v>0.1061166810761065</v>
      </c>
      <c r="E9" s="55">
        <f>IFERROR((HistoricalFS!E36/HistoricalFS!D36-1),0)</f>
        <v>-5.1310590079785001E-2</v>
      </c>
      <c r="F9" s="55">
        <f>IFERROR((HistoricalFS!F36/HistoricalFS!E36-1),0)</f>
        <v>8.166706817634295E-2</v>
      </c>
      <c r="G9" s="55">
        <f>IFERROR((HistoricalFS!G36/HistoricalFS!F36-1),0)</f>
        <v>0.16414253897550113</v>
      </c>
      <c r="H9" s="55">
        <f>IFERROR((HistoricalFS!H36/HistoricalFS!G36-1),0)</f>
        <v>0.15936483642624832</v>
      </c>
      <c r="I9" s="55">
        <f>IFERROR((HistoricalFS!I36/HistoricalFS!H36-1),0)</f>
        <v>0.11485148514851495</v>
      </c>
      <c r="J9" s="55">
        <f>IFERROR((HistoricalFS!J36/HistoricalFS!I36-1),0)</f>
        <v>0.18398460627590296</v>
      </c>
      <c r="K9" s="55">
        <f>IFERROR((HistoricalFS!K36/HistoricalFS!J36-1),0)</f>
        <v>0.1116389548693586</v>
      </c>
      <c r="L9" s="55">
        <f>IFERROR((HistoricalFS!L36/HistoricalFS!K36-1),0)</f>
        <v>0.14068825910931171</v>
      </c>
      <c r="M9" s="55"/>
      <c r="N9" s="55">
        <f t="shared" si="1"/>
        <v>0.11234931555305579</v>
      </c>
      <c r="O9" s="55">
        <f t="shared" si="0"/>
        <v>0.11485148514851495</v>
      </c>
    </row>
    <row r="10" spans="2:15" x14ac:dyDescent="0.3">
      <c r="B10" s="56" t="s">
        <v>127</v>
      </c>
      <c r="C10" s="56"/>
      <c r="D10" s="57">
        <f>IFERROR((HistoricalFS!D48/HistoricalFS!C48-1),0)</f>
        <v>0.15384615384615374</v>
      </c>
      <c r="E10" s="57">
        <f>IFERROR((HistoricalFS!E48/HistoricalFS!D48-1),0)</f>
        <v>6.4744211839733889E-2</v>
      </c>
      <c r="F10" s="57">
        <f>IFERROR((HistoricalFS!F48/HistoricalFS!E48-1),0)</f>
        <v>6.2303631659196945E-2</v>
      </c>
      <c r="G10" s="57">
        <f>IFERROR((HistoricalFS!G48/HistoricalFS!F48-1),0)</f>
        <v>0.17636188224423521</v>
      </c>
      <c r="H10" s="57">
        <f>IFERROR((HistoricalFS!H48/HistoricalFS!G48-1),0)</f>
        <v>9.989836928904694E-2</v>
      </c>
      <c r="I10" s="57">
        <f>IFERROR((HistoricalFS!I48/HistoricalFS!H48-1),0)</f>
        <v>0.13631114358664265</v>
      </c>
      <c r="J10" s="57">
        <f>IFERROR((HistoricalFS!J48/HistoricalFS!I48-1),0)</f>
        <v>0.62387640449438186</v>
      </c>
      <c r="K10" s="57">
        <f>IFERROR((HistoricalFS!K48/HistoricalFS!J48-1),0)</f>
        <v>-0.16049382716049365</v>
      </c>
      <c r="L10" s="57">
        <f>IFERROR((HistoricalFS!L48/HistoricalFS!K48-1),0)</f>
        <v>0.14705882352941169</v>
      </c>
      <c r="M10" s="57"/>
      <c r="N10" s="57">
        <f t="shared" si="1"/>
        <v>0.14487853259203437</v>
      </c>
      <c r="O10" s="57">
        <f t="shared" si="0"/>
        <v>0.13631114358664265</v>
      </c>
    </row>
    <row r="12" spans="2:15" s="13" customFormat="1" x14ac:dyDescent="0.3">
      <c r="B12" s="53" t="s">
        <v>128</v>
      </c>
      <c r="C12" s="54">
        <f>IFERROR(HistoricalFS!C13,0)</f>
        <v>0.40656583796667828</v>
      </c>
      <c r="D12" s="54">
        <f>IFERROR(HistoricalFS!D13,0)</f>
        <v>0.41192892948528081</v>
      </c>
      <c r="E12" s="54">
        <f>IFERROR(HistoricalFS!E13,0)</f>
        <v>0.43385322811160132</v>
      </c>
      <c r="F12" s="54">
        <f>IFERROR(HistoricalFS!F13,0)</f>
        <v>0.43685543694590195</v>
      </c>
      <c r="G12" s="54">
        <f>IFERROR(HistoricalFS!G13,0)</f>
        <v>0.45663243775495849</v>
      </c>
      <c r="H12" s="54">
        <f>IFERROR(HistoricalFS!H13,0)</f>
        <v>0.46372424319511574</v>
      </c>
      <c r="I12" s="54">
        <f>IFERROR(HistoricalFS!I13,0)</f>
        <v>0.48183897644722617</v>
      </c>
      <c r="J12" s="54">
        <f>IFERROR(HistoricalFS!J13,0)</f>
        <v>0.46200136089138388</v>
      </c>
      <c r="K12" s="54">
        <f>IFERROR(HistoricalFS!K13,0)</f>
        <v>0.44579186210578498</v>
      </c>
      <c r="L12" s="54">
        <f>IFERROR(HistoricalFS!L13,0)</f>
        <v>0.41596236381644108</v>
      </c>
      <c r="M12" s="54"/>
      <c r="N12" s="54">
        <f>AVERAGE(C12:L12)</f>
        <v>0.44151546767203725</v>
      </c>
      <c r="O12" s="54">
        <f t="shared" ref="O12:O16" si="2">MEDIAN(C12:L12)</f>
        <v>0.44132364952584346</v>
      </c>
    </row>
    <row r="13" spans="2:15" x14ac:dyDescent="0.3">
      <c r="B13" t="s">
        <v>129</v>
      </c>
      <c r="C13" s="55">
        <f>IFERROR(HistoricalFS!C22,0)</f>
        <v>0.18989701625587427</v>
      </c>
      <c r="D13" s="55">
        <f>IFERROR(HistoricalFS!D22,0)</f>
        <v>0.2082935200873009</v>
      </c>
      <c r="E13" s="55">
        <f>IFERROR(HistoricalFS!E22,0)</f>
        <v>0.1987199403467346</v>
      </c>
      <c r="F13" s="55">
        <f>IFERROR(HistoricalFS!F22,0)</f>
        <v>0.20909474699957784</v>
      </c>
      <c r="G13" s="55">
        <f>IFERROR(HistoricalFS!G22,0)</f>
        <v>0.22090308060205374</v>
      </c>
      <c r="H13" s="55">
        <f>IFERROR(HistoricalFS!H22,0)</f>
        <v>0.23408801831595014</v>
      </c>
      <c r="I13" s="55">
        <f>IFERROR(HistoricalFS!I22,0)</f>
        <v>0.25852751175125055</v>
      </c>
      <c r="J13" s="55">
        <f>IFERROR(HistoricalFS!J22,0)</f>
        <v>0.25082929318703751</v>
      </c>
      <c r="K13" s="55">
        <f>IFERROR(HistoricalFS!K22,0)</f>
        <v>0.24932311329748694</v>
      </c>
      <c r="L13" s="55">
        <f>IFERROR(HistoricalFS!L22,0)</f>
        <v>0.24092109607131065</v>
      </c>
      <c r="M13" s="55"/>
      <c r="N13" s="55">
        <f t="shared" ref="N13:N16" si="3">AVERAGE(C13:L13)</f>
        <v>0.22605973369145774</v>
      </c>
      <c r="O13" s="55">
        <f t="shared" si="2"/>
        <v>0.22749554945900194</v>
      </c>
    </row>
    <row r="14" spans="2:15" x14ac:dyDescent="0.3">
      <c r="B14" t="s">
        <v>130</v>
      </c>
      <c r="C14" s="55">
        <f>IFERROR(((HistoricalFS!C30+HistoricalFS!C24)/HistoricalFS!C6),0)</f>
        <v>0.17978746475818702</v>
      </c>
      <c r="D14" s="55">
        <f>IFERROR(((HistoricalFS!D30+HistoricalFS!D24)/HistoricalFS!D6),0)</f>
        <v>0.19821006943847139</v>
      </c>
      <c r="E14" s="55">
        <f>IFERROR(((HistoricalFS!E30+HistoricalFS!E24)/HistoricalFS!E6),0)</f>
        <v>0.18775243894861121</v>
      </c>
      <c r="F14" s="55">
        <f>IFERROR(((HistoricalFS!F30+HistoricalFS!F24)/HistoricalFS!F6),0)</f>
        <v>0.19606778843254327</v>
      </c>
      <c r="G14" s="55">
        <f>IFERROR(((HistoricalFS!G30+HistoricalFS!G24)/HistoricalFS!G6),0)</f>
        <v>0.20627373751582501</v>
      </c>
      <c r="H14" s="55">
        <f>IFERROR(((HistoricalFS!H30+HistoricalFS!H24)/HistoricalFS!H6),0)</f>
        <v>0.21971508522004579</v>
      </c>
      <c r="I14" s="55">
        <f>IFERROR(((HistoricalFS!I30+HistoricalFS!I24)/HistoricalFS!I6),0)</f>
        <v>0.233340874242767</v>
      </c>
      <c r="J14" s="55">
        <f>IFERROR(((HistoricalFS!J30+HistoricalFS!J24)/HistoricalFS!J6),0)</f>
        <v>0.22799183465169687</v>
      </c>
      <c r="K14" s="55">
        <f>IFERROR(((HistoricalFS!K30+HistoricalFS!K24)/HistoricalFS!K6),0)</f>
        <v>0.22852076421462075</v>
      </c>
      <c r="L14" s="55">
        <f>IFERROR(((HistoricalFS!L30+HistoricalFS!L24)/HistoricalFS!L6),0)</f>
        <v>0.22215252558600199</v>
      </c>
      <c r="M14" s="55"/>
      <c r="N14" s="55">
        <f t="shared" si="3"/>
        <v>0.20998125830087702</v>
      </c>
      <c r="O14" s="55">
        <f t="shared" si="2"/>
        <v>0.2129944113679354</v>
      </c>
    </row>
    <row r="15" spans="2:15" x14ac:dyDescent="0.3">
      <c r="B15" t="s">
        <v>131</v>
      </c>
      <c r="C15" s="55">
        <f>IFERROR(HistoricalFS!C31,0)</f>
        <v>0.17839592197235118</v>
      </c>
      <c r="D15" s="55">
        <f>IFERROR(HistoricalFS!D31,0)</f>
        <v>0.19765646332015419</v>
      </c>
      <c r="E15" s="55">
        <f>IFERROR(HistoricalFS!E31,0)</f>
        <v>0.18722425899459391</v>
      </c>
      <c r="F15" s="55">
        <f>IFERROR(HistoricalFS!F31,0)</f>
        <v>0.19501236354864002</v>
      </c>
      <c r="G15" s="55">
        <f>IFERROR(HistoricalFS!G31,0)</f>
        <v>0.20554227036151357</v>
      </c>
      <c r="H15" s="55">
        <f>IFERROR(HistoricalFS!H31,0)</f>
        <v>0.21887560417196641</v>
      </c>
      <c r="I15" s="55">
        <f>IFERROR(HistoricalFS!I31,0)</f>
        <v>0.23037478319885379</v>
      </c>
      <c r="J15" s="55">
        <f>IFERROR(HistoricalFS!J31,0)</f>
        <v>0.22550395509058432</v>
      </c>
      <c r="K15" s="55">
        <f>IFERROR(HistoricalFS!K31,0)</f>
        <v>0.22649963772260992</v>
      </c>
      <c r="L15" s="55">
        <f>IFERROR(HistoricalFS!L31,0)</f>
        <v>0.22027071640805546</v>
      </c>
      <c r="M15" s="55"/>
      <c r="N15" s="55">
        <f t="shared" si="3"/>
        <v>0.2085355974789323</v>
      </c>
      <c r="O15" s="55">
        <f t="shared" si="2"/>
        <v>0.21220893726674001</v>
      </c>
    </row>
    <row r="16" spans="2:15" x14ac:dyDescent="0.3">
      <c r="B16" s="56" t="s">
        <v>132</v>
      </c>
      <c r="C16" s="57">
        <f>IFERROR(HistoricalFS!C37,0)</f>
        <v>0.13531419517311169</v>
      </c>
      <c r="D16" s="57">
        <f>IFERROR(HistoricalFS!D37,0)</f>
        <v>0.13685362185073968</v>
      </c>
      <c r="E16" s="57">
        <f>IFERROR(HistoricalFS!E37,0)</f>
        <v>0.12896911700739452</v>
      </c>
      <c r="F16" s="57">
        <f>IFERROR(HistoricalFS!F37,0)</f>
        <v>0.13539593510644715</v>
      </c>
      <c r="G16" s="57">
        <f>IFERROR(HistoricalFS!G37,0)</f>
        <v>0.14705303136868758</v>
      </c>
      <c r="H16" s="57">
        <f>IFERROR(HistoricalFS!H37,0)</f>
        <v>0.15415924701093869</v>
      </c>
      <c r="I16" s="57">
        <f>IFERROR(HistoricalFS!I37,0)</f>
        <v>0.16982128044642184</v>
      </c>
      <c r="J16" s="57">
        <f>IFERROR(HistoricalFS!J37,0)</f>
        <v>0.17009015905418048</v>
      </c>
      <c r="K16" s="57">
        <f>IFERROR(HistoricalFS!K37,0)</f>
        <v>0.16954581855622927</v>
      </c>
      <c r="L16" s="57">
        <f>IFERROR(HistoricalFS!L37,0)</f>
        <v>0.16743149554308354</v>
      </c>
      <c r="M16" s="57"/>
      <c r="N16" s="57">
        <f t="shared" si="3"/>
        <v>0.15146339011172347</v>
      </c>
      <c r="O16" s="57">
        <f t="shared" si="2"/>
        <v>0.15060613918981314</v>
      </c>
    </row>
    <row r="18" spans="2:15" x14ac:dyDescent="0.3">
      <c r="B18" s="53" t="s">
        <v>133</v>
      </c>
      <c r="C18" s="54">
        <f>IFERROR(HistoricalFS!C16,0)</f>
        <v>0.24377414590127708</v>
      </c>
      <c r="D18" s="54">
        <f>IFERROR(HistoricalFS!D16,0)</f>
        <v>0.24264368502751926</v>
      </c>
      <c r="E18" s="54">
        <f>IFERROR(HistoricalFS!E16,0)</f>
        <v>0.25023302056794877</v>
      </c>
      <c r="F18" s="54">
        <f>IFERROR(HistoricalFS!F16,0)</f>
        <v>0.24603461793619202</v>
      </c>
      <c r="G18" s="54">
        <f>IFERROR(HistoricalFS!G16,0)</f>
        <v>0.24566043044028696</v>
      </c>
      <c r="H18" s="54">
        <f>IFERROR(HistoricalFS!H16,0)</f>
        <v>0.23782752480284916</v>
      </c>
      <c r="I18" s="54">
        <f>IFERROR(HistoricalFS!I16,0)</f>
        <v>0.23417037428047155</v>
      </c>
      <c r="J18" s="54">
        <f>IFERROR(HistoricalFS!J16,0)</f>
        <v>0.21478693544271499</v>
      </c>
      <c r="K18" s="54">
        <f>IFERROR(HistoricalFS!K16,0)</f>
        <v>0.20064447240971667</v>
      </c>
      <c r="L18" s="54">
        <f>IFERROR(HistoricalFS!L16,0)</f>
        <v>0.18241994057444702</v>
      </c>
      <c r="M18" s="54"/>
      <c r="N18" s="54">
        <f t="shared" ref="N18:N20" si="4">AVERAGE(C18:L18)</f>
        <v>0.22981951473834233</v>
      </c>
      <c r="O18" s="54">
        <f t="shared" ref="O18:O20" si="5">MEDIAN(C18:L18)</f>
        <v>0.2402356049151842</v>
      </c>
    </row>
    <row r="19" spans="2:15" x14ac:dyDescent="0.3">
      <c r="B19" t="s">
        <v>68</v>
      </c>
      <c r="C19" s="55">
        <f>IFERROR(HistoricalFS!C28,0)</f>
        <v>1.0109551497687261E-2</v>
      </c>
      <c r="D19" s="55">
        <f>IFERROR(HistoricalFS!D28,0)</f>
        <v>1.0083450648829498E-2</v>
      </c>
      <c r="E19" s="55">
        <f>IFERROR(HistoricalFS!E28,0)</f>
        <v>1.0967501398123409E-2</v>
      </c>
      <c r="F19" s="55">
        <f>IFERROR(HistoricalFS!F28,0)</f>
        <v>1.3026958567034558E-2</v>
      </c>
      <c r="G19" s="55">
        <f>IFERROR(HistoricalFS!G28,0)</f>
        <v>1.4629343086228723E-2</v>
      </c>
      <c r="H19" s="55">
        <f>IFERROR(HistoricalFS!H28,0)</f>
        <v>1.437293309590435E-2</v>
      </c>
      <c r="I19" s="55">
        <f>IFERROR(HistoricalFS!I28,0)</f>
        <v>2.5186637508483524E-2</v>
      </c>
      <c r="J19" s="55">
        <f>IFERROR(HistoricalFS!J28,0)</f>
        <v>2.2837458535340648E-2</v>
      </c>
      <c r="K19" s="55">
        <f>IFERROR(HistoricalFS!K28,0)</f>
        <v>2.0802349082866187E-2</v>
      </c>
      <c r="L19" s="55">
        <f>IFERROR(HistoricalFS!L28,0)</f>
        <v>1.8768570485308684E-2</v>
      </c>
      <c r="M19" s="55"/>
      <c r="N19" s="55">
        <f t="shared" si="4"/>
        <v>1.6078475390580684E-2</v>
      </c>
      <c r="O19" s="55">
        <f t="shared" si="5"/>
        <v>1.4501138091066536E-2</v>
      </c>
    </row>
    <row r="20" spans="2:15" x14ac:dyDescent="0.3">
      <c r="B20" s="56" t="s">
        <v>134</v>
      </c>
      <c r="C20" s="58">
        <f>C14</f>
        <v>0.17978746475818702</v>
      </c>
      <c r="D20" s="58">
        <f t="shared" ref="D20:L20" si="6">D14</f>
        <v>0.19821006943847139</v>
      </c>
      <c r="E20" s="58">
        <f t="shared" si="6"/>
        <v>0.18775243894861121</v>
      </c>
      <c r="F20" s="58">
        <f t="shared" si="6"/>
        <v>0.19606778843254327</v>
      </c>
      <c r="G20" s="58">
        <f t="shared" si="6"/>
        <v>0.20627373751582501</v>
      </c>
      <c r="H20" s="58">
        <f t="shared" si="6"/>
        <v>0.21971508522004579</v>
      </c>
      <c r="I20" s="58">
        <f t="shared" si="6"/>
        <v>0.233340874242767</v>
      </c>
      <c r="J20" s="58">
        <f t="shared" si="6"/>
        <v>0.22799183465169687</v>
      </c>
      <c r="K20" s="58">
        <f t="shared" si="6"/>
        <v>0.22852076421462075</v>
      </c>
      <c r="L20" s="58">
        <f t="shared" si="6"/>
        <v>0.22215252558600199</v>
      </c>
      <c r="M20" s="58"/>
      <c r="N20" s="58">
        <f t="shared" si="4"/>
        <v>0.20998125830087702</v>
      </c>
      <c r="O20" s="58">
        <f t="shared" si="5"/>
        <v>0.2129944113679354</v>
      </c>
    </row>
    <row r="22" spans="2:15" x14ac:dyDescent="0.3">
      <c r="B22" s="53" t="s">
        <v>135</v>
      </c>
      <c r="C22" s="54"/>
      <c r="D22" s="54">
        <f>SUM(HistoricalFS!D24,HistoricalFS!D30)/AVERAGE(HistoricalFS!C103:D103)</f>
        <v>1.2768536885382153</v>
      </c>
      <c r="E22" s="54">
        <f>SUM(HistoricalFS!E24,HistoricalFS!E30)/AVERAGE(HistoricalFS!D103:E103)</f>
        <v>0.93309379345166732</v>
      </c>
      <c r="F22" s="54">
        <f>SUM(HistoricalFS!F24,HistoricalFS!F30)/AVERAGE(HistoricalFS!E103:F103)</f>
        <v>0.82727908900057257</v>
      </c>
      <c r="G22" s="54">
        <f>SUM(HistoricalFS!G24,HistoricalFS!G30)/AVERAGE(HistoricalFS!F103:G103)</f>
        <v>0.8642659279778393</v>
      </c>
      <c r="H22" s="54">
        <f>SUM(HistoricalFS!H24,HistoricalFS!H30)/AVERAGE(HistoricalFS!G103:H103)</f>
        <v>0.91218249986798328</v>
      </c>
      <c r="I22" s="54">
        <f>SUM(HistoricalFS!I24,HistoricalFS!I30)/AVERAGE(HistoricalFS!H103:I103)</f>
        <v>0.89268198865275505</v>
      </c>
      <c r="J22" s="54">
        <f>SUM(HistoricalFS!J24,HistoricalFS!J30)/AVERAGE(HistoricalFS!I103:J103)</f>
        <v>0.31309680245291283</v>
      </c>
      <c r="K22" s="54">
        <f>SUM(HistoricalFS!K24,HistoricalFS!K30)/AVERAGE(HistoricalFS!J103:K103)</f>
        <v>0.20506283631759503</v>
      </c>
      <c r="L22" s="54">
        <f>SUM(HistoricalFS!L24,HistoricalFS!L30)/AVERAGE(HistoricalFS!K103:L103)</f>
        <v>0.22374808804947796</v>
      </c>
      <c r="M22" s="54"/>
      <c r="N22" s="54">
        <f>AVERAGE(D22:L22)</f>
        <v>0.71647385714544631</v>
      </c>
      <c r="O22" s="54">
        <f t="shared" ref="O22:O32" si="7">MEDIAN(C22:L22)</f>
        <v>0.8642659279778393</v>
      </c>
    </row>
    <row r="23" spans="2:15" x14ac:dyDescent="0.3">
      <c r="B23" t="s">
        <v>136</v>
      </c>
      <c r="C23" s="55"/>
      <c r="D23" s="55">
        <f>IFERROR(HistoricalFS!D51,0)</f>
        <v>0.25620204076019693</v>
      </c>
      <c r="E23" s="55">
        <f>IFERROR(HistoricalFS!E51,0)</f>
        <v>0.16742953505179481</v>
      </c>
      <c r="F23" s="55">
        <f>IFERROR(HistoricalFS!F51,0)</f>
        <v>0.17962466487935658</v>
      </c>
      <c r="G23" s="55">
        <f>IFERROR(HistoricalFS!G51,0)</f>
        <v>0.1714614499424626</v>
      </c>
      <c r="H23" s="55">
        <f>IFERROR(HistoricalFS!H51,0)</f>
        <v>0.21506442021803773</v>
      </c>
      <c r="I23" s="55">
        <f>IFERROR(HistoricalFS!I51,0)</f>
        <v>0.19976289270895076</v>
      </c>
      <c r="J23" s="55">
        <f>IFERROR(HistoricalFS!J51,0)</f>
        <v>0</v>
      </c>
      <c r="K23" s="55">
        <f>IFERROR(HistoricalFS!K51,0)</f>
        <v>0.10012388782520543</v>
      </c>
      <c r="L23" s="55">
        <f>IFERROR(HistoricalFS!L51,0)</f>
        <v>9.4367588932806279E-2</v>
      </c>
      <c r="M23" s="55"/>
      <c r="N23" s="55">
        <f t="shared" ref="N23:N25" si="8">AVERAGE(D23:L23)</f>
        <v>0.15378183114653454</v>
      </c>
      <c r="O23" s="55">
        <f t="shared" si="7"/>
        <v>0.1714614499424626</v>
      </c>
    </row>
    <row r="24" spans="2:15" x14ac:dyDescent="0.3">
      <c r="B24" t="s">
        <v>137</v>
      </c>
      <c r="C24" s="55"/>
      <c r="D24" s="55">
        <f>HistoricalFS!D39/HistoricalFS!D63</f>
        <v>1.1465827834409468</v>
      </c>
      <c r="E24" s="55">
        <f>HistoricalFS!E39/HistoricalFS!E63</f>
        <v>0.65298096586440146</v>
      </c>
      <c r="F24" s="55">
        <f>HistoricalFS!F39/HistoricalFS!F63</f>
        <v>0.68566176470588236</v>
      </c>
      <c r="G24" s="55">
        <f>HistoricalFS!G39/HistoricalFS!G63</f>
        <v>0.73800424628450101</v>
      </c>
      <c r="H24" s="55">
        <f>HistoricalFS!H39/HistoricalFS!H63</f>
        <v>0.79375901402910709</v>
      </c>
      <c r="I24" s="55">
        <f>HistoricalFS!I39/HistoricalFS!I63</f>
        <v>0.84371092773193301</v>
      </c>
      <c r="J24" s="55">
        <f>HistoricalFS!J39/HistoricalFS!J63</f>
        <v>0.168532220325049</v>
      </c>
      <c r="K24" s="55">
        <f>HistoricalFS!K39/HistoricalFS!K63</f>
        <v>0.18184983410478023</v>
      </c>
      <c r="L24" s="55">
        <f>HistoricalFS!L39/AVERAGE(HistoricalFS!K63:L63)</f>
        <v>0.20466150968198593</v>
      </c>
      <c r="M24" s="55"/>
      <c r="N24" s="55">
        <f t="shared" si="8"/>
        <v>0.60174925179650962</v>
      </c>
      <c r="O24" s="55">
        <f t="shared" si="7"/>
        <v>0.68566176470588236</v>
      </c>
    </row>
    <row r="25" spans="2:15" x14ac:dyDescent="0.3">
      <c r="B25" t="s">
        <v>138</v>
      </c>
      <c r="C25" s="55"/>
      <c r="D25" s="55">
        <f t="shared" ref="D25:L25" si="9">D23*D24</f>
        <v>0.29375684901807747</v>
      </c>
      <c r="E25" s="55">
        <f t="shared" si="9"/>
        <v>0.10932829951234864</v>
      </c>
      <c r="F25" s="55">
        <f t="shared" si="9"/>
        <v>0.12316176470588236</v>
      </c>
      <c r="G25" s="55">
        <f t="shared" si="9"/>
        <v>0.12653927813163482</v>
      </c>
      <c r="H25" s="55">
        <f t="shared" si="9"/>
        <v>0.17070932214501119</v>
      </c>
      <c r="I25" s="55">
        <f t="shared" si="9"/>
        <v>0.16854213553388345</v>
      </c>
      <c r="J25" s="55">
        <f t="shared" si="9"/>
        <v>0</v>
      </c>
      <c r="K25" s="55">
        <f t="shared" si="9"/>
        <v>1.8207512390939231E-2</v>
      </c>
      <c r="L25" s="55">
        <f t="shared" si="9"/>
        <v>1.93134132160372E-2</v>
      </c>
      <c r="M25" s="55"/>
      <c r="N25" s="55">
        <f t="shared" si="8"/>
        <v>0.11439539718375717</v>
      </c>
      <c r="O25" s="55">
        <f t="shared" si="7"/>
        <v>0.12316176470588236</v>
      </c>
    </row>
    <row r="26" spans="2:15" x14ac:dyDescent="0.3">
      <c r="B26" s="56" t="s">
        <v>139</v>
      </c>
      <c r="C26" s="59"/>
      <c r="D26" s="60">
        <f>HistoricalFS!D52/HistoricalFS!D24</f>
        <v>358.03446327683616</v>
      </c>
      <c r="E26" s="60">
        <f>HistoricalFS!E52/HistoricalFS!E24</f>
        <v>355.47058823529414</v>
      </c>
      <c r="F26" s="60">
        <f>HistoricalFS!F52/HistoricalFS!F24</f>
        <v>185.77142857142857</v>
      </c>
      <c r="G26" s="60">
        <f>HistoricalFS!G52/HistoricalFS!G24</f>
        <v>282</v>
      </c>
      <c r="H26" s="60">
        <f>HistoricalFS!H52/HistoricalFS!H24</f>
        <v>261.72727272727275</v>
      </c>
      <c r="I26" s="60">
        <f>HistoricalFS!I52/HistoricalFS!I24</f>
        <v>78.669491525423723</v>
      </c>
      <c r="J26" s="60">
        <f>HistoricalFS!J52/HistoricalFS!J24</f>
        <v>91.641025641025635</v>
      </c>
      <c r="K26" s="60">
        <f>HistoricalFS!K52/HistoricalFS!K24</f>
        <v>113.06603773584905</v>
      </c>
      <c r="L26" s="60">
        <f>HistoricalFS!L52/HistoricalFS!L24</f>
        <v>118.05263157894737</v>
      </c>
      <c r="M26" s="60"/>
      <c r="N26" s="60">
        <f>AVERAGE(D26:L26)</f>
        <v>204.93699325467526</v>
      </c>
      <c r="O26" s="60">
        <f t="shared" si="7"/>
        <v>185.77142857142857</v>
      </c>
    </row>
    <row r="28" spans="2:15" x14ac:dyDescent="0.3">
      <c r="B28" s="53" t="s">
        <v>140</v>
      </c>
      <c r="C28" s="53"/>
      <c r="D28" s="61">
        <f>HistoricalFS!D6/AVERAGE(HistoricalFS!C95:D95)</f>
        <v>31.310443770901987</v>
      </c>
      <c r="E28" s="61">
        <f>HistoricalFS!E6/AVERAGE(HistoricalFS!D95:E95)</f>
        <v>28.29314603679709</v>
      </c>
      <c r="F28" s="61">
        <f>HistoricalFS!F6/AVERAGE(HistoricalFS!E95:F95)</f>
        <v>28.23499361430396</v>
      </c>
      <c r="G28" s="61">
        <f>HistoricalFS!G6/AVERAGE(HistoricalFS!F95:G95)</f>
        <v>29.682672233820458</v>
      </c>
      <c r="H28" s="61">
        <f>HistoricalFS!H6/AVERAGE(HistoricalFS!G95:H95)</f>
        <v>25.150351887396035</v>
      </c>
      <c r="I28" s="61">
        <f>HistoricalFS!I6/AVERAGE(HistoricalFS!H95:I95)</f>
        <v>26.835075885328838</v>
      </c>
      <c r="J28" s="61">
        <f>HistoricalFS!J6/AVERAGE(HistoricalFS!I95:J95)</f>
        <v>32.355005159958722</v>
      </c>
      <c r="K28" s="61">
        <f>HistoricalFS!K6/AVERAGE(HistoricalFS!J95:K95)</f>
        <v>26.262393590385578</v>
      </c>
      <c r="L28" s="61">
        <f>HistoricalFS!L6/AVERAGE(HistoricalFS!K95:L95)</f>
        <v>22.795860771401692</v>
      </c>
      <c r="M28" s="61"/>
      <c r="N28" s="61">
        <f t="shared" ref="N28:N32" si="10">AVERAGE(D28:L28)</f>
        <v>27.879993661143818</v>
      </c>
      <c r="O28" s="61">
        <f t="shared" si="7"/>
        <v>28.23499361430396</v>
      </c>
    </row>
    <row r="29" spans="2:15" x14ac:dyDescent="0.3">
      <c r="B29" t="s">
        <v>141</v>
      </c>
      <c r="C29" s="14"/>
      <c r="D29" s="62">
        <f>HistoricalFS!D9/AVERAGE(HistoricalFS!C75:D75)</f>
        <v>3.2778229110371151</v>
      </c>
      <c r="E29" s="62">
        <f>HistoricalFS!E9/AVERAGE(HistoricalFS!D75:E75)</f>
        <v>3.25616427707953</v>
      </c>
      <c r="F29" s="62">
        <f>HistoricalFS!F9/AVERAGE(HistoricalFS!E75:F75)</f>
        <v>3.1463229719484458</v>
      </c>
      <c r="G29" s="62">
        <f>HistoricalFS!G9/AVERAGE(HistoricalFS!F75:G75)</f>
        <v>2.8921832884097034</v>
      </c>
      <c r="H29" s="62">
        <f>HistoricalFS!H9/AVERAGE(HistoricalFS!G75:H75)</f>
        <v>2.932804674457429</v>
      </c>
      <c r="I29" s="62">
        <f>HistoricalFS!I9/AVERAGE(HistoricalFS!H75:I75)</f>
        <v>2.7968251814666578</v>
      </c>
      <c r="J29" s="62">
        <f>HistoricalFS!J9/AVERAGE(HistoricalFS!I75:J75)</f>
        <v>3.0973863010344616</v>
      </c>
      <c r="K29" s="62">
        <f>HistoricalFS!K9/AVERAGE(HistoricalFS!J75:K75)</f>
        <v>3.2530498041410185</v>
      </c>
      <c r="L29" s="62">
        <f>HistoricalFS!L9/AVERAGE(HistoricalFS!K75:L75)</f>
        <v>3.7958373565068126</v>
      </c>
      <c r="M29" s="62"/>
      <c r="N29" s="62">
        <f t="shared" si="10"/>
        <v>3.1609329740090195</v>
      </c>
      <c r="O29" s="62">
        <f t="shared" si="7"/>
        <v>3.1463229719484458</v>
      </c>
    </row>
    <row r="30" spans="2:15" x14ac:dyDescent="0.3">
      <c r="B30" t="s">
        <v>142</v>
      </c>
      <c r="D30" s="62">
        <f>HistoricalFS!D9/AVERAGE(HistoricalFS!C94:D94)</f>
        <v>6.4961666165683702</v>
      </c>
      <c r="E30" s="62">
        <f>HistoricalFS!E9/AVERAGE(HistoricalFS!D94:E94)</f>
        <v>6.5372866063116275</v>
      </c>
      <c r="F30" s="62">
        <f>HistoricalFS!F9/AVERAGE(HistoricalFS!E94:F94)</f>
        <v>7.091323333966205</v>
      </c>
      <c r="G30" s="62">
        <f>HistoricalFS!G9/AVERAGE(HistoricalFS!F94:G94)</f>
        <v>7.6430550059358922</v>
      </c>
      <c r="H30" s="62">
        <f>HistoricalFS!H9/AVERAGE(HistoricalFS!G94:H94)</f>
        <v>8.2881855710634955</v>
      </c>
      <c r="I30" s="62">
        <f>HistoricalFS!I9/AVERAGE(HistoricalFS!H94:I94)</f>
        <v>7.7191537165324844</v>
      </c>
      <c r="J30" s="62">
        <f>HistoricalFS!J9/AVERAGE(HistoricalFS!I94:J94)</f>
        <v>7.9738417901040028</v>
      </c>
      <c r="K30" s="62">
        <f>HistoricalFS!K9/AVERAGE(HistoricalFS!J94:K94)</f>
        <v>7.5742019543973944</v>
      </c>
      <c r="L30" s="62">
        <f>HistoricalFS!L9/AVERAGE(HistoricalFS!K94:L94)</f>
        <v>8.4775368395830846</v>
      </c>
      <c r="M30" s="62"/>
      <c r="N30" s="62">
        <f t="shared" si="10"/>
        <v>7.5334168260513952</v>
      </c>
      <c r="O30" s="62">
        <f t="shared" si="7"/>
        <v>7.6430550059358922</v>
      </c>
    </row>
    <row r="31" spans="2:15" x14ac:dyDescent="0.3">
      <c r="B31" t="s">
        <v>143</v>
      </c>
      <c r="D31" s="62">
        <f>HistoricalFS!D6/AVERAGE(HistoricalFS!C82:D82)</f>
        <v>11.93272672307296</v>
      </c>
      <c r="E31" s="62">
        <f>HistoricalFS!E6/AVERAGE(HistoricalFS!D82:E82)</f>
        <v>10.94240837696335</v>
      </c>
      <c r="F31" s="62">
        <f>HistoricalFS!F6/AVERAGE(HistoricalFS!E82:F82)</f>
        <v>9.2981915042759002</v>
      </c>
      <c r="G31" s="62">
        <f>HistoricalFS!G6/AVERAGE(HistoricalFS!F82:G82)</f>
        <v>8.8332504970178931</v>
      </c>
      <c r="H31" s="62">
        <f>HistoricalFS!H6/AVERAGE(HistoricalFS!G82:H82)</f>
        <v>9.5043520309477749</v>
      </c>
      <c r="I31" s="62">
        <f>HistoricalFS!I6/AVERAGE(HistoricalFS!H82:I82)</f>
        <v>8.6938374125874134</v>
      </c>
      <c r="J31" s="62">
        <f>HistoricalFS!J6/AVERAGE(HistoricalFS!I82:J82)</f>
        <v>8.4918743228602391</v>
      </c>
      <c r="K31" s="62">
        <f>HistoricalFS!K6/AVERAGE(HistoricalFS!J82:K82)</f>
        <v>8.5382173382173381</v>
      </c>
      <c r="L31" s="62">
        <f>HistoricalFS!L6/AVERAGE(HistoricalFS!K82:L82)</f>
        <v>9.2361640493977735</v>
      </c>
      <c r="M31" s="62"/>
      <c r="N31" s="62">
        <f t="shared" si="10"/>
        <v>9.4967802505934049</v>
      </c>
      <c r="O31" s="62">
        <f t="shared" si="7"/>
        <v>9.2361640493977735</v>
      </c>
    </row>
    <row r="32" spans="2:15" x14ac:dyDescent="0.3">
      <c r="B32" s="56" t="s">
        <v>144</v>
      </c>
      <c r="C32" s="56"/>
      <c r="D32" s="59">
        <f>HistoricalFS!D6/AVERAGE(HistoricalFS!C65:D65)</f>
        <v>8.4594486256652726</v>
      </c>
      <c r="E32" s="59">
        <f>HistoricalFS!E6/AVERAGE(HistoricalFS!D65:E65)</f>
        <v>6.0759025318462925</v>
      </c>
      <c r="F32" s="59">
        <f>HistoricalFS!F6/AVERAGE(HistoricalFS!E65:F65)</f>
        <v>4.9804009912142373</v>
      </c>
      <c r="G32" s="59">
        <f>HistoricalFS!G6/AVERAGE(HistoricalFS!F65:G65)</f>
        <v>5.0688057040998213</v>
      </c>
      <c r="H32" s="59">
        <f>HistoricalFS!H6/AVERAGE(HistoricalFS!G65:H65)</f>
        <v>5.1901241087932402</v>
      </c>
      <c r="I32" s="59">
        <f>HistoricalFS!I6/AVERAGE(HistoricalFS!H65:I65)</f>
        <v>4.9432157057654074</v>
      </c>
      <c r="J32" s="59">
        <f>HistoricalFS!J6/AVERAGE(HistoricalFS!I65:J65)</f>
        <v>1.6824857342181994</v>
      </c>
      <c r="K32" s="59">
        <f>HistoricalFS!K6/AVERAGE(HistoricalFS!J65:K65)</f>
        <v>1.0843231508761049</v>
      </c>
      <c r="L32" s="59">
        <f>HistoricalFS!L6/AVERAGE(HistoricalFS!K65:L65)</f>
        <v>1.2193428269511397</v>
      </c>
      <c r="M32" s="59"/>
      <c r="N32" s="59">
        <f t="shared" si="10"/>
        <v>4.3004499310477469</v>
      </c>
      <c r="O32" s="59">
        <f t="shared" si="7"/>
        <v>4.9804009912142373</v>
      </c>
    </row>
    <row r="35" spans="1:15" x14ac:dyDescent="0.3">
      <c r="B35" s="53" t="s">
        <v>145</v>
      </c>
      <c r="C35" s="53"/>
      <c r="D35" s="63">
        <f>365/D28</f>
        <v>11.657452148257596</v>
      </c>
      <c r="E35" s="63">
        <f t="shared" ref="E35:L35" si="11">365/E28</f>
        <v>12.900650904119804</v>
      </c>
      <c r="F35" s="63">
        <f t="shared" si="11"/>
        <v>12.927220915505698</v>
      </c>
      <c r="G35" s="63">
        <f t="shared" si="11"/>
        <v>12.296736531157688</v>
      </c>
      <c r="H35" s="63">
        <f t="shared" si="11"/>
        <v>14.512719409819384</v>
      </c>
      <c r="I35" s="63">
        <f t="shared" si="11"/>
        <v>13.601601186436417</v>
      </c>
      <c r="J35" s="63">
        <f t="shared" si="11"/>
        <v>11.281098494513905</v>
      </c>
      <c r="K35" s="63">
        <f t="shared" si="11"/>
        <v>13.898200053388248</v>
      </c>
      <c r="L35" s="63">
        <f t="shared" si="11"/>
        <v>16.011678771871907</v>
      </c>
      <c r="M35" s="63"/>
      <c r="N35" s="63">
        <f t="shared" ref="N35:N38" si="12">AVERAGE(D35:L35)</f>
        <v>13.231928712785626</v>
      </c>
      <c r="O35" s="63">
        <f t="shared" ref="O35:O38" si="13">MEDIAN(C35:L35)</f>
        <v>12.927220915505698</v>
      </c>
    </row>
    <row r="36" spans="1:15" x14ac:dyDescent="0.3">
      <c r="B36" t="s">
        <v>146</v>
      </c>
      <c r="D36" s="64">
        <f>365/D29</f>
        <v>111.35439891245152</v>
      </c>
      <c r="E36" s="64">
        <f t="shared" ref="E36:L36" si="14">365/E29</f>
        <v>112.09508149489629</v>
      </c>
      <c r="F36" s="64">
        <f t="shared" si="14"/>
        <v>116.00843373493976</v>
      </c>
      <c r="G36" s="64">
        <f t="shared" si="14"/>
        <v>126.20223671947811</v>
      </c>
      <c r="H36" s="64">
        <f t="shared" si="14"/>
        <v>124.45424790095346</v>
      </c>
      <c r="I36" s="64">
        <f t="shared" si="14"/>
        <v>130.50511788105172</v>
      </c>
      <c r="J36" s="64">
        <f t="shared" si="14"/>
        <v>117.84129085806886</v>
      </c>
      <c r="K36" s="64">
        <f t="shared" si="14"/>
        <v>112.20240143122548</v>
      </c>
      <c r="L36" s="64">
        <f t="shared" si="14"/>
        <v>96.157966140018658</v>
      </c>
      <c r="M36" s="64"/>
      <c r="N36" s="64">
        <f t="shared" si="12"/>
        <v>116.31346389700931</v>
      </c>
      <c r="O36" s="64">
        <f t="shared" si="13"/>
        <v>116.00843373493976</v>
      </c>
    </row>
    <row r="37" spans="1:15" x14ac:dyDescent="0.3">
      <c r="B37" t="s">
        <v>147</v>
      </c>
      <c r="D37" s="64">
        <f>365/D30</f>
        <v>56.186982499659614</v>
      </c>
      <c r="E37" s="64">
        <f t="shared" ref="E37:L37" si="15">365/E30</f>
        <v>55.833562451981123</v>
      </c>
      <c r="F37" s="64">
        <f t="shared" si="15"/>
        <v>51.471352074966532</v>
      </c>
      <c r="G37" s="64">
        <f t="shared" si="15"/>
        <v>47.755773014393704</v>
      </c>
      <c r="H37" s="64">
        <f t="shared" si="15"/>
        <v>44.038589250984295</v>
      </c>
      <c r="I37" s="64">
        <f t="shared" si="15"/>
        <v>47.284976229746775</v>
      </c>
      <c r="J37" s="64">
        <f t="shared" si="15"/>
        <v>45.774672937828541</v>
      </c>
      <c r="K37" s="64">
        <f t="shared" si="15"/>
        <v>48.189895410445189</v>
      </c>
      <c r="L37" s="64">
        <f t="shared" si="15"/>
        <v>43.054958876233002</v>
      </c>
      <c r="M37" s="64"/>
      <c r="N37" s="64">
        <f t="shared" si="12"/>
        <v>48.84341808291542</v>
      </c>
      <c r="O37" s="64">
        <f t="shared" si="13"/>
        <v>47.755773014393704</v>
      </c>
    </row>
    <row r="38" spans="1:15" x14ac:dyDescent="0.3">
      <c r="B38" s="56" t="s">
        <v>148</v>
      </c>
      <c r="C38" s="56"/>
      <c r="D38" s="65">
        <f>D35+D37-D36</f>
        <v>-43.509964264534304</v>
      </c>
      <c r="E38" s="65">
        <f t="shared" ref="E38:L38" si="16">E35+E37-E36</f>
        <v>-43.360868138795368</v>
      </c>
      <c r="F38" s="65">
        <f t="shared" si="16"/>
        <v>-51.609860744467525</v>
      </c>
      <c r="G38" s="65">
        <f t="shared" si="16"/>
        <v>-66.149727173926721</v>
      </c>
      <c r="H38" s="65">
        <f t="shared" si="16"/>
        <v>-65.902939240149777</v>
      </c>
      <c r="I38" s="65">
        <f t="shared" si="16"/>
        <v>-69.618540464868516</v>
      </c>
      <c r="J38" s="65">
        <f t="shared" si="16"/>
        <v>-60.785519425726413</v>
      </c>
      <c r="K38" s="65">
        <f t="shared" si="16"/>
        <v>-50.114305967392042</v>
      </c>
      <c r="L38" s="65">
        <f t="shared" si="16"/>
        <v>-37.09132849191375</v>
      </c>
      <c r="M38" s="65"/>
      <c r="N38" s="65">
        <f t="shared" si="12"/>
        <v>-54.238117101308269</v>
      </c>
      <c r="O38" s="65">
        <f t="shared" si="13"/>
        <v>-51.609860744467525</v>
      </c>
    </row>
    <row r="40" spans="1:15" x14ac:dyDescent="0.3">
      <c r="B40" s="53" t="s">
        <v>149</v>
      </c>
      <c r="C40" s="54">
        <f>HistoricalFS!C119/HistoricalFS!C6</f>
        <v>0.13060251613375504</v>
      </c>
      <c r="D40" s="54">
        <f>HistoricalFS!D119/HistoricalFS!D6</f>
        <v>0.10293320538880822</v>
      </c>
      <c r="E40" s="54">
        <f>HistoricalFS!E119/HistoricalFS!E6</f>
        <v>0.1295905051885913</v>
      </c>
      <c r="F40" s="54">
        <f>HistoricalFS!F119/HistoricalFS!F6</f>
        <v>0.15635365780109764</v>
      </c>
      <c r="G40" s="54">
        <f>HistoricalFS!G119/HistoricalFS!G6</f>
        <v>0.17045998030665355</v>
      </c>
      <c r="H40" s="54">
        <f>HistoricalFS!H119/HistoricalFS!H6</f>
        <v>0.14754515390485881</v>
      </c>
      <c r="I40" s="54">
        <f>HistoricalFS!I119/HistoricalFS!I6</f>
        <v>0.19161450870975039</v>
      </c>
      <c r="J40" s="54">
        <f>HistoricalFS!J119/HistoricalFS!J6</f>
        <v>0.19484137109806923</v>
      </c>
      <c r="K40" s="54">
        <f>HistoricalFS!K119/HistoricalFS!K6</f>
        <v>0.1725203066010754</v>
      </c>
      <c r="L40" s="54">
        <f>HistoricalFS!L119/HistoricalFS!L6</f>
        <v>0.16492241663915483</v>
      </c>
      <c r="M40" s="54"/>
      <c r="N40" s="54">
        <f t="shared" ref="N40:N42" si="17">AVERAGE(C40:L40)</f>
        <v>0.15613836217718144</v>
      </c>
      <c r="O40" s="54">
        <f t="shared" ref="O40:O42" si="18">MEDIAN(C40:L40)</f>
        <v>0.16063803722012623</v>
      </c>
    </row>
    <row r="41" spans="1:15" x14ac:dyDescent="0.3">
      <c r="B41" t="s">
        <v>150</v>
      </c>
      <c r="C41" s="55">
        <f>HistoricalFS!C119/HistoricalFS!C100</f>
        <v>0.27728332066022188</v>
      </c>
      <c r="D41" s="55">
        <f>HistoricalFS!D119/HistoricalFS!D100</f>
        <v>0.22805388474651442</v>
      </c>
      <c r="E41" s="55">
        <f>HistoricalFS!E119/HistoricalFS!E100</f>
        <v>0.28193862376639178</v>
      </c>
      <c r="F41" s="55">
        <f>HistoricalFS!F119/HistoricalFS!F100</f>
        <v>0.33012861326881449</v>
      </c>
      <c r="G41" s="55">
        <f>HistoricalFS!G119/HistoricalFS!G100</f>
        <v>0.33921173440824098</v>
      </c>
      <c r="H41" s="55">
        <f>HistoricalFS!H119/HistoricalFS!H100</f>
        <v>0.31134253046325622</v>
      </c>
      <c r="I41" s="55">
        <f>HistoricalFS!I119/HistoricalFS!I100</f>
        <v>0.3782563390065995</v>
      </c>
      <c r="J41" s="55">
        <f>HistoricalFS!J119/HistoricalFS!J100</f>
        <v>0.13326643105429264</v>
      </c>
      <c r="K41" s="55">
        <f>HistoricalFS!K119/HistoricalFS!K100</f>
        <v>0.12830948565594111</v>
      </c>
      <c r="L41" s="55">
        <f>HistoricalFS!L119/HistoricalFS!L100</f>
        <v>0.13670009714449902</v>
      </c>
      <c r="M41" s="55"/>
      <c r="N41" s="55">
        <f t="shared" si="17"/>
        <v>0.25444910601747722</v>
      </c>
      <c r="O41" s="55">
        <f t="shared" si="18"/>
        <v>0.27961097221330683</v>
      </c>
    </row>
    <row r="42" spans="1:15" x14ac:dyDescent="0.3">
      <c r="B42" s="56" t="s">
        <v>151</v>
      </c>
      <c r="C42" s="57">
        <f>HistoricalFS!C119/HistoricalFS!C72</f>
        <v>3.3458649911051515</v>
      </c>
      <c r="D42" s="57">
        <f>HistoricalFS!D119/HistoricalFS!D72</f>
        <v>2.7909461740037482</v>
      </c>
      <c r="E42" s="57">
        <f>HistoricalFS!E119/HistoricalFS!E72</f>
        <v>3.678130511463845</v>
      </c>
      <c r="F42" s="57">
        <f>HistoricalFS!F119/HistoricalFS!F72</f>
        <v>4.2292006525285482</v>
      </c>
      <c r="G42" s="57">
        <f>HistoricalFS!G119/HistoricalFS!G72</f>
        <v>3.6194743130227001</v>
      </c>
      <c r="H42" s="57">
        <f>HistoricalFS!H119/HistoricalFS!H72</f>
        <v>2.7924891670678864</v>
      </c>
      <c r="I42" s="57">
        <f>HistoricalFS!I119/HistoricalFS!I72</f>
        <v>2.9432432432432432</v>
      </c>
      <c r="J42" s="57">
        <f>HistoricalFS!J119/HistoricalFS!J72</f>
        <v>0.91997991967871484</v>
      </c>
      <c r="K42" s="57">
        <f>HistoricalFS!K119/HistoricalFS!K72</f>
        <v>0.89142857142857146</v>
      </c>
      <c r="L42" s="57">
        <f>HistoricalFS!L119/HistoricalFS!L72</f>
        <v>0.94818259466641364</v>
      </c>
      <c r="M42" s="57"/>
      <c r="N42" s="57">
        <f t="shared" si="17"/>
        <v>2.6158940138208822</v>
      </c>
      <c r="O42" s="57">
        <f t="shared" si="18"/>
        <v>2.8678662051555648</v>
      </c>
    </row>
    <row r="48" spans="1:15" x14ac:dyDescent="0.3">
      <c r="A48" t="s">
        <v>58</v>
      </c>
    </row>
    <row r="70" spans="1:1" x14ac:dyDescent="0.3">
      <c r="A70" t="s">
        <v>58</v>
      </c>
    </row>
  </sheetData>
  <mergeCells count="1">
    <mergeCell ref="B2:L2"/>
  </mergeCells>
  <pageMargins left="0.7" right="0.7" top="0.75" bottom="0.75" header="0.3" footer="0.3"/>
  <pageSetup orientation="portrait" r:id="rId1"/>
  <ignoredErrors>
    <ignoredError sqref="N6" formula="1"/>
  </ignoredErrors>
  <extLst>
    <ext xmlns:x14="http://schemas.microsoft.com/office/spreadsheetml/2009/9/main" uri="{05C60535-1F16-4fd2-B633-F4F36F0B64E0}">
      <x14:sparklineGroups xmlns:xm="http://schemas.microsoft.com/office/excel/2006/main">
        <x14:sparklineGroup displayEmptyCellsAs="gap" xr2:uid="{767262EC-49A5-4956-8E32-F23C6E415E90}">
          <x14:colorSeries rgb="FF376092"/>
          <x14:colorNegative rgb="FFD00000"/>
          <x14:colorAxis rgb="FF000000"/>
          <x14:colorMarkers rgb="FFD00000"/>
          <x14:colorFirst rgb="FFD00000"/>
          <x14:colorLast rgb="FFD00000"/>
          <x14:colorHigh rgb="FFD00000"/>
          <x14:colorLow rgb="FFD00000"/>
          <x14:sparklines>
            <x14:sparkline>
              <xm:f>'Ratio Analysis'!D5:L5</xm:f>
              <xm:sqref>M5</xm:sqref>
            </x14:sparkline>
          </x14:sparklines>
        </x14:sparklineGroup>
        <x14:sparklineGroup displayEmptyCellsAs="gap" xr2:uid="{D78B7779-4BE4-4EEA-808E-1AD13075D465}">
          <x14:colorSeries rgb="FF376092"/>
          <x14:colorNegative rgb="FFD00000"/>
          <x14:colorAxis rgb="FF000000"/>
          <x14:colorMarkers rgb="FFD00000"/>
          <x14:colorFirst rgb="FFD00000"/>
          <x14:colorLast rgb="FFD00000"/>
          <x14:colorHigh rgb="FFD00000"/>
          <x14:colorLow rgb="FFD00000"/>
          <x14:sparklines>
            <x14:sparkline>
              <xm:f>'Ratio Analysis'!D7:L7</xm:f>
              <xm:sqref>M7</xm:sqref>
            </x14:sparkline>
            <x14:sparkline>
              <xm:f>'Ratio Analysis'!D8:L8</xm:f>
              <xm:sqref>M8</xm:sqref>
            </x14:sparkline>
            <x14:sparkline>
              <xm:f>'Ratio Analysis'!D9:L9</xm:f>
              <xm:sqref>M9</xm:sqref>
            </x14:sparkline>
            <x14:sparkline>
              <xm:f>'Ratio Analysis'!D10:L10</xm:f>
              <xm:sqref>M10</xm:sqref>
            </x14:sparkline>
          </x14:sparklines>
        </x14:sparklineGroup>
        <x14:sparklineGroup displayEmptyCellsAs="gap" xr2:uid="{1121813C-76C4-458E-A34D-4905B74D2C4B}">
          <x14:colorSeries rgb="FF376092"/>
          <x14:colorNegative rgb="FFD00000"/>
          <x14:colorAxis rgb="FF000000"/>
          <x14:colorMarkers rgb="FFD00000"/>
          <x14:colorFirst rgb="FFD00000"/>
          <x14:colorLast rgb="FFD00000"/>
          <x14:colorHigh rgb="FFD00000"/>
          <x14:colorLow rgb="FFD00000"/>
          <x14:sparklines>
            <x14:sparkline>
              <xm:f>'Ratio Analysis'!C6:L6</xm:f>
              <xm:sqref>M6</xm:sqref>
            </x14:sparkline>
          </x14:sparklines>
        </x14:sparklineGroup>
        <x14:sparklineGroup displayEmptyCellsAs="gap" xr2:uid="{71B550CC-C5C5-4C92-90EB-D1B1C26FF537}">
          <x14:colorSeries rgb="FF376092"/>
          <x14:colorNegative rgb="FFD00000"/>
          <x14:colorAxis rgb="FF000000"/>
          <x14:colorMarkers rgb="FFD00000"/>
          <x14:colorFirst rgb="FFD00000"/>
          <x14:colorLast rgb="FFD00000"/>
          <x14:colorHigh rgb="FFD00000"/>
          <x14:colorLow rgb="FFD00000"/>
          <x14:sparklines>
            <x14:sparkline>
              <xm:f>'Ratio Analysis'!C12:L12</xm:f>
              <xm:sqref>M12</xm:sqref>
            </x14:sparkline>
            <x14:sparkline>
              <xm:f>'Ratio Analysis'!C13:L13</xm:f>
              <xm:sqref>M13</xm:sqref>
            </x14:sparkline>
            <x14:sparkline>
              <xm:f>'Ratio Analysis'!C14:L14</xm:f>
              <xm:sqref>M14</xm:sqref>
            </x14:sparkline>
            <x14:sparkline>
              <xm:f>'Ratio Analysis'!C15:L15</xm:f>
              <xm:sqref>M15</xm:sqref>
            </x14:sparkline>
            <x14:sparkline>
              <xm:f>'Ratio Analysis'!C16:L16</xm:f>
              <xm:sqref>M16</xm:sqref>
            </x14:sparkline>
          </x14:sparklines>
        </x14:sparklineGroup>
        <x14:sparklineGroup displayEmptyCellsAs="gap" xr2:uid="{4CB6884E-5287-4FEC-8E28-F3A31C5EE72B}">
          <x14:colorSeries rgb="FF376092"/>
          <x14:colorNegative rgb="FFD00000"/>
          <x14:colorAxis rgb="FF000000"/>
          <x14:colorMarkers rgb="FFD00000"/>
          <x14:colorFirst rgb="FFD00000"/>
          <x14:colorLast rgb="FFD00000"/>
          <x14:colorHigh rgb="FFD00000"/>
          <x14:colorLow rgb="FFD00000"/>
          <x14:sparklines>
            <x14:sparkline>
              <xm:f>'Ratio Analysis'!C18:L18</xm:f>
              <xm:sqref>M18</xm:sqref>
            </x14:sparkline>
            <x14:sparkline>
              <xm:f>'Ratio Analysis'!C19:L19</xm:f>
              <xm:sqref>M19</xm:sqref>
            </x14:sparkline>
            <x14:sparkline>
              <xm:f>'Ratio Analysis'!C20:L20</xm:f>
              <xm:sqref>M20</xm:sqref>
            </x14:sparkline>
          </x14:sparklines>
        </x14:sparklineGroup>
        <x14:sparklineGroup displayEmptyCellsAs="gap" xr2:uid="{44756156-08A6-4DE7-BB96-E422E757B41D}">
          <x14:colorSeries rgb="FF376092"/>
          <x14:colorNegative rgb="FFD00000"/>
          <x14:colorAxis rgb="FF000000"/>
          <x14:colorMarkers rgb="FFD00000"/>
          <x14:colorFirst rgb="FFD00000"/>
          <x14:colorLast rgb="FFD00000"/>
          <x14:colorHigh rgb="FFD00000"/>
          <x14:colorLow rgb="FFD00000"/>
          <x14:sparklines>
            <x14:sparkline>
              <xm:f>'Ratio Analysis'!D22:L22</xm:f>
              <xm:sqref>M22</xm:sqref>
            </x14:sparkline>
            <x14:sparkline>
              <xm:f>'Ratio Analysis'!D23:L23</xm:f>
              <xm:sqref>M23</xm:sqref>
            </x14:sparkline>
            <x14:sparkline>
              <xm:f>'Ratio Analysis'!D24:L24</xm:f>
              <xm:sqref>M24</xm:sqref>
            </x14:sparkline>
            <x14:sparkline>
              <xm:f>'Ratio Analysis'!D25:L25</xm:f>
              <xm:sqref>M25</xm:sqref>
            </x14:sparkline>
            <x14:sparkline>
              <xm:f>'Ratio Analysis'!D26:L26</xm:f>
              <xm:sqref>M26</xm:sqref>
            </x14:sparkline>
          </x14:sparklines>
        </x14:sparklineGroup>
        <x14:sparklineGroup displayEmptyCellsAs="gap" xr2:uid="{08B67323-0911-4E6E-988A-4A0EE5825333}">
          <x14:colorSeries rgb="FF376092"/>
          <x14:colorNegative rgb="FFD00000"/>
          <x14:colorAxis rgb="FF000000"/>
          <x14:colorMarkers rgb="FFD00000"/>
          <x14:colorFirst rgb="FFD00000"/>
          <x14:colorLast rgb="FFD00000"/>
          <x14:colorHigh rgb="FFD00000"/>
          <x14:colorLow rgb="FFD00000"/>
          <x14:sparklines>
            <x14:sparkline>
              <xm:f>'Ratio Analysis'!D28:L28</xm:f>
              <xm:sqref>M28</xm:sqref>
            </x14:sparkline>
          </x14:sparklines>
        </x14:sparklineGroup>
        <x14:sparklineGroup displayEmptyCellsAs="gap" xr2:uid="{04F58E75-CC7B-4962-93D9-D8E7D54E0CAB}">
          <x14:colorSeries rgb="FF376092"/>
          <x14:colorNegative rgb="FFD00000"/>
          <x14:colorAxis rgb="FF000000"/>
          <x14:colorMarkers rgb="FFD00000"/>
          <x14:colorFirst rgb="FFD00000"/>
          <x14:colorLast rgb="FFD00000"/>
          <x14:colorHigh rgb="FFD00000"/>
          <x14:colorLow rgb="FFD00000"/>
          <x14:sparklines>
            <x14:sparkline>
              <xm:f>'Ratio Analysis'!D29:L29</xm:f>
              <xm:sqref>M29</xm:sqref>
            </x14:sparkline>
            <x14:sparkline>
              <xm:f>'Ratio Analysis'!D30:L30</xm:f>
              <xm:sqref>M30</xm:sqref>
            </x14:sparkline>
            <x14:sparkline>
              <xm:f>'Ratio Analysis'!D31:L31</xm:f>
              <xm:sqref>M31</xm:sqref>
            </x14:sparkline>
            <x14:sparkline>
              <xm:f>'Ratio Analysis'!D32:L32</xm:f>
              <xm:sqref>M32</xm:sqref>
            </x14:sparkline>
          </x14:sparklines>
        </x14:sparklineGroup>
        <x14:sparklineGroup displayEmptyCellsAs="gap" xr2:uid="{0467243D-BC8E-493E-84D7-D08170F68D70}">
          <x14:colorSeries rgb="FF376092"/>
          <x14:colorNegative rgb="FFD00000"/>
          <x14:colorAxis rgb="FF000000"/>
          <x14:colorMarkers rgb="FFD00000"/>
          <x14:colorFirst rgb="FFD00000"/>
          <x14:colorLast rgb="FFD00000"/>
          <x14:colorHigh rgb="FFD00000"/>
          <x14:colorLow rgb="FFD00000"/>
          <x14:sparklines>
            <x14:sparkline>
              <xm:f>'Ratio Analysis'!D35:L35</xm:f>
              <xm:sqref>M35</xm:sqref>
            </x14:sparkline>
            <x14:sparkline>
              <xm:f>'Ratio Analysis'!D36:L36</xm:f>
              <xm:sqref>M36</xm:sqref>
            </x14:sparkline>
            <x14:sparkline>
              <xm:f>'Ratio Analysis'!D37:L37</xm:f>
              <xm:sqref>M37</xm:sqref>
            </x14:sparkline>
            <x14:sparkline>
              <xm:f>'Ratio Analysis'!D38:L38</xm:f>
              <xm:sqref>M38</xm:sqref>
            </x14:sparkline>
          </x14:sparklines>
        </x14:sparklineGroup>
        <x14:sparklineGroup displayEmptyCellsAs="gap" xr2:uid="{D945B2E0-7314-4711-B8F5-3BDD535C84BF}">
          <x14:colorSeries rgb="FF376092"/>
          <x14:colorNegative rgb="FFD00000"/>
          <x14:colorAxis rgb="FF000000"/>
          <x14:colorMarkers rgb="FFD00000"/>
          <x14:colorFirst rgb="FFD00000"/>
          <x14:colorLast rgb="FFD00000"/>
          <x14:colorHigh rgb="FFD00000"/>
          <x14:colorLow rgb="FFD00000"/>
          <x14:sparklines>
            <x14:sparkline>
              <xm:f>'Ratio Analysis'!D40:L40</xm:f>
              <xm:sqref>M40</xm:sqref>
            </x14:sparkline>
          </x14:sparklines>
        </x14:sparklineGroup>
        <x14:sparklineGroup displayEmptyCellsAs="gap" xr2:uid="{24C05F8E-1916-4357-B6A3-478005E0D490}">
          <x14:colorSeries rgb="FF376092"/>
          <x14:colorNegative rgb="FFD00000"/>
          <x14:colorAxis rgb="FF000000"/>
          <x14:colorMarkers rgb="FFD00000"/>
          <x14:colorFirst rgb="FFD00000"/>
          <x14:colorLast rgb="FFD00000"/>
          <x14:colorHigh rgb="FFD00000"/>
          <x14:colorLow rgb="FFD00000"/>
          <x14:sparklines>
            <x14:sparkline>
              <xm:f>'Ratio Analysis'!D41:L41</xm:f>
              <xm:sqref>M41</xm:sqref>
            </x14:sparkline>
            <x14:sparkline>
              <xm:f>'Ratio Analysis'!D42:L42</xm:f>
              <xm:sqref>M42</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65A6F-FAE9-493F-95C8-EA88CC872622}">
  <sheetPr>
    <tabColor theme="8" tint="-0.499984740745262"/>
  </sheetPr>
  <dimension ref="A1"/>
  <sheetViews>
    <sheetView workbookViewId="0">
      <selection activeCell="D21" sqref="D21"/>
    </sheetView>
  </sheetViews>
  <sheetFormatPr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65E12-E142-48AD-908C-A9ADB1403414}">
  <dimension ref="A2:S145"/>
  <sheetViews>
    <sheetView showGridLines="0" tabSelected="1" zoomScaleNormal="100" workbookViewId="0">
      <pane ySplit="3" topLeftCell="A81" activePane="bottomLeft" state="frozen"/>
      <selection pane="bottomLeft" activeCell="B1" sqref="B1:N100"/>
    </sheetView>
  </sheetViews>
  <sheetFormatPr defaultRowHeight="14.4" x14ac:dyDescent="0.3"/>
  <cols>
    <col min="1" max="1" width="1.88671875" customWidth="1"/>
    <col min="2" max="2" width="28.44140625" bestFit="1" customWidth="1"/>
    <col min="3" max="8" width="13" hidden="1" customWidth="1"/>
    <col min="9" max="9" width="13" customWidth="1"/>
    <col min="10" max="10" width="13.44140625" bestFit="1" customWidth="1"/>
    <col min="11" max="11" width="13.77734375" bestFit="1" customWidth="1"/>
    <col min="12" max="12" width="13.44140625" bestFit="1" customWidth="1"/>
    <col min="13" max="14" width="13.77734375" bestFit="1" customWidth="1"/>
    <col min="15" max="15" width="12" bestFit="1" customWidth="1"/>
    <col min="16" max="16" width="10" bestFit="1" customWidth="1"/>
  </cols>
  <sheetData>
    <row r="2" spans="1:15" x14ac:dyDescent="0.3">
      <c r="B2" s="199" t="s">
        <v>446</v>
      </c>
      <c r="C2" s="199"/>
      <c r="D2" s="199"/>
      <c r="E2" s="199"/>
      <c r="F2" s="199"/>
      <c r="G2" s="199"/>
      <c r="H2" s="199"/>
      <c r="I2" s="199"/>
      <c r="J2" s="199"/>
      <c r="K2" s="199"/>
      <c r="L2" s="199"/>
      <c r="M2" s="199"/>
      <c r="N2" s="199"/>
    </row>
    <row r="3" spans="1:15" x14ac:dyDescent="0.3">
      <c r="B3" s="11" t="s">
        <v>56</v>
      </c>
      <c r="C3" s="12">
        <f>'Data Sheet'!B16</f>
        <v>41729</v>
      </c>
      <c r="D3" s="12">
        <f>'Data Sheet'!C16</f>
        <v>42094</v>
      </c>
      <c r="E3" s="12">
        <f>'Data Sheet'!D16</f>
        <v>42460</v>
      </c>
      <c r="F3" s="12">
        <f>'Data Sheet'!E16</f>
        <v>42825</v>
      </c>
      <c r="G3" s="12">
        <f>'Data Sheet'!F16</f>
        <v>43190</v>
      </c>
      <c r="H3" s="12">
        <f>'Data Sheet'!G16</f>
        <v>43555</v>
      </c>
      <c r="I3" s="12">
        <f>'Data Sheet'!H16</f>
        <v>43921</v>
      </c>
      <c r="J3" s="12">
        <f>'Data Sheet'!I16</f>
        <v>44286</v>
      </c>
      <c r="K3" s="12">
        <f>'Data Sheet'!J16</f>
        <v>44651</v>
      </c>
      <c r="L3" s="12">
        <f>'Data Sheet'!K16</f>
        <v>45016</v>
      </c>
      <c r="M3" s="173">
        <v>45352</v>
      </c>
      <c r="N3" s="173">
        <v>45717</v>
      </c>
    </row>
    <row r="4" spans="1:15" x14ac:dyDescent="0.3">
      <c r="B4" s="21"/>
      <c r="C4" s="22"/>
      <c r="D4" s="22"/>
      <c r="E4" s="22"/>
      <c r="F4" s="22"/>
      <c r="G4" s="22"/>
      <c r="H4" s="22"/>
      <c r="I4" s="22"/>
      <c r="J4" s="22"/>
      <c r="K4" s="22"/>
      <c r="L4" s="22"/>
      <c r="M4" s="23"/>
      <c r="N4" s="23"/>
    </row>
    <row r="5" spans="1:15" x14ac:dyDescent="0.3">
      <c r="A5" t="s">
        <v>58</v>
      </c>
      <c r="B5" s="24" t="s">
        <v>57</v>
      </c>
      <c r="C5" s="25"/>
      <c r="D5" s="25"/>
      <c r="E5" s="25"/>
      <c r="F5" s="25"/>
      <c r="G5" s="25"/>
      <c r="H5" s="25"/>
      <c r="I5" s="25"/>
      <c r="J5" s="25"/>
      <c r="K5" s="25"/>
      <c r="L5" s="25"/>
      <c r="M5" s="25"/>
      <c r="N5" s="25"/>
    </row>
    <row r="6" spans="1:15" x14ac:dyDescent="0.3">
      <c r="B6" t="s">
        <v>12</v>
      </c>
      <c r="C6" s="14">
        <f>IFERROR('Data Sheet'!B17,0)</f>
        <v>29233.74</v>
      </c>
      <c r="D6" s="14">
        <f>IFERROR('Data Sheet'!C17,0)</f>
        <v>31972.19</v>
      </c>
      <c r="E6" s="14">
        <f>IFERROR('Data Sheet'!D17,0)</f>
        <v>32186</v>
      </c>
      <c r="F6" s="14">
        <f>IFERROR('Data Sheet'!E17,0)</f>
        <v>33162</v>
      </c>
      <c r="G6" s="14">
        <f>IFERROR('Data Sheet'!F17,0)</f>
        <v>35545</v>
      </c>
      <c r="H6" s="14">
        <f>IFERROR('Data Sheet'!G17,0)</f>
        <v>39310</v>
      </c>
      <c r="I6" s="14">
        <f>IFERROR('Data Sheet'!H17,0)</f>
        <v>39783</v>
      </c>
      <c r="J6" s="14">
        <f>IFERROR('Data Sheet'!I17,0)</f>
        <v>47028</v>
      </c>
      <c r="K6" s="14">
        <f>IFERROR('Data Sheet'!J17,0)</f>
        <v>52446</v>
      </c>
      <c r="L6" s="14">
        <f>IFERROR('Data Sheet'!K17,0)</f>
        <v>60580</v>
      </c>
      <c r="M6" s="14">
        <f>+L6*(1+'Intrinsic Growth'!$G$63)</f>
        <v>64421.804344428594</v>
      </c>
      <c r="N6" s="14">
        <f>+M6*(1+'Intrinsic Growth'!$G$63)</f>
        <v>68507.244552522927</v>
      </c>
      <c r="O6" s="20"/>
    </row>
    <row r="7" spans="1:15" x14ac:dyDescent="0.3">
      <c r="B7" s="17" t="s">
        <v>59</v>
      </c>
      <c r="C7" s="18" t="s">
        <v>60</v>
      </c>
      <c r="D7" s="19">
        <f>D6/C6-1</f>
        <v>9.3674295522912843E-2</v>
      </c>
      <c r="E7" s="19">
        <f t="shared" ref="E7:N7" si="0">E6/D6-1</f>
        <v>6.6873742461808217E-3</v>
      </c>
      <c r="F7" s="19">
        <f t="shared" si="0"/>
        <v>3.03237432424035E-2</v>
      </c>
      <c r="G7" s="19">
        <f t="shared" si="0"/>
        <v>7.1859357095470644E-2</v>
      </c>
      <c r="H7" s="19">
        <f t="shared" si="0"/>
        <v>0.1059220706147137</v>
      </c>
      <c r="I7" s="19">
        <f t="shared" si="0"/>
        <v>1.2032561689137689E-2</v>
      </c>
      <c r="J7" s="19">
        <f t="shared" si="0"/>
        <v>0.18211296282331646</v>
      </c>
      <c r="K7" s="19">
        <f t="shared" si="0"/>
        <v>0.11520796121459553</v>
      </c>
      <c r="L7" s="19">
        <f t="shared" si="0"/>
        <v>0.15509285741524614</v>
      </c>
      <c r="M7" s="19">
        <f t="shared" si="0"/>
        <v>6.3417041010706443E-2</v>
      </c>
      <c r="N7" s="19">
        <f t="shared" si="0"/>
        <v>6.3417041010706443E-2</v>
      </c>
    </row>
    <row r="9" spans="1:15" x14ac:dyDescent="0.3">
      <c r="B9" t="s">
        <v>61</v>
      </c>
      <c r="C9" s="14">
        <f>IFERROR(SUM('Data Sheet'!B18,'Data Sheet'!B20:B22)-1*'Data Sheet'!B19,0)</f>
        <v>17348.3</v>
      </c>
      <c r="D9" s="14">
        <f>IFERROR(SUM('Data Sheet'!C18,'Data Sheet'!C20:C22)-1*'Data Sheet'!C19,0)</f>
        <v>18801.919999999998</v>
      </c>
      <c r="E9" s="14">
        <f>IFERROR(SUM('Data Sheet'!D18,'Data Sheet'!D20:D22)-1*'Data Sheet'!D19,0)</f>
        <v>18222</v>
      </c>
      <c r="F9" s="14">
        <f>IFERROR(SUM('Data Sheet'!E18,'Data Sheet'!E20:E22)-1*'Data Sheet'!E19,0)</f>
        <v>18675</v>
      </c>
      <c r="G9" s="14">
        <f>IFERROR(SUM('Data Sheet'!F18,'Data Sheet'!F20:F22)-1*'Data Sheet'!F19,0)</f>
        <v>19314</v>
      </c>
      <c r="H9" s="14">
        <f>IFERROR(SUM('Data Sheet'!G18,'Data Sheet'!G20:G22)-1*'Data Sheet'!G19,0)</f>
        <v>21081</v>
      </c>
      <c r="I9" s="14">
        <f>IFERROR(SUM('Data Sheet'!H18,'Data Sheet'!H20:H22)-1*'Data Sheet'!H19,0)</f>
        <v>20614</v>
      </c>
      <c r="J9" s="14">
        <f>IFERROR(SUM('Data Sheet'!I18,'Data Sheet'!I20:I22)-1*'Data Sheet'!I19,0)</f>
        <v>25301</v>
      </c>
      <c r="K9" s="14">
        <f>IFERROR(SUM('Data Sheet'!J18,'Data Sheet'!J20:J22)-1*'Data Sheet'!J19,0)</f>
        <v>29066</v>
      </c>
      <c r="L9" s="14">
        <f>IFERROR(SUM('Data Sheet'!K18,'Data Sheet'!K20:K22)-1*'Data Sheet'!K19,0)</f>
        <v>35381</v>
      </c>
      <c r="M9" s="14">
        <f>+M6*L10</f>
        <v>37624.758327999807</v>
      </c>
      <c r="N9" s="14">
        <f>+N6*M10</f>
        <v>40010.809169904489</v>
      </c>
      <c r="O9" s="20"/>
    </row>
    <row r="10" spans="1:15" x14ac:dyDescent="0.3">
      <c r="B10" s="17" t="s">
        <v>62</v>
      </c>
      <c r="C10" s="19">
        <f>C9/C6</f>
        <v>0.59343416203332167</v>
      </c>
      <c r="D10" s="19">
        <f t="shared" ref="D10:M10" si="1">D9/D6</f>
        <v>0.58807107051471919</v>
      </c>
      <c r="E10" s="19">
        <f t="shared" si="1"/>
        <v>0.56614677188839868</v>
      </c>
      <c r="F10" s="19">
        <f t="shared" si="1"/>
        <v>0.5631445630540981</v>
      </c>
      <c r="G10" s="19">
        <f t="shared" si="1"/>
        <v>0.54336756224504146</v>
      </c>
      <c r="H10" s="19">
        <f t="shared" si="1"/>
        <v>0.53627575680488426</v>
      </c>
      <c r="I10" s="19">
        <f t="shared" si="1"/>
        <v>0.51816102355277383</v>
      </c>
      <c r="J10" s="19">
        <f t="shared" si="1"/>
        <v>0.53799863910861612</v>
      </c>
      <c r="K10" s="19">
        <f t="shared" si="1"/>
        <v>0.55420813789421497</v>
      </c>
      <c r="L10" s="19">
        <f t="shared" si="1"/>
        <v>0.58403763618355897</v>
      </c>
      <c r="M10" s="19">
        <f t="shared" si="1"/>
        <v>0.58403763618355897</v>
      </c>
      <c r="N10" s="19">
        <f t="shared" ref="N10" si="2">N9/N6</f>
        <v>0.58403763618355897</v>
      </c>
    </row>
    <row r="12" spans="1:15" s="13" customFormat="1" x14ac:dyDescent="0.3">
      <c r="B12" s="37" t="s">
        <v>63</v>
      </c>
      <c r="C12" s="38">
        <f>C6-C9</f>
        <v>11885.440000000002</v>
      </c>
      <c r="D12" s="38">
        <f t="shared" ref="D12:M12" si="3">D6-D9</f>
        <v>13170.27</v>
      </c>
      <c r="E12" s="38">
        <f t="shared" si="3"/>
        <v>13964</v>
      </c>
      <c r="F12" s="38">
        <f t="shared" si="3"/>
        <v>14487</v>
      </c>
      <c r="G12" s="38">
        <f t="shared" si="3"/>
        <v>16231</v>
      </c>
      <c r="H12" s="38">
        <f t="shared" si="3"/>
        <v>18229</v>
      </c>
      <c r="I12" s="38">
        <f t="shared" si="3"/>
        <v>19169</v>
      </c>
      <c r="J12" s="38">
        <f t="shared" si="3"/>
        <v>21727</v>
      </c>
      <c r="K12" s="38">
        <f t="shared" si="3"/>
        <v>23380</v>
      </c>
      <c r="L12" s="38">
        <f t="shared" si="3"/>
        <v>25199</v>
      </c>
      <c r="M12" s="38">
        <f t="shared" si="3"/>
        <v>26797.046016428787</v>
      </c>
      <c r="N12" s="38">
        <f t="shared" ref="N12" si="4">N6-N9</f>
        <v>28496.435382618438</v>
      </c>
      <c r="O12" s="20"/>
    </row>
    <row r="13" spans="1:15" x14ac:dyDescent="0.3">
      <c r="B13" s="17" t="s">
        <v>69</v>
      </c>
      <c r="C13" s="19">
        <f>C12/C6</f>
        <v>0.40656583796667828</v>
      </c>
      <c r="D13" s="19">
        <f t="shared" ref="D13:M13" si="5">D12/D6</f>
        <v>0.41192892948528081</v>
      </c>
      <c r="E13" s="19">
        <f t="shared" si="5"/>
        <v>0.43385322811160132</v>
      </c>
      <c r="F13" s="19">
        <f t="shared" si="5"/>
        <v>0.43685543694590195</v>
      </c>
      <c r="G13" s="19">
        <f t="shared" si="5"/>
        <v>0.45663243775495849</v>
      </c>
      <c r="H13" s="19">
        <f t="shared" si="5"/>
        <v>0.46372424319511574</v>
      </c>
      <c r="I13" s="19">
        <f t="shared" si="5"/>
        <v>0.48183897644722617</v>
      </c>
      <c r="J13" s="19">
        <f t="shared" si="5"/>
        <v>0.46200136089138388</v>
      </c>
      <c r="K13" s="19">
        <f t="shared" si="5"/>
        <v>0.44579186210578498</v>
      </c>
      <c r="L13" s="19">
        <f t="shared" si="5"/>
        <v>0.41596236381644108</v>
      </c>
      <c r="M13" s="19">
        <f t="shared" si="5"/>
        <v>0.41596236381644103</v>
      </c>
      <c r="N13" s="19">
        <f t="shared" ref="N13" si="6">N12/N6</f>
        <v>0.41596236381644103</v>
      </c>
    </row>
    <row r="15" spans="1:15" x14ac:dyDescent="0.3">
      <c r="B15" t="s">
        <v>64</v>
      </c>
      <c r="C15" s="20">
        <f>IFERROR(SUM('Data Sheet'!B23:B24),0)</f>
        <v>7126.43</v>
      </c>
      <c r="D15" s="20">
        <f>IFERROR(SUM('Data Sheet'!C23:C24),0)</f>
        <v>7757.85</v>
      </c>
      <c r="E15" s="20">
        <f>IFERROR(SUM('Data Sheet'!D23:D24),0)</f>
        <v>8054</v>
      </c>
      <c r="F15" s="20">
        <f>IFERROR(SUM('Data Sheet'!E23:E24),0)</f>
        <v>8159</v>
      </c>
      <c r="G15" s="20">
        <f>IFERROR(SUM('Data Sheet'!F23:F24),0)</f>
        <v>8732</v>
      </c>
      <c r="H15" s="20">
        <f>IFERROR(SUM('Data Sheet'!G23:G24),0)</f>
        <v>9349</v>
      </c>
      <c r="I15" s="20">
        <f>IFERROR(SUM('Data Sheet'!H23:H24),0)</f>
        <v>9316</v>
      </c>
      <c r="J15" s="20">
        <f>IFERROR(SUM('Data Sheet'!I23:I24),0)</f>
        <v>10101</v>
      </c>
      <c r="K15" s="20">
        <f>IFERROR(SUM('Data Sheet'!J23:J24),0)</f>
        <v>10523</v>
      </c>
      <c r="L15" s="20">
        <f>IFERROR(SUM('Data Sheet'!K23:K24),0)</f>
        <v>11051</v>
      </c>
      <c r="M15" s="20">
        <f>+M6*L16-104.69</f>
        <v>11647.131720209316</v>
      </c>
      <c r="N15" s="20">
        <f>+N6*M16</f>
        <v>12385.758350166931</v>
      </c>
      <c r="O15" s="20"/>
    </row>
    <row r="16" spans="1:15" x14ac:dyDescent="0.3">
      <c r="B16" s="17" t="s">
        <v>65</v>
      </c>
      <c r="C16" s="19">
        <f>C15/C6</f>
        <v>0.24377414590127708</v>
      </c>
      <c r="D16" s="19">
        <f t="shared" ref="D16:M16" si="7">D15/D6</f>
        <v>0.24264368502751926</v>
      </c>
      <c r="E16" s="19">
        <f t="shared" si="7"/>
        <v>0.25023302056794877</v>
      </c>
      <c r="F16" s="19">
        <f t="shared" si="7"/>
        <v>0.24603461793619202</v>
      </c>
      <c r="G16" s="19">
        <f t="shared" si="7"/>
        <v>0.24566043044028696</v>
      </c>
      <c r="H16" s="19">
        <f t="shared" si="7"/>
        <v>0.23782752480284916</v>
      </c>
      <c r="I16" s="19">
        <f t="shared" si="7"/>
        <v>0.23417037428047155</v>
      </c>
      <c r="J16" s="19">
        <f t="shared" si="7"/>
        <v>0.21478693544271499</v>
      </c>
      <c r="K16" s="19">
        <f t="shared" si="7"/>
        <v>0.20064447240971667</v>
      </c>
      <c r="L16" s="19">
        <f t="shared" si="7"/>
        <v>0.18241994057444702</v>
      </c>
      <c r="M16" s="19">
        <f t="shared" si="7"/>
        <v>0.18079486966770433</v>
      </c>
      <c r="N16" s="19">
        <f t="shared" ref="N16" si="8">N15/N6</f>
        <v>0.18079486966770433</v>
      </c>
    </row>
    <row r="17" spans="2:16" x14ac:dyDescent="0.3">
      <c r="B17" s="17"/>
      <c r="C17" s="19"/>
      <c r="D17" s="19"/>
      <c r="E17" s="19"/>
      <c r="F17" s="19"/>
      <c r="G17" s="19"/>
      <c r="H17" s="19"/>
      <c r="I17" s="19"/>
      <c r="J17" s="19"/>
      <c r="K17" s="19"/>
      <c r="L17" s="19"/>
      <c r="M17" s="19"/>
      <c r="N17" s="19"/>
    </row>
    <row r="18" spans="2:16" x14ac:dyDescent="0.3">
      <c r="B18" t="s">
        <v>20</v>
      </c>
      <c r="C18" s="20">
        <f>IFERROR('Data Sheet'!B25,0)</f>
        <v>792.39</v>
      </c>
      <c r="D18" s="20">
        <f>IFERROR('Data Sheet'!C25,0)</f>
        <v>1247.18</v>
      </c>
      <c r="E18" s="20">
        <f>IFERROR('Data Sheet'!D25,0)</f>
        <v>486</v>
      </c>
      <c r="F18" s="20">
        <f>IFERROR('Data Sheet'!E25,0)</f>
        <v>606</v>
      </c>
      <c r="G18" s="20">
        <f>IFERROR('Data Sheet'!F25,0)</f>
        <v>353</v>
      </c>
      <c r="H18" s="20">
        <f>IFERROR('Data Sheet'!G25,0)</f>
        <v>322</v>
      </c>
      <c r="I18" s="20">
        <f>IFERROR('Data Sheet'!H25,0)</f>
        <v>432</v>
      </c>
      <c r="J18" s="20">
        <f>IFERROR('Data Sheet'!I25,0)</f>
        <v>170</v>
      </c>
      <c r="K18" s="20">
        <f>IFERROR('Data Sheet'!J25,0)</f>
        <v>219</v>
      </c>
      <c r="L18" s="20">
        <f>IFERROR('Data Sheet'!K25,0)</f>
        <v>447</v>
      </c>
      <c r="M18" s="20">
        <f>+L18*(1+'Intrinsic Growth'!G63)</f>
        <v>475.34741733178578</v>
      </c>
      <c r="N18" s="20">
        <f>+M18*(1+'Intrinsic Growth'!G63)</f>
        <v>505.49254399104905</v>
      </c>
      <c r="O18" s="20"/>
    </row>
    <row r="19" spans="2:16" x14ac:dyDescent="0.3">
      <c r="B19" s="17" t="s">
        <v>65</v>
      </c>
      <c r="C19" s="19">
        <f>C18/C9</f>
        <v>4.5675368768121373E-2</v>
      </c>
      <c r="D19" s="19">
        <f t="shared" ref="D19:M19" si="9">D18/D9</f>
        <v>6.6332587310232158E-2</v>
      </c>
      <c r="E19" s="19">
        <f t="shared" si="9"/>
        <v>2.6671056964109319E-2</v>
      </c>
      <c r="F19" s="19">
        <f t="shared" si="9"/>
        <v>3.244979919678715E-2</v>
      </c>
      <c r="G19" s="19">
        <f t="shared" si="9"/>
        <v>1.8276897587242415E-2</v>
      </c>
      <c r="H19" s="19">
        <f t="shared" si="9"/>
        <v>1.5274417722119444E-2</v>
      </c>
      <c r="I19" s="19">
        <f t="shared" si="9"/>
        <v>2.0956631415542836E-2</v>
      </c>
      <c r="J19" s="19">
        <f t="shared" si="9"/>
        <v>6.7191020117781906E-3</v>
      </c>
      <c r="K19" s="19">
        <f t="shared" si="9"/>
        <v>7.5345764811119518E-3</v>
      </c>
      <c r="L19" s="19">
        <f t="shared" si="9"/>
        <v>1.2633899550606257E-2</v>
      </c>
      <c r="M19" s="19">
        <f t="shared" si="9"/>
        <v>1.2633899550606257E-2</v>
      </c>
      <c r="N19" s="19">
        <f t="shared" ref="N19" si="10">N18/N9</f>
        <v>1.2633899550606257E-2</v>
      </c>
    </row>
    <row r="21" spans="2:16" x14ac:dyDescent="0.3">
      <c r="B21" s="37" t="s">
        <v>28</v>
      </c>
      <c r="C21" s="38">
        <f t="shared" ref="C21:K21" si="11">C12-C15+C18</f>
        <v>5551.4000000000024</v>
      </c>
      <c r="D21" s="38">
        <f t="shared" si="11"/>
        <v>6659.6</v>
      </c>
      <c r="E21" s="38">
        <f t="shared" si="11"/>
        <v>6396</v>
      </c>
      <c r="F21" s="38">
        <f t="shared" si="11"/>
        <v>6934</v>
      </c>
      <c r="G21" s="38">
        <f t="shared" si="11"/>
        <v>7852</v>
      </c>
      <c r="H21" s="38">
        <f t="shared" si="11"/>
        <v>9202</v>
      </c>
      <c r="I21" s="38">
        <f t="shared" si="11"/>
        <v>10285</v>
      </c>
      <c r="J21" s="38">
        <f t="shared" si="11"/>
        <v>11796</v>
      </c>
      <c r="K21" s="38">
        <f t="shared" si="11"/>
        <v>13076</v>
      </c>
      <c r="L21" s="38">
        <f>L12-L15+L18</f>
        <v>14595</v>
      </c>
      <c r="M21" s="38">
        <f>+M12+M18-M15</f>
        <v>15625.261713551256</v>
      </c>
      <c r="N21" s="38">
        <f>+N12+N18-N15</f>
        <v>16616.169576442553</v>
      </c>
    </row>
    <row r="22" spans="2:16" x14ac:dyDescent="0.3">
      <c r="B22" s="17" t="s">
        <v>66</v>
      </c>
      <c r="C22" s="19">
        <f>C21/C6</f>
        <v>0.18989701625587427</v>
      </c>
      <c r="D22" s="19">
        <f t="shared" ref="D22:M22" si="12">D21/D6</f>
        <v>0.2082935200873009</v>
      </c>
      <c r="E22" s="19">
        <f t="shared" si="12"/>
        <v>0.1987199403467346</v>
      </c>
      <c r="F22" s="19">
        <f t="shared" si="12"/>
        <v>0.20909474699957784</v>
      </c>
      <c r="G22" s="19">
        <f t="shared" si="12"/>
        <v>0.22090308060205374</v>
      </c>
      <c r="H22" s="19">
        <f t="shared" si="12"/>
        <v>0.23408801831595014</v>
      </c>
      <c r="I22" s="19">
        <f t="shared" si="12"/>
        <v>0.25852751175125055</v>
      </c>
      <c r="J22" s="19">
        <f t="shared" si="12"/>
        <v>0.25082929318703751</v>
      </c>
      <c r="K22" s="19">
        <f t="shared" si="12"/>
        <v>0.24932311329748694</v>
      </c>
      <c r="L22" s="19">
        <f t="shared" si="12"/>
        <v>0.24092109607131065</v>
      </c>
      <c r="M22" s="19">
        <f t="shared" si="12"/>
        <v>0.24254616697805328</v>
      </c>
      <c r="N22" s="19">
        <f t="shared" ref="N22" si="13">N21/N6</f>
        <v>0.24254616697805323</v>
      </c>
      <c r="O22" s="20"/>
    </row>
    <row r="23" spans="2:16" x14ac:dyDescent="0.3">
      <c r="O23" s="20"/>
    </row>
    <row r="24" spans="2:16" x14ac:dyDescent="0.3">
      <c r="B24" t="s">
        <v>22</v>
      </c>
      <c r="C24" s="20">
        <f>IFERROR('Data Sheet'!B27,0)</f>
        <v>40.68</v>
      </c>
      <c r="D24" s="20">
        <f>IFERROR('Data Sheet'!C27,0)</f>
        <v>17.7</v>
      </c>
      <c r="E24" s="20">
        <f>IFERROR('Data Sheet'!D27,0)</f>
        <v>17</v>
      </c>
      <c r="F24" s="20">
        <f>IFERROR('Data Sheet'!E27,0)</f>
        <v>35</v>
      </c>
      <c r="G24" s="20">
        <f>IFERROR('Data Sheet'!F27,0)</f>
        <v>26</v>
      </c>
      <c r="H24" s="20">
        <f>IFERROR('Data Sheet'!G27,0)</f>
        <v>33</v>
      </c>
      <c r="I24" s="20">
        <f>IFERROR('Data Sheet'!H27,0)</f>
        <v>118</v>
      </c>
      <c r="J24" s="20">
        <f>IFERROR('Data Sheet'!I27,0)</f>
        <v>117</v>
      </c>
      <c r="K24" s="20">
        <f>IFERROR('Data Sheet'!J27,0)</f>
        <v>106</v>
      </c>
      <c r="L24" s="20">
        <f>IFERROR('Data Sheet'!K27,0)</f>
        <v>114</v>
      </c>
      <c r="M24" s="20">
        <f>+L25*M6</f>
        <v>121.22954267522053</v>
      </c>
      <c r="N24" s="20">
        <f>+M25*N6</f>
        <v>128.91756155476418</v>
      </c>
      <c r="O24" s="20"/>
    </row>
    <row r="25" spans="2:16" x14ac:dyDescent="0.3">
      <c r="B25" s="17" t="s">
        <v>67</v>
      </c>
      <c r="C25" s="19">
        <f>C24/C6</f>
        <v>1.3915427858358185E-3</v>
      </c>
      <c r="D25" s="19">
        <f t="shared" ref="D25:M25" si="14">D24/D6</f>
        <v>5.536061183172E-4</v>
      </c>
      <c r="E25" s="19">
        <f t="shared" si="14"/>
        <v>5.2817995401727462E-4</v>
      </c>
      <c r="F25" s="19">
        <f t="shared" si="14"/>
        <v>1.0554248839032628E-3</v>
      </c>
      <c r="G25" s="19">
        <f t="shared" si="14"/>
        <v>7.3146715431143621E-4</v>
      </c>
      <c r="H25" s="19">
        <f t="shared" si="14"/>
        <v>8.3948104807936915E-4</v>
      </c>
      <c r="I25" s="19">
        <f t="shared" si="14"/>
        <v>2.9660910439132291E-3</v>
      </c>
      <c r="J25" s="19">
        <f t="shared" si="14"/>
        <v>2.4878795611125285E-3</v>
      </c>
      <c r="K25" s="19">
        <f t="shared" si="14"/>
        <v>2.0211264920108303E-3</v>
      </c>
      <c r="L25" s="19">
        <f t="shared" si="14"/>
        <v>1.881809177946517E-3</v>
      </c>
      <c r="M25" s="19">
        <f t="shared" si="14"/>
        <v>1.881809177946517E-3</v>
      </c>
      <c r="N25" s="19">
        <f t="shared" ref="N25" si="15">N24/N6</f>
        <v>1.881809177946517E-3</v>
      </c>
      <c r="O25" s="41"/>
      <c r="P25" s="41"/>
    </row>
    <row r="26" spans="2:16" x14ac:dyDescent="0.3">
      <c r="B26" s="17"/>
      <c r="C26" s="19"/>
      <c r="D26" s="19"/>
      <c r="E26" s="19"/>
      <c r="F26" s="19"/>
      <c r="G26" s="19"/>
      <c r="H26" s="19"/>
      <c r="I26" s="19"/>
      <c r="J26" s="19"/>
      <c r="K26" s="19"/>
      <c r="L26" s="19"/>
      <c r="M26" s="19"/>
      <c r="N26" s="19"/>
      <c r="O26" s="41"/>
      <c r="P26" s="41"/>
    </row>
    <row r="27" spans="2:16" x14ac:dyDescent="0.3">
      <c r="B27" t="s">
        <v>21</v>
      </c>
      <c r="C27" s="20">
        <f>IFERROR('Data Sheet'!B26,0)</f>
        <v>295.54000000000002</v>
      </c>
      <c r="D27" s="20">
        <f>IFERROR('Data Sheet'!C26,0)</f>
        <v>322.39</v>
      </c>
      <c r="E27" s="20">
        <f>IFERROR('Data Sheet'!D26,0)</f>
        <v>353</v>
      </c>
      <c r="F27" s="20">
        <f>IFERROR('Data Sheet'!E26,0)</f>
        <v>432</v>
      </c>
      <c r="G27" s="20">
        <f>IFERROR('Data Sheet'!F26,0)</f>
        <v>520</v>
      </c>
      <c r="H27" s="20">
        <f>IFERROR('Data Sheet'!G26,0)</f>
        <v>565</v>
      </c>
      <c r="I27" s="20">
        <f>IFERROR('Data Sheet'!H26,0)</f>
        <v>1002</v>
      </c>
      <c r="J27" s="20">
        <f>IFERROR('Data Sheet'!I26,0)</f>
        <v>1074</v>
      </c>
      <c r="K27" s="20">
        <f>IFERROR('Data Sheet'!J26,0)</f>
        <v>1091</v>
      </c>
      <c r="L27" s="20">
        <f>IFERROR('Data Sheet'!K26,0)</f>
        <v>1137</v>
      </c>
      <c r="M27" s="20">
        <f>+DCF!D11</f>
        <v>1313.7918482126565</v>
      </c>
      <c r="N27" s="20">
        <f>N6*M28</f>
        <v>1397.1086397302904</v>
      </c>
      <c r="O27" s="20"/>
    </row>
    <row r="28" spans="2:16" x14ac:dyDescent="0.3">
      <c r="B28" s="17" t="s">
        <v>68</v>
      </c>
      <c r="C28" s="19">
        <f t="shared" ref="C28:N28" si="16">C27/C6</f>
        <v>1.0109551497687261E-2</v>
      </c>
      <c r="D28" s="19">
        <f t="shared" si="16"/>
        <v>1.0083450648829498E-2</v>
      </c>
      <c r="E28" s="19">
        <f t="shared" si="16"/>
        <v>1.0967501398123409E-2</v>
      </c>
      <c r="F28" s="19">
        <f t="shared" si="16"/>
        <v>1.3026958567034558E-2</v>
      </c>
      <c r="G28" s="19">
        <f t="shared" si="16"/>
        <v>1.4629343086228723E-2</v>
      </c>
      <c r="H28" s="19">
        <f t="shared" si="16"/>
        <v>1.437293309590435E-2</v>
      </c>
      <c r="I28" s="19">
        <f t="shared" si="16"/>
        <v>2.5186637508483524E-2</v>
      </c>
      <c r="J28" s="19">
        <f t="shared" si="16"/>
        <v>2.2837458535340648E-2</v>
      </c>
      <c r="K28" s="19">
        <f t="shared" si="16"/>
        <v>2.0802349082866187E-2</v>
      </c>
      <c r="L28" s="19">
        <f t="shared" si="16"/>
        <v>1.8768570485308684E-2</v>
      </c>
      <c r="M28" s="19">
        <f t="shared" si="16"/>
        <v>2.0393589741580679E-2</v>
      </c>
      <c r="N28" s="19">
        <f t="shared" si="16"/>
        <v>2.0393589741580679E-2</v>
      </c>
    </row>
    <row r="30" spans="2:16" x14ac:dyDescent="0.3">
      <c r="B30" s="37" t="s">
        <v>70</v>
      </c>
      <c r="C30" s="38">
        <f t="shared" ref="C30:N30" si="17">IFERROR(C21-SUM(C27,C24),0)</f>
        <v>5215.1800000000021</v>
      </c>
      <c r="D30" s="38">
        <f t="shared" si="17"/>
        <v>6319.51</v>
      </c>
      <c r="E30" s="38">
        <f t="shared" si="17"/>
        <v>6026</v>
      </c>
      <c r="F30" s="38">
        <f t="shared" si="17"/>
        <v>6467</v>
      </c>
      <c r="G30" s="38">
        <f t="shared" si="17"/>
        <v>7306</v>
      </c>
      <c r="H30" s="38">
        <f t="shared" si="17"/>
        <v>8604</v>
      </c>
      <c r="I30" s="38">
        <f t="shared" si="17"/>
        <v>9165</v>
      </c>
      <c r="J30" s="38">
        <f t="shared" si="17"/>
        <v>10605</v>
      </c>
      <c r="K30" s="38">
        <f t="shared" si="17"/>
        <v>11879</v>
      </c>
      <c r="L30" s="38">
        <f t="shared" si="17"/>
        <v>13344</v>
      </c>
      <c r="M30" s="38">
        <f t="shared" si="17"/>
        <v>14190.240322663378</v>
      </c>
      <c r="N30" s="38">
        <f t="shared" si="17"/>
        <v>15090.143375157499</v>
      </c>
      <c r="O30" s="14"/>
    </row>
    <row r="31" spans="2:16" x14ac:dyDescent="0.3">
      <c r="B31" s="17" t="s">
        <v>71</v>
      </c>
      <c r="C31" s="19">
        <f t="shared" ref="C31:N31" si="18">C30/C6</f>
        <v>0.17839592197235118</v>
      </c>
      <c r="D31" s="19">
        <f t="shared" si="18"/>
        <v>0.19765646332015419</v>
      </c>
      <c r="E31" s="19">
        <f t="shared" si="18"/>
        <v>0.18722425899459391</v>
      </c>
      <c r="F31" s="19">
        <f t="shared" si="18"/>
        <v>0.19501236354864002</v>
      </c>
      <c r="G31" s="19">
        <f t="shared" si="18"/>
        <v>0.20554227036151357</v>
      </c>
      <c r="H31" s="19">
        <f t="shared" si="18"/>
        <v>0.21887560417196641</v>
      </c>
      <c r="I31" s="19">
        <f t="shared" si="18"/>
        <v>0.23037478319885379</v>
      </c>
      <c r="J31" s="19">
        <f t="shared" si="18"/>
        <v>0.22550395509058432</v>
      </c>
      <c r="K31" s="19">
        <f t="shared" si="18"/>
        <v>0.22649963772260992</v>
      </c>
      <c r="L31" s="19">
        <f t="shared" si="18"/>
        <v>0.22027071640805546</v>
      </c>
      <c r="M31" s="19">
        <f t="shared" si="18"/>
        <v>0.22027076805852608</v>
      </c>
      <c r="N31" s="19">
        <f t="shared" si="18"/>
        <v>0.22027076805852602</v>
      </c>
    </row>
    <row r="33" spans="2:15" x14ac:dyDescent="0.3">
      <c r="B33" t="s">
        <v>24</v>
      </c>
      <c r="C33" s="14">
        <f>IFERROR('Data Sheet'!B29,0)</f>
        <v>1259.44</v>
      </c>
      <c r="D33" s="14">
        <f>IFERROR('Data Sheet'!C29,0)</f>
        <v>1944</v>
      </c>
      <c r="E33" s="14">
        <f>IFERROR('Data Sheet'!D29,0)</f>
        <v>1875</v>
      </c>
      <c r="F33" s="14">
        <f>IFERROR('Data Sheet'!E29,0)</f>
        <v>1977</v>
      </c>
      <c r="G33" s="14">
        <f>IFERROR('Data Sheet'!F29,0)</f>
        <v>2079</v>
      </c>
      <c r="H33" s="14">
        <f>IFERROR('Data Sheet'!G29,0)</f>
        <v>2544</v>
      </c>
      <c r="I33" s="14">
        <f>IFERROR('Data Sheet'!H29,0)</f>
        <v>2409</v>
      </c>
      <c r="J33" s="14">
        <f>IFERROR('Data Sheet'!I29,0)</f>
        <v>2606</v>
      </c>
      <c r="K33" s="14">
        <f>IFERROR('Data Sheet'!J29,0)</f>
        <v>2987</v>
      </c>
      <c r="L33" s="14">
        <f>IFERROR('Data Sheet'!K29,0)</f>
        <v>3201</v>
      </c>
      <c r="M33" s="14">
        <f>+M30*L34</f>
        <v>3403.9987464662377</v>
      </c>
      <c r="N33" s="14">
        <f>+N30*M34</f>
        <v>3619.8702745712794</v>
      </c>
    </row>
    <row r="34" spans="2:15" x14ac:dyDescent="0.3">
      <c r="B34" s="17" t="s">
        <v>27</v>
      </c>
      <c r="C34" s="19">
        <f>C33/C30</f>
        <v>0.24149502030610631</v>
      </c>
      <c r="D34" s="19">
        <f t="shared" ref="D34:M34" si="19">D33/D30</f>
        <v>0.30761878689961719</v>
      </c>
      <c r="E34" s="19">
        <f t="shared" si="19"/>
        <v>0.31115167607036176</v>
      </c>
      <c r="F34" s="19">
        <f t="shared" si="19"/>
        <v>0.30570589144889437</v>
      </c>
      <c r="G34" s="19">
        <f t="shared" si="19"/>
        <v>0.2845606350944429</v>
      </c>
      <c r="H34" s="19">
        <f t="shared" si="19"/>
        <v>0.29567642956764295</v>
      </c>
      <c r="I34" s="19">
        <f t="shared" si="19"/>
        <v>0.26284779050736495</v>
      </c>
      <c r="J34" s="19">
        <f t="shared" si="19"/>
        <v>0.24573314474304572</v>
      </c>
      <c r="K34" s="19">
        <f t="shared" si="19"/>
        <v>0.25145214243623198</v>
      </c>
      <c r="L34" s="19">
        <f t="shared" si="19"/>
        <v>0.23988309352517986</v>
      </c>
      <c r="M34" s="19">
        <f t="shared" si="19"/>
        <v>0.23988309352517986</v>
      </c>
      <c r="N34" s="19">
        <f t="shared" ref="N34" si="20">N33/N30</f>
        <v>0.23988309352517986</v>
      </c>
    </row>
    <row r="36" spans="2:15" x14ac:dyDescent="0.3">
      <c r="B36" s="37" t="s">
        <v>72</v>
      </c>
      <c r="C36" s="38">
        <f>IFERROR(C30-C33,0)</f>
        <v>3955.7400000000021</v>
      </c>
      <c r="D36" s="38">
        <f t="shared" ref="D36:M36" si="21">IFERROR(D30-D33,0)</f>
        <v>4375.51</v>
      </c>
      <c r="E36" s="38">
        <f t="shared" si="21"/>
        <v>4151</v>
      </c>
      <c r="F36" s="38">
        <f t="shared" si="21"/>
        <v>4490</v>
      </c>
      <c r="G36" s="38">
        <f t="shared" si="21"/>
        <v>5227</v>
      </c>
      <c r="H36" s="38">
        <f t="shared" si="21"/>
        <v>6060</v>
      </c>
      <c r="I36" s="38">
        <f t="shared" si="21"/>
        <v>6756</v>
      </c>
      <c r="J36" s="38">
        <f t="shared" si="21"/>
        <v>7999</v>
      </c>
      <c r="K36" s="38">
        <f t="shared" si="21"/>
        <v>8892</v>
      </c>
      <c r="L36" s="38">
        <f t="shared" si="21"/>
        <v>10143</v>
      </c>
      <c r="M36" s="38">
        <f t="shared" si="21"/>
        <v>10786.241576197141</v>
      </c>
      <c r="N36" s="38">
        <f t="shared" ref="N36" si="22">IFERROR(N30-N33,0)</f>
        <v>11470.273100586219</v>
      </c>
    </row>
    <row r="37" spans="2:15" x14ac:dyDescent="0.3">
      <c r="B37" s="17" t="s">
        <v>73</v>
      </c>
      <c r="C37" s="19">
        <f t="shared" ref="C37:N37" si="23">C36/C6</f>
        <v>0.13531419517311169</v>
      </c>
      <c r="D37" s="19">
        <f t="shared" si="23"/>
        <v>0.13685362185073968</v>
      </c>
      <c r="E37" s="19">
        <f t="shared" si="23"/>
        <v>0.12896911700739452</v>
      </c>
      <c r="F37" s="19">
        <f t="shared" si="23"/>
        <v>0.13539593510644715</v>
      </c>
      <c r="G37" s="19">
        <f t="shared" si="23"/>
        <v>0.14705303136868758</v>
      </c>
      <c r="H37" s="19">
        <f t="shared" si="23"/>
        <v>0.15415924701093869</v>
      </c>
      <c r="I37" s="19">
        <f t="shared" si="23"/>
        <v>0.16982128044642184</v>
      </c>
      <c r="J37" s="19">
        <f t="shared" si="23"/>
        <v>0.17009015905418048</v>
      </c>
      <c r="K37" s="19">
        <f t="shared" si="23"/>
        <v>0.16954581855622927</v>
      </c>
      <c r="L37" s="19">
        <f t="shared" si="23"/>
        <v>0.16743149554308354</v>
      </c>
      <c r="M37" s="19">
        <f t="shared" si="23"/>
        <v>0.16743153480347947</v>
      </c>
      <c r="N37" s="19">
        <f t="shared" si="23"/>
        <v>0.16743153480347941</v>
      </c>
    </row>
    <row r="38" spans="2:15" x14ac:dyDescent="0.3">
      <c r="B38" s="17"/>
      <c r="C38" s="19"/>
      <c r="D38" s="19"/>
      <c r="E38" s="19"/>
      <c r="F38" s="19"/>
      <c r="G38" s="19"/>
      <c r="H38" s="19"/>
      <c r="I38" s="19"/>
      <c r="J38" s="19"/>
      <c r="K38" s="19"/>
      <c r="L38" s="19"/>
      <c r="M38" s="19"/>
      <c r="N38" s="19"/>
    </row>
    <row r="39" spans="2:15" x14ac:dyDescent="0.3">
      <c r="B39" s="17" t="s">
        <v>153</v>
      </c>
      <c r="C39" s="39">
        <f>IFERROR('Data Sheet'!B30,0)</f>
        <v>3945.57</v>
      </c>
      <c r="D39" s="39">
        <f>IFERROR('Data Sheet'!C30,0)</f>
        <v>4363.08</v>
      </c>
      <c r="E39" s="39">
        <f>IFERROR('Data Sheet'!D30,0)</f>
        <v>4151</v>
      </c>
      <c r="F39" s="39">
        <f>IFERROR('Data Sheet'!E30,0)</f>
        <v>4476</v>
      </c>
      <c r="G39" s="39">
        <f>IFERROR('Data Sheet'!F30,0)</f>
        <v>5214</v>
      </c>
      <c r="H39" s="39">
        <f>IFERROR('Data Sheet'!G30,0)</f>
        <v>6054</v>
      </c>
      <c r="I39" s="39">
        <f>IFERROR('Data Sheet'!H30,0)</f>
        <v>6748</v>
      </c>
      <c r="J39" s="39">
        <f>IFERROR('Data Sheet'!I30,0)</f>
        <v>7995</v>
      </c>
      <c r="K39" s="39">
        <f>IFERROR('Data Sheet'!J30,0)</f>
        <v>8879</v>
      </c>
      <c r="L39" s="39">
        <f>IFERROR('Data Sheet'!K30,0)</f>
        <v>10120</v>
      </c>
      <c r="M39" s="39">
        <f>+M36*(L39/L36)</f>
        <v>10761.782978518688</v>
      </c>
      <c r="N39" s="39">
        <f>+N36*(M39/M36)</f>
        <v>11444.263411015727</v>
      </c>
    </row>
    <row r="40" spans="2:15" x14ac:dyDescent="0.3">
      <c r="B40" s="17" t="s">
        <v>154</v>
      </c>
      <c r="C40" s="39">
        <f t="shared" ref="C40:K40" si="24">+C36-C39</f>
        <v>10.170000000001892</v>
      </c>
      <c r="D40" s="39">
        <f t="shared" si="24"/>
        <v>12.430000000000291</v>
      </c>
      <c r="E40" s="39">
        <f t="shared" si="24"/>
        <v>0</v>
      </c>
      <c r="F40" s="39">
        <f t="shared" si="24"/>
        <v>14</v>
      </c>
      <c r="G40" s="39">
        <f t="shared" si="24"/>
        <v>13</v>
      </c>
      <c r="H40" s="39">
        <f t="shared" si="24"/>
        <v>6</v>
      </c>
      <c r="I40" s="39">
        <f t="shared" si="24"/>
        <v>8</v>
      </c>
      <c r="J40" s="39">
        <f t="shared" si="24"/>
        <v>4</v>
      </c>
      <c r="K40" s="39">
        <f t="shared" si="24"/>
        <v>13</v>
      </c>
      <c r="L40" s="39">
        <f>+L36-L39</f>
        <v>23</v>
      </c>
      <c r="M40" s="39">
        <f>+M36-M39</f>
        <v>24.458597678452861</v>
      </c>
      <c r="N40" s="39">
        <f>+N36-N39</f>
        <v>26.009689570491901</v>
      </c>
    </row>
    <row r="41" spans="2:15" x14ac:dyDescent="0.3">
      <c r="B41" s="17"/>
      <c r="C41" s="19"/>
      <c r="D41" s="19"/>
      <c r="E41" s="19"/>
      <c r="F41" s="19"/>
      <c r="G41" s="19"/>
      <c r="H41" s="19"/>
      <c r="I41" s="19"/>
      <c r="J41" s="19"/>
      <c r="K41" s="19"/>
      <c r="L41" s="19"/>
      <c r="M41" s="19"/>
      <c r="N41" s="19"/>
    </row>
    <row r="43" spans="2:15" x14ac:dyDescent="0.3">
      <c r="B43" t="s">
        <v>74</v>
      </c>
      <c r="C43">
        <f>IFERROR('Data Sheet'!B93,0)</f>
        <v>216.27</v>
      </c>
      <c r="D43">
        <f>IFERROR('Data Sheet'!C93,0)</f>
        <v>216.35</v>
      </c>
      <c r="E43">
        <f>IFERROR('Data Sheet'!D93,0)</f>
        <v>216.39</v>
      </c>
      <c r="F43">
        <f>IFERROR('Data Sheet'!E93,0)</f>
        <v>216.43</v>
      </c>
      <c r="G43">
        <f>IFERROR('Data Sheet'!F93,0)</f>
        <v>216.45</v>
      </c>
      <c r="H43">
        <f>IFERROR('Data Sheet'!G93,0)</f>
        <v>216.47</v>
      </c>
      <c r="I43">
        <f>IFERROR('Data Sheet'!H93,0)</f>
        <v>216.48</v>
      </c>
      <c r="J43">
        <f>IFERROR('Data Sheet'!I93,0)</f>
        <v>234.96</v>
      </c>
      <c r="K43">
        <f>IFERROR('Data Sheet'!J93,0)</f>
        <v>234.96</v>
      </c>
      <c r="L43">
        <f>IFERROR('Data Sheet'!K93,0)</f>
        <v>234.96</v>
      </c>
      <c r="M43">
        <f>L43</f>
        <v>234.96</v>
      </c>
      <c r="N43">
        <f>M43</f>
        <v>234.96</v>
      </c>
      <c r="O43" s="20"/>
    </row>
    <row r="44" spans="2:15" x14ac:dyDescent="0.3">
      <c r="C44" s="20"/>
      <c r="D44" s="20"/>
      <c r="E44" s="20"/>
      <c r="F44" s="20"/>
      <c r="G44" s="20"/>
      <c r="H44" s="20"/>
      <c r="I44" s="20"/>
      <c r="J44" s="20"/>
      <c r="K44" s="20"/>
      <c r="L44" s="20"/>
      <c r="M44" s="20"/>
      <c r="N44" s="20"/>
    </row>
    <row r="45" spans="2:15" x14ac:dyDescent="0.3">
      <c r="B45" t="s">
        <v>76</v>
      </c>
      <c r="C45" s="20">
        <f t="shared" ref="C45:K45" si="25">IFERROR((C39/C43),0)</f>
        <v>18.243723123872936</v>
      </c>
      <c r="D45" s="20">
        <f t="shared" si="25"/>
        <v>20.166766813034435</v>
      </c>
      <c r="E45" s="20">
        <f t="shared" si="25"/>
        <v>19.182956698553539</v>
      </c>
      <c r="F45" s="20">
        <f t="shared" si="25"/>
        <v>20.681051610220393</v>
      </c>
      <c r="G45" s="20">
        <f t="shared" si="25"/>
        <v>24.088704088704091</v>
      </c>
      <c r="H45" s="20">
        <f t="shared" si="25"/>
        <v>27.966923823162563</v>
      </c>
      <c r="I45" s="20">
        <f t="shared" si="25"/>
        <v>31.171470805617147</v>
      </c>
      <c r="J45" s="20">
        <f t="shared" si="25"/>
        <v>34.027068437180795</v>
      </c>
      <c r="K45" s="20">
        <f t="shared" si="25"/>
        <v>37.789410963568265</v>
      </c>
      <c r="L45" s="20">
        <f>IFERROR((L39/L43),0)</f>
        <v>43.071161048689135</v>
      </c>
      <c r="M45" s="20">
        <f>+M39/M43</f>
        <v>45.802617375377459</v>
      </c>
      <c r="N45" s="20">
        <f>+N39/N43</f>
        <v>48.707283839869454</v>
      </c>
      <c r="O45" s="20"/>
    </row>
    <row r="46" spans="2:15" x14ac:dyDescent="0.3">
      <c r="B46" s="17" t="s">
        <v>77</v>
      </c>
      <c r="C46" s="19"/>
      <c r="D46" s="19">
        <f>IFERROR(D45/C45-1,0)</f>
        <v>0.105408510976857</v>
      </c>
      <c r="E46" s="19">
        <f t="shared" ref="E46:N46" si="26">IFERROR(E45/D45-1,0)</f>
        <v>-4.8783730362024547E-2</v>
      </c>
      <c r="F46" s="19">
        <f t="shared" si="26"/>
        <v>7.8095099478581176E-2</v>
      </c>
      <c r="G46" s="19">
        <f t="shared" si="26"/>
        <v>0.16477172160818299</v>
      </c>
      <c r="H46" s="19">
        <f t="shared" si="26"/>
        <v>0.16099744179584508</v>
      </c>
      <c r="I46" s="19">
        <f t="shared" si="26"/>
        <v>0.11458346304789302</v>
      </c>
      <c r="J46" s="19">
        <f t="shared" si="26"/>
        <v>9.1609332436410451E-2</v>
      </c>
      <c r="K46" s="19">
        <f t="shared" si="26"/>
        <v>0.11056910569105693</v>
      </c>
      <c r="L46" s="19">
        <f t="shared" si="26"/>
        <v>0.13976799189097866</v>
      </c>
      <c r="M46" s="19">
        <f t="shared" si="26"/>
        <v>6.3417290367459245E-2</v>
      </c>
      <c r="N46" s="19">
        <f t="shared" si="26"/>
        <v>6.3417041010706221E-2</v>
      </c>
    </row>
    <row r="48" spans="2:15" x14ac:dyDescent="0.3">
      <c r="B48" t="s">
        <v>75</v>
      </c>
      <c r="C48" s="14">
        <f>IFERROR('Data Sheet'!B31/HistoricalFS!C43,0)</f>
        <v>13</v>
      </c>
      <c r="D48" s="14">
        <f>IFERROR('Data Sheet'!C31/HistoricalFS!D43,0)</f>
        <v>15</v>
      </c>
      <c r="E48" s="14">
        <f>IFERROR('Data Sheet'!D31/HistoricalFS!E43,0)</f>
        <v>15.971163177596008</v>
      </c>
      <c r="F48" s="14">
        <f>IFERROR('Data Sheet'!E31/HistoricalFS!F43,0)</f>
        <v>16.966224645381878</v>
      </c>
      <c r="G48" s="14">
        <f>IFERROR('Data Sheet'!F31/HistoricalFS!G43,0)</f>
        <v>19.95841995841996</v>
      </c>
      <c r="H48" s="14">
        <f>IFERROR('Data Sheet'!G31/HistoricalFS!H43,0)</f>
        <v>21.95223356585208</v>
      </c>
      <c r="I48" s="14">
        <f>IFERROR('Data Sheet'!H31/HistoricalFS!I43,0)</f>
        <v>24.944567627494457</v>
      </c>
      <c r="J48" s="14">
        <f>IFERROR('Data Sheet'!I31/HistoricalFS!J43,0)</f>
        <v>40.506894790602651</v>
      </c>
      <c r="K48" s="14">
        <f>IFERROR('Data Sheet'!J31/HistoricalFS!K43,0)</f>
        <v>34.005788219271366</v>
      </c>
      <c r="L48" s="14">
        <f>IFERROR('Data Sheet'!K31/HistoricalFS!L43,0)</f>
        <v>39.006639427987743</v>
      </c>
      <c r="M48" s="14">
        <f>+M45*L48/L45</f>
        <v>41.480334806851232</v>
      </c>
      <c r="N48" s="14">
        <f>+N45*M48/M45</f>
        <v>44.110894900435142</v>
      </c>
    </row>
    <row r="49" spans="1:14" x14ac:dyDescent="0.3">
      <c r="B49" s="17" t="s">
        <v>78</v>
      </c>
      <c r="C49" s="19">
        <f>IFERROR(C48/C45,0)</f>
        <v>0.71257384864544293</v>
      </c>
      <c r="D49" s="19">
        <f t="shared" ref="D49:M49" si="27">IFERROR(D48/D45,0)</f>
        <v>0.74379795923980307</v>
      </c>
      <c r="E49" s="19">
        <f t="shared" si="27"/>
        <v>0.83257046494820519</v>
      </c>
      <c r="F49" s="19">
        <f t="shared" si="27"/>
        <v>0.82037533512064342</v>
      </c>
      <c r="G49" s="19">
        <f t="shared" si="27"/>
        <v>0.8285385500575374</v>
      </c>
      <c r="H49" s="19">
        <f t="shared" si="27"/>
        <v>0.78493557978196227</v>
      </c>
      <c r="I49" s="19">
        <f t="shared" si="27"/>
        <v>0.80023710729104924</v>
      </c>
      <c r="J49" s="19">
        <f t="shared" si="27"/>
        <v>1.1904315196998123</v>
      </c>
      <c r="K49" s="19">
        <f t="shared" si="27"/>
        <v>0.89987611217479457</v>
      </c>
      <c r="L49" s="19">
        <f t="shared" si="27"/>
        <v>0.90563241106719372</v>
      </c>
      <c r="M49" s="19">
        <f t="shared" si="27"/>
        <v>0.90563241106719383</v>
      </c>
      <c r="N49" s="19">
        <f t="shared" ref="N49" si="28">IFERROR(N48/N45,0)</f>
        <v>0.90563241106719383</v>
      </c>
    </row>
    <row r="51" spans="1:14" x14ac:dyDescent="0.3">
      <c r="B51" t="s">
        <v>79</v>
      </c>
      <c r="C51" s="15">
        <f>IFERROR(IF(C45&gt;C48,1-C49,0),0)</f>
        <v>0.28742615135455707</v>
      </c>
      <c r="D51" s="15">
        <f t="shared" ref="D51:M51" si="29">IFERROR(IF(D45&gt;D48,1-D49,0),0)</f>
        <v>0.25620204076019693</v>
      </c>
      <c r="E51" s="15">
        <f t="shared" si="29"/>
        <v>0.16742953505179481</v>
      </c>
      <c r="F51" s="15">
        <f t="shared" si="29"/>
        <v>0.17962466487935658</v>
      </c>
      <c r="G51" s="15">
        <f t="shared" si="29"/>
        <v>0.1714614499424626</v>
      </c>
      <c r="H51" s="15">
        <f t="shared" si="29"/>
        <v>0.21506442021803773</v>
      </c>
      <c r="I51" s="15">
        <f t="shared" si="29"/>
        <v>0.19976289270895076</v>
      </c>
      <c r="J51" s="15">
        <f t="shared" si="29"/>
        <v>0</v>
      </c>
      <c r="K51" s="15">
        <f t="shared" si="29"/>
        <v>0.10012388782520543</v>
      </c>
      <c r="L51" s="15">
        <f t="shared" si="29"/>
        <v>9.4367588932806279E-2</v>
      </c>
      <c r="M51" s="15">
        <f t="shared" si="29"/>
        <v>9.4367588932806168E-2</v>
      </c>
      <c r="N51" s="15">
        <f t="shared" ref="N51" si="30">IFERROR(IF(N45&gt;N48,1-N49,0),0)</f>
        <v>9.4367588932806168E-2</v>
      </c>
    </row>
    <row r="52" spans="1:14" x14ac:dyDescent="0.3">
      <c r="B52" t="s">
        <v>238</v>
      </c>
      <c r="C52" s="20">
        <f t="shared" ref="C52:N52" si="31">+C30+C24</f>
        <v>5255.8600000000024</v>
      </c>
      <c r="D52" s="20">
        <f t="shared" si="31"/>
        <v>6337.21</v>
      </c>
      <c r="E52" s="20">
        <f t="shared" si="31"/>
        <v>6043</v>
      </c>
      <c r="F52" s="20">
        <f t="shared" si="31"/>
        <v>6502</v>
      </c>
      <c r="G52" s="20">
        <f t="shared" si="31"/>
        <v>7332</v>
      </c>
      <c r="H52" s="20">
        <f t="shared" si="31"/>
        <v>8637</v>
      </c>
      <c r="I52" s="20">
        <f t="shared" si="31"/>
        <v>9283</v>
      </c>
      <c r="J52" s="20">
        <f t="shared" si="31"/>
        <v>10722</v>
      </c>
      <c r="K52" s="20">
        <f t="shared" si="31"/>
        <v>11985</v>
      </c>
      <c r="L52" s="20">
        <f t="shared" si="31"/>
        <v>13458</v>
      </c>
      <c r="M52" s="20">
        <f t="shared" si="31"/>
        <v>14311.469865338599</v>
      </c>
      <c r="N52" s="20">
        <f t="shared" si="31"/>
        <v>15219.060936712263</v>
      </c>
    </row>
    <row r="53" spans="1:14" x14ac:dyDescent="0.3">
      <c r="C53" s="20"/>
      <c r="D53" s="20"/>
      <c r="E53" s="20"/>
      <c r="F53" s="20"/>
      <c r="G53" s="20"/>
      <c r="H53" s="20"/>
      <c r="I53" s="20"/>
      <c r="J53" s="20"/>
      <c r="K53" s="20"/>
      <c r="L53" s="20"/>
      <c r="M53" s="20"/>
      <c r="N53" s="20"/>
    </row>
    <row r="54" spans="1:14" x14ac:dyDescent="0.3">
      <c r="C54" s="20"/>
      <c r="D54" s="20"/>
      <c r="E54" s="20"/>
      <c r="F54" s="20"/>
      <c r="G54" s="20"/>
      <c r="H54" s="20"/>
      <c r="I54" s="20"/>
      <c r="J54" s="20"/>
      <c r="K54" s="20"/>
      <c r="L54" s="20"/>
      <c r="M54" s="20"/>
      <c r="N54" s="20"/>
    </row>
    <row r="55" spans="1:14" x14ac:dyDescent="0.3">
      <c r="C55" s="20"/>
      <c r="D55" s="20"/>
      <c r="E55" s="20"/>
      <c r="F55" s="20"/>
      <c r="G55" s="20"/>
      <c r="H55" s="20"/>
      <c r="I55" s="20"/>
      <c r="J55" s="20"/>
      <c r="K55" s="20"/>
      <c r="L55" s="20"/>
      <c r="M55" s="20"/>
      <c r="N55" s="20"/>
    </row>
    <row r="56" spans="1:14" x14ac:dyDescent="0.3">
      <c r="A56" t="s">
        <v>58</v>
      </c>
      <c r="B56" s="202" t="s">
        <v>80</v>
      </c>
      <c r="C56" s="202"/>
      <c r="D56" s="202"/>
      <c r="E56" s="202"/>
      <c r="F56" s="202"/>
      <c r="G56" s="202"/>
      <c r="H56" s="202"/>
      <c r="I56" s="202"/>
      <c r="J56" s="202"/>
      <c r="K56" s="202"/>
      <c r="L56" s="202"/>
      <c r="M56" s="202"/>
      <c r="N56" s="202"/>
    </row>
    <row r="57" spans="1:14" x14ac:dyDescent="0.3">
      <c r="B57" s="13" t="s">
        <v>198</v>
      </c>
      <c r="C57" s="14"/>
      <c r="D57" s="14"/>
      <c r="E57" s="14"/>
      <c r="F57" s="14"/>
      <c r="G57" s="14"/>
      <c r="H57" s="14"/>
      <c r="I57" s="14"/>
      <c r="J57" s="14"/>
      <c r="K57" s="14"/>
      <c r="L57" s="14"/>
    </row>
    <row r="58" spans="1:14" x14ac:dyDescent="0.3">
      <c r="B58" s="13" t="s">
        <v>199</v>
      </c>
      <c r="C58" s="14"/>
      <c r="D58" s="14"/>
      <c r="E58" s="14"/>
      <c r="F58" s="14"/>
      <c r="G58" s="14"/>
      <c r="H58" s="14"/>
      <c r="I58" s="14"/>
      <c r="J58" s="14"/>
      <c r="K58" s="14"/>
      <c r="L58" s="14"/>
    </row>
    <row r="59" spans="1:14" x14ac:dyDescent="0.3">
      <c r="B59" t="s">
        <v>33</v>
      </c>
      <c r="C59" s="14">
        <f>IFERROR('Balance Sheet Data'!C5,0)</f>
        <v>216.27</v>
      </c>
      <c r="D59" s="14">
        <f>IFERROR('Balance Sheet Data'!D5,0)</f>
        <v>216.35</v>
      </c>
      <c r="E59" s="14">
        <f>IFERROR('Balance Sheet Data'!E5,0)</f>
        <v>216</v>
      </c>
      <c r="F59" s="14">
        <f>IFERROR('Balance Sheet Data'!F5,0)</f>
        <v>216</v>
      </c>
      <c r="G59" s="14">
        <f>IFERROR('Balance Sheet Data'!G5,0)</f>
        <v>216</v>
      </c>
      <c r="H59" s="14">
        <f>IFERROR('Balance Sheet Data'!H5,0)</f>
        <v>216</v>
      </c>
      <c r="I59" s="14">
        <f>IFERROR('Balance Sheet Data'!I5,0)</f>
        <v>216</v>
      </c>
      <c r="J59" s="14">
        <f>IFERROR('Balance Sheet Data'!J5,0)</f>
        <v>235</v>
      </c>
      <c r="K59" s="14">
        <f>IFERROR('Balance Sheet Data'!K5,0)</f>
        <v>235</v>
      </c>
      <c r="L59" s="14">
        <f>IFERROR('Balance Sheet Data'!L5,0)</f>
        <v>235</v>
      </c>
      <c r="M59" s="14">
        <f>+L59</f>
        <v>235</v>
      </c>
      <c r="N59" s="14">
        <f>+M59</f>
        <v>235</v>
      </c>
    </row>
    <row r="60" spans="1:14" x14ac:dyDescent="0.3">
      <c r="B60" s="13" t="s">
        <v>200</v>
      </c>
      <c r="C60" s="26">
        <f>IFERROR('Balance Sheet Data'!C6,0)</f>
        <v>216.27</v>
      </c>
      <c r="D60" s="26">
        <f>IFERROR('Balance Sheet Data'!D6,0)</f>
        <v>216.35</v>
      </c>
      <c r="E60" s="26">
        <f>IFERROR('Balance Sheet Data'!E6,0)</f>
        <v>216</v>
      </c>
      <c r="F60" s="26">
        <f>IFERROR('Balance Sheet Data'!F6,0)</f>
        <v>216</v>
      </c>
      <c r="G60" s="26">
        <f>IFERROR('Balance Sheet Data'!G6,0)</f>
        <v>216</v>
      </c>
      <c r="H60" s="26">
        <f>IFERROR('Balance Sheet Data'!H6,0)</f>
        <v>216</v>
      </c>
      <c r="I60" s="26">
        <f>IFERROR('Balance Sheet Data'!I6,0)</f>
        <v>216</v>
      </c>
      <c r="J60" s="26">
        <f>IFERROR('Balance Sheet Data'!J6,0)</f>
        <v>235</v>
      </c>
      <c r="K60" s="26">
        <f>IFERROR('Balance Sheet Data'!K6,0)</f>
        <v>235</v>
      </c>
      <c r="L60" s="26">
        <f>IFERROR('Balance Sheet Data'!L6,0)</f>
        <v>235</v>
      </c>
      <c r="M60" s="26">
        <f>+M59</f>
        <v>235</v>
      </c>
      <c r="N60" s="26">
        <f>+N59</f>
        <v>235</v>
      </c>
    </row>
    <row r="61" spans="1:14" x14ac:dyDescent="0.3">
      <c r="B61" t="s">
        <v>201</v>
      </c>
      <c r="C61" s="14">
        <f>IFERROR('Balance Sheet Data'!C7,0)</f>
        <v>0.67</v>
      </c>
      <c r="D61" s="14">
        <f>IFERROR('Balance Sheet Data'!D7,0)</f>
        <v>0.67</v>
      </c>
      <c r="E61" s="14">
        <f>IFERROR('Balance Sheet Data'!E7,0)</f>
        <v>0</v>
      </c>
      <c r="F61" s="14">
        <f>IFERROR('Balance Sheet Data'!F7,0)</f>
        <v>0</v>
      </c>
      <c r="G61" s="14">
        <f>IFERROR('Balance Sheet Data'!G7,0)</f>
        <v>0</v>
      </c>
      <c r="H61" s="14">
        <f>IFERROR('Balance Sheet Data'!H7,0)</f>
        <v>0</v>
      </c>
      <c r="I61" s="14">
        <f>IFERROR('Balance Sheet Data'!I7,0)</f>
        <v>0</v>
      </c>
      <c r="J61" s="14">
        <f>IFERROR('Balance Sheet Data'!J7,0)</f>
        <v>0</v>
      </c>
      <c r="K61" s="14">
        <f>IFERROR('Balance Sheet Data'!K7,0)</f>
        <v>0</v>
      </c>
      <c r="L61" s="14">
        <f>IFERROR('Balance Sheet Data'!L7,0)</f>
        <v>0</v>
      </c>
    </row>
    <row r="62" spans="1:14" x14ac:dyDescent="0.3">
      <c r="B62" t="s">
        <v>202</v>
      </c>
      <c r="C62" s="14">
        <f>IFERROR('Balance Sheet Data'!C8,0)</f>
        <v>3320.35</v>
      </c>
      <c r="D62" s="14">
        <f>IFERROR('Balance Sheet Data'!D8,0)</f>
        <v>3804.62</v>
      </c>
      <c r="E62" s="14">
        <f>IFERROR('Balance Sheet Data'!E8,0)</f>
        <v>6357</v>
      </c>
      <c r="F62" s="14">
        <f>IFERROR('Balance Sheet Data'!F8,0)</f>
        <v>6528</v>
      </c>
      <c r="G62" s="14">
        <f>IFERROR('Balance Sheet Data'!G8,0)</f>
        <v>7065</v>
      </c>
      <c r="H62" s="14">
        <f>IFERROR('Balance Sheet Data'!H8,0)</f>
        <v>7627</v>
      </c>
      <c r="I62" s="14">
        <f>IFERROR('Balance Sheet Data'!I8,0)</f>
        <v>7998</v>
      </c>
      <c r="J62" s="14">
        <f>IFERROR('Balance Sheet Data'!J8,0)</f>
        <v>47439</v>
      </c>
      <c r="K62" s="14">
        <f>IFERROR('Balance Sheet Data'!K8,0)</f>
        <v>48826</v>
      </c>
      <c r="L62" s="14">
        <f>IFERROR('Balance Sheet Data'!L8,0)</f>
        <v>50069</v>
      </c>
      <c r="M62" s="40">
        <f>+AVERAGE(J62:L62)</f>
        <v>48778</v>
      </c>
      <c r="N62" s="40">
        <f>+AVERAGE(K62:M62)</f>
        <v>49224.333333333336</v>
      </c>
    </row>
    <row r="63" spans="1:14" x14ac:dyDescent="0.3">
      <c r="B63" s="13" t="s">
        <v>203</v>
      </c>
      <c r="C63" s="26">
        <f>IFERROR('Balance Sheet Data'!C9,0)</f>
        <v>3321.02</v>
      </c>
      <c r="D63" s="26">
        <f>IFERROR('Balance Sheet Data'!D9,0)</f>
        <v>3805.29</v>
      </c>
      <c r="E63" s="26">
        <f>IFERROR('Balance Sheet Data'!E9,0)</f>
        <v>6357</v>
      </c>
      <c r="F63" s="26">
        <f>IFERROR('Balance Sheet Data'!F9,0)</f>
        <v>6528</v>
      </c>
      <c r="G63" s="26">
        <f>IFERROR('Balance Sheet Data'!G9,0)</f>
        <v>7065</v>
      </c>
      <c r="H63" s="26">
        <f>IFERROR('Balance Sheet Data'!H9,0)</f>
        <v>7627</v>
      </c>
      <c r="I63" s="26">
        <f>IFERROR('Balance Sheet Data'!I9,0)</f>
        <v>7998</v>
      </c>
      <c r="J63" s="26">
        <f>IFERROR('Balance Sheet Data'!J9,0)</f>
        <v>47439</v>
      </c>
      <c r="K63" s="26">
        <f>IFERROR('Balance Sheet Data'!K9,0)</f>
        <v>48826</v>
      </c>
      <c r="L63" s="26">
        <f>IFERROR('Balance Sheet Data'!L9,0)</f>
        <v>50069</v>
      </c>
      <c r="M63" s="40">
        <f>+M62</f>
        <v>48778</v>
      </c>
      <c r="N63" s="40">
        <f>+N62</f>
        <v>49224.333333333336</v>
      </c>
    </row>
    <row r="64" spans="1:14" x14ac:dyDescent="0.3">
      <c r="B64" t="s">
        <v>197</v>
      </c>
      <c r="C64" s="14">
        <f>IFERROR('Balance Sheet Data'!C10,0)</f>
        <v>0</v>
      </c>
      <c r="D64" s="14">
        <f>IFERROR('Balance Sheet Data'!D10,0)</f>
        <v>0</v>
      </c>
      <c r="E64" s="14">
        <f>IFERROR('Balance Sheet Data'!E10,0)</f>
        <v>0</v>
      </c>
      <c r="F64" s="14">
        <f>IFERROR('Balance Sheet Data'!F10,0)</f>
        <v>0</v>
      </c>
      <c r="G64" s="14">
        <f>IFERROR('Balance Sheet Data'!G10,0)</f>
        <v>0</v>
      </c>
      <c r="H64" s="14">
        <f>IFERROR('Balance Sheet Data'!H10,0)</f>
        <v>24</v>
      </c>
      <c r="I64" s="14">
        <f>IFERROR('Balance Sheet Data'!I10,0)</f>
        <v>15</v>
      </c>
      <c r="J64" s="14">
        <f>IFERROR('Balance Sheet Data'!J10,0)</f>
        <v>0</v>
      </c>
      <c r="K64" s="14">
        <f>IFERROR('Balance Sheet Data'!K10,0)</f>
        <v>0</v>
      </c>
      <c r="L64" s="14">
        <f>IFERROR('Balance Sheet Data'!L10,0)</f>
        <v>0</v>
      </c>
    </row>
    <row r="65" spans="2:14" x14ac:dyDescent="0.3">
      <c r="B65" s="37" t="s">
        <v>204</v>
      </c>
      <c r="C65" s="51">
        <f>IFERROR('Balance Sheet Data'!C11,0)</f>
        <v>3537.29</v>
      </c>
      <c r="D65" s="51">
        <f>IFERROR('Balance Sheet Data'!D11,0)</f>
        <v>4021.64</v>
      </c>
      <c r="E65" s="51">
        <f>IFERROR('Balance Sheet Data'!E11,0)</f>
        <v>6573</v>
      </c>
      <c r="F65" s="51">
        <f>IFERROR('Balance Sheet Data'!F11,0)</f>
        <v>6744</v>
      </c>
      <c r="G65" s="51">
        <f>IFERROR('Balance Sheet Data'!G11,0)</f>
        <v>7281</v>
      </c>
      <c r="H65" s="51">
        <f>IFERROR('Balance Sheet Data'!H11,0)</f>
        <v>7867</v>
      </c>
      <c r="I65" s="51">
        <f>IFERROR('Balance Sheet Data'!I11,0)</f>
        <v>8229</v>
      </c>
      <c r="J65" s="51">
        <f>IFERROR('Balance Sheet Data'!J11,0)</f>
        <v>47674</v>
      </c>
      <c r="K65" s="51">
        <f>IFERROR('Balance Sheet Data'!K11,0)</f>
        <v>49061</v>
      </c>
      <c r="L65" s="51">
        <f>L63+L60</f>
        <v>50304</v>
      </c>
      <c r="M65" s="51">
        <f>M63+M60</f>
        <v>49013</v>
      </c>
      <c r="N65" s="51">
        <f>N63+N60</f>
        <v>49459.333333333336</v>
      </c>
    </row>
    <row r="66" spans="2:14" x14ac:dyDescent="0.3">
      <c r="B66" t="s">
        <v>205</v>
      </c>
      <c r="C66" s="14">
        <f>IFERROR('Balance Sheet Data'!C12,0)</f>
        <v>22.28</v>
      </c>
      <c r="D66" s="14">
        <f>IFERROR('Balance Sheet Data'!D12,0)</f>
        <v>24.8</v>
      </c>
      <c r="E66" s="14">
        <f>IFERROR('Balance Sheet Data'!E12,0)</f>
        <v>20</v>
      </c>
      <c r="F66" s="14">
        <f>IFERROR('Balance Sheet Data'!F12,0)</f>
        <v>22</v>
      </c>
      <c r="G66" s="14">
        <f>IFERROR('Balance Sheet Data'!G12,0)</f>
        <v>20</v>
      </c>
      <c r="H66" s="14">
        <f>IFERROR('Balance Sheet Data'!H12,0)</f>
        <v>18</v>
      </c>
      <c r="I66" s="14">
        <f>IFERROR('Balance Sheet Data'!I12,0)</f>
        <v>17</v>
      </c>
      <c r="J66" s="14">
        <f>IFERROR('Balance Sheet Data'!J12,0)</f>
        <v>20</v>
      </c>
      <c r="K66" s="14">
        <f>IFERROR('Balance Sheet Data'!K12,0)</f>
        <v>26</v>
      </c>
      <c r="L66" s="14">
        <f>IFERROR('Balance Sheet Data'!L12,0)</f>
        <v>218</v>
      </c>
      <c r="M66" s="14">
        <f>AVERAGE(J66:L66)</f>
        <v>88</v>
      </c>
      <c r="N66" s="14">
        <f>AVERAGE(K66:M66)</f>
        <v>110.66666666666667</v>
      </c>
    </row>
    <row r="67" spans="2:14" x14ac:dyDescent="0.3">
      <c r="B67" s="13" t="s">
        <v>206</v>
      </c>
      <c r="C67" s="14">
        <f>IFERROR('Balance Sheet Data'!C13,0)</f>
        <v>0</v>
      </c>
      <c r="D67" s="14">
        <f>IFERROR('Balance Sheet Data'!D13,0)</f>
        <v>0</v>
      </c>
      <c r="E67" s="14">
        <f>IFERROR('Balance Sheet Data'!E13,0)</f>
        <v>0</v>
      </c>
      <c r="F67" s="14">
        <f>IFERROR('Balance Sheet Data'!F13,0)</f>
        <v>0</v>
      </c>
      <c r="G67" s="14">
        <f>IFERROR('Balance Sheet Data'!G13,0)</f>
        <v>0</v>
      </c>
      <c r="H67" s="14">
        <f>IFERROR('Balance Sheet Data'!H13,0)</f>
        <v>0</v>
      </c>
      <c r="I67" s="14">
        <f>IFERROR('Balance Sheet Data'!I13,0)</f>
        <v>0</v>
      </c>
      <c r="J67" s="14">
        <f>IFERROR('Balance Sheet Data'!J13,0)</f>
        <v>0</v>
      </c>
      <c r="K67" s="14">
        <f>IFERROR('Balance Sheet Data'!K13,0)</f>
        <v>0</v>
      </c>
      <c r="L67" s="14">
        <f>IFERROR('Balance Sheet Data'!L13,0)</f>
        <v>0</v>
      </c>
    </row>
    <row r="68" spans="2:14" x14ac:dyDescent="0.3">
      <c r="B68" t="s">
        <v>207</v>
      </c>
      <c r="C68" s="14">
        <f>IFERROR('Balance Sheet Data'!C14,0)</f>
        <v>8.44</v>
      </c>
      <c r="D68" s="14">
        <f>IFERROR('Balance Sheet Data'!D14,0)</f>
        <v>7</v>
      </c>
      <c r="E68" s="14">
        <f>IFERROR('Balance Sheet Data'!E14,0)</f>
        <v>0</v>
      </c>
      <c r="F68" s="14">
        <f>IFERROR('Balance Sheet Data'!F14,0)</f>
        <v>0</v>
      </c>
      <c r="G68" s="14">
        <f>IFERROR('Balance Sheet Data'!G14,0)</f>
        <v>0</v>
      </c>
      <c r="H68" s="14">
        <f>IFERROR('Balance Sheet Data'!H14,0)</f>
        <v>0</v>
      </c>
      <c r="I68" s="14">
        <f>IFERROR('Balance Sheet Data'!I14,0)</f>
        <v>0</v>
      </c>
      <c r="J68" s="14">
        <f>IFERROR('Balance Sheet Data'!J14,0)</f>
        <v>0</v>
      </c>
      <c r="K68" s="14">
        <f>IFERROR('Balance Sheet Data'!K14,0)</f>
        <v>0</v>
      </c>
      <c r="L68" s="14">
        <f>IFERROR('Balance Sheet Data'!L14,0)</f>
        <v>0</v>
      </c>
    </row>
    <row r="69" spans="2:14" x14ac:dyDescent="0.3">
      <c r="B69" t="s">
        <v>208</v>
      </c>
      <c r="C69" s="14">
        <f>IFERROR('Balance Sheet Data'!C15,0)</f>
        <v>0</v>
      </c>
      <c r="D69" s="14">
        <f>IFERROR('Balance Sheet Data'!D15,0)</f>
        <v>0.37</v>
      </c>
      <c r="E69" s="14">
        <f>IFERROR('Balance Sheet Data'!E15,0)</f>
        <v>1</v>
      </c>
      <c r="F69" s="14">
        <f>IFERROR('Balance Sheet Data'!F15,0)</f>
        <v>0</v>
      </c>
      <c r="G69" s="14">
        <f>IFERROR('Balance Sheet Data'!G15,0)</f>
        <v>0</v>
      </c>
      <c r="H69" s="14">
        <f>IFERROR('Balance Sheet Data'!H15,0)</f>
        <v>0</v>
      </c>
      <c r="I69" s="14">
        <f>IFERROR('Balance Sheet Data'!I15,0)</f>
        <v>0</v>
      </c>
      <c r="J69" s="14">
        <f>IFERROR('Balance Sheet Data'!J15,0)</f>
        <v>5988</v>
      </c>
      <c r="K69" s="14">
        <f>IFERROR('Balance Sheet Data'!K15,0)</f>
        <v>6141</v>
      </c>
      <c r="L69" s="14">
        <f>IFERROR('Balance Sheet Data'!L15,0)</f>
        <v>6421</v>
      </c>
      <c r="M69" s="14">
        <f>AVERAGE(J69:L69)</f>
        <v>6183.333333333333</v>
      </c>
      <c r="N69" s="14">
        <f>AVERAGE(K69:M69)</f>
        <v>6248.4444444444443</v>
      </c>
    </row>
    <row r="70" spans="2:14" x14ac:dyDescent="0.3">
      <c r="B70" t="s">
        <v>209</v>
      </c>
      <c r="C70" s="14">
        <f>IFERROR('Balance Sheet Data'!C16,0)</f>
        <v>287.45999999999998</v>
      </c>
      <c r="D70" s="14">
        <f>IFERROR('Balance Sheet Data'!D16,0)</f>
        <v>178.24</v>
      </c>
      <c r="E70" s="14">
        <f>IFERROR('Balance Sheet Data'!E16,0)</f>
        <v>510</v>
      </c>
      <c r="F70" s="14">
        <f>IFERROR('Balance Sheet Data'!F16,0)</f>
        <v>712</v>
      </c>
      <c r="G70" s="14">
        <f>IFERROR('Balance Sheet Data'!G16,0)</f>
        <v>874</v>
      </c>
      <c r="H70" s="14">
        <f>IFERROR('Balance Sheet Data'!H16,0)</f>
        <v>995</v>
      </c>
      <c r="I70" s="14">
        <f>IFERROR('Balance Sheet Data'!I16,0)</f>
        <v>1363</v>
      </c>
      <c r="J70" s="14">
        <f>IFERROR('Balance Sheet Data'!J16,0)</f>
        <v>2394</v>
      </c>
      <c r="K70" s="14">
        <f>IFERROR('Balance Sheet Data'!K16,0)</f>
        <v>2429</v>
      </c>
      <c r="L70" s="14">
        <f>IFERROR('Balance Sheet Data'!L16,0)</f>
        <v>2753</v>
      </c>
      <c r="M70" s="14">
        <f t="shared" ref="M70:N71" si="32">AVERAGE(J70:L70)</f>
        <v>2525.3333333333335</v>
      </c>
      <c r="N70" s="14">
        <f t="shared" si="32"/>
        <v>2569.1111111111113</v>
      </c>
    </row>
    <row r="71" spans="2:14" x14ac:dyDescent="0.3">
      <c r="B71" t="s">
        <v>210</v>
      </c>
      <c r="C71" s="14">
        <f>IFERROR('Balance Sheet Data'!C17,0)</f>
        <v>845.21</v>
      </c>
      <c r="D71" s="14">
        <f>IFERROR('Balance Sheet Data'!D17,0)</f>
        <v>993.56</v>
      </c>
      <c r="E71" s="14">
        <f>IFERROR('Balance Sheet Data'!E17,0)</f>
        <v>623</v>
      </c>
      <c r="F71" s="14">
        <f>IFERROR('Balance Sheet Data'!F17,0)</f>
        <v>514</v>
      </c>
      <c r="G71" s="14">
        <f>IFERROR('Balance Sheet Data'!G17,0)</f>
        <v>800</v>
      </c>
      <c r="H71" s="14">
        <f>IFERROR('Balance Sheet Data'!H17,0)</f>
        <v>1082</v>
      </c>
      <c r="I71" s="14">
        <f>IFERROR('Balance Sheet Data'!I17,0)</f>
        <v>1227</v>
      </c>
      <c r="J71" s="14">
        <f>IFERROR('Balance Sheet Data'!J17,0)</f>
        <v>1578</v>
      </c>
      <c r="K71" s="14">
        <f>IFERROR('Balance Sheet Data'!K17,0)</f>
        <v>1580</v>
      </c>
      <c r="L71" s="14">
        <f>IFERROR('Balance Sheet Data'!L17,0)</f>
        <v>1363</v>
      </c>
      <c r="M71" s="14">
        <f t="shared" si="32"/>
        <v>1507</v>
      </c>
      <c r="N71" s="14">
        <f t="shared" si="32"/>
        <v>1483.3333333333333</v>
      </c>
    </row>
    <row r="72" spans="2:14" x14ac:dyDescent="0.3">
      <c r="B72" s="37" t="s">
        <v>211</v>
      </c>
      <c r="C72" s="51">
        <f t="shared" ref="C72:K72" si="33">SUM(C68:C71)</f>
        <v>1141.1100000000001</v>
      </c>
      <c r="D72" s="51">
        <f t="shared" si="33"/>
        <v>1179.17</v>
      </c>
      <c r="E72" s="51">
        <f t="shared" si="33"/>
        <v>1134</v>
      </c>
      <c r="F72" s="51">
        <f t="shared" si="33"/>
        <v>1226</v>
      </c>
      <c r="G72" s="51">
        <f t="shared" si="33"/>
        <v>1674</v>
      </c>
      <c r="H72" s="51">
        <f t="shared" si="33"/>
        <v>2077</v>
      </c>
      <c r="I72" s="51">
        <f t="shared" si="33"/>
        <v>2590</v>
      </c>
      <c r="J72" s="51">
        <f t="shared" si="33"/>
        <v>9960</v>
      </c>
      <c r="K72" s="51">
        <f t="shared" si="33"/>
        <v>10150</v>
      </c>
      <c r="L72" s="51">
        <f>SUM(L68:L71)</f>
        <v>10537</v>
      </c>
      <c r="M72" s="51">
        <f>SUM(M68:M71)</f>
        <v>10215.666666666666</v>
      </c>
      <c r="N72" s="51">
        <f>SUM(N68:N71)</f>
        <v>10300.888888888889</v>
      </c>
    </row>
    <row r="73" spans="2:14" x14ac:dyDescent="0.3">
      <c r="B73" s="13" t="s">
        <v>212</v>
      </c>
      <c r="C73" s="14">
        <f>IFERROR('Balance Sheet Data'!C19,0)</f>
        <v>0</v>
      </c>
      <c r="D73" s="14">
        <f>IFERROR('Balance Sheet Data'!D19,0)</f>
        <v>0</v>
      </c>
      <c r="E73" s="14">
        <f>IFERROR('Balance Sheet Data'!E19,0)</f>
        <v>0</v>
      </c>
      <c r="F73" s="14">
        <f>IFERROR('Balance Sheet Data'!F19,0)</f>
        <v>0</v>
      </c>
      <c r="G73" s="14">
        <f>IFERROR('Balance Sheet Data'!G19,0)</f>
        <v>0</v>
      </c>
      <c r="H73" s="14">
        <f>IFERROR('Balance Sheet Data'!H19,0)</f>
        <v>0</v>
      </c>
      <c r="I73" s="14">
        <f>IFERROR('Balance Sheet Data'!I19,0)</f>
        <v>0</v>
      </c>
      <c r="J73" s="14">
        <f>IFERROR('Balance Sheet Data'!J19,0)</f>
        <v>0</v>
      </c>
      <c r="K73" s="14">
        <f>IFERROR('Balance Sheet Data'!K19,0)</f>
        <v>0</v>
      </c>
      <c r="L73" s="14">
        <f>IFERROR('Balance Sheet Data'!L19,0)</f>
        <v>0</v>
      </c>
      <c r="M73" s="40"/>
      <c r="N73" s="40"/>
    </row>
    <row r="74" spans="2:14" x14ac:dyDescent="0.3">
      <c r="B74" t="s">
        <v>213</v>
      </c>
      <c r="C74" s="14">
        <f>IFERROR('Balance Sheet Data'!C20,0)</f>
        <v>37.14</v>
      </c>
      <c r="D74" s="14">
        <f>IFERROR('Balance Sheet Data'!D20,0)</f>
        <v>36.04</v>
      </c>
      <c r="E74" s="14">
        <f>IFERROR('Balance Sheet Data'!E20,0)</f>
        <v>177</v>
      </c>
      <c r="F74" s="14">
        <f>IFERROR('Balance Sheet Data'!F20,0)</f>
        <v>277</v>
      </c>
      <c r="G74" s="14">
        <f>IFERROR('Balance Sheet Data'!G20,0)</f>
        <v>0</v>
      </c>
      <c r="H74" s="14">
        <f>IFERROR('Balance Sheet Data'!H20,0)</f>
        <v>99</v>
      </c>
      <c r="I74" s="14">
        <f>IFERROR('Balance Sheet Data'!I20,0)</f>
        <v>0</v>
      </c>
      <c r="J74" s="14">
        <f>IFERROR('Balance Sheet Data'!J20,0)</f>
        <v>0</v>
      </c>
      <c r="K74" s="14">
        <f>IFERROR('Balance Sheet Data'!K20,0)</f>
        <v>0</v>
      </c>
      <c r="L74" s="14">
        <f>IFERROR('Balance Sheet Data'!L20,0)</f>
        <v>98</v>
      </c>
      <c r="M74" s="14">
        <f t="shared" ref="M74:N78" si="34">AVERAGE(J74:L74)</f>
        <v>32.666666666666664</v>
      </c>
      <c r="N74" s="14">
        <f t="shared" si="34"/>
        <v>43.55555555555555</v>
      </c>
    </row>
    <row r="75" spans="2:14" x14ac:dyDescent="0.3">
      <c r="B75" t="s">
        <v>214</v>
      </c>
      <c r="C75" s="14">
        <f>IFERROR('Balance Sheet Data'!C21,0)</f>
        <v>5964.89</v>
      </c>
      <c r="D75" s="14">
        <f>IFERROR('Balance Sheet Data'!D21,0)</f>
        <v>5507.31</v>
      </c>
      <c r="E75" s="14">
        <f>IFERROR('Balance Sheet Data'!E21,0)</f>
        <v>5685</v>
      </c>
      <c r="F75" s="14">
        <f>IFERROR('Balance Sheet Data'!F21,0)</f>
        <v>6186</v>
      </c>
      <c r="G75" s="14">
        <f>IFERROR('Balance Sheet Data'!G21,0)</f>
        <v>7170</v>
      </c>
      <c r="H75" s="14">
        <f>IFERROR('Balance Sheet Data'!H21,0)</f>
        <v>7206</v>
      </c>
      <c r="I75" s="14">
        <f>IFERROR('Balance Sheet Data'!I21,0)</f>
        <v>7535</v>
      </c>
      <c r="J75" s="14">
        <f>IFERROR('Balance Sheet Data'!J21,0)</f>
        <v>8802</v>
      </c>
      <c r="K75" s="14">
        <f>IFERROR('Balance Sheet Data'!K21,0)</f>
        <v>9068</v>
      </c>
      <c r="L75" s="14">
        <f>IFERROR('Balance Sheet Data'!L21,0)</f>
        <v>9574</v>
      </c>
      <c r="M75" s="14">
        <f t="shared" si="34"/>
        <v>9148</v>
      </c>
      <c r="N75" s="14">
        <f t="shared" si="34"/>
        <v>9263.3333333333339</v>
      </c>
    </row>
    <row r="76" spans="2:14" x14ac:dyDescent="0.3">
      <c r="B76" t="s">
        <v>215</v>
      </c>
      <c r="C76" s="14">
        <f>IFERROR('Balance Sheet Data'!C22,0)</f>
        <v>939.28</v>
      </c>
      <c r="D76" s="14">
        <f>IFERROR('Balance Sheet Data'!D22,0)</f>
        <v>952.77</v>
      </c>
      <c r="E76" s="14">
        <f>IFERROR('Balance Sheet Data'!E22,0)</f>
        <v>912</v>
      </c>
      <c r="F76" s="14">
        <f>IFERROR('Balance Sheet Data'!F22,0)</f>
        <v>859</v>
      </c>
      <c r="G76" s="14">
        <f>IFERROR('Balance Sheet Data'!G22,0)</f>
        <v>1029</v>
      </c>
      <c r="H76" s="14">
        <f>IFERROR('Balance Sheet Data'!H22,0)</f>
        <v>839</v>
      </c>
      <c r="I76" s="14">
        <f>IFERROR('Balance Sheet Data'!I22,0)</f>
        <v>1360</v>
      </c>
      <c r="J76" s="14">
        <f>IFERROR('Balance Sheet Data'!J22,0)</f>
        <v>1794</v>
      </c>
      <c r="K76" s="14">
        <f>IFERROR('Balance Sheet Data'!K22,0)</f>
        <v>1866</v>
      </c>
      <c r="L76" s="14">
        <f>IFERROR('Balance Sheet Data'!L22,0)</f>
        <v>1967</v>
      </c>
      <c r="M76" s="14">
        <f t="shared" si="34"/>
        <v>1875.6666666666667</v>
      </c>
      <c r="N76" s="14">
        <f t="shared" si="34"/>
        <v>1902.8888888888889</v>
      </c>
    </row>
    <row r="77" spans="2:14" x14ac:dyDescent="0.3">
      <c r="B77" t="s">
        <v>216</v>
      </c>
      <c r="C77" s="14">
        <f>IFERROR('Balance Sheet Data'!C23,0)</f>
        <v>2127.3200000000002</v>
      </c>
      <c r="D77" s="14">
        <f>IFERROR('Balance Sheet Data'!D23,0)</f>
        <v>2709.07</v>
      </c>
      <c r="E77" s="14">
        <f>IFERROR('Balance Sheet Data'!E23,0)</f>
        <v>293</v>
      </c>
      <c r="F77" s="14">
        <f>IFERROR('Balance Sheet Data'!F23,0)</f>
        <v>392</v>
      </c>
      <c r="G77" s="14">
        <f>IFERROR('Balance Sheet Data'!G23,0)</f>
        <v>688</v>
      </c>
      <c r="H77" s="14">
        <f>IFERROR('Balance Sheet Data'!H23,0)</f>
        <v>523</v>
      </c>
      <c r="I77" s="14">
        <f>IFERROR('Balance Sheet Data'!I23,0)</f>
        <v>422</v>
      </c>
      <c r="J77" s="14">
        <f>IFERROR('Balance Sheet Data'!J23,0)</f>
        <v>507</v>
      </c>
      <c r="K77" s="14">
        <f>IFERROR('Balance Sheet Data'!K23,0)</f>
        <v>346</v>
      </c>
      <c r="L77" s="14">
        <f>IFERROR('Balance Sheet Data'!L23,0)</f>
        <v>389</v>
      </c>
      <c r="M77" s="14">
        <f t="shared" si="34"/>
        <v>414</v>
      </c>
      <c r="N77" s="14">
        <f t="shared" si="34"/>
        <v>383</v>
      </c>
    </row>
    <row r="78" spans="2:14" x14ac:dyDescent="0.3">
      <c r="B78" s="13" t="s">
        <v>217</v>
      </c>
      <c r="C78" s="26">
        <f t="shared" ref="C78:K78" si="35">SUM(C74:C77)</f>
        <v>9068.630000000001</v>
      </c>
      <c r="D78" s="26">
        <f t="shared" si="35"/>
        <v>9205.19</v>
      </c>
      <c r="E78" s="26">
        <f t="shared" si="35"/>
        <v>7067</v>
      </c>
      <c r="F78" s="26">
        <f t="shared" si="35"/>
        <v>7714</v>
      </c>
      <c r="G78" s="26">
        <f t="shared" si="35"/>
        <v>8887</v>
      </c>
      <c r="H78" s="26">
        <f t="shared" si="35"/>
        <v>8667</v>
      </c>
      <c r="I78" s="26">
        <f t="shared" si="35"/>
        <v>9317</v>
      </c>
      <c r="J78" s="26">
        <f t="shared" si="35"/>
        <v>11103</v>
      </c>
      <c r="K78" s="26">
        <f t="shared" si="35"/>
        <v>11280</v>
      </c>
      <c r="L78" s="26">
        <f>SUM(L74:L77)</f>
        <v>12028</v>
      </c>
      <c r="M78" s="14">
        <f t="shared" si="34"/>
        <v>11470.333333333334</v>
      </c>
      <c r="N78" s="14">
        <f t="shared" si="34"/>
        <v>11592.777777777779</v>
      </c>
    </row>
    <row r="79" spans="2:14" x14ac:dyDescent="0.3">
      <c r="B79" s="37" t="s">
        <v>218</v>
      </c>
      <c r="C79" s="51">
        <f t="shared" ref="C79:K79" si="36">C78+C72+C66+C65</f>
        <v>13769.310000000001</v>
      </c>
      <c r="D79" s="51">
        <f t="shared" si="36"/>
        <v>14430.8</v>
      </c>
      <c r="E79" s="51">
        <f t="shared" si="36"/>
        <v>14794</v>
      </c>
      <c r="F79" s="51">
        <f t="shared" si="36"/>
        <v>15706</v>
      </c>
      <c r="G79" s="51">
        <f t="shared" si="36"/>
        <v>17862</v>
      </c>
      <c r="H79" s="51">
        <f t="shared" si="36"/>
        <v>18629</v>
      </c>
      <c r="I79" s="51">
        <f t="shared" si="36"/>
        <v>20153</v>
      </c>
      <c r="J79" s="51">
        <f t="shared" si="36"/>
        <v>68757</v>
      </c>
      <c r="K79" s="51">
        <f t="shared" si="36"/>
        <v>70517</v>
      </c>
      <c r="L79" s="51">
        <f>L78+L72+L66+L65</f>
        <v>73087</v>
      </c>
      <c r="M79" s="51">
        <f>M78+M72+M66+M65</f>
        <v>70787</v>
      </c>
      <c r="N79" s="51">
        <f>N78+N72+N66+N65</f>
        <v>71463.666666666672</v>
      </c>
    </row>
    <row r="80" spans="2:14" x14ac:dyDescent="0.3">
      <c r="B80" s="13" t="s">
        <v>219</v>
      </c>
      <c r="C80" s="14">
        <f>IFERROR('Balance Sheet Data'!C26,0)</f>
        <v>0</v>
      </c>
      <c r="D80" s="14">
        <f>IFERROR('Balance Sheet Data'!D26,0)</f>
        <v>0</v>
      </c>
      <c r="E80" s="14">
        <f>IFERROR('Balance Sheet Data'!E26,0)</f>
        <v>0</v>
      </c>
      <c r="F80" s="14">
        <f>IFERROR('Balance Sheet Data'!F26,0)</f>
        <v>0</v>
      </c>
      <c r="G80" s="14">
        <f>IFERROR('Balance Sheet Data'!G26,0)</f>
        <v>0</v>
      </c>
      <c r="H80" s="14">
        <f>IFERROR('Balance Sheet Data'!H26,0)</f>
        <v>0</v>
      </c>
      <c r="I80" s="14">
        <f>IFERROR('Balance Sheet Data'!I26,0)</f>
        <v>0</v>
      </c>
      <c r="J80" s="14">
        <f>IFERROR('Balance Sheet Data'!J26,0)</f>
        <v>0</v>
      </c>
      <c r="K80" s="14">
        <f>IFERROR('Balance Sheet Data'!K26,0)</f>
        <v>0</v>
      </c>
      <c r="L80" s="14">
        <f>IFERROR('Balance Sheet Data'!L26,0)</f>
        <v>0</v>
      </c>
    </row>
    <row r="81" spans="2:19" x14ac:dyDescent="0.3">
      <c r="B81" s="13" t="s">
        <v>220</v>
      </c>
      <c r="C81" s="14">
        <f>IFERROR('Balance Sheet Data'!C27,0)</f>
        <v>0</v>
      </c>
      <c r="D81" s="14">
        <f>IFERROR('Balance Sheet Data'!D27,0)</f>
        <v>0</v>
      </c>
      <c r="E81" s="14">
        <f>IFERROR('Balance Sheet Data'!E27,0)</f>
        <v>0</v>
      </c>
      <c r="F81" s="14">
        <f>IFERROR('Balance Sheet Data'!F27,0)</f>
        <v>0</v>
      </c>
      <c r="G81" s="14">
        <f>IFERROR('Balance Sheet Data'!G27,0)</f>
        <v>0</v>
      </c>
      <c r="H81" s="14">
        <f>IFERROR('Balance Sheet Data'!H27,0)</f>
        <v>0</v>
      </c>
      <c r="I81" s="14">
        <f>IFERROR('Balance Sheet Data'!I27,0)</f>
        <v>0</v>
      </c>
      <c r="J81" s="14">
        <f>IFERROR('Balance Sheet Data'!J27,0)</f>
        <v>0</v>
      </c>
      <c r="K81" s="14">
        <f>IFERROR('Balance Sheet Data'!K27,0)</f>
        <v>0</v>
      </c>
      <c r="L81" s="14">
        <f>IFERROR('Balance Sheet Data'!L27,0)</f>
        <v>0</v>
      </c>
    </row>
    <row r="82" spans="2:19" x14ac:dyDescent="0.3">
      <c r="B82" t="s">
        <v>221</v>
      </c>
      <c r="C82" s="14">
        <f>IFERROR('Balance Sheet Data'!C28,0)</f>
        <v>2640.94</v>
      </c>
      <c r="D82" s="14">
        <f>IFERROR('Balance Sheet Data'!D28,0)</f>
        <v>2717.8</v>
      </c>
      <c r="E82" s="14">
        <f>IFERROR('Balance Sheet Data'!E28,0)</f>
        <v>3165</v>
      </c>
      <c r="F82" s="14">
        <f>IFERROR('Balance Sheet Data'!F28,0)</f>
        <v>3968</v>
      </c>
      <c r="G82" s="14">
        <f>IFERROR('Balance Sheet Data'!G28,0)</f>
        <v>4080</v>
      </c>
      <c r="H82" s="14">
        <f>IFERROR('Balance Sheet Data'!H28,0)</f>
        <v>4192</v>
      </c>
      <c r="I82" s="14">
        <f>IFERROR('Balance Sheet Data'!I28,0)</f>
        <v>4960</v>
      </c>
      <c r="J82" s="14">
        <f>IFERROR('Balance Sheet Data'!J28,0)</f>
        <v>6116</v>
      </c>
      <c r="K82" s="14">
        <f>IFERROR('Balance Sheet Data'!K28,0)</f>
        <v>6169</v>
      </c>
      <c r="L82" s="14">
        <f>IFERROR('Balance Sheet Data'!L28,0)</f>
        <v>6949</v>
      </c>
      <c r="M82" s="14">
        <f t="shared" ref="M82:N90" si="37">AVERAGE(J82:L82)</f>
        <v>6411.333333333333</v>
      </c>
      <c r="N82" s="14">
        <f t="shared" si="37"/>
        <v>6509.7777777777774</v>
      </c>
      <c r="O82" s="40"/>
      <c r="Q82" s="40"/>
      <c r="S82" s="40"/>
    </row>
    <row r="83" spans="2:19" x14ac:dyDescent="0.3">
      <c r="B83" t="s">
        <v>222</v>
      </c>
      <c r="C83" s="14">
        <f>IFERROR('Balance Sheet Data'!C29,0)</f>
        <v>24.12</v>
      </c>
      <c r="D83" s="14">
        <f>IFERROR('Balance Sheet Data'!D29,0)</f>
        <v>22.03</v>
      </c>
      <c r="E83" s="14">
        <f>IFERROR('Balance Sheet Data'!E29,0)</f>
        <v>12</v>
      </c>
      <c r="F83" s="14">
        <f>IFERROR('Balance Sheet Data'!F29,0)</f>
        <v>370</v>
      </c>
      <c r="G83" s="14">
        <f>IFERROR('Balance Sheet Data'!G29,0)</f>
        <v>367</v>
      </c>
      <c r="H83" s="14">
        <f>IFERROR('Balance Sheet Data'!H29,0)</f>
        <v>406</v>
      </c>
      <c r="I83" s="14">
        <f>IFERROR('Balance Sheet Data'!I29,0)</f>
        <v>402</v>
      </c>
      <c r="J83" s="14">
        <f>IFERROR('Balance Sheet Data'!J29,0)</f>
        <v>27930</v>
      </c>
      <c r="K83" s="14">
        <f>IFERROR('Balance Sheet Data'!K29,0)</f>
        <v>27907</v>
      </c>
      <c r="L83" s="14">
        <f>IFERROR('Balance Sheet Data'!L29,0)</f>
        <v>28263</v>
      </c>
      <c r="M83" s="14">
        <f t="shared" si="37"/>
        <v>28033.333333333332</v>
      </c>
      <c r="N83" s="14">
        <f t="shared" si="37"/>
        <v>28067.777777777777</v>
      </c>
      <c r="O83" s="40"/>
      <c r="Q83" s="40"/>
      <c r="S83" s="40"/>
    </row>
    <row r="84" spans="2:19" x14ac:dyDescent="0.3">
      <c r="B84" t="s">
        <v>223</v>
      </c>
      <c r="C84" s="14">
        <f>IFERROR('Balance Sheet Data'!C30,0)</f>
        <v>364.9</v>
      </c>
      <c r="D84" s="14">
        <f>IFERROR('Balance Sheet Data'!D30,0)</f>
        <v>516.29999999999995</v>
      </c>
      <c r="E84" s="14">
        <f>IFERROR('Balance Sheet Data'!E30,0)</f>
        <v>408</v>
      </c>
      <c r="F84" s="14">
        <f>IFERROR('Balance Sheet Data'!F30,0)</f>
        <v>229</v>
      </c>
      <c r="G84" s="14">
        <f>IFERROR('Balance Sheet Data'!G30,0)</f>
        <v>461</v>
      </c>
      <c r="H84" s="14">
        <f>IFERROR('Balance Sheet Data'!H30,0)</f>
        <v>406</v>
      </c>
      <c r="I84" s="14">
        <f>IFERROR('Balance Sheet Data'!I30,0)</f>
        <v>597</v>
      </c>
      <c r="J84" s="14">
        <f>IFERROR('Balance Sheet Data'!J30,0)</f>
        <v>745</v>
      </c>
      <c r="K84" s="14">
        <f>IFERROR('Balance Sheet Data'!K30,0)</f>
        <v>1313</v>
      </c>
      <c r="L84" s="14">
        <f>IFERROR('Balance Sheet Data'!L30,0)</f>
        <v>1132</v>
      </c>
      <c r="M84" s="14">
        <f t="shared" si="37"/>
        <v>1063.3333333333333</v>
      </c>
      <c r="N84" s="14">
        <f t="shared" si="37"/>
        <v>1169.4444444444443</v>
      </c>
    </row>
    <row r="85" spans="2:19" x14ac:dyDescent="0.3">
      <c r="B85" t="s">
        <v>224</v>
      </c>
      <c r="C85" s="14">
        <f>IFERROR('Balance Sheet Data'!C31,0)</f>
        <v>7.7</v>
      </c>
      <c r="D85" s="14">
        <f>IFERROR('Balance Sheet Data'!D31,0)</f>
        <v>0</v>
      </c>
      <c r="E85" s="14">
        <f>IFERROR('Balance Sheet Data'!E31,0)</f>
        <v>0</v>
      </c>
      <c r="F85" s="14">
        <f>IFERROR('Balance Sheet Data'!F31,0)</f>
        <v>0</v>
      </c>
      <c r="G85" s="14">
        <f>IFERROR('Balance Sheet Data'!G31,0)</f>
        <v>0</v>
      </c>
      <c r="H85" s="14">
        <f>IFERROR('Balance Sheet Data'!H31,0)</f>
        <v>0</v>
      </c>
      <c r="I85" s="14">
        <f>IFERROR('Balance Sheet Data'!I31,0)</f>
        <v>0</v>
      </c>
      <c r="J85" s="14">
        <f>IFERROR('Balance Sheet Data'!J31,0)</f>
        <v>0</v>
      </c>
      <c r="K85" s="14">
        <f>IFERROR('Balance Sheet Data'!K31,0)</f>
        <v>0</v>
      </c>
      <c r="L85" s="14">
        <f>IFERROR('Balance Sheet Data'!L31,0)</f>
        <v>0</v>
      </c>
      <c r="M85" s="14">
        <f t="shared" si="37"/>
        <v>0</v>
      </c>
      <c r="N85" s="14">
        <f t="shared" si="37"/>
        <v>0</v>
      </c>
    </row>
    <row r="86" spans="2:19" x14ac:dyDescent="0.3">
      <c r="B86" t="s">
        <v>225</v>
      </c>
      <c r="C86" s="14">
        <f>IFERROR('Balance Sheet Data'!C32,0)</f>
        <v>380.19</v>
      </c>
      <c r="D86" s="14">
        <f>IFERROR('Balance Sheet Data'!D32,0)</f>
        <v>323.89999999999998</v>
      </c>
      <c r="E86" s="14">
        <f>IFERROR('Balance Sheet Data'!E32,0)</f>
        <v>32</v>
      </c>
      <c r="F86" s="14">
        <f>IFERROR('Balance Sheet Data'!F32,0)</f>
        <v>6</v>
      </c>
      <c r="G86" s="14">
        <f>IFERROR('Balance Sheet Data'!G32,0)</f>
        <v>2</v>
      </c>
      <c r="H86" s="14">
        <f>IFERROR('Balance Sheet Data'!H32,0)</f>
        <v>2</v>
      </c>
      <c r="I86" s="14">
        <f>IFERROR('Balance Sheet Data'!I32,0)</f>
        <v>2</v>
      </c>
      <c r="J86" s="14">
        <f>IFERROR('Balance Sheet Data'!J32,0)</f>
        <v>2</v>
      </c>
      <c r="K86" s="14">
        <f>IFERROR('Balance Sheet Data'!K32,0)</f>
        <v>2</v>
      </c>
      <c r="L86" s="14">
        <f>IFERROR('Balance Sheet Data'!L32,0)</f>
        <v>71</v>
      </c>
      <c r="M86" s="14">
        <f t="shared" si="37"/>
        <v>25</v>
      </c>
      <c r="N86" s="14">
        <f t="shared" si="37"/>
        <v>32.666666666666664</v>
      </c>
    </row>
    <row r="87" spans="2:19" x14ac:dyDescent="0.3">
      <c r="B87" t="s">
        <v>226</v>
      </c>
      <c r="C87" s="14">
        <f>IFERROR('Balance Sheet Data'!C33,0)</f>
        <v>179.55</v>
      </c>
      <c r="D87" s="14">
        <f>IFERROR('Balance Sheet Data'!D33,0)</f>
        <v>199.79</v>
      </c>
      <c r="E87" s="14">
        <f>IFERROR('Balance Sheet Data'!E33,0)</f>
        <v>168</v>
      </c>
      <c r="F87" s="14">
        <f>IFERROR('Balance Sheet Data'!F33,0)</f>
        <v>170</v>
      </c>
      <c r="G87" s="14">
        <f>IFERROR('Balance Sheet Data'!G33,0)</f>
        <v>302</v>
      </c>
      <c r="H87" s="14">
        <f>IFERROR('Balance Sheet Data'!H33,0)</f>
        <v>373</v>
      </c>
      <c r="I87" s="14">
        <f>IFERROR('Balance Sheet Data'!I33,0)</f>
        <v>284</v>
      </c>
      <c r="J87" s="14">
        <f>IFERROR('Balance Sheet Data'!J33,0)</f>
        <v>17</v>
      </c>
      <c r="K87" s="14">
        <f>IFERROR('Balance Sheet Data'!K33,0)</f>
        <v>11</v>
      </c>
      <c r="L87" s="14">
        <f>IFERROR('Balance Sheet Data'!L33,0)</f>
        <v>10</v>
      </c>
      <c r="M87" s="14">
        <f t="shared" si="37"/>
        <v>12.666666666666666</v>
      </c>
      <c r="N87" s="14">
        <f t="shared" si="37"/>
        <v>11.222222222222221</v>
      </c>
    </row>
    <row r="88" spans="2:19" x14ac:dyDescent="0.3">
      <c r="B88" t="s">
        <v>227</v>
      </c>
      <c r="C88" s="14">
        <f>IFERROR('Balance Sheet Data'!C34,0)</f>
        <v>530.52</v>
      </c>
      <c r="D88" s="14">
        <f>IFERROR('Balance Sheet Data'!D34,0)</f>
        <v>587.24</v>
      </c>
      <c r="E88" s="14">
        <f>IFERROR('Balance Sheet Data'!E34,0)</f>
        <v>0</v>
      </c>
      <c r="F88" s="14">
        <f>IFERROR('Balance Sheet Data'!F34,0)</f>
        <v>168</v>
      </c>
      <c r="G88" s="14">
        <f>IFERROR('Balance Sheet Data'!G34,0)</f>
        <v>184</v>
      </c>
      <c r="H88" s="14">
        <f>IFERROR('Balance Sheet Data'!H34,0)</f>
        <v>215</v>
      </c>
      <c r="I88" s="14">
        <f>IFERROR('Balance Sheet Data'!I34,0)</f>
        <v>238</v>
      </c>
      <c r="J88" s="14">
        <f>IFERROR('Balance Sheet Data'!J34,0)</f>
        <v>251</v>
      </c>
      <c r="K88" s="14">
        <f>IFERROR('Balance Sheet Data'!K34,0)</f>
        <v>115</v>
      </c>
      <c r="L88" s="14">
        <f>IFERROR('Balance Sheet Data'!L34,0)</f>
        <v>98</v>
      </c>
      <c r="M88" s="14">
        <f t="shared" si="37"/>
        <v>154.66666666666666</v>
      </c>
      <c r="N88" s="14">
        <f t="shared" si="37"/>
        <v>122.55555555555554</v>
      </c>
    </row>
    <row r="89" spans="2:19" x14ac:dyDescent="0.3">
      <c r="B89" t="s">
        <v>228</v>
      </c>
      <c r="C89" s="14">
        <f>IFERROR('Balance Sheet Data'!C35,0)</f>
        <v>0.7</v>
      </c>
      <c r="D89" s="14">
        <f>IFERROR('Balance Sheet Data'!D35,0)</f>
        <v>0.46</v>
      </c>
      <c r="E89" s="14">
        <f>IFERROR('Balance Sheet Data'!E35,0)</f>
        <v>583</v>
      </c>
      <c r="F89" s="14">
        <f>IFERROR('Balance Sheet Data'!F35,0)</f>
        <v>542</v>
      </c>
      <c r="G89" s="14">
        <f>IFERROR('Balance Sheet Data'!G35,0)</f>
        <v>725</v>
      </c>
      <c r="H89" s="14">
        <f>IFERROR('Balance Sheet Data'!H35,0)</f>
        <v>1004</v>
      </c>
      <c r="I89" s="14">
        <f>IFERROR('Balance Sheet Data'!I35,0)</f>
        <v>1232</v>
      </c>
      <c r="J89" s="14">
        <f>IFERROR('Balance Sheet Data'!J35,0)</f>
        <v>2082</v>
      </c>
      <c r="K89" s="14">
        <f>IFERROR('Balance Sheet Data'!K35,0)</f>
        <v>2081</v>
      </c>
      <c r="L89" s="14">
        <f>IFERROR('Balance Sheet Data'!L35,0)</f>
        <v>2100</v>
      </c>
      <c r="M89" s="14">
        <f t="shared" si="37"/>
        <v>2087.6666666666665</v>
      </c>
      <c r="N89" s="14">
        <f t="shared" si="37"/>
        <v>2089.5555555555552</v>
      </c>
    </row>
    <row r="90" spans="2:19" x14ac:dyDescent="0.3">
      <c r="B90" t="s">
        <v>343</v>
      </c>
      <c r="C90" s="14">
        <f>'Balance Sheet Data'!C36-SUM(HistoricalFS!C82:C89)</f>
        <v>81.180000000000291</v>
      </c>
      <c r="D90" s="14">
        <f>'Balance Sheet Data'!D36-SUM(HistoricalFS!D82:D89)</f>
        <v>81.179999999999382</v>
      </c>
      <c r="E90" s="14">
        <f>'Balance Sheet Data'!E36-SUM(HistoricalFS!E82:E89)</f>
        <v>81</v>
      </c>
      <c r="F90" s="14">
        <f>'Balance Sheet Data'!F36-SUM(HistoricalFS!F82:F89)</f>
        <v>81</v>
      </c>
      <c r="G90" s="14">
        <f>'Balance Sheet Data'!G36-SUM(HistoricalFS!G82:G89)</f>
        <v>81</v>
      </c>
      <c r="H90" s="14">
        <f>'Balance Sheet Data'!H36-SUM(HistoricalFS!H82:H89)</f>
        <v>117</v>
      </c>
      <c r="I90" s="14">
        <f>'Balance Sheet Data'!I36-SUM(HistoricalFS!I82:I89)</f>
        <v>117</v>
      </c>
      <c r="J90" s="14">
        <f>'Balance Sheet Data'!J36-SUM(HistoricalFS!J82:J89)</f>
        <v>17397</v>
      </c>
      <c r="K90" s="14">
        <f>'Balance Sheet Data'!K36-SUM(HistoricalFS!K82:K89)</f>
        <v>17397</v>
      </c>
      <c r="L90" s="14">
        <f>'Balance Sheet Data'!L36-SUM(HistoricalFS!L82:L89)</f>
        <v>17466</v>
      </c>
      <c r="M90" s="14">
        <f t="shared" si="37"/>
        <v>17420</v>
      </c>
      <c r="N90" s="14">
        <f t="shared" si="37"/>
        <v>17427.666666666668</v>
      </c>
    </row>
    <row r="91" spans="2:19" x14ac:dyDescent="0.3">
      <c r="B91" s="13" t="s">
        <v>229</v>
      </c>
      <c r="C91" s="26">
        <f t="shared" ref="C91:K91" si="38">SUM(C82:C90)</f>
        <v>4209.8</v>
      </c>
      <c r="D91" s="26">
        <f t="shared" si="38"/>
        <v>4448.7</v>
      </c>
      <c r="E91" s="26">
        <f t="shared" si="38"/>
        <v>4449</v>
      </c>
      <c r="F91" s="26">
        <f t="shared" si="38"/>
        <v>5534</v>
      </c>
      <c r="G91" s="26">
        <f t="shared" si="38"/>
        <v>6202</v>
      </c>
      <c r="H91" s="26">
        <f t="shared" si="38"/>
        <v>6715</v>
      </c>
      <c r="I91" s="26">
        <f t="shared" si="38"/>
        <v>7832</v>
      </c>
      <c r="J91" s="26">
        <f t="shared" si="38"/>
        <v>54540</v>
      </c>
      <c r="K91" s="26">
        <f t="shared" si="38"/>
        <v>54995</v>
      </c>
      <c r="L91" s="26">
        <f>SUM(L82:L90)</f>
        <v>56089</v>
      </c>
      <c r="M91" s="26">
        <f>SUM(M82:M90)</f>
        <v>55207.999999999993</v>
      </c>
      <c r="N91" s="26">
        <f>SUM(N82:N90)</f>
        <v>55430.666666666657</v>
      </c>
    </row>
    <row r="92" spans="2:19" x14ac:dyDescent="0.3">
      <c r="B92" s="13" t="s">
        <v>230</v>
      </c>
      <c r="C92" s="14">
        <f>IFERROR('Balance Sheet Data'!C37,0)</f>
        <v>0</v>
      </c>
      <c r="D92" s="14">
        <f>IFERROR('Balance Sheet Data'!D37,0)</f>
        <v>0</v>
      </c>
      <c r="E92" s="14">
        <f>IFERROR('Balance Sheet Data'!E37,0)</f>
        <v>0</v>
      </c>
      <c r="F92" s="14">
        <f>IFERROR('Balance Sheet Data'!F37,0)</f>
        <v>0</v>
      </c>
      <c r="G92" s="14">
        <f>IFERROR('Balance Sheet Data'!G37,0)</f>
        <v>0</v>
      </c>
      <c r="H92" s="14">
        <f>IFERROR('Balance Sheet Data'!H37,0)</f>
        <v>0</v>
      </c>
      <c r="I92" s="14">
        <f>IFERROR('Balance Sheet Data'!I37,0)</f>
        <v>0</v>
      </c>
      <c r="J92" s="14">
        <f>IFERROR('Balance Sheet Data'!J37,0)</f>
        <v>0</v>
      </c>
      <c r="K92" s="14">
        <f>IFERROR('Balance Sheet Data'!K37,0)</f>
        <v>0</v>
      </c>
      <c r="L92" s="14">
        <f>IFERROR('Balance Sheet Data'!L37,0)</f>
        <v>0</v>
      </c>
    </row>
    <row r="93" spans="2:19" x14ac:dyDescent="0.3">
      <c r="B93" t="s">
        <v>231</v>
      </c>
      <c r="C93" s="14">
        <f>IFERROR('Balance Sheet Data'!C38,0)</f>
        <v>2457.9499999999998</v>
      </c>
      <c r="D93" s="14">
        <f>IFERROR('Balance Sheet Data'!D38,0)</f>
        <v>2701.18</v>
      </c>
      <c r="E93" s="14">
        <f>IFERROR('Balance Sheet Data'!E38,0)</f>
        <v>2560</v>
      </c>
      <c r="F93" s="14">
        <f>IFERROR('Balance Sheet Data'!F38,0)</f>
        <v>3788</v>
      </c>
      <c r="G93" s="14">
        <f>IFERROR('Balance Sheet Data'!G38,0)</f>
        <v>2871</v>
      </c>
      <c r="H93" s="14">
        <f>IFERROR('Balance Sheet Data'!H38,0)</f>
        <v>2714</v>
      </c>
      <c r="I93" s="14">
        <f>IFERROR('Balance Sheet Data'!I38,0)</f>
        <v>1253</v>
      </c>
      <c r="J93" s="14">
        <f>IFERROR('Balance Sheet Data'!J38,0)</f>
        <v>2707</v>
      </c>
      <c r="K93" s="14">
        <f>IFERROR('Balance Sheet Data'!K38,0)</f>
        <v>3519</v>
      </c>
      <c r="L93" s="14">
        <f>IFERROR('Balance Sheet Data'!L38,0)</f>
        <v>2811</v>
      </c>
      <c r="M93" s="14">
        <f t="shared" ref="M93:N98" si="39">AVERAGE(J93:L93)</f>
        <v>3012.3333333333335</v>
      </c>
      <c r="N93" s="14">
        <f t="shared" si="39"/>
        <v>3114.1111111111113</v>
      </c>
    </row>
    <row r="94" spans="2:19" x14ac:dyDescent="0.3">
      <c r="B94" t="s">
        <v>232</v>
      </c>
      <c r="C94" s="14">
        <f>IFERROR('Balance Sheet Data'!C39,0)</f>
        <v>2939.83</v>
      </c>
      <c r="D94" s="14">
        <f>IFERROR('Balance Sheet Data'!D39,0)</f>
        <v>2848.79</v>
      </c>
      <c r="E94" s="14">
        <f>IFERROR('Balance Sheet Data'!E39,0)</f>
        <v>2726</v>
      </c>
      <c r="F94" s="14">
        <f>IFERROR('Balance Sheet Data'!F39,0)</f>
        <v>2541</v>
      </c>
      <c r="G94" s="14">
        <f>IFERROR('Balance Sheet Data'!G39,0)</f>
        <v>2513</v>
      </c>
      <c r="H94" s="14">
        <f>IFERROR('Balance Sheet Data'!H39,0)</f>
        <v>2574</v>
      </c>
      <c r="I94" s="14">
        <f>IFERROR('Balance Sheet Data'!I39,0)</f>
        <v>2767</v>
      </c>
      <c r="J94" s="14">
        <f>IFERROR('Balance Sheet Data'!J39,0)</f>
        <v>3579</v>
      </c>
      <c r="K94" s="14">
        <f>IFERROR('Balance Sheet Data'!K39,0)</f>
        <v>4096</v>
      </c>
      <c r="L94" s="14">
        <f>IFERROR('Balance Sheet Data'!L39,0)</f>
        <v>4251</v>
      </c>
      <c r="M94" s="14">
        <f t="shared" si="39"/>
        <v>3975.3333333333335</v>
      </c>
      <c r="N94" s="14">
        <f t="shared" si="39"/>
        <v>4107.4444444444443</v>
      </c>
    </row>
    <row r="95" spans="2:19" x14ac:dyDescent="0.3">
      <c r="B95" t="s">
        <v>233</v>
      </c>
      <c r="C95" s="14">
        <f>IFERROR('Balance Sheet Data'!C40,0)</f>
        <v>1031.0899999999999</v>
      </c>
      <c r="D95" s="14">
        <f>IFERROR('Balance Sheet Data'!D40,0)</f>
        <v>1011.18</v>
      </c>
      <c r="E95" s="14">
        <f>IFERROR('Balance Sheet Data'!E40,0)</f>
        <v>1264</v>
      </c>
      <c r="F95" s="14">
        <f>IFERROR('Balance Sheet Data'!F40,0)</f>
        <v>1085</v>
      </c>
      <c r="G95" s="14">
        <f>IFERROR('Balance Sheet Data'!G40,0)</f>
        <v>1310</v>
      </c>
      <c r="H95" s="14">
        <f>IFERROR('Balance Sheet Data'!H40,0)</f>
        <v>1816</v>
      </c>
      <c r="I95" s="14">
        <f>IFERROR('Balance Sheet Data'!I40,0)</f>
        <v>1149</v>
      </c>
      <c r="J95" s="14">
        <f>IFERROR('Balance Sheet Data'!J40,0)</f>
        <v>1758</v>
      </c>
      <c r="K95" s="14">
        <f>IFERROR('Balance Sheet Data'!K40,0)</f>
        <v>2236</v>
      </c>
      <c r="L95" s="14">
        <f>IFERROR('Balance Sheet Data'!L40,0)</f>
        <v>3079</v>
      </c>
      <c r="M95" s="14">
        <f t="shared" si="39"/>
        <v>2357.6666666666665</v>
      </c>
      <c r="N95" s="14">
        <f t="shared" si="39"/>
        <v>2557.5555555555552</v>
      </c>
    </row>
    <row r="96" spans="2:19" x14ac:dyDescent="0.3">
      <c r="B96" t="s">
        <v>234</v>
      </c>
      <c r="C96" s="14">
        <f>IFERROR('Balance Sheet Data'!C41,0)</f>
        <v>2516.0300000000002</v>
      </c>
      <c r="D96" s="14">
        <f>IFERROR('Balance Sheet Data'!D41,0)</f>
        <v>2689.49</v>
      </c>
      <c r="E96" s="14">
        <f>IFERROR('Balance Sheet Data'!E41,0)</f>
        <v>3009</v>
      </c>
      <c r="F96" s="14">
        <f>IFERROR('Balance Sheet Data'!F41,0)</f>
        <v>1828</v>
      </c>
      <c r="G96" s="14">
        <f>IFERROR('Balance Sheet Data'!G41,0)</f>
        <v>3485</v>
      </c>
      <c r="H96" s="14">
        <f>IFERROR('Balance Sheet Data'!H41,0)</f>
        <v>3757</v>
      </c>
      <c r="I96" s="14">
        <f>IFERROR('Balance Sheet Data'!I41,0)</f>
        <v>5113</v>
      </c>
      <c r="J96" s="14">
        <f>IFERROR('Balance Sheet Data'!J41,0)</f>
        <v>4471</v>
      </c>
      <c r="K96" s="14">
        <f>IFERROR('Balance Sheet Data'!K41,0)</f>
        <v>3846</v>
      </c>
      <c r="L96" s="14">
        <f>IFERROR('Balance Sheet Data'!L41,0)</f>
        <v>4678</v>
      </c>
      <c r="M96" s="14">
        <f t="shared" si="39"/>
        <v>4331.666666666667</v>
      </c>
      <c r="N96" s="14">
        <f t="shared" si="39"/>
        <v>4285.2222222222226</v>
      </c>
    </row>
    <row r="97" spans="1:15" x14ac:dyDescent="0.3">
      <c r="B97" t="s">
        <v>235</v>
      </c>
      <c r="C97" s="14">
        <f>IFERROR('Balance Sheet Data'!C42,0)</f>
        <v>534.52</v>
      </c>
      <c r="D97" s="14">
        <f>IFERROR('Balance Sheet Data'!D42,0)</f>
        <v>646.79</v>
      </c>
      <c r="E97" s="14">
        <f>IFERROR('Balance Sheet Data'!E42,0)</f>
        <v>0</v>
      </c>
      <c r="F97" s="14">
        <f>IFERROR('Balance Sheet Data'!F42,0)</f>
        <v>0</v>
      </c>
      <c r="G97" s="14">
        <f>IFERROR('Balance Sheet Data'!G42,0)</f>
        <v>4</v>
      </c>
      <c r="H97" s="14">
        <f>IFERROR('Balance Sheet Data'!H42,0)</f>
        <v>4</v>
      </c>
      <c r="I97" s="14">
        <f>IFERROR('Balance Sheet Data'!I42,0)</f>
        <v>0</v>
      </c>
      <c r="J97" s="14">
        <f>IFERROR('Balance Sheet Data'!J42,0)</f>
        <v>0</v>
      </c>
      <c r="K97" s="14">
        <f>IFERROR('Balance Sheet Data'!K42,0)</f>
        <v>35</v>
      </c>
      <c r="L97" s="14">
        <f>IFERROR('Balance Sheet Data'!L42,0)</f>
        <v>36</v>
      </c>
      <c r="M97" s="14">
        <f t="shared" si="39"/>
        <v>23.666666666666668</v>
      </c>
      <c r="N97" s="14">
        <f t="shared" si="39"/>
        <v>31.555555555555557</v>
      </c>
    </row>
    <row r="98" spans="1:15" x14ac:dyDescent="0.3">
      <c r="B98" t="s">
        <v>236</v>
      </c>
      <c r="C98" s="14">
        <f>IFERROR('Balance Sheet Data'!C43,0)</f>
        <v>80.09</v>
      </c>
      <c r="D98" s="14">
        <f>IFERROR('Balance Sheet Data'!D43,0)</f>
        <v>84.67</v>
      </c>
      <c r="E98" s="14">
        <f>IFERROR('Balance Sheet Data'!E43,0)</f>
        <v>786</v>
      </c>
      <c r="F98" s="14">
        <f>IFERROR('Balance Sheet Data'!F43,0)</f>
        <v>930</v>
      </c>
      <c r="G98" s="14">
        <f>IFERROR('Balance Sheet Data'!G43,0)</f>
        <v>1477</v>
      </c>
      <c r="H98" s="14">
        <f>IFERROR('Balance Sheet Data'!H43,0)</f>
        <v>1049</v>
      </c>
      <c r="I98" s="14">
        <f>IFERROR('Balance Sheet Data'!I43,0)</f>
        <v>2039</v>
      </c>
      <c r="J98" s="14">
        <f>IFERROR('Balance Sheet Data'!J43,0)</f>
        <v>1702</v>
      </c>
      <c r="K98" s="14">
        <f>IFERROR('Balance Sheet Data'!K43,0)</f>
        <v>1790</v>
      </c>
      <c r="L98" s="14">
        <f>IFERROR('Balance Sheet Data'!L43,0)</f>
        <v>2143</v>
      </c>
      <c r="M98" s="14">
        <f t="shared" si="39"/>
        <v>1878.3333333333333</v>
      </c>
      <c r="N98" s="14">
        <f t="shared" si="39"/>
        <v>1937.1111111111111</v>
      </c>
    </row>
    <row r="99" spans="1:15" x14ac:dyDescent="0.3">
      <c r="B99" s="13" t="s">
        <v>81</v>
      </c>
      <c r="C99" s="26">
        <f>SUM(C93:C98)</f>
        <v>9559.51</v>
      </c>
      <c r="D99" s="26">
        <f t="shared" ref="D99:M99" si="40">SUM(D93:D98)</f>
        <v>9982.1</v>
      </c>
      <c r="E99" s="26">
        <f t="shared" si="40"/>
        <v>10345</v>
      </c>
      <c r="F99" s="26">
        <f t="shared" si="40"/>
        <v>10172</v>
      </c>
      <c r="G99" s="26">
        <f t="shared" si="40"/>
        <v>11660</v>
      </c>
      <c r="H99" s="26">
        <f t="shared" si="40"/>
        <v>11914</v>
      </c>
      <c r="I99" s="26">
        <f t="shared" si="40"/>
        <v>12321</v>
      </c>
      <c r="J99" s="26">
        <f t="shared" si="40"/>
        <v>14217</v>
      </c>
      <c r="K99" s="26">
        <f t="shared" si="40"/>
        <v>15522</v>
      </c>
      <c r="L99" s="26">
        <f t="shared" si="40"/>
        <v>16998</v>
      </c>
      <c r="M99" s="26">
        <f t="shared" si="40"/>
        <v>15579</v>
      </c>
      <c r="N99" s="26">
        <f t="shared" ref="N99" si="41">SUM(N93:N98)</f>
        <v>16033</v>
      </c>
    </row>
    <row r="100" spans="1:15" x14ac:dyDescent="0.3">
      <c r="B100" s="37" t="s">
        <v>82</v>
      </c>
      <c r="C100" s="51">
        <f t="shared" ref="C100:K100" si="42">C91+C99</f>
        <v>13769.310000000001</v>
      </c>
      <c r="D100" s="51">
        <f t="shared" si="42"/>
        <v>14430.8</v>
      </c>
      <c r="E100" s="51">
        <f t="shared" si="42"/>
        <v>14794</v>
      </c>
      <c r="F100" s="51">
        <f t="shared" si="42"/>
        <v>15706</v>
      </c>
      <c r="G100" s="51">
        <f t="shared" si="42"/>
        <v>17862</v>
      </c>
      <c r="H100" s="51">
        <f t="shared" si="42"/>
        <v>18629</v>
      </c>
      <c r="I100" s="51">
        <f t="shared" si="42"/>
        <v>20153</v>
      </c>
      <c r="J100" s="51">
        <f t="shared" si="42"/>
        <v>68757</v>
      </c>
      <c r="K100" s="51">
        <f t="shared" si="42"/>
        <v>70517</v>
      </c>
      <c r="L100" s="51">
        <f>L91+L99</f>
        <v>73087</v>
      </c>
      <c r="M100" s="51">
        <f>M91+M99</f>
        <v>70787</v>
      </c>
      <c r="N100" s="51">
        <f>N91+N99</f>
        <v>71463.666666666657</v>
      </c>
    </row>
    <row r="102" spans="1:15" x14ac:dyDescent="0.3">
      <c r="B102" s="16" t="s">
        <v>83</v>
      </c>
      <c r="C102" s="16" t="b">
        <f>C100=C79</f>
        <v>1</v>
      </c>
      <c r="D102" s="16" t="b">
        <f t="shared" ref="D102:L102" si="43">D100=D79</f>
        <v>1</v>
      </c>
      <c r="E102" s="16" t="b">
        <f t="shared" si="43"/>
        <v>1</v>
      </c>
      <c r="F102" s="16" t="b">
        <f t="shared" si="43"/>
        <v>1</v>
      </c>
      <c r="G102" s="16" t="b">
        <f t="shared" si="43"/>
        <v>1</v>
      </c>
      <c r="H102" s="16" t="b">
        <f t="shared" si="43"/>
        <v>1</v>
      </c>
      <c r="I102" s="16" t="b">
        <f t="shared" si="43"/>
        <v>1</v>
      </c>
      <c r="J102" s="16" t="b">
        <f t="shared" si="43"/>
        <v>1</v>
      </c>
      <c r="K102" s="16" t="b">
        <f t="shared" si="43"/>
        <v>1</v>
      </c>
      <c r="L102" s="16" t="b">
        <f t="shared" si="43"/>
        <v>1</v>
      </c>
      <c r="M102" s="16" t="b">
        <f t="shared" ref="M102:N102" si="44">M100=M79</f>
        <v>1</v>
      </c>
      <c r="N102" s="16" t="b">
        <f t="shared" si="44"/>
        <v>1</v>
      </c>
    </row>
    <row r="103" spans="1:15" x14ac:dyDescent="0.3">
      <c r="B103" s="16" t="s">
        <v>237</v>
      </c>
      <c r="C103" s="52">
        <f>+C100-C78</f>
        <v>4700.68</v>
      </c>
      <c r="D103" s="52">
        <f t="shared" ref="D103:L103" si="45">+D100-D78</f>
        <v>5225.6099999999988</v>
      </c>
      <c r="E103" s="52">
        <f t="shared" si="45"/>
        <v>7727</v>
      </c>
      <c r="F103" s="52">
        <f t="shared" si="45"/>
        <v>7992</v>
      </c>
      <c r="G103" s="52">
        <f t="shared" si="45"/>
        <v>8975</v>
      </c>
      <c r="H103" s="52">
        <f t="shared" si="45"/>
        <v>9962</v>
      </c>
      <c r="I103" s="52">
        <f t="shared" si="45"/>
        <v>10836</v>
      </c>
      <c r="J103" s="52">
        <f t="shared" si="45"/>
        <v>57654</v>
      </c>
      <c r="K103" s="52">
        <f t="shared" si="45"/>
        <v>59237</v>
      </c>
      <c r="L103" s="52">
        <f t="shared" si="45"/>
        <v>61059</v>
      </c>
      <c r="M103" s="52">
        <f t="shared" ref="M103:N103" si="46">+M100-M78</f>
        <v>59316.666666666664</v>
      </c>
      <c r="N103" s="52">
        <f t="shared" si="46"/>
        <v>59870.888888888876</v>
      </c>
    </row>
    <row r="104" spans="1:15" x14ac:dyDescent="0.3">
      <c r="C104" t="b">
        <f>C103=(C72+C66+C65)</f>
        <v>1</v>
      </c>
      <c r="D104" t="b">
        <f t="shared" ref="D104:L104" si="47">D103=(D72+D66+D65)</f>
        <v>1</v>
      </c>
      <c r="E104" t="b">
        <f t="shared" si="47"/>
        <v>1</v>
      </c>
      <c r="F104" t="b">
        <f t="shared" si="47"/>
        <v>1</v>
      </c>
      <c r="G104" t="b">
        <f t="shared" si="47"/>
        <v>1</v>
      </c>
      <c r="H104" t="b">
        <f t="shared" si="47"/>
        <v>1</v>
      </c>
      <c r="I104" t="b">
        <f t="shared" si="47"/>
        <v>1</v>
      </c>
      <c r="J104" t="b">
        <f t="shared" si="47"/>
        <v>1</v>
      </c>
      <c r="K104" t="b">
        <f t="shared" si="47"/>
        <v>1</v>
      </c>
      <c r="L104" t="b">
        <f t="shared" si="47"/>
        <v>1</v>
      </c>
      <c r="M104" t="b">
        <f t="shared" ref="M104:N104" si="48">M103=(M72+M66+M65)</f>
        <v>1</v>
      </c>
      <c r="N104" t="b">
        <f t="shared" si="48"/>
        <v>1</v>
      </c>
      <c r="O104" s="40"/>
    </row>
    <row r="105" spans="1:15" x14ac:dyDescent="0.3">
      <c r="M105" s="40"/>
      <c r="O105" s="40"/>
    </row>
    <row r="106" spans="1:15" x14ac:dyDescent="0.3">
      <c r="O106" s="40"/>
    </row>
    <row r="107" spans="1:15" x14ac:dyDescent="0.3">
      <c r="A107" t="s">
        <v>58</v>
      </c>
      <c r="B107" s="24" t="s">
        <v>108</v>
      </c>
      <c r="C107" s="25"/>
      <c r="D107" s="25"/>
      <c r="E107" s="25"/>
      <c r="F107" s="25"/>
      <c r="G107" s="25"/>
      <c r="H107" s="25"/>
      <c r="I107" s="25"/>
      <c r="J107" s="25"/>
      <c r="K107" s="25"/>
      <c r="L107" s="25"/>
      <c r="M107" s="25"/>
    </row>
    <row r="108" spans="1:15" x14ac:dyDescent="0.3">
      <c r="B108" s="13" t="s">
        <v>110</v>
      </c>
    </row>
    <row r="109" spans="1:15" x14ac:dyDescent="0.3">
      <c r="B109" t="s">
        <v>84</v>
      </c>
      <c r="C109" s="14">
        <f>IFERROR('Cash Flow Data'!C4,0)</f>
        <v>4802</v>
      </c>
      <c r="D109" s="14">
        <f>IFERROR('Cash Flow Data'!D4,0)</f>
        <v>5510</v>
      </c>
      <c r="E109" s="14">
        <f>IFERROR('Cash Flow Data'!E4,0)</f>
        <v>6025</v>
      </c>
      <c r="F109" s="14">
        <f>IFERROR('Cash Flow Data'!F4,0)</f>
        <v>6512</v>
      </c>
      <c r="G109" s="14">
        <f>IFERROR('Cash Flow Data'!G4,0)</f>
        <v>7485</v>
      </c>
      <c r="H109" s="14">
        <f>IFERROR('Cash Flow Data'!H4,0)</f>
        <v>8909</v>
      </c>
      <c r="I109" s="14">
        <f>IFERROR('Cash Flow Data'!I4,0)</f>
        <v>9723</v>
      </c>
      <c r="J109" s="14">
        <f>IFERROR('Cash Flow Data'!J4,0)</f>
        <v>11672</v>
      </c>
      <c r="K109" s="14">
        <f>IFERROR('Cash Flow Data'!K4,0)</f>
        <v>12829</v>
      </c>
      <c r="L109" s="14">
        <f>IFERROR('Cash Flow Data'!L4,0)</f>
        <v>14089</v>
      </c>
    </row>
    <row r="110" spans="1:15" x14ac:dyDescent="0.3">
      <c r="B110" t="s">
        <v>42</v>
      </c>
      <c r="C110" s="14">
        <f>IFERROR('Cash Flow Data'!C5,0)</f>
        <v>-17</v>
      </c>
      <c r="D110" s="14">
        <f>IFERROR('Cash Flow Data'!D5,0)</f>
        <v>3</v>
      </c>
      <c r="E110" s="14">
        <f>IFERROR('Cash Flow Data'!E5,0)</f>
        <v>-257</v>
      </c>
      <c r="F110" s="14">
        <f>IFERROR('Cash Flow Data'!F5,0)</f>
        <v>173</v>
      </c>
      <c r="G110" s="14">
        <f>IFERROR('Cash Flow Data'!G5,0)</f>
        <v>0</v>
      </c>
      <c r="H110" s="14">
        <f>IFERROR('Cash Flow Data'!H5,0)</f>
        <v>0</v>
      </c>
      <c r="I110" s="14">
        <f>IFERROR('Cash Flow Data'!I5,0)</f>
        <v>0</v>
      </c>
      <c r="J110" s="14">
        <f>IFERROR('Cash Flow Data'!J5,0)</f>
        <v>0</v>
      </c>
      <c r="K110" s="14">
        <f>IFERROR('Cash Flow Data'!K5,0)</f>
        <v>0</v>
      </c>
      <c r="L110" s="14">
        <f>IFERROR('Cash Flow Data'!L5,0)</f>
        <v>0</v>
      </c>
    </row>
    <row r="111" spans="1:15" x14ac:dyDescent="0.3">
      <c r="B111" t="s">
        <v>43</v>
      </c>
      <c r="C111" s="14">
        <f>IFERROR('Cash Flow Data'!C6,0)</f>
        <v>-201</v>
      </c>
      <c r="D111" s="14">
        <f>IFERROR('Cash Flow Data'!D6,0)</f>
        <v>91</v>
      </c>
      <c r="E111" s="14">
        <f>IFERROR('Cash Flow Data'!E6,0)</f>
        <v>89</v>
      </c>
      <c r="F111" s="14">
        <f>IFERROR('Cash Flow Data'!F6,0)</f>
        <v>37</v>
      </c>
      <c r="G111" s="14">
        <f>IFERROR('Cash Flow Data'!G6,0)</f>
        <v>-146</v>
      </c>
      <c r="H111" s="14">
        <f>IFERROR('Cash Flow Data'!H6,0)</f>
        <v>-195</v>
      </c>
      <c r="I111" s="14">
        <f>IFERROR('Cash Flow Data'!I6,0)</f>
        <v>-331</v>
      </c>
      <c r="J111" s="14">
        <f>IFERROR('Cash Flow Data'!J6,0)</f>
        <v>-543</v>
      </c>
      <c r="K111" s="14">
        <f>IFERROR('Cash Flow Data'!K6,0)</f>
        <v>-758</v>
      </c>
      <c r="L111" s="14">
        <f>IFERROR('Cash Flow Data'!L6,0)</f>
        <v>-339</v>
      </c>
    </row>
    <row r="112" spans="1:15" x14ac:dyDescent="0.3">
      <c r="B112" t="s">
        <v>85</v>
      </c>
      <c r="C112" s="14">
        <f>IFERROR('Cash Flow Data'!C7,0)</f>
        <v>546</v>
      </c>
      <c r="D112" s="14">
        <f>IFERROR('Cash Flow Data'!D7,0)</f>
        <v>-327</v>
      </c>
      <c r="E112" s="14">
        <f>IFERROR('Cash Flow Data'!E7,0)</f>
        <v>164</v>
      </c>
      <c r="F112" s="14">
        <f>IFERROR('Cash Flow Data'!F7,0)</f>
        <v>501</v>
      </c>
      <c r="G112" s="14">
        <f>IFERROR('Cash Flow Data'!G7,0)</f>
        <v>0</v>
      </c>
      <c r="H112" s="14">
        <f>IFERROR('Cash Flow Data'!H7,0)</f>
        <v>0</v>
      </c>
      <c r="I112" s="14">
        <f>IFERROR('Cash Flow Data'!I7,0)</f>
        <v>0</v>
      </c>
      <c r="J112" s="14">
        <f>IFERROR('Cash Flow Data'!J7,0)</f>
        <v>0</v>
      </c>
      <c r="K112" s="14">
        <f>IFERROR('Cash Flow Data'!K7,0)</f>
        <v>0</v>
      </c>
      <c r="L112" s="14">
        <f>IFERROR('Cash Flow Data'!L7,0)</f>
        <v>0</v>
      </c>
    </row>
    <row r="113" spans="2:12" x14ac:dyDescent="0.3">
      <c r="B113" t="s">
        <v>86</v>
      </c>
      <c r="C113" s="14">
        <f>IFERROR('Cash Flow Data'!C8,0)</f>
        <v>-4</v>
      </c>
      <c r="D113" s="14">
        <f>IFERROR('Cash Flow Data'!D8,0)</f>
        <v>-148</v>
      </c>
      <c r="E113" s="14">
        <f>IFERROR('Cash Flow Data'!E8,0)</f>
        <v>0</v>
      </c>
      <c r="F113" s="14">
        <f>IFERROR('Cash Flow Data'!F8,0)</f>
        <v>0</v>
      </c>
      <c r="G113" s="14">
        <f>IFERROR('Cash Flow Data'!G8,0)</f>
        <v>0</v>
      </c>
      <c r="H113" s="14">
        <f>IFERROR('Cash Flow Data'!H8,0)</f>
        <v>0</v>
      </c>
      <c r="I113" s="14">
        <f>IFERROR('Cash Flow Data'!I8,0)</f>
        <v>0</v>
      </c>
      <c r="J113" s="14">
        <f>IFERROR('Cash Flow Data'!J8,0)</f>
        <v>0</v>
      </c>
      <c r="K113" s="14">
        <f>IFERROR('Cash Flow Data'!K8,0)</f>
        <v>0</v>
      </c>
      <c r="L113" s="14">
        <f>IFERROR('Cash Flow Data'!L8,0)</f>
        <v>0</v>
      </c>
    </row>
    <row r="114" spans="2:12" x14ac:dyDescent="0.3">
      <c r="B114" t="s">
        <v>116</v>
      </c>
      <c r="C114" s="14">
        <f>IFERROR('Cash Flow Data'!C9,0)</f>
        <v>0</v>
      </c>
      <c r="D114" s="14">
        <f>IFERROR('Cash Flow Data'!D9,0)</f>
        <v>0</v>
      </c>
      <c r="E114" s="14">
        <f>IFERROR('Cash Flow Data'!E9,0)</f>
        <v>0</v>
      </c>
      <c r="F114" s="14">
        <f>IFERROR('Cash Flow Data'!F9,0)</f>
        <v>-46</v>
      </c>
      <c r="G114" s="14">
        <f>IFERROR('Cash Flow Data'!G9,0)</f>
        <v>0</v>
      </c>
      <c r="H114" s="14">
        <f>IFERROR('Cash Flow Data'!H9,0)</f>
        <v>0</v>
      </c>
      <c r="I114" s="14">
        <f>IFERROR('Cash Flow Data'!I9,0)</f>
        <v>0</v>
      </c>
      <c r="J114" s="14">
        <f>IFERROR('Cash Flow Data'!J9,0)</f>
        <v>0</v>
      </c>
      <c r="K114" s="14">
        <f>IFERROR('Cash Flow Data'!K9,0)</f>
        <v>0</v>
      </c>
      <c r="L114" s="14">
        <f>IFERROR('Cash Flow Data'!L9,0)</f>
        <v>0</v>
      </c>
    </row>
    <row r="115" spans="2:12" x14ac:dyDescent="0.3">
      <c r="B115" t="s">
        <v>87</v>
      </c>
      <c r="C115" s="14">
        <f>IFERROR('Cash Flow Data'!C10,0)</f>
        <v>81</v>
      </c>
      <c r="D115" s="14">
        <f>IFERROR('Cash Flow Data'!D10,0)</f>
        <v>38</v>
      </c>
      <c r="E115" s="14">
        <f>IFERROR('Cash Flow Data'!E10,0)</f>
        <v>-77</v>
      </c>
      <c r="F115" s="14">
        <f>IFERROR('Cash Flow Data'!F10,0)</f>
        <v>-99</v>
      </c>
      <c r="G115" s="14">
        <f>IFERROR('Cash Flow Data'!G10,0)</f>
        <v>982</v>
      </c>
      <c r="H115" s="14">
        <f>IFERROR('Cash Flow Data'!H10,0)</f>
        <v>-147</v>
      </c>
      <c r="I115" s="14">
        <f>IFERROR('Cash Flow Data'!I10,0)</f>
        <v>742</v>
      </c>
      <c r="J115" s="14">
        <f>IFERROR('Cash Flow Data'!J10,0)</f>
        <v>442</v>
      </c>
      <c r="K115" s="14">
        <f>IFERROR('Cash Flow Data'!K10,0)</f>
        <v>-242</v>
      </c>
      <c r="L115" s="14">
        <f>IFERROR('Cash Flow Data'!L10,0)</f>
        <v>-619</v>
      </c>
    </row>
    <row r="116" spans="2:12" x14ac:dyDescent="0.3">
      <c r="B116" t="s">
        <v>117</v>
      </c>
      <c r="C116" s="14">
        <f>IFERROR('Cash Flow Data'!C13,0)</f>
        <v>-5</v>
      </c>
      <c r="D116" s="14">
        <f>IFERROR('Cash Flow Data'!D13,0)</f>
        <v>-14</v>
      </c>
      <c r="E116" s="14">
        <f>IFERROR('Cash Flow Data'!E13,0)</f>
        <v>-8</v>
      </c>
      <c r="F116" s="14">
        <f>IFERROR('Cash Flow Data'!F13,0)</f>
        <v>-21</v>
      </c>
      <c r="G116" s="14">
        <f>IFERROR('Cash Flow Data'!G13,0)</f>
        <v>0</v>
      </c>
      <c r="H116" s="14">
        <f>IFERROR('Cash Flow Data'!H13,0)</f>
        <v>0</v>
      </c>
      <c r="I116" s="14">
        <f>IFERROR('Cash Flow Data'!I13,0)</f>
        <v>0</v>
      </c>
      <c r="J116" s="14">
        <f>IFERROR('Cash Flow Data'!J13,0)</f>
        <v>0</v>
      </c>
      <c r="K116" s="14">
        <f>IFERROR('Cash Flow Data'!K13,0)</f>
        <v>0</v>
      </c>
      <c r="L116" s="14">
        <f>IFERROR('Cash Flow Data'!L13,0)</f>
        <v>-1</v>
      </c>
    </row>
    <row r="117" spans="2:12" x14ac:dyDescent="0.3">
      <c r="B117" t="s">
        <v>118</v>
      </c>
      <c r="C117" s="14">
        <f>IFERROR('Cash Flow Data'!C14,0)</f>
        <v>0</v>
      </c>
      <c r="D117" s="14">
        <f>IFERROR('Cash Flow Data'!D14,0)</f>
        <v>0</v>
      </c>
      <c r="E117" s="14">
        <f>IFERROR('Cash Flow Data'!E14,0)</f>
        <v>0</v>
      </c>
      <c r="F117" s="14">
        <f>IFERROR('Cash Flow Data'!F14,0)</f>
        <v>-13</v>
      </c>
      <c r="G117" s="14">
        <f>IFERROR('Cash Flow Data'!G14,0)</f>
        <v>2</v>
      </c>
      <c r="H117" s="14">
        <f>IFERROR('Cash Flow Data'!H14,0)</f>
        <v>0</v>
      </c>
      <c r="I117" s="14">
        <f>IFERROR('Cash Flow Data'!I14,0)</f>
        <v>-6</v>
      </c>
      <c r="J117" s="14">
        <f>IFERROR('Cash Flow Data'!J14,0)</f>
        <v>-1</v>
      </c>
      <c r="K117" s="14">
        <f>IFERROR('Cash Flow Data'!K14,0)</f>
        <v>3</v>
      </c>
      <c r="L117" s="14">
        <f>IFERROR('Cash Flow Data'!L14,0)</f>
        <v>-1</v>
      </c>
    </row>
    <row r="118" spans="2:12" x14ac:dyDescent="0.3">
      <c r="B118" t="s">
        <v>89</v>
      </c>
      <c r="C118" s="14">
        <f>IFERROR('Cash Flow Data'!C12,0)</f>
        <v>-1384</v>
      </c>
      <c r="D118" s="14">
        <f>IFERROR('Cash Flow Data'!D12,0)</f>
        <v>-1862</v>
      </c>
      <c r="E118" s="14">
        <f>IFERROR('Cash Flow Data'!E12,0)</f>
        <v>-1765</v>
      </c>
      <c r="F118" s="14">
        <f>IFERROR('Cash Flow Data'!F12,0)</f>
        <v>-1859</v>
      </c>
      <c r="G118" s="14">
        <f>IFERROR('Cash Flow Data'!G12,0)</f>
        <v>-2264</v>
      </c>
      <c r="H118" s="14">
        <f>IFERROR('Cash Flow Data'!H12,0)</f>
        <v>-2767</v>
      </c>
      <c r="I118" s="14">
        <f>IFERROR('Cash Flow Data'!I12,0)</f>
        <v>-2505</v>
      </c>
      <c r="J118" s="14">
        <f>IFERROR('Cash Flow Data'!J12,0)</f>
        <v>-2407</v>
      </c>
      <c r="K118" s="14">
        <f>IFERROR('Cash Flow Data'!K12,0)</f>
        <v>-2784</v>
      </c>
      <c r="L118" s="14">
        <f>IFERROR('Cash Flow Data'!L12,0)</f>
        <v>-3138</v>
      </c>
    </row>
    <row r="119" spans="2:12" x14ac:dyDescent="0.3">
      <c r="B119" s="13" t="s">
        <v>109</v>
      </c>
      <c r="C119" s="26">
        <f t="shared" ref="C119:L119" si="49">SUM(C109:C118)</f>
        <v>3818</v>
      </c>
      <c r="D119" s="26">
        <f t="shared" si="49"/>
        <v>3291</v>
      </c>
      <c r="E119" s="26">
        <f t="shared" si="49"/>
        <v>4171</v>
      </c>
      <c r="F119" s="26">
        <f t="shared" si="49"/>
        <v>5185</v>
      </c>
      <c r="G119" s="26">
        <f t="shared" si="49"/>
        <v>6059</v>
      </c>
      <c r="H119" s="26">
        <f t="shared" si="49"/>
        <v>5800</v>
      </c>
      <c r="I119" s="26">
        <f t="shared" si="49"/>
        <v>7623</v>
      </c>
      <c r="J119" s="26">
        <f t="shared" si="49"/>
        <v>9163</v>
      </c>
      <c r="K119" s="26">
        <f t="shared" si="49"/>
        <v>9048</v>
      </c>
      <c r="L119" s="26">
        <f t="shared" si="49"/>
        <v>9991</v>
      </c>
    </row>
    <row r="121" spans="2:12" x14ac:dyDescent="0.3">
      <c r="B121" s="13" t="s">
        <v>111</v>
      </c>
    </row>
    <row r="122" spans="2:12" x14ac:dyDescent="0.3">
      <c r="B122" t="s">
        <v>90</v>
      </c>
      <c r="C122" s="14">
        <f>IFERROR('Cash Flow Data'!C16,0)</f>
        <v>-606</v>
      </c>
      <c r="D122" s="14">
        <f>IFERROR('Cash Flow Data'!D16,0)</f>
        <v>-606</v>
      </c>
      <c r="E122" s="14">
        <f>IFERROR('Cash Flow Data'!E16,0)</f>
        <v>-810</v>
      </c>
      <c r="F122" s="14">
        <f>IFERROR('Cash Flow Data'!F16,0)</f>
        <v>-1113</v>
      </c>
      <c r="G122" s="14">
        <f>IFERROR('Cash Flow Data'!G16,0)</f>
        <v>-895</v>
      </c>
      <c r="H122" s="14">
        <f>IFERROR('Cash Flow Data'!H16,0)</f>
        <v>-767</v>
      </c>
      <c r="I122" s="14">
        <f>IFERROR('Cash Flow Data'!I16,0)</f>
        <v>-862</v>
      </c>
      <c r="J122" s="14">
        <f>IFERROR('Cash Flow Data'!J16,0)</f>
        <v>-4163</v>
      </c>
      <c r="K122" s="14">
        <f>IFERROR('Cash Flow Data'!K16,0)</f>
        <v>-1228</v>
      </c>
      <c r="L122" s="14">
        <f>IFERROR('Cash Flow Data'!L16,0)</f>
        <v>-1192</v>
      </c>
    </row>
    <row r="123" spans="2:12" x14ac:dyDescent="0.3">
      <c r="B123" t="s">
        <v>91</v>
      </c>
      <c r="C123" s="14">
        <f>IFERROR('Cash Flow Data'!C17,0)</f>
        <v>229</v>
      </c>
      <c r="D123" s="14">
        <f>IFERROR('Cash Flow Data'!D17,0)</f>
        <v>560</v>
      </c>
      <c r="E123" s="14">
        <f>IFERROR('Cash Flow Data'!E17,0)</f>
        <v>99</v>
      </c>
      <c r="F123" s="14">
        <f>IFERROR('Cash Flow Data'!F17,0)</f>
        <v>176</v>
      </c>
      <c r="G123" s="14">
        <f>IFERROR('Cash Flow Data'!G17,0)</f>
        <v>32</v>
      </c>
      <c r="H123" s="14">
        <f>IFERROR('Cash Flow Data'!H17,0)</f>
        <v>13</v>
      </c>
      <c r="I123" s="14">
        <f>IFERROR('Cash Flow Data'!I17,0)</f>
        <v>52</v>
      </c>
      <c r="J123" s="14">
        <f>IFERROR('Cash Flow Data'!J17,0)</f>
        <v>97</v>
      </c>
      <c r="K123" s="14">
        <f>IFERROR('Cash Flow Data'!K17,0)</f>
        <v>175</v>
      </c>
      <c r="L123" s="14">
        <f>IFERROR('Cash Flow Data'!L17,0)</f>
        <v>181</v>
      </c>
    </row>
    <row r="124" spans="2:12" x14ac:dyDescent="0.3">
      <c r="B124" t="s">
        <v>92</v>
      </c>
      <c r="C124" s="14">
        <f>IFERROR('Cash Flow Data'!C18,0)</f>
        <v>-9538</v>
      </c>
      <c r="D124" s="14">
        <f>IFERROR('Cash Flow Data'!D18,0)</f>
        <v>-19353</v>
      </c>
      <c r="E124" s="14">
        <f>IFERROR('Cash Flow Data'!E18,0)</f>
        <v>-20666</v>
      </c>
      <c r="F124" s="14">
        <f>IFERROR('Cash Flow Data'!F18,0)</f>
        <v>-31214</v>
      </c>
      <c r="G124" s="14">
        <f>IFERROR('Cash Flow Data'!G18,0)</f>
        <v>-51855</v>
      </c>
      <c r="H124" s="14">
        <f>IFERROR('Cash Flow Data'!H18,0)</f>
        <v>-74365</v>
      </c>
      <c r="I124" s="14">
        <f>IFERROR('Cash Flow Data'!I18,0)</f>
        <v>-36090</v>
      </c>
      <c r="J124" s="14">
        <f>IFERROR('Cash Flow Data'!J18,0)</f>
        <v>-39920</v>
      </c>
      <c r="K124" s="14">
        <f>IFERROR('Cash Flow Data'!K18,0)</f>
        <v>-48522</v>
      </c>
      <c r="L124" s="14">
        <f>IFERROR('Cash Flow Data'!L18,0)</f>
        <v>-22649</v>
      </c>
    </row>
    <row r="125" spans="2:12" x14ac:dyDescent="0.3">
      <c r="B125" t="s">
        <v>93</v>
      </c>
      <c r="C125" s="14">
        <f>IFERROR('Cash Flow Data'!C19,0)</f>
        <v>9213</v>
      </c>
      <c r="D125" s="14">
        <f>IFERROR('Cash Flow Data'!D19,0)</f>
        <v>19461</v>
      </c>
      <c r="E125" s="14">
        <f>IFERROR('Cash Flow Data'!E19,0)</f>
        <v>20937</v>
      </c>
      <c r="F125" s="14">
        <f>IFERROR('Cash Flow Data'!F19,0)</f>
        <v>30083</v>
      </c>
      <c r="G125" s="14">
        <f>IFERROR('Cash Flow Data'!G19,0)</f>
        <v>52897</v>
      </c>
      <c r="H125" s="14">
        <f>IFERROR('Cash Flow Data'!H19,0)</f>
        <v>74691</v>
      </c>
      <c r="I125" s="14">
        <f>IFERROR('Cash Flow Data'!I19,0)</f>
        <v>37690</v>
      </c>
      <c r="J125" s="14">
        <f>IFERROR('Cash Flow Data'!J19,0)</f>
        <v>38486</v>
      </c>
      <c r="K125" s="14">
        <f>IFERROR('Cash Flow Data'!K19,0)</f>
        <v>47786</v>
      </c>
      <c r="L125" s="14">
        <f>IFERROR('Cash Flow Data'!L19,0)</f>
        <v>23462</v>
      </c>
    </row>
    <row r="126" spans="2:12" x14ac:dyDescent="0.3">
      <c r="B126" t="s">
        <v>94</v>
      </c>
      <c r="C126" s="14">
        <f>IFERROR('Cash Flow Data'!C20,0)</f>
        <v>232</v>
      </c>
      <c r="D126" s="14">
        <f>IFERROR('Cash Flow Data'!D20,0)</f>
        <v>218</v>
      </c>
      <c r="E126" s="14">
        <f>IFERROR('Cash Flow Data'!E20,0)</f>
        <v>315</v>
      </c>
      <c r="F126" s="14">
        <f>IFERROR('Cash Flow Data'!F20,0)</f>
        <v>264</v>
      </c>
      <c r="G126" s="14">
        <f>IFERROR('Cash Flow Data'!G20,0)</f>
        <v>297</v>
      </c>
      <c r="H126" s="14">
        <f>IFERROR('Cash Flow Data'!H20,0)</f>
        <v>289</v>
      </c>
      <c r="I126" s="14">
        <f>IFERROR('Cash Flow Data'!I20,0)</f>
        <v>351</v>
      </c>
      <c r="J126" s="14">
        <f>IFERROR('Cash Flow Data'!J20,0)</f>
        <v>277</v>
      </c>
      <c r="K126" s="14">
        <f>IFERROR('Cash Flow Data'!K20,0)</f>
        <v>161</v>
      </c>
      <c r="L126" s="14">
        <f>IFERROR('Cash Flow Data'!L20,0)</f>
        <v>259</v>
      </c>
    </row>
    <row r="127" spans="2:12" x14ac:dyDescent="0.3">
      <c r="B127" t="s">
        <v>95</v>
      </c>
      <c r="C127" s="14">
        <f>IFERROR('Cash Flow Data'!C21,0)</f>
        <v>16</v>
      </c>
      <c r="D127" s="14">
        <f>IFERROR('Cash Flow Data'!D21,0)</f>
        <v>24</v>
      </c>
      <c r="E127" s="14">
        <f>IFERROR('Cash Flow Data'!E21,0)</f>
        <v>33</v>
      </c>
      <c r="F127" s="14">
        <f>IFERROR('Cash Flow Data'!F21,0)</f>
        <v>14</v>
      </c>
      <c r="G127" s="14">
        <f>IFERROR('Cash Flow Data'!G21,0)</f>
        <v>0</v>
      </c>
      <c r="H127" s="14">
        <f>IFERROR('Cash Flow Data'!H21,0)</f>
        <v>1</v>
      </c>
      <c r="I127" s="14">
        <f>IFERROR('Cash Flow Data'!I21,0)</f>
        <v>1</v>
      </c>
      <c r="J127" s="14">
        <f>IFERROR('Cash Flow Data'!J21,0)</f>
        <v>1</v>
      </c>
      <c r="K127" s="14">
        <f>IFERROR('Cash Flow Data'!K21,0)</f>
        <v>1</v>
      </c>
      <c r="L127" s="14">
        <f>IFERROR('Cash Flow Data'!L21,0)</f>
        <v>2</v>
      </c>
    </row>
    <row r="128" spans="2:12" x14ac:dyDescent="0.3">
      <c r="B128" t="s">
        <v>96</v>
      </c>
      <c r="C128" s="14">
        <f>IFERROR('Cash Flow Data'!C22,0)</f>
        <v>-101</v>
      </c>
      <c r="D128" s="14">
        <f>IFERROR('Cash Flow Data'!D22,0)</f>
        <v>0</v>
      </c>
      <c r="E128" s="14">
        <f>IFERROR('Cash Flow Data'!E22,0)</f>
        <v>0</v>
      </c>
      <c r="F128" s="14">
        <f>IFERROR('Cash Flow Data'!F22,0)</f>
        <v>0</v>
      </c>
      <c r="G128" s="14">
        <f>IFERROR('Cash Flow Data'!G22,0)</f>
        <v>0</v>
      </c>
      <c r="H128" s="14">
        <f>IFERROR('Cash Flow Data'!H22,0)</f>
        <v>0</v>
      </c>
      <c r="I128" s="14">
        <f>IFERROR('Cash Flow Data'!I22,0)</f>
        <v>0</v>
      </c>
      <c r="J128" s="14">
        <f>IFERROR('Cash Flow Data'!J22,0)</f>
        <v>0</v>
      </c>
      <c r="K128" s="14">
        <f>IFERROR('Cash Flow Data'!K22,0)</f>
        <v>0</v>
      </c>
      <c r="L128" s="14">
        <f>IFERROR('Cash Flow Data'!L22,0)</f>
        <v>0</v>
      </c>
    </row>
    <row r="129" spans="2:12" x14ac:dyDescent="0.3">
      <c r="B129" t="s">
        <v>120</v>
      </c>
      <c r="C129" s="14">
        <f>IFERROR('Cash Flow Data'!C23,0)</f>
        <v>-104</v>
      </c>
      <c r="D129" s="14">
        <f>IFERROR('Cash Flow Data'!D23,0)</f>
        <v>0</v>
      </c>
      <c r="E129" s="14">
        <f>IFERROR('Cash Flow Data'!E23,0)</f>
        <v>0</v>
      </c>
      <c r="F129" s="14">
        <f>IFERROR('Cash Flow Data'!F23,0)</f>
        <v>0</v>
      </c>
      <c r="G129" s="14">
        <f>IFERROR('Cash Flow Data'!G23,0)</f>
        <v>0</v>
      </c>
      <c r="H129" s="14">
        <f>IFERROR('Cash Flow Data'!H23,0)</f>
        <v>0</v>
      </c>
      <c r="I129" s="14">
        <f>IFERROR('Cash Flow Data'!I23,0)</f>
        <v>0</v>
      </c>
      <c r="J129" s="14">
        <f>IFERROR('Cash Flow Data'!J23,0)</f>
        <v>0</v>
      </c>
      <c r="K129" s="14">
        <f>IFERROR('Cash Flow Data'!K23,0)</f>
        <v>0</v>
      </c>
      <c r="L129" s="14">
        <f>IFERROR('Cash Flow Data'!L23,0)</f>
        <v>0</v>
      </c>
    </row>
    <row r="130" spans="2:12" x14ac:dyDescent="0.3">
      <c r="B130" t="s">
        <v>97</v>
      </c>
      <c r="C130" s="14">
        <f>IFERROR('Cash Flow Data'!C24,0)</f>
        <v>0</v>
      </c>
      <c r="D130" s="14">
        <f>IFERROR('Cash Flow Data'!D24,0)</f>
        <v>200</v>
      </c>
      <c r="E130" s="14">
        <f>IFERROR('Cash Flow Data'!E24,0)</f>
        <v>161</v>
      </c>
      <c r="F130" s="14">
        <f>IFERROR('Cash Flow Data'!F24,0)</f>
        <v>20</v>
      </c>
      <c r="G130" s="14">
        <f>IFERROR('Cash Flow Data'!G24,0)</f>
        <v>73</v>
      </c>
      <c r="H130" s="14">
        <f>IFERROR('Cash Flow Data'!H24,0)</f>
        <v>0</v>
      </c>
      <c r="I130" s="14">
        <f>IFERROR('Cash Flow Data'!I24,0)</f>
        <v>0</v>
      </c>
      <c r="J130" s="14">
        <f>IFERROR('Cash Flow Data'!J24,0)</f>
        <v>0</v>
      </c>
      <c r="K130" s="14">
        <f>IFERROR('Cash Flow Data'!K24,0)</f>
        <v>0</v>
      </c>
      <c r="L130" s="14">
        <f>IFERROR('Cash Flow Data'!L24,0)</f>
        <v>0</v>
      </c>
    </row>
    <row r="131" spans="2:12" x14ac:dyDescent="0.3">
      <c r="B131" t="s">
        <v>98</v>
      </c>
      <c r="C131" s="14">
        <f>IFERROR('Cash Flow Data'!C25,0)</f>
        <v>0</v>
      </c>
      <c r="D131" s="14">
        <f>IFERROR('Cash Flow Data'!D25,0)</f>
        <v>0</v>
      </c>
      <c r="E131" s="14">
        <f>IFERROR('Cash Flow Data'!E25,0)</f>
        <v>0</v>
      </c>
      <c r="F131" s="14">
        <f>IFERROR('Cash Flow Data'!F25,0)</f>
        <v>0</v>
      </c>
      <c r="G131" s="14">
        <f>IFERROR('Cash Flow Data'!G25,0)</f>
        <v>0</v>
      </c>
      <c r="H131" s="14">
        <f>IFERROR('Cash Flow Data'!H25,0)</f>
        <v>0</v>
      </c>
      <c r="I131" s="14">
        <f>IFERROR('Cash Flow Data'!I25,0)</f>
        <v>0</v>
      </c>
      <c r="J131" s="14">
        <f>IFERROR('Cash Flow Data'!J25,0)</f>
        <v>0</v>
      </c>
      <c r="K131" s="14">
        <f>IFERROR('Cash Flow Data'!K25,0)</f>
        <v>0</v>
      </c>
      <c r="L131" s="14">
        <f>IFERROR('Cash Flow Data'!L25,0)</f>
        <v>-334</v>
      </c>
    </row>
    <row r="132" spans="2:12" x14ac:dyDescent="0.3">
      <c r="B132" t="s">
        <v>99</v>
      </c>
      <c r="C132" s="14">
        <f>IFERROR('Cash Flow Data'!C26,0)</f>
        <v>183</v>
      </c>
      <c r="D132" s="14">
        <f>IFERROR('Cash Flow Data'!D26,0)</f>
        <v>-367</v>
      </c>
      <c r="E132" s="14">
        <f>IFERROR('Cash Flow Data'!E26,0)</f>
        <v>-351</v>
      </c>
      <c r="F132" s="14">
        <f>IFERROR('Cash Flow Data'!F26,0)</f>
        <v>597</v>
      </c>
      <c r="G132" s="14">
        <f>IFERROR('Cash Flow Data'!G26,0)</f>
        <v>-1612</v>
      </c>
      <c r="H132" s="14">
        <f>IFERROR('Cash Flow Data'!H26,0)</f>
        <v>-300</v>
      </c>
      <c r="I132" s="14">
        <f>IFERROR('Cash Flow Data'!I26,0)</f>
        <v>649</v>
      </c>
      <c r="J132" s="14">
        <f>IFERROR('Cash Flow Data'!J26,0)</f>
        <v>3994</v>
      </c>
      <c r="K132" s="14">
        <f>IFERROR('Cash Flow Data'!K26,0)</f>
        <v>-101</v>
      </c>
      <c r="L132" s="14">
        <f>IFERROR('Cash Flow Data'!L26,0)</f>
        <v>-1213</v>
      </c>
    </row>
    <row r="133" spans="2:12" x14ac:dyDescent="0.3">
      <c r="B133" s="13" t="s">
        <v>112</v>
      </c>
      <c r="C133" s="26">
        <f t="shared" ref="C133:L133" si="50">SUM(C122:C132)</f>
        <v>-476</v>
      </c>
      <c r="D133" s="26">
        <f t="shared" si="50"/>
        <v>137</v>
      </c>
      <c r="E133" s="26">
        <f t="shared" si="50"/>
        <v>-282</v>
      </c>
      <c r="F133" s="26">
        <f t="shared" si="50"/>
        <v>-1173</v>
      </c>
      <c r="G133" s="26">
        <f t="shared" si="50"/>
        <v>-1063</v>
      </c>
      <c r="H133" s="26">
        <f t="shared" si="50"/>
        <v>-438</v>
      </c>
      <c r="I133" s="26">
        <f t="shared" si="50"/>
        <v>1791</v>
      </c>
      <c r="J133" s="26">
        <f t="shared" si="50"/>
        <v>-1228</v>
      </c>
      <c r="K133" s="26">
        <f t="shared" si="50"/>
        <v>-1728</v>
      </c>
      <c r="L133" s="26">
        <f t="shared" si="50"/>
        <v>-1484</v>
      </c>
    </row>
    <row r="135" spans="2:12" x14ac:dyDescent="0.3">
      <c r="B135" s="13" t="s">
        <v>113</v>
      </c>
    </row>
    <row r="136" spans="2:12" x14ac:dyDescent="0.3">
      <c r="B136" t="s">
        <v>101</v>
      </c>
      <c r="C136" s="14">
        <f>IFERROR('Cash Flow Data'!C28,0)</f>
        <v>2</v>
      </c>
      <c r="D136" s="14">
        <f>IFERROR('Cash Flow Data'!D28,0)</f>
        <v>2</v>
      </c>
      <c r="E136" s="14">
        <f>IFERROR('Cash Flow Data'!E28,0)</f>
        <v>0</v>
      </c>
      <c r="F136" s="14">
        <f>IFERROR('Cash Flow Data'!F28,0)</f>
        <v>0</v>
      </c>
      <c r="G136" s="14">
        <f>IFERROR('Cash Flow Data'!G28,0)</f>
        <v>0</v>
      </c>
      <c r="H136" s="14">
        <f>IFERROR('Cash Flow Data'!H28,0)</f>
        <v>0</v>
      </c>
      <c r="I136" s="14">
        <f>IFERROR('Cash Flow Data'!I28,0)</f>
        <v>0</v>
      </c>
      <c r="J136" s="14">
        <f>IFERROR('Cash Flow Data'!J28,0)</f>
        <v>0</v>
      </c>
      <c r="K136" s="14">
        <f>IFERROR('Cash Flow Data'!K28,0)</f>
        <v>0</v>
      </c>
      <c r="L136" s="14">
        <f>IFERROR('Cash Flow Data'!L28,0)</f>
        <v>0</v>
      </c>
    </row>
    <row r="137" spans="2:12" x14ac:dyDescent="0.3">
      <c r="B137" t="s">
        <v>102</v>
      </c>
      <c r="C137" s="14">
        <f>IFERROR('Cash Flow Data'!C29,0)</f>
        <v>0</v>
      </c>
      <c r="D137" s="14">
        <f>IFERROR('Cash Flow Data'!D29,0)</f>
        <v>0</v>
      </c>
      <c r="E137" s="14">
        <f>IFERROR('Cash Flow Data'!E29,0)</f>
        <v>177</v>
      </c>
      <c r="F137" s="14">
        <f>IFERROR('Cash Flow Data'!F29,0)</f>
        <v>460</v>
      </c>
      <c r="G137" s="14">
        <f>IFERROR('Cash Flow Data'!G29,0)</f>
        <v>0</v>
      </c>
      <c r="H137" s="14">
        <f>IFERROR('Cash Flow Data'!H29,0)</f>
        <v>99</v>
      </c>
      <c r="I137" s="14">
        <f>IFERROR('Cash Flow Data'!I29,0)</f>
        <v>0</v>
      </c>
      <c r="J137" s="14">
        <f>IFERROR('Cash Flow Data'!J29,0)</f>
        <v>188</v>
      </c>
      <c r="K137" s="14">
        <f>IFERROR('Cash Flow Data'!K29,0)</f>
        <v>55</v>
      </c>
      <c r="L137" s="14">
        <f>IFERROR('Cash Flow Data'!L29,0)</f>
        <v>286</v>
      </c>
    </row>
    <row r="138" spans="2:12" x14ac:dyDescent="0.3">
      <c r="B138" t="s">
        <v>103</v>
      </c>
      <c r="C138" s="14">
        <f>IFERROR('Cash Flow Data'!C30,0)</f>
        <v>-15</v>
      </c>
      <c r="D138" s="14">
        <f>IFERROR('Cash Flow Data'!D30,0)</f>
        <v>-3</v>
      </c>
      <c r="E138" s="14">
        <f>IFERROR('Cash Flow Data'!E30,0)</f>
        <v>0</v>
      </c>
      <c r="F138" s="14">
        <f>IFERROR('Cash Flow Data'!F30,0)</f>
        <v>-360</v>
      </c>
      <c r="G138" s="14">
        <f>IFERROR('Cash Flow Data'!G30,0)</f>
        <v>-277</v>
      </c>
      <c r="H138" s="14">
        <f>IFERROR('Cash Flow Data'!H30,0)</f>
        <v>0</v>
      </c>
      <c r="I138" s="14">
        <f>IFERROR('Cash Flow Data'!I30,0)</f>
        <v>-99</v>
      </c>
      <c r="J138" s="14">
        <f>IFERROR('Cash Flow Data'!J30,0)</f>
        <v>-188</v>
      </c>
      <c r="K138" s="14">
        <f>IFERROR('Cash Flow Data'!K30,0)</f>
        <v>-55</v>
      </c>
      <c r="L138" s="14">
        <f>IFERROR('Cash Flow Data'!L30,0)</f>
        <v>-208</v>
      </c>
    </row>
    <row r="139" spans="2:12" x14ac:dyDescent="0.3">
      <c r="B139" t="s">
        <v>104</v>
      </c>
      <c r="C139" s="14">
        <f>IFERROR('Cash Flow Data'!C31,0)</f>
        <v>-29</v>
      </c>
      <c r="D139" s="14">
        <f>IFERROR('Cash Flow Data'!D31,0)</f>
        <v>-18</v>
      </c>
      <c r="E139" s="14">
        <f>IFERROR('Cash Flow Data'!E31,0)</f>
        <v>-2</v>
      </c>
      <c r="F139" s="14">
        <f>IFERROR('Cash Flow Data'!F31,0)</f>
        <v>-14</v>
      </c>
      <c r="G139" s="14">
        <f>IFERROR('Cash Flow Data'!G31,0)</f>
        <v>-6</v>
      </c>
      <c r="H139" s="14">
        <f>IFERROR('Cash Flow Data'!H31,0)</f>
        <v>-7</v>
      </c>
      <c r="I139" s="14">
        <f>IFERROR('Cash Flow Data'!I31,0)</f>
        <v>-90</v>
      </c>
      <c r="J139" s="14">
        <f>IFERROR('Cash Flow Data'!J31,0)</f>
        <v>-92</v>
      </c>
      <c r="K139" s="14">
        <f>IFERROR('Cash Flow Data'!K31,0)</f>
        <v>-82</v>
      </c>
      <c r="L139" s="14">
        <f>IFERROR('Cash Flow Data'!L31,0)</f>
        <v>-88</v>
      </c>
    </row>
    <row r="140" spans="2:12" x14ac:dyDescent="0.3">
      <c r="B140" t="s">
        <v>105</v>
      </c>
      <c r="C140" s="14">
        <f>IFERROR('Cash Flow Data'!C32,0)</f>
        <v>-2481</v>
      </c>
      <c r="D140" s="14">
        <f>IFERROR('Cash Flow Data'!D32,0)</f>
        <v>-2912</v>
      </c>
      <c r="E140" s="14">
        <f>IFERROR('Cash Flow Data'!E32,0)</f>
        <v>-3354</v>
      </c>
      <c r="F140" s="14">
        <f>IFERROR('Cash Flow Data'!F32,0)</f>
        <v>-3572</v>
      </c>
      <c r="G140" s="14">
        <f>IFERROR('Cash Flow Data'!G32,0)</f>
        <v>-3911</v>
      </c>
      <c r="H140" s="14">
        <f>IFERROR('Cash Flow Data'!H32,0)</f>
        <v>-4554</v>
      </c>
      <c r="I140" s="14">
        <f>IFERROR('Cash Flow Data'!I32,0)</f>
        <v>-5196</v>
      </c>
      <c r="J140" s="14">
        <f>IFERROR('Cash Flow Data'!J32,0)</f>
        <v>-8811</v>
      </c>
      <c r="K140" s="14">
        <f>IFERROR('Cash Flow Data'!K32,0)</f>
        <v>-7526</v>
      </c>
      <c r="L140" s="14">
        <f>IFERROR('Cash Flow Data'!L32,0)</f>
        <v>-8474</v>
      </c>
    </row>
    <row r="141" spans="2:12" x14ac:dyDescent="0.3">
      <c r="B141" t="s">
        <v>106</v>
      </c>
      <c r="C141" s="14">
        <f>IFERROR('Cash Flow Data'!C33,0)</f>
        <v>0</v>
      </c>
      <c r="D141" s="14">
        <f>IFERROR('Cash Flow Data'!D33,0)</f>
        <v>0</v>
      </c>
      <c r="E141" s="14">
        <f>IFERROR('Cash Flow Data'!E33,0)</f>
        <v>0</v>
      </c>
      <c r="F141" s="14">
        <f>IFERROR('Cash Flow Data'!F33,0)</f>
        <v>0</v>
      </c>
      <c r="G141" s="14">
        <f>IFERROR('Cash Flow Data'!G33,0)</f>
        <v>0</v>
      </c>
      <c r="H141" s="14">
        <f>IFERROR('Cash Flow Data'!H33,0)</f>
        <v>0</v>
      </c>
      <c r="I141" s="14">
        <f>IFERROR('Cash Flow Data'!I33,0)</f>
        <v>-373</v>
      </c>
      <c r="J141" s="14">
        <f>IFERROR('Cash Flow Data'!J33,0)</f>
        <v>-406</v>
      </c>
      <c r="K141" s="14">
        <f>IFERROR('Cash Flow Data'!K33,0)</f>
        <v>-407</v>
      </c>
      <c r="L141" s="14">
        <f>IFERROR('Cash Flow Data'!L33,0)</f>
        <v>-467</v>
      </c>
    </row>
    <row r="142" spans="2:12" x14ac:dyDescent="0.3">
      <c r="B142" t="s">
        <v>107</v>
      </c>
      <c r="C142" s="14">
        <f>IFERROR('Cash Flow Data'!C34,0)</f>
        <v>-437</v>
      </c>
      <c r="D142" s="14">
        <f>IFERROR('Cash Flow Data'!D34,0)</f>
        <v>-533</v>
      </c>
      <c r="E142" s="14">
        <f>IFERROR('Cash Flow Data'!E34,0)</f>
        <v>-685</v>
      </c>
      <c r="F142" s="14">
        <f>IFERROR('Cash Flow Data'!F34,0)</f>
        <v>-728</v>
      </c>
      <c r="G142" s="14">
        <f>IFERROR('Cash Flow Data'!G34,0)</f>
        <v>-781</v>
      </c>
      <c r="H142" s="14">
        <f>IFERROR('Cash Flow Data'!H34,0)</f>
        <v>-928</v>
      </c>
      <c r="I142" s="14">
        <f>IFERROR('Cash Flow Data'!I34,0)</f>
        <v>-1061</v>
      </c>
      <c r="J142" s="14">
        <f>IFERROR('Cash Flow Data'!J34,0)</f>
        <v>0</v>
      </c>
      <c r="K142" s="14">
        <f>IFERROR('Cash Flow Data'!K34,0)</f>
        <v>0</v>
      </c>
      <c r="L142" s="14">
        <f>IFERROR('Cash Flow Data'!L34,0)</f>
        <v>-2</v>
      </c>
    </row>
    <row r="143" spans="2:12" x14ac:dyDescent="0.3">
      <c r="B143" s="13" t="s">
        <v>114</v>
      </c>
      <c r="C143" s="26">
        <f t="shared" ref="C143:L143" si="51">SUM(C136:C142)</f>
        <v>-2960</v>
      </c>
      <c r="D143" s="26">
        <f t="shared" si="51"/>
        <v>-3464</v>
      </c>
      <c r="E143" s="26">
        <f t="shared" si="51"/>
        <v>-3864</v>
      </c>
      <c r="F143" s="26">
        <f t="shared" si="51"/>
        <v>-4214</v>
      </c>
      <c r="G143" s="26">
        <f t="shared" si="51"/>
        <v>-4975</v>
      </c>
      <c r="H143" s="26">
        <f t="shared" si="51"/>
        <v>-5390</v>
      </c>
      <c r="I143" s="26">
        <f t="shared" si="51"/>
        <v>-6819</v>
      </c>
      <c r="J143" s="26">
        <f t="shared" si="51"/>
        <v>-9309</v>
      </c>
      <c r="K143" s="26">
        <f t="shared" si="51"/>
        <v>-8015</v>
      </c>
      <c r="L143" s="26">
        <f t="shared" si="51"/>
        <v>-8953</v>
      </c>
    </row>
    <row r="145" spans="2:12" x14ac:dyDescent="0.3">
      <c r="B145" s="13" t="s">
        <v>52</v>
      </c>
      <c r="C145" s="26">
        <f t="shared" ref="C145:L145" si="52">IFERROR(C119+C133+C143,0)</f>
        <v>382</v>
      </c>
      <c r="D145" s="26">
        <f t="shared" si="52"/>
        <v>-36</v>
      </c>
      <c r="E145" s="26">
        <f t="shared" si="52"/>
        <v>25</v>
      </c>
      <c r="F145" s="26">
        <f t="shared" si="52"/>
        <v>-202</v>
      </c>
      <c r="G145" s="26">
        <f t="shared" si="52"/>
        <v>21</v>
      </c>
      <c r="H145" s="26">
        <f t="shared" si="52"/>
        <v>-28</v>
      </c>
      <c r="I145" s="26">
        <f t="shared" si="52"/>
        <v>2595</v>
      </c>
      <c r="J145" s="26">
        <f t="shared" si="52"/>
        <v>-1374</v>
      </c>
      <c r="K145" s="26">
        <f t="shared" si="52"/>
        <v>-695</v>
      </c>
      <c r="L145" s="26">
        <f t="shared" si="52"/>
        <v>-446</v>
      </c>
    </row>
  </sheetData>
  <mergeCells count="2">
    <mergeCell ref="B2:N2"/>
    <mergeCell ref="B56:N56"/>
  </mergeCells>
  <pageMargins left="0.7" right="0.7" top="0.75" bottom="0.75" header="0.3" footer="0.3"/>
  <pageSetup scale="81" fitToWidth="0" orientation="portrait" r:id="rId1"/>
  <rowBreaks count="2" manualBreakCount="2">
    <brk id="54" max="16383" man="1"/>
    <brk id="100" max="16383" man="1"/>
  </rowBreaks>
  <ignoredErrors>
    <ignoredError sqref="C15:L15" formulaRange="1"/>
    <ignoredError sqref="L45" formula="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DEAB5-1258-49C9-9C0B-A8027D874526}">
  <sheetPr>
    <tabColor theme="8" tint="-0.499984740745262"/>
  </sheetPr>
  <dimension ref="A1"/>
  <sheetViews>
    <sheetView workbookViewId="0">
      <selection activeCell="F25" sqref="F25"/>
    </sheetView>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8B414-43EE-4FFE-B14C-A002C9EDC0A7}">
  <dimension ref="A1:L93"/>
  <sheetViews>
    <sheetView workbookViewId="0">
      <pane xSplit="1" ySplit="1" topLeftCell="B13" activePane="bottomRight" state="frozen"/>
      <selection activeCell="C4" sqref="C4"/>
      <selection pane="topRight" activeCell="C4" sqref="C4"/>
      <selection pane="bottomLeft" activeCell="C4" sqref="C4"/>
      <selection pane="bottomRight" activeCell="E1" sqref="E1:K1"/>
    </sheetView>
  </sheetViews>
  <sheetFormatPr defaultColWidth="10.44140625" defaultRowHeight="13.2" x14ac:dyDescent="0.25"/>
  <cols>
    <col min="1" max="1" width="26.6640625" style="2" bestFit="1" customWidth="1"/>
    <col min="2" max="11" width="11.44140625" style="2" bestFit="1" customWidth="1"/>
    <col min="12" max="16384" width="10.44140625" style="2"/>
  </cols>
  <sheetData>
    <row r="1" spans="1:11" s="1" customFormat="1" x14ac:dyDescent="0.25">
      <c r="A1" s="1" t="s">
        <v>0</v>
      </c>
      <c r="B1" s="1" t="s">
        <v>1</v>
      </c>
      <c r="E1" s="200" t="str">
        <f>IF(B2&lt;&gt;B3, "A NEW VERSION OF THE WORKSHEET IS AVAILABLE", "")</f>
        <v/>
      </c>
      <c r="F1" s="200"/>
      <c r="G1" s="200"/>
      <c r="H1" s="200"/>
      <c r="I1" s="200"/>
      <c r="J1" s="200"/>
      <c r="K1" s="200"/>
    </row>
    <row r="2" spans="1:11" x14ac:dyDescent="0.25">
      <c r="A2" s="1" t="s">
        <v>2</v>
      </c>
      <c r="B2" s="2">
        <v>2.1</v>
      </c>
      <c r="E2" s="201" t="s">
        <v>3</v>
      </c>
      <c r="F2" s="201"/>
      <c r="G2" s="201"/>
      <c r="H2" s="201"/>
      <c r="I2" s="201"/>
      <c r="J2" s="201"/>
      <c r="K2" s="201"/>
    </row>
    <row r="3" spans="1:11" x14ac:dyDescent="0.25">
      <c r="A3" s="1" t="s">
        <v>4</v>
      </c>
      <c r="B3" s="2">
        <v>2.1</v>
      </c>
    </row>
    <row r="4" spans="1:11" x14ac:dyDescent="0.25">
      <c r="A4" s="1"/>
    </row>
    <row r="5" spans="1:11" x14ac:dyDescent="0.25">
      <c r="A5" s="1" t="s">
        <v>5</v>
      </c>
    </row>
    <row r="6" spans="1:11" x14ac:dyDescent="0.25">
      <c r="A6" s="2" t="s">
        <v>6</v>
      </c>
      <c r="B6" s="2">
        <f>IF(B9&gt;0, B9/B8, 0)</f>
        <v>234.9591246306131</v>
      </c>
    </row>
    <row r="7" spans="1:11" x14ac:dyDescent="0.25">
      <c r="A7" s="2" t="s">
        <v>7</v>
      </c>
      <c r="B7" s="3">
        <v>1</v>
      </c>
    </row>
    <row r="8" spans="1:11" x14ac:dyDescent="0.25">
      <c r="A8" s="2" t="s">
        <v>8</v>
      </c>
      <c r="B8" s="3">
        <v>2419.5500000000002</v>
      </c>
    </row>
    <row r="9" spans="1:11" x14ac:dyDescent="0.25">
      <c r="A9" s="2" t="s">
        <v>9</v>
      </c>
      <c r="B9" s="3">
        <v>568495.35</v>
      </c>
    </row>
    <row r="15" spans="1:11" x14ac:dyDescent="0.25">
      <c r="A15" s="1" t="s">
        <v>10</v>
      </c>
      <c r="B15" s="2">
        <f>B26+B34</f>
        <v>5836.77</v>
      </c>
      <c r="K15" s="2">
        <f>K17-K18-K20-K21-K22-K23-K19</f>
        <v>16264</v>
      </c>
    </row>
    <row r="16" spans="1:11" s="6" customFormat="1" x14ac:dyDescent="0.25">
      <c r="A16" s="4" t="s">
        <v>11</v>
      </c>
      <c r="B16" s="5">
        <v>41729</v>
      </c>
      <c r="C16" s="5">
        <v>42094</v>
      </c>
      <c r="D16" s="5">
        <v>42460</v>
      </c>
      <c r="E16" s="5">
        <v>42825</v>
      </c>
      <c r="F16" s="5">
        <v>43190</v>
      </c>
      <c r="G16" s="5">
        <v>43555</v>
      </c>
      <c r="H16" s="5">
        <v>43921</v>
      </c>
      <c r="I16" s="5">
        <v>44286</v>
      </c>
      <c r="J16" s="5">
        <v>44651</v>
      </c>
      <c r="K16" s="5">
        <v>45016</v>
      </c>
    </row>
    <row r="17" spans="1:11" x14ac:dyDescent="0.25">
      <c r="A17" s="2" t="s">
        <v>12</v>
      </c>
      <c r="B17" s="3">
        <v>29233.74</v>
      </c>
      <c r="C17" s="3">
        <v>31972.19</v>
      </c>
      <c r="D17" s="3">
        <v>32186</v>
      </c>
      <c r="E17" s="3">
        <v>33162</v>
      </c>
      <c r="F17" s="3">
        <v>35545</v>
      </c>
      <c r="G17" s="3">
        <v>39310</v>
      </c>
      <c r="H17" s="3">
        <v>39783</v>
      </c>
      <c r="I17" s="3">
        <v>47028</v>
      </c>
      <c r="J17" s="3">
        <v>52446</v>
      </c>
      <c r="K17" s="28">
        <v>60580</v>
      </c>
    </row>
    <row r="18" spans="1:11" ht="14.4" x14ac:dyDescent="0.3">
      <c r="A18" s="2" t="s">
        <v>13</v>
      </c>
      <c r="B18" s="7">
        <v>12644.63</v>
      </c>
      <c r="C18" s="7">
        <v>13509.4</v>
      </c>
      <c r="D18" s="7">
        <v>13184</v>
      </c>
      <c r="E18" s="7">
        <v>13606</v>
      </c>
      <c r="F18" s="7">
        <v>14233</v>
      </c>
      <c r="G18" s="7">
        <v>15845</v>
      </c>
      <c r="H18" s="7">
        <v>15697</v>
      </c>
      <c r="I18" s="7">
        <v>20141</v>
      </c>
      <c r="J18" s="7">
        <v>22871</v>
      </c>
      <c r="K18" s="7">
        <v>28427</v>
      </c>
    </row>
    <row r="19" spans="1:11" ht="14.4" x14ac:dyDescent="0.3">
      <c r="A19" s="2" t="s">
        <v>14</v>
      </c>
      <c r="B19" s="7">
        <v>171.3</v>
      </c>
      <c r="C19" s="7">
        <v>-57.04</v>
      </c>
      <c r="D19" s="7">
        <v>-83</v>
      </c>
      <c r="E19" s="7">
        <v>-144</v>
      </c>
      <c r="F19" s="7">
        <v>72</v>
      </c>
      <c r="G19" s="7">
        <v>-12</v>
      </c>
      <c r="H19" s="7">
        <v>108</v>
      </c>
      <c r="I19" s="7">
        <v>405</v>
      </c>
      <c r="J19" s="7">
        <v>22</v>
      </c>
      <c r="K19" s="7">
        <v>75</v>
      </c>
    </row>
    <row r="20" spans="1:11" x14ac:dyDescent="0.25">
      <c r="A20" s="2" t="s">
        <v>15</v>
      </c>
      <c r="B20" s="3">
        <v>362.76</v>
      </c>
      <c r="C20" s="3">
        <v>346.97</v>
      </c>
      <c r="D20" s="3">
        <v>309</v>
      </c>
      <c r="E20" s="3">
        <v>295</v>
      </c>
      <c r="F20" s="3">
        <v>295</v>
      </c>
      <c r="G20" s="3">
        <v>308</v>
      </c>
      <c r="H20" s="3">
        <v>299</v>
      </c>
      <c r="I20" s="3">
        <v>339</v>
      </c>
      <c r="J20" s="3">
        <v>318</v>
      </c>
      <c r="K20" s="3">
        <v>384</v>
      </c>
    </row>
    <row r="21" spans="1:11" x14ac:dyDescent="0.25">
      <c r="A21" s="2" t="s">
        <v>16</v>
      </c>
      <c r="B21" s="3">
        <v>2939.55</v>
      </c>
      <c r="C21" s="3">
        <v>3164.64</v>
      </c>
      <c r="D21" s="3">
        <v>2966</v>
      </c>
      <c r="E21" s="3">
        <v>2887</v>
      </c>
      <c r="F21" s="3">
        <v>2998</v>
      </c>
      <c r="G21" s="3">
        <v>3041</v>
      </c>
      <c r="H21" s="3">
        <v>2906</v>
      </c>
      <c r="I21" s="3">
        <v>2868</v>
      </c>
      <c r="J21" s="3">
        <v>3354</v>
      </c>
      <c r="K21" s="3">
        <v>3791</v>
      </c>
    </row>
    <row r="22" spans="1:11" x14ac:dyDescent="0.25">
      <c r="A22" s="2" t="s">
        <v>17</v>
      </c>
      <c r="B22" s="3">
        <v>1572.66</v>
      </c>
      <c r="C22" s="3">
        <v>1723.87</v>
      </c>
      <c r="D22" s="3">
        <v>1680</v>
      </c>
      <c r="E22" s="3">
        <v>1743</v>
      </c>
      <c r="F22" s="3">
        <v>1860</v>
      </c>
      <c r="G22" s="3">
        <v>1875</v>
      </c>
      <c r="H22" s="3">
        <v>1820</v>
      </c>
      <c r="I22" s="3">
        <v>2358</v>
      </c>
      <c r="J22" s="3">
        <v>2545</v>
      </c>
      <c r="K22" s="3">
        <v>2854</v>
      </c>
    </row>
    <row r="23" spans="1:11" x14ac:dyDescent="0.25">
      <c r="A23" s="2" t="s">
        <v>18</v>
      </c>
      <c r="B23" s="3">
        <v>6117.42</v>
      </c>
      <c r="C23" s="3">
        <v>6769.04</v>
      </c>
      <c r="D23" s="3">
        <v>6741</v>
      </c>
      <c r="E23" s="3">
        <v>6689</v>
      </c>
      <c r="F23" s="3">
        <v>7252</v>
      </c>
      <c r="G23" s="3">
        <v>7796</v>
      </c>
      <c r="H23" s="3">
        <v>7620</v>
      </c>
      <c r="I23" s="3">
        <v>7898</v>
      </c>
      <c r="J23" s="3">
        <v>8164</v>
      </c>
      <c r="K23" s="28">
        <v>8785</v>
      </c>
    </row>
    <row r="24" spans="1:11" x14ac:dyDescent="0.25">
      <c r="A24" s="2" t="s">
        <v>19</v>
      </c>
      <c r="B24" s="3">
        <v>1009.01</v>
      </c>
      <c r="C24" s="3">
        <v>988.81</v>
      </c>
      <c r="D24" s="3">
        <v>1313</v>
      </c>
      <c r="E24" s="3">
        <v>1470</v>
      </c>
      <c r="F24" s="3">
        <v>1480</v>
      </c>
      <c r="G24" s="3">
        <v>1553</v>
      </c>
      <c r="H24" s="3">
        <v>1696</v>
      </c>
      <c r="I24" s="3">
        <v>2203</v>
      </c>
      <c r="J24" s="3">
        <v>2359</v>
      </c>
      <c r="K24" s="28">
        <v>2266</v>
      </c>
    </row>
    <row r="25" spans="1:11" x14ac:dyDescent="0.25">
      <c r="A25" s="2" t="s">
        <v>20</v>
      </c>
      <c r="B25" s="3">
        <v>792.39</v>
      </c>
      <c r="C25" s="3">
        <v>1247.18</v>
      </c>
      <c r="D25" s="3">
        <v>486</v>
      </c>
      <c r="E25" s="3">
        <v>606</v>
      </c>
      <c r="F25" s="3">
        <v>353</v>
      </c>
      <c r="G25" s="3">
        <v>322</v>
      </c>
      <c r="H25" s="3">
        <v>432</v>
      </c>
      <c r="I25" s="3">
        <v>170</v>
      </c>
      <c r="J25" s="3">
        <v>219</v>
      </c>
      <c r="K25" s="3">
        <v>447</v>
      </c>
    </row>
    <row r="26" spans="1:11" x14ac:dyDescent="0.25">
      <c r="A26" s="2" t="s">
        <v>21</v>
      </c>
      <c r="B26" s="3">
        <v>295.54000000000002</v>
      </c>
      <c r="C26" s="3">
        <v>322.39</v>
      </c>
      <c r="D26" s="3">
        <v>353</v>
      </c>
      <c r="E26" s="3">
        <v>432</v>
      </c>
      <c r="F26" s="3">
        <v>520</v>
      </c>
      <c r="G26" s="3">
        <v>565</v>
      </c>
      <c r="H26" s="3">
        <v>1002</v>
      </c>
      <c r="I26" s="3">
        <v>1074</v>
      </c>
      <c r="J26" s="3">
        <v>1091</v>
      </c>
      <c r="K26" s="28">
        <v>1137</v>
      </c>
    </row>
    <row r="27" spans="1:11" ht="14.4" x14ac:dyDescent="0.3">
      <c r="A27" s="2" t="s">
        <v>22</v>
      </c>
      <c r="B27" s="3">
        <v>40.68</v>
      </c>
      <c r="C27" s="3">
        <v>17.7</v>
      </c>
      <c r="D27" s="3">
        <v>17</v>
      </c>
      <c r="E27" s="3">
        <v>35</v>
      </c>
      <c r="F27" s="3">
        <v>26</v>
      </c>
      <c r="G27" s="3">
        <v>33</v>
      </c>
      <c r="H27" s="3">
        <v>118</v>
      </c>
      <c r="I27" s="3">
        <v>117</v>
      </c>
      <c r="J27" s="7">
        <v>106</v>
      </c>
      <c r="K27" s="29">
        <v>114</v>
      </c>
    </row>
    <row r="28" spans="1:11" x14ac:dyDescent="0.25">
      <c r="A28" s="2" t="s">
        <v>23</v>
      </c>
      <c r="B28" s="3">
        <v>5215.18</v>
      </c>
      <c r="C28" s="3">
        <v>6319.51</v>
      </c>
      <c r="D28" s="3">
        <v>6026</v>
      </c>
      <c r="E28" s="3">
        <v>6467</v>
      </c>
      <c r="F28" s="3">
        <v>7306</v>
      </c>
      <c r="G28" s="3">
        <v>8604</v>
      </c>
      <c r="H28" s="3">
        <v>9165</v>
      </c>
      <c r="I28" s="3">
        <v>10605</v>
      </c>
      <c r="J28" s="3">
        <v>11879</v>
      </c>
      <c r="K28" s="3">
        <v>13344</v>
      </c>
    </row>
    <row r="29" spans="1:11" x14ac:dyDescent="0.25">
      <c r="A29" s="2" t="s">
        <v>24</v>
      </c>
      <c r="B29" s="3">
        <v>1259.44</v>
      </c>
      <c r="C29" s="3">
        <v>1944</v>
      </c>
      <c r="D29" s="3">
        <v>1875</v>
      </c>
      <c r="E29" s="3">
        <v>1977</v>
      </c>
      <c r="F29" s="3">
        <v>2079</v>
      </c>
      <c r="G29" s="3">
        <v>2544</v>
      </c>
      <c r="H29" s="3">
        <v>2409</v>
      </c>
      <c r="I29" s="3">
        <v>2606</v>
      </c>
      <c r="J29" s="3">
        <v>2987</v>
      </c>
      <c r="K29" s="3">
        <v>3201</v>
      </c>
    </row>
    <row r="30" spans="1:11" x14ac:dyDescent="0.25">
      <c r="A30" s="2" t="s">
        <v>25</v>
      </c>
      <c r="B30" s="3">
        <v>3945.57</v>
      </c>
      <c r="C30" s="3">
        <v>4363.08</v>
      </c>
      <c r="D30" s="3">
        <v>4151</v>
      </c>
      <c r="E30" s="3">
        <v>4476</v>
      </c>
      <c r="F30" s="3">
        <v>5214</v>
      </c>
      <c r="G30" s="3">
        <v>6054</v>
      </c>
      <c r="H30" s="3">
        <v>6748</v>
      </c>
      <c r="I30" s="3">
        <v>7995</v>
      </c>
      <c r="J30" s="3">
        <v>8879</v>
      </c>
      <c r="K30" s="3">
        <v>10120</v>
      </c>
    </row>
    <row r="31" spans="1:11" x14ac:dyDescent="0.25">
      <c r="A31" s="2" t="s">
        <v>26</v>
      </c>
      <c r="B31" s="3">
        <v>2811.51</v>
      </c>
      <c r="C31" s="3">
        <v>3245.25</v>
      </c>
      <c r="D31" s="3">
        <v>3456</v>
      </c>
      <c r="E31" s="3">
        <v>3672</v>
      </c>
      <c r="F31" s="3">
        <v>4320</v>
      </c>
      <c r="G31" s="3">
        <v>4752</v>
      </c>
      <c r="H31" s="3">
        <v>5400</v>
      </c>
      <c r="I31" s="3">
        <v>9517.5</v>
      </c>
      <c r="J31" s="3">
        <v>7990</v>
      </c>
      <c r="K31" s="3">
        <v>9165</v>
      </c>
    </row>
    <row r="32" spans="1:11" x14ac:dyDescent="0.25">
      <c r="A32" s="2" t="s">
        <v>27</v>
      </c>
      <c r="B32" s="8">
        <f>B29/B28</f>
        <v>0.24149502030610639</v>
      </c>
      <c r="C32" s="8">
        <f t="shared" ref="C32:K32" si="0">C29/C28</f>
        <v>0.30761878689961719</v>
      </c>
      <c r="D32" s="8">
        <f t="shared" si="0"/>
        <v>0.31115167607036176</v>
      </c>
      <c r="E32" s="8">
        <f t="shared" si="0"/>
        <v>0.30570589144889437</v>
      </c>
      <c r="F32" s="8">
        <f t="shared" si="0"/>
        <v>0.2845606350944429</v>
      </c>
      <c r="G32" s="8">
        <f t="shared" si="0"/>
        <v>0.29567642956764295</v>
      </c>
      <c r="H32" s="8">
        <f t="shared" si="0"/>
        <v>0.26284779050736495</v>
      </c>
      <c r="I32" s="8">
        <f t="shared" si="0"/>
        <v>0.24573314474304572</v>
      </c>
      <c r="J32" s="8">
        <f t="shared" si="0"/>
        <v>0.25145214243623198</v>
      </c>
      <c r="K32" s="8">
        <f t="shared" si="0"/>
        <v>0.23988309352517986</v>
      </c>
    </row>
    <row r="34" spans="1:11" x14ac:dyDescent="0.25">
      <c r="A34" s="2" t="s">
        <v>28</v>
      </c>
      <c r="B34" s="2">
        <f>+B30+B29+B27+B26</f>
        <v>5541.2300000000005</v>
      </c>
      <c r="C34" s="2">
        <f t="shared" ref="C34:K34" si="1">+C30+C29+C27+C26</f>
        <v>6647.17</v>
      </c>
      <c r="D34" s="2">
        <f t="shared" si="1"/>
        <v>6396</v>
      </c>
      <c r="E34" s="2">
        <f t="shared" si="1"/>
        <v>6920</v>
      </c>
      <c r="F34" s="2">
        <f t="shared" si="1"/>
        <v>7839</v>
      </c>
      <c r="G34" s="2">
        <f t="shared" si="1"/>
        <v>9196</v>
      </c>
      <c r="H34" s="2">
        <f t="shared" si="1"/>
        <v>10277</v>
      </c>
      <c r="I34" s="2">
        <f t="shared" si="1"/>
        <v>11792</v>
      </c>
      <c r="J34" s="2">
        <f t="shared" si="1"/>
        <v>13063</v>
      </c>
      <c r="K34" s="2">
        <f t="shared" si="1"/>
        <v>14572</v>
      </c>
    </row>
    <row r="40" spans="1:11" x14ac:dyDescent="0.25">
      <c r="A40" s="1" t="s">
        <v>29</v>
      </c>
    </row>
    <row r="41" spans="1:11" s="6" customFormat="1" x14ac:dyDescent="0.25">
      <c r="A41" s="4" t="s">
        <v>11</v>
      </c>
      <c r="B41" s="5">
        <v>44469</v>
      </c>
      <c r="C41" s="5">
        <v>44561</v>
      </c>
      <c r="D41" s="5">
        <v>44651</v>
      </c>
      <c r="E41" s="5">
        <v>44742</v>
      </c>
      <c r="F41" s="5">
        <v>44834</v>
      </c>
      <c r="G41" s="5">
        <v>44926</v>
      </c>
      <c r="H41" s="5">
        <v>45016</v>
      </c>
      <c r="I41" s="5">
        <v>45107</v>
      </c>
      <c r="J41" s="5">
        <v>45199</v>
      </c>
      <c r="K41" s="5">
        <v>45291</v>
      </c>
    </row>
    <row r="42" spans="1:11" x14ac:dyDescent="0.25">
      <c r="A42" s="2" t="s">
        <v>12</v>
      </c>
      <c r="B42" s="3">
        <v>13046</v>
      </c>
      <c r="C42" s="3">
        <v>13439</v>
      </c>
      <c r="D42" s="3">
        <v>13767</v>
      </c>
      <c r="E42" s="3">
        <v>14624</v>
      </c>
      <c r="F42" s="3">
        <v>15144</v>
      </c>
      <c r="G42" s="3">
        <v>15597</v>
      </c>
      <c r="H42" s="3">
        <v>15215</v>
      </c>
      <c r="I42" s="3">
        <v>15496</v>
      </c>
      <c r="J42" s="3">
        <v>15623</v>
      </c>
      <c r="K42" s="3">
        <v>15567</v>
      </c>
    </row>
    <row r="43" spans="1:11" x14ac:dyDescent="0.25">
      <c r="A43" s="2" t="s">
        <v>30</v>
      </c>
      <c r="B43" s="3">
        <v>9820</v>
      </c>
      <c r="C43" s="3">
        <v>10030</v>
      </c>
      <c r="D43" s="3">
        <v>10466</v>
      </c>
      <c r="E43" s="3">
        <v>11222</v>
      </c>
      <c r="F43" s="3">
        <v>11665</v>
      </c>
      <c r="G43" s="3">
        <v>11903</v>
      </c>
      <c r="H43" s="3">
        <v>11642</v>
      </c>
      <c r="I43" s="3">
        <v>11832</v>
      </c>
      <c r="J43" s="3">
        <v>11828</v>
      </c>
      <c r="K43" s="3">
        <v>11902</v>
      </c>
    </row>
    <row r="44" spans="1:11" x14ac:dyDescent="0.25">
      <c r="A44" s="2" t="s">
        <v>20</v>
      </c>
      <c r="B44" s="3">
        <v>51</v>
      </c>
      <c r="C44" s="3">
        <v>-7</v>
      </c>
      <c r="D44" s="3">
        <v>136</v>
      </c>
      <c r="E44" s="3">
        <v>121</v>
      </c>
      <c r="F44" s="3">
        <v>80</v>
      </c>
      <c r="G44" s="3">
        <v>7</v>
      </c>
      <c r="H44" s="3">
        <v>239</v>
      </c>
      <c r="I44" s="3">
        <v>146</v>
      </c>
      <c r="J44" s="3">
        <v>178</v>
      </c>
      <c r="K44" s="3">
        <v>184</v>
      </c>
    </row>
    <row r="45" spans="1:11" x14ac:dyDescent="0.25">
      <c r="A45" s="2" t="s">
        <v>21</v>
      </c>
      <c r="B45" s="3">
        <v>281</v>
      </c>
      <c r="C45" s="3">
        <v>272</v>
      </c>
      <c r="D45" s="3">
        <v>278</v>
      </c>
      <c r="E45" s="3">
        <v>281</v>
      </c>
      <c r="F45" s="3">
        <v>272</v>
      </c>
      <c r="G45" s="3">
        <v>293</v>
      </c>
      <c r="H45" s="3">
        <v>291</v>
      </c>
      <c r="I45" s="3">
        <v>286</v>
      </c>
      <c r="J45" s="3">
        <v>297</v>
      </c>
      <c r="K45" s="3">
        <v>313</v>
      </c>
    </row>
    <row r="46" spans="1:11" ht="14.4" x14ac:dyDescent="0.3">
      <c r="A46" s="2" t="s">
        <v>22</v>
      </c>
      <c r="B46" s="7">
        <v>28</v>
      </c>
      <c r="C46" s="7">
        <v>27</v>
      </c>
      <c r="D46" s="7">
        <v>38</v>
      </c>
      <c r="E46" s="7">
        <v>28</v>
      </c>
      <c r="F46" s="7">
        <v>28</v>
      </c>
      <c r="G46" s="7">
        <v>29</v>
      </c>
      <c r="H46" s="7">
        <v>29</v>
      </c>
      <c r="I46" s="7">
        <v>50</v>
      </c>
      <c r="J46" s="7">
        <v>88</v>
      </c>
      <c r="K46" s="7">
        <v>91</v>
      </c>
    </row>
    <row r="47" spans="1:11" x14ac:dyDescent="0.25">
      <c r="A47" s="2" t="s">
        <v>23</v>
      </c>
      <c r="B47" s="3">
        <v>2968</v>
      </c>
      <c r="C47" s="3">
        <v>3103</v>
      </c>
      <c r="D47" s="3">
        <v>3121</v>
      </c>
      <c r="E47" s="3">
        <v>3214</v>
      </c>
      <c r="F47" s="3">
        <v>3259</v>
      </c>
      <c r="G47" s="3">
        <v>3379</v>
      </c>
      <c r="H47" s="3">
        <v>3492</v>
      </c>
      <c r="I47" s="3">
        <v>3474</v>
      </c>
      <c r="J47" s="3">
        <v>3588</v>
      </c>
      <c r="K47" s="3">
        <v>3445</v>
      </c>
    </row>
    <row r="48" spans="1:11" x14ac:dyDescent="0.25">
      <c r="A48" s="2" t="s">
        <v>24</v>
      </c>
      <c r="B48" s="3">
        <v>783</v>
      </c>
      <c r="C48" s="3">
        <v>803</v>
      </c>
      <c r="D48" s="3">
        <v>814</v>
      </c>
      <c r="E48" s="3">
        <v>823</v>
      </c>
      <c r="F48" s="3">
        <v>589</v>
      </c>
      <c r="G48" s="3">
        <v>898</v>
      </c>
      <c r="H48" s="3">
        <v>891</v>
      </c>
      <c r="I48" s="3">
        <v>918</v>
      </c>
      <c r="J48" s="3">
        <v>931</v>
      </c>
      <c r="K48" s="3">
        <v>937</v>
      </c>
    </row>
    <row r="49" spans="1:11" x14ac:dyDescent="0.25">
      <c r="A49" s="2" t="s">
        <v>25</v>
      </c>
      <c r="B49" s="3">
        <v>2181</v>
      </c>
      <c r="C49" s="3">
        <v>2297</v>
      </c>
      <c r="D49" s="3">
        <v>2304</v>
      </c>
      <c r="E49" s="3">
        <v>2381</v>
      </c>
      <c r="F49" s="3">
        <v>2665</v>
      </c>
      <c r="G49" s="3">
        <v>2474</v>
      </c>
      <c r="H49" s="3">
        <v>2600</v>
      </c>
      <c r="I49" s="3">
        <v>2554</v>
      </c>
      <c r="J49" s="3">
        <v>2656</v>
      </c>
      <c r="K49" s="3">
        <v>2509</v>
      </c>
    </row>
    <row r="50" spans="1:11" x14ac:dyDescent="0.25">
      <c r="A50" s="2" t="s">
        <v>31</v>
      </c>
      <c r="B50" s="3">
        <v>3226</v>
      </c>
      <c r="C50" s="3">
        <v>3409</v>
      </c>
      <c r="D50" s="3">
        <v>3301</v>
      </c>
      <c r="E50" s="3">
        <v>3402</v>
      </c>
      <c r="F50" s="3">
        <v>3479</v>
      </c>
      <c r="G50" s="3">
        <v>3694</v>
      </c>
      <c r="H50" s="3">
        <v>3573</v>
      </c>
      <c r="I50" s="3">
        <v>3664</v>
      </c>
      <c r="J50" s="3">
        <v>3795</v>
      </c>
      <c r="K50" s="3">
        <v>3665</v>
      </c>
    </row>
    <row r="51" spans="1:11" x14ac:dyDescent="0.25">
      <c r="A51" s="2" t="s">
        <v>28</v>
      </c>
      <c r="B51" s="2">
        <f>B49+B48+B46+B45</f>
        <v>3273</v>
      </c>
      <c r="C51" s="2">
        <f t="shared" ref="C51:K51" si="2">C49+C48+C46+C45</f>
        <v>3399</v>
      </c>
      <c r="D51" s="2">
        <f t="shared" si="2"/>
        <v>3434</v>
      </c>
      <c r="E51" s="2">
        <f t="shared" si="2"/>
        <v>3513</v>
      </c>
      <c r="F51" s="2">
        <f t="shared" si="2"/>
        <v>3554</v>
      </c>
      <c r="G51" s="2">
        <f t="shared" si="2"/>
        <v>3694</v>
      </c>
      <c r="H51" s="2">
        <f t="shared" si="2"/>
        <v>3811</v>
      </c>
      <c r="I51" s="2">
        <f t="shared" si="2"/>
        <v>3808</v>
      </c>
      <c r="J51" s="2">
        <f t="shared" si="2"/>
        <v>3972</v>
      </c>
      <c r="K51" s="2">
        <f t="shared" si="2"/>
        <v>3850</v>
      </c>
    </row>
    <row r="55" spans="1:11" x14ac:dyDescent="0.25">
      <c r="A55" s="1" t="s">
        <v>32</v>
      </c>
    </row>
    <row r="56" spans="1:11" s="6" customFormat="1" x14ac:dyDescent="0.25">
      <c r="A56" s="4" t="s">
        <v>11</v>
      </c>
      <c r="B56" s="5">
        <v>41729</v>
      </c>
      <c r="C56" s="5">
        <v>42094</v>
      </c>
      <c r="D56" s="5">
        <v>42460</v>
      </c>
      <c r="E56" s="5">
        <v>42825</v>
      </c>
      <c r="F56" s="5">
        <v>43190</v>
      </c>
      <c r="G56" s="5">
        <v>43555</v>
      </c>
      <c r="H56" s="5">
        <v>43921</v>
      </c>
      <c r="I56" s="5">
        <v>44286</v>
      </c>
      <c r="J56" s="5">
        <v>44651</v>
      </c>
      <c r="K56" s="5">
        <v>45016</v>
      </c>
    </row>
    <row r="57" spans="1:11" x14ac:dyDescent="0.25">
      <c r="A57" s="2" t="s">
        <v>33</v>
      </c>
      <c r="B57" s="3">
        <v>216.27</v>
      </c>
      <c r="C57" s="3">
        <v>216.35</v>
      </c>
      <c r="D57" s="3">
        <v>216</v>
      </c>
      <c r="E57" s="3">
        <v>216</v>
      </c>
      <c r="F57" s="3">
        <v>216</v>
      </c>
      <c r="G57" s="3">
        <v>216</v>
      </c>
      <c r="H57" s="3">
        <v>216</v>
      </c>
      <c r="I57" s="3">
        <v>235</v>
      </c>
      <c r="J57" s="3">
        <v>235</v>
      </c>
      <c r="K57" s="3">
        <v>235</v>
      </c>
    </row>
    <row r="58" spans="1:11" x14ac:dyDescent="0.25">
      <c r="A58" s="2" t="s">
        <v>34</v>
      </c>
      <c r="B58" s="3">
        <v>3321.02</v>
      </c>
      <c r="C58" s="3">
        <v>3811.13</v>
      </c>
      <c r="D58" s="3">
        <v>6357</v>
      </c>
      <c r="E58" s="3">
        <v>6528</v>
      </c>
      <c r="F58" s="3">
        <v>7065</v>
      </c>
      <c r="G58" s="3">
        <v>7651</v>
      </c>
      <c r="H58" s="3">
        <v>8013</v>
      </c>
      <c r="I58" s="3">
        <v>47439</v>
      </c>
      <c r="J58" s="3">
        <v>48826</v>
      </c>
      <c r="K58" s="3">
        <v>50069</v>
      </c>
    </row>
    <row r="59" spans="1:11" ht="14.4" x14ac:dyDescent="0.3">
      <c r="A59" s="2" t="s">
        <v>35</v>
      </c>
      <c r="B59" s="7">
        <v>45.58</v>
      </c>
      <c r="C59" s="7">
        <v>43.04</v>
      </c>
      <c r="D59" s="7">
        <v>177</v>
      </c>
      <c r="E59" s="7">
        <v>277</v>
      </c>
      <c r="F59" s="7"/>
      <c r="G59" s="7">
        <v>99</v>
      </c>
      <c r="H59" s="7"/>
      <c r="I59" s="7">
        <v>1009</v>
      </c>
      <c r="J59" s="7">
        <v>1043</v>
      </c>
      <c r="K59" s="7">
        <v>1219</v>
      </c>
    </row>
    <row r="60" spans="1:11" x14ac:dyDescent="0.25">
      <c r="A60" s="2" t="s">
        <v>36</v>
      </c>
      <c r="B60" s="3">
        <v>10171.02</v>
      </c>
      <c r="C60" s="3">
        <v>10359.01</v>
      </c>
      <c r="D60" s="3">
        <v>8043</v>
      </c>
      <c r="E60" s="3">
        <v>8685</v>
      </c>
      <c r="F60" s="3">
        <v>10581</v>
      </c>
      <c r="G60" s="3">
        <v>10663</v>
      </c>
      <c r="H60" s="3">
        <v>11924</v>
      </c>
      <c r="I60" s="3">
        <v>20057</v>
      </c>
      <c r="J60" s="3">
        <v>20402</v>
      </c>
      <c r="K60" s="3">
        <v>21554</v>
      </c>
    </row>
    <row r="61" spans="1:11" s="1" customFormat="1" x14ac:dyDescent="0.25">
      <c r="A61" s="1" t="s">
        <v>37</v>
      </c>
      <c r="B61" s="3">
        <v>13753.89</v>
      </c>
      <c r="C61" s="3">
        <v>14429.53</v>
      </c>
      <c r="D61" s="3">
        <v>14793</v>
      </c>
      <c r="E61" s="3">
        <v>15706</v>
      </c>
      <c r="F61" s="3">
        <v>17862</v>
      </c>
      <c r="G61" s="3">
        <v>18629</v>
      </c>
      <c r="H61" s="3">
        <v>20153</v>
      </c>
      <c r="I61" s="3">
        <v>68740</v>
      </c>
      <c r="J61" s="3">
        <v>70506</v>
      </c>
      <c r="K61" s="3">
        <v>73077</v>
      </c>
    </row>
    <row r="62" spans="1:11" x14ac:dyDescent="0.25">
      <c r="A62" s="2" t="s">
        <v>38</v>
      </c>
      <c r="B62" s="3">
        <v>2746.24</v>
      </c>
      <c r="C62" s="3">
        <v>2821.01</v>
      </c>
      <c r="D62" s="3">
        <v>3258</v>
      </c>
      <c r="E62" s="3">
        <v>4419</v>
      </c>
      <c r="F62" s="3">
        <v>4528</v>
      </c>
      <c r="G62" s="3">
        <v>4715</v>
      </c>
      <c r="H62" s="3">
        <v>5479</v>
      </c>
      <c r="I62" s="3">
        <v>51443</v>
      </c>
      <c r="J62" s="3">
        <v>51473</v>
      </c>
      <c r="K62" s="3">
        <v>52678</v>
      </c>
    </row>
    <row r="63" spans="1:11" x14ac:dyDescent="0.25">
      <c r="A63" s="2" t="s">
        <v>39</v>
      </c>
      <c r="B63" s="3">
        <v>372.6</v>
      </c>
      <c r="C63" s="3">
        <v>516.29999999999995</v>
      </c>
      <c r="D63" s="3">
        <v>408</v>
      </c>
      <c r="E63" s="3">
        <v>229</v>
      </c>
      <c r="F63" s="3">
        <v>461</v>
      </c>
      <c r="G63" s="3">
        <v>406</v>
      </c>
      <c r="H63" s="3">
        <v>597</v>
      </c>
      <c r="I63" s="3">
        <v>745</v>
      </c>
      <c r="J63" s="3">
        <v>1313</v>
      </c>
      <c r="K63" s="3">
        <v>1132</v>
      </c>
    </row>
    <row r="64" spans="1:11" ht="14.4" x14ac:dyDescent="0.3">
      <c r="A64" s="2" t="s">
        <v>40</v>
      </c>
      <c r="B64" s="3">
        <v>2838.14</v>
      </c>
      <c r="C64" s="7">
        <v>3025.08</v>
      </c>
      <c r="D64" s="3">
        <v>2592</v>
      </c>
      <c r="E64" s="3">
        <v>3794</v>
      </c>
      <c r="F64" s="3">
        <v>2873</v>
      </c>
      <c r="G64" s="3">
        <v>2716</v>
      </c>
      <c r="H64" s="3">
        <v>1255</v>
      </c>
      <c r="I64" s="3">
        <v>2709</v>
      </c>
      <c r="J64" s="3">
        <v>3521</v>
      </c>
      <c r="K64" s="3">
        <v>2882</v>
      </c>
    </row>
    <row r="65" spans="1:11" x14ac:dyDescent="0.25">
      <c r="A65" s="2" t="s">
        <v>41</v>
      </c>
      <c r="B65" s="3">
        <v>7796.91</v>
      </c>
      <c r="C65" s="3">
        <v>8067.14</v>
      </c>
      <c r="D65" s="3">
        <v>8535</v>
      </c>
      <c r="E65" s="3">
        <v>7264</v>
      </c>
      <c r="F65" s="3">
        <v>10000</v>
      </c>
      <c r="G65" s="3">
        <v>10792</v>
      </c>
      <c r="H65" s="3">
        <v>12822</v>
      </c>
      <c r="I65" s="3">
        <v>13843</v>
      </c>
      <c r="J65" s="3">
        <v>14199</v>
      </c>
      <c r="K65" s="3">
        <v>16385</v>
      </c>
    </row>
    <row r="66" spans="1:11" s="1" customFormat="1" x14ac:dyDescent="0.25">
      <c r="A66" s="1" t="s">
        <v>37</v>
      </c>
      <c r="B66" s="3">
        <v>13753.89</v>
      </c>
      <c r="C66" s="3">
        <v>14429.53</v>
      </c>
      <c r="D66" s="3">
        <v>14793</v>
      </c>
      <c r="E66" s="3">
        <v>15706</v>
      </c>
      <c r="F66" s="3">
        <v>17862</v>
      </c>
      <c r="G66" s="3">
        <v>18629</v>
      </c>
      <c r="H66" s="3">
        <v>20153</v>
      </c>
      <c r="I66" s="3">
        <v>68740</v>
      </c>
      <c r="J66" s="3">
        <v>70506</v>
      </c>
      <c r="K66" s="3">
        <v>73077</v>
      </c>
    </row>
    <row r="67" spans="1:11" x14ac:dyDescent="0.25">
      <c r="A67" s="2" t="s">
        <v>42</v>
      </c>
      <c r="B67" s="3">
        <v>1016.81</v>
      </c>
      <c r="C67" s="3">
        <v>1010.28</v>
      </c>
      <c r="D67" s="3">
        <v>1264</v>
      </c>
      <c r="E67" s="3">
        <v>1085</v>
      </c>
      <c r="F67" s="3">
        <v>1310</v>
      </c>
      <c r="G67" s="3">
        <v>1816</v>
      </c>
      <c r="H67" s="3">
        <v>1149</v>
      </c>
      <c r="I67" s="3">
        <v>1758</v>
      </c>
      <c r="J67" s="3">
        <v>2236</v>
      </c>
      <c r="K67" s="3">
        <v>3079</v>
      </c>
    </row>
    <row r="68" spans="1:11" ht="14.4" x14ac:dyDescent="0.3">
      <c r="A68" s="2" t="s">
        <v>43</v>
      </c>
      <c r="B68" s="7">
        <v>2939.83</v>
      </c>
      <c r="C68" s="7">
        <v>2848.79</v>
      </c>
      <c r="D68" s="7">
        <v>2726</v>
      </c>
      <c r="E68" s="7">
        <v>2541</v>
      </c>
      <c r="F68" s="7">
        <v>2513</v>
      </c>
      <c r="G68" s="7">
        <v>2574</v>
      </c>
      <c r="H68" s="7">
        <v>2767</v>
      </c>
      <c r="I68" s="7">
        <v>3579</v>
      </c>
      <c r="J68" s="7">
        <v>4096</v>
      </c>
      <c r="K68" s="7">
        <v>4251</v>
      </c>
    </row>
    <row r="69" spans="1:11" x14ac:dyDescent="0.25">
      <c r="A69" s="2" t="s">
        <v>44</v>
      </c>
      <c r="B69" s="3">
        <v>2516.0300000000002</v>
      </c>
      <c r="C69" s="3">
        <v>2689.49</v>
      </c>
      <c r="D69" s="3">
        <v>3009</v>
      </c>
      <c r="E69" s="3">
        <v>1828</v>
      </c>
      <c r="F69" s="3">
        <v>3485</v>
      </c>
      <c r="G69" s="3">
        <v>3757</v>
      </c>
      <c r="H69" s="3">
        <v>5113</v>
      </c>
      <c r="I69" s="3">
        <v>4471</v>
      </c>
      <c r="J69" s="3">
        <v>3846</v>
      </c>
      <c r="K69" s="3">
        <v>4678</v>
      </c>
    </row>
    <row r="70" spans="1:11" x14ac:dyDescent="0.25">
      <c r="A70" s="2" t="s">
        <v>45</v>
      </c>
      <c r="B70" s="3">
        <v>2162696292</v>
      </c>
      <c r="C70" s="3">
        <v>2163464851</v>
      </c>
      <c r="D70" s="3">
        <v>2163936971</v>
      </c>
      <c r="E70" s="3">
        <v>2164349639</v>
      </c>
      <c r="F70" s="3">
        <v>2164528777</v>
      </c>
      <c r="G70" s="3">
        <v>2164704405</v>
      </c>
      <c r="H70" s="3">
        <v>2164704405</v>
      </c>
      <c r="I70" s="3">
        <v>2349567819</v>
      </c>
      <c r="J70" s="3">
        <v>2349591262</v>
      </c>
      <c r="K70" s="3">
        <v>2349591262</v>
      </c>
    </row>
    <row r="71" spans="1:11" ht="13.8" x14ac:dyDescent="0.25">
      <c r="A71" s="2" t="s">
        <v>46</v>
      </c>
      <c r="B71" s="9"/>
      <c r="C71" s="9"/>
      <c r="G71" s="9"/>
      <c r="H71" s="9"/>
    </row>
    <row r="72" spans="1:11" x14ac:dyDescent="0.25">
      <c r="A72" s="2" t="s">
        <v>47</v>
      </c>
      <c r="B72" s="3">
        <v>1</v>
      </c>
      <c r="C72" s="3">
        <v>1</v>
      </c>
      <c r="D72" s="3">
        <v>1</v>
      </c>
      <c r="E72" s="3">
        <v>1</v>
      </c>
      <c r="F72" s="3">
        <v>1</v>
      </c>
      <c r="G72" s="3">
        <v>1</v>
      </c>
      <c r="H72" s="3">
        <v>1</v>
      </c>
      <c r="I72" s="3">
        <v>1</v>
      </c>
      <c r="J72" s="3">
        <v>1</v>
      </c>
      <c r="K72" s="3">
        <v>1</v>
      </c>
    </row>
    <row r="73" spans="1:11" x14ac:dyDescent="0.25">
      <c r="H73" s="2">
        <f>H62-G62+H45</f>
        <v>1055</v>
      </c>
      <c r="I73" s="2">
        <f t="shared" ref="I73:K73" si="3">I62-H62+I45</f>
        <v>46250</v>
      </c>
      <c r="J73" s="2">
        <f t="shared" si="3"/>
        <v>327</v>
      </c>
      <c r="K73" s="2">
        <f t="shared" si="3"/>
        <v>1518</v>
      </c>
    </row>
    <row r="80" spans="1:11" x14ac:dyDescent="0.25">
      <c r="A80" s="1" t="s">
        <v>48</v>
      </c>
    </row>
    <row r="81" spans="1:12" s="6" customFormat="1" x14ac:dyDescent="0.25">
      <c r="A81" s="4" t="s">
        <v>11</v>
      </c>
      <c r="B81" s="5">
        <v>41729</v>
      </c>
      <c r="C81" s="5">
        <v>42094</v>
      </c>
      <c r="D81" s="5">
        <v>42460</v>
      </c>
      <c r="E81" s="5">
        <v>42825</v>
      </c>
      <c r="F81" s="5">
        <v>43190</v>
      </c>
      <c r="G81" s="5">
        <v>43555</v>
      </c>
      <c r="H81" s="5">
        <v>43921</v>
      </c>
      <c r="I81" s="5">
        <v>44286</v>
      </c>
      <c r="J81" s="5">
        <v>44651</v>
      </c>
      <c r="K81" s="5">
        <v>45016</v>
      </c>
      <c r="L81" s="5"/>
    </row>
    <row r="82" spans="1:12" s="1" customFormat="1" x14ac:dyDescent="0.25">
      <c r="A82" s="2" t="s">
        <v>49</v>
      </c>
      <c r="B82" s="3">
        <v>3818.18</v>
      </c>
      <c r="C82" s="3">
        <v>3291.91</v>
      </c>
      <c r="D82" s="3">
        <v>4171</v>
      </c>
      <c r="E82" s="3">
        <v>5185</v>
      </c>
      <c r="F82" s="3">
        <v>6059</v>
      </c>
      <c r="G82" s="3">
        <v>5800</v>
      </c>
      <c r="H82" s="3">
        <v>7623</v>
      </c>
      <c r="I82" s="3">
        <v>9163</v>
      </c>
      <c r="J82" s="3">
        <v>9048</v>
      </c>
      <c r="K82" s="3">
        <v>9991</v>
      </c>
    </row>
    <row r="83" spans="1:12" x14ac:dyDescent="0.25">
      <c r="A83" s="2" t="s">
        <v>50</v>
      </c>
      <c r="B83" s="3">
        <v>-475.04</v>
      </c>
      <c r="C83" s="3">
        <v>137.97</v>
      </c>
      <c r="D83" s="3">
        <v>-282</v>
      </c>
      <c r="E83" s="3">
        <v>-1173</v>
      </c>
      <c r="F83" s="3">
        <v>-1063</v>
      </c>
      <c r="G83" s="3">
        <v>-438</v>
      </c>
      <c r="H83" s="3">
        <v>1791</v>
      </c>
      <c r="I83" s="3">
        <v>-1228</v>
      </c>
      <c r="J83" s="3">
        <v>-1728</v>
      </c>
      <c r="K83" s="3">
        <v>-1484</v>
      </c>
    </row>
    <row r="84" spans="1:12" x14ac:dyDescent="0.25">
      <c r="A84" s="2" t="s">
        <v>51</v>
      </c>
      <c r="B84" s="3">
        <v>-2960.29</v>
      </c>
      <c r="C84" s="3">
        <v>-3462.42</v>
      </c>
      <c r="D84" s="3">
        <v>-3864</v>
      </c>
      <c r="E84" s="3">
        <v>-4214</v>
      </c>
      <c r="F84" s="3">
        <v>-4975</v>
      </c>
      <c r="G84" s="3">
        <v>-5390</v>
      </c>
      <c r="H84" s="3">
        <v>-6819</v>
      </c>
      <c r="I84" s="3">
        <v>-9309</v>
      </c>
      <c r="J84" s="3">
        <v>-8015</v>
      </c>
      <c r="K84" s="3">
        <v>-8953</v>
      </c>
    </row>
    <row r="85" spans="1:12" s="1" customFormat="1" x14ac:dyDescent="0.25">
      <c r="A85" s="2" t="s">
        <v>52</v>
      </c>
      <c r="B85" s="3">
        <v>382.85</v>
      </c>
      <c r="C85" s="3">
        <v>-32.54</v>
      </c>
      <c r="D85" s="3">
        <v>25</v>
      </c>
      <c r="E85" s="3">
        <v>-202</v>
      </c>
      <c r="F85" s="3">
        <v>21</v>
      </c>
      <c r="G85" s="3">
        <v>-28</v>
      </c>
      <c r="H85" s="3">
        <v>2595</v>
      </c>
      <c r="I85" s="3">
        <v>-1374</v>
      </c>
      <c r="J85" s="3">
        <v>-695</v>
      </c>
      <c r="K85" s="3">
        <v>-446</v>
      </c>
    </row>
    <row r="90" spans="1:12" s="1" customFormat="1" x14ac:dyDescent="0.25">
      <c r="A90" s="1" t="s">
        <v>53</v>
      </c>
      <c r="B90" s="3">
        <v>605.54999999999995</v>
      </c>
      <c r="C90" s="3">
        <v>873.55</v>
      </c>
      <c r="D90" s="3">
        <v>869.5</v>
      </c>
      <c r="E90" s="3">
        <v>911.75</v>
      </c>
      <c r="F90" s="3">
        <v>1333.35</v>
      </c>
      <c r="G90" s="3">
        <v>1706.8</v>
      </c>
      <c r="H90" s="3">
        <v>2298.5</v>
      </c>
      <c r="I90" s="3">
        <v>2431.5</v>
      </c>
      <c r="J90" s="3">
        <v>2048.65</v>
      </c>
      <c r="K90" s="3">
        <v>2560.35</v>
      </c>
    </row>
    <row r="92" spans="1:12" s="1" customFormat="1" x14ac:dyDescent="0.25">
      <c r="A92" s="1" t="s">
        <v>54</v>
      </c>
    </row>
    <row r="93" spans="1:12" x14ac:dyDescent="0.25">
      <c r="A93" s="2" t="s">
        <v>55</v>
      </c>
      <c r="B93" s="10">
        <v>216.27</v>
      </c>
      <c r="C93" s="10">
        <v>216.35</v>
      </c>
      <c r="D93" s="10">
        <v>216.39</v>
      </c>
      <c r="E93" s="10">
        <v>216.43</v>
      </c>
      <c r="F93" s="10">
        <v>216.45</v>
      </c>
      <c r="G93" s="10">
        <v>216.47</v>
      </c>
      <c r="H93" s="10">
        <v>216.48</v>
      </c>
      <c r="I93" s="10">
        <v>234.96</v>
      </c>
      <c r="J93" s="10">
        <v>234.96</v>
      </c>
      <c r="K93" s="10">
        <v>234.96</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53704CA6-975E-49B1-B117-50092339EC09}"/>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AFAF-AF1A-488C-9C93-766BC203E49E}">
  <dimension ref="B2:L45"/>
  <sheetViews>
    <sheetView topLeftCell="A25" workbookViewId="0">
      <selection activeCell="L38" sqref="L38:L43"/>
    </sheetView>
  </sheetViews>
  <sheetFormatPr defaultRowHeight="14.4" x14ac:dyDescent="0.3"/>
  <cols>
    <col min="2" max="2" width="11.44140625" bestFit="1" customWidth="1"/>
    <col min="3" max="12" width="10.77734375" customWidth="1"/>
  </cols>
  <sheetData>
    <row r="2" spans="2:12" x14ac:dyDescent="0.3">
      <c r="B2" s="4" t="s">
        <v>11</v>
      </c>
      <c r="C2" s="5">
        <v>41729</v>
      </c>
      <c r="D2" s="5">
        <v>42094</v>
      </c>
      <c r="E2" s="5">
        <v>42460</v>
      </c>
      <c r="F2" s="5">
        <v>42825</v>
      </c>
      <c r="G2" s="5">
        <v>43190</v>
      </c>
      <c r="H2" s="5">
        <v>43555</v>
      </c>
      <c r="I2" s="5">
        <v>43921</v>
      </c>
      <c r="J2" s="5">
        <v>44286</v>
      </c>
      <c r="K2" s="5">
        <v>44651</v>
      </c>
      <c r="L2" s="5">
        <v>45016</v>
      </c>
    </row>
    <row r="3" spans="2:12" ht="36" x14ac:dyDescent="0.3">
      <c r="B3" s="43" t="s">
        <v>155</v>
      </c>
      <c r="C3" s="46"/>
      <c r="D3" s="46"/>
      <c r="E3" s="46"/>
      <c r="F3" s="46"/>
      <c r="G3" s="47"/>
      <c r="H3" s="20"/>
      <c r="I3" s="20"/>
      <c r="J3" s="20"/>
      <c r="K3" s="20"/>
      <c r="L3" s="20"/>
    </row>
    <row r="4" spans="2:12" ht="24" x14ac:dyDescent="0.3">
      <c r="B4" s="43" t="s">
        <v>156</v>
      </c>
      <c r="C4" s="46"/>
      <c r="D4" s="46"/>
      <c r="E4" s="46"/>
      <c r="F4" s="46"/>
      <c r="G4" s="47"/>
      <c r="H4" s="20"/>
      <c r="I4" s="20"/>
      <c r="J4" s="20"/>
      <c r="K4" s="20"/>
      <c r="L4" s="20"/>
    </row>
    <row r="5" spans="2:12" ht="22.8" x14ac:dyDescent="0.3">
      <c r="B5" s="44" t="s">
        <v>157</v>
      </c>
      <c r="C5" s="48">
        <v>216.27</v>
      </c>
      <c r="D5" s="48">
        <v>216.35</v>
      </c>
      <c r="E5" s="48">
        <v>216</v>
      </c>
      <c r="F5" s="48">
        <v>216</v>
      </c>
      <c r="G5" s="48">
        <v>216</v>
      </c>
      <c r="H5" s="48">
        <v>216</v>
      </c>
      <c r="I5" s="48">
        <v>216</v>
      </c>
      <c r="J5" s="48">
        <v>235</v>
      </c>
      <c r="K5" s="48">
        <v>235</v>
      </c>
      <c r="L5" s="48">
        <v>235</v>
      </c>
    </row>
    <row r="6" spans="2:12" ht="24" x14ac:dyDescent="0.3">
      <c r="B6" s="43" t="s">
        <v>158</v>
      </c>
      <c r="C6" s="49">
        <v>216.27</v>
      </c>
      <c r="D6" s="49">
        <v>216.35</v>
      </c>
      <c r="E6" s="49">
        <v>216</v>
      </c>
      <c r="F6" s="49">
        <v>216</v>
      </c>
      <c r="G6" s="49">
        <v>216</v>
      </c>
      <c r="H6" s="49">
        <v>216</v>
      </c>
      <c r="I6" s="49">
        <f>+I5</f>
        <v>216</v>
      </c>
      <c r="J6" s="49">
        <f t="shared" ref="J6:L6" si="0">+J5</f>
        <v>235</v>
      </c>
      <c r="K6" s="49">
        <f t="shared" si="0"/>
        <v>235</v>
      </c>
      <c r="L6" s="49">
        <f t="shared" si="0"/>
        <v>235</v>
      </c>
    </row>
    <row r="7" spans="2:12" ht="22.8" x14ac:dyDescent="0.3">
      <c r="B7" s="44" t="s">
        <v>159</v>
      </c>
      <c r="C7" s="48">
        <v>0.67</v>
      </c>
      <c r="D7" s="48">
        <v>0.67</v>
      </c>
      <c r="E7" s="48">
        <v>0</v>
      </c>
      <c r="F7" s="48">
        <v>0</v>
      </c>
      <c r="G7" s="48">
        <v>0</v>
      </c>
      <c r="H7" s="48">
        <v>0</v>
      </c>
      <c r="I7" s="48">
        <v>0</v>
      </c>
      <c r="J7" s="48">
        <v>0</v>
      </c>
      <c r="K7" s="48">
        <v>0</v>
      </c>
      <c r="L7" s="48">
        <v>0</v>
      </c>
    </row>
    <row r="8" spans="2:12" ht="22.8" x14ac:dyDescent="0.3">
      <c r="B8" s="44" t="s">
        <v>160</v>
      </c>
      <c r="C8" s="48">
        <v>3320.35</v>
      </c>
      <c r="D8" s="48">
        <v>3804.62</v>
      </c>
      <c r="E8" s="48">
        <v>6357</v>
      </c>
      <c r="F8" s="48">
        <v>6528</v>
      </c>
      <c r="G8" s="48">
        <v>7065</v>
      </c>
      <c r="H8" s="48">
        <v>7627</v>
      </c>
      <c r="I8" s="48">
        <v>7998</v>
      </c>
      <c r="J8" s="48">
        <v>47439</v>
      </c>
      <c r="K8" s="48">
        <v>48826</v>
      </c>
      <c r="L8" s="48">
        <v>50069</v>
      </c>
    </row>
    <row r="9" spans="2:12" ht="36" x14ac:dyDescent="0.3">
      <c r="B9" s="43" t="s">
        <v>161</v>
      </c>
      <c r="C9" s="49">
        <v>3321.02</v>
      </c>
      <c r="D9" s="49">
        <v>3805.29</v>
      </c>
      <c r="E9" s="49">
        <v>6357</v>
      </c>
      <c r="F9" s="49">
        <v>6528</v>
      </c>
      <c r="G9" s="49">
        <v>7065</v>
      </c>
      <c r="H9" s="49">
        <v>7627</v>
      </c>
      <c r="I9" s="49">
        <v>7998</v>
      </c>
      <c r="J9" s="49">
        <v>47439</v>
      </c>
      <c r="K9" s="49">
        <v>48826</v>
      </c>
      <c r="L9" s="49">
        <v>50069</v>
      </c>
    </row>
    <row r="10" spans="2:12" x14ac:dyDescent="0.3">
      <c r="B10" s="45" t="s">
        <v>197</v>
      </c>
      <c r="C10" s="49">
        <v>0</v>
      </c>
      <c r="D10" s="49">
        <v>0</v>
      </c>
      <c r="E10" s="49">
        <v>0</v>
      </c>
      <c r="F10" s="49">
        <v>0</v>
      </c>
      <c r="G10" s="49">
        <v>0</v>
      </c>
      <c r="H10" s="49">
        <v>24</v>
      </c>
      <c r="I10" s="49">
        <v>15</v>
      </c>
      <c r="J10" s="49">
        <v>0</v>
      </c>
      <c r="K10" s="49">
        <v>0</v>
      </c>
      <c r="L10" s="49">
        <v>0</v>
      </c>
    </row>
    <row r="11" spans="2:12" ht="36" x14ac:dyDescent="0.3">
      <c r="B11" s="43" t="s">
        <v>162</v>
      </c>
      <c r="C11" s="49">
        <v>3537.29</v>
      </c>
      <c r="D11" s="49">
        <v>4021.64</v>
      </c>
      <c r="E11" s="49">
        <v>6573</v>
      </c>
      <c r="F11" s="49">
        <v>6744</v>
      </c>
      <c r="G11" s="49">
        <v>7281</v>
      </c>
      <c r="H11" s="49">
        <v>7867</v>
      </c>
      <c r="I11" s="49">
        <v>8229</v>
      </c>
      <c r="J11" s="49">
        <v>47674</v>
      </c>
      <c r="K11" s="49">
        <v>49061</v>
      </c>
      <c r="L11" s="49">
        <v>50304</v>
      </c>
    </row>
    <row r="12" spans="2:12" ht="22.8" x14ac:dyDescent="0.3">
      <c r="B12" s="44" t="s">
        <v>163</v>
      </c>
      <c r="C12" s="48">
        <v>22.28</v>
      </c>
      <c r="D12" s="48">
        <v>24.8</v>
      </c>
      <c r="E12" s="48">
        <v>20</v>
      </c>
      <c r="F12" s="48">
        <v>22</v>
      </c>
      <c r="G12" s="48">
        <v>20</v>
      </c>
      <c r="H12" s="48">
        <v>18</v>
      </c>
      <c r="I12" s="48">
        <v>17</v>
      </c>
      <c r="J12" s="48">
        <v>20</v>
      </c>
      <c r="K12" s="48">
        <v>26</v>
      </c>
      <c r="L12" s="48">
        <v>218</v>
      </c>
    </row>
    <row r="13" spans="2:12" ht="36" x14ac:dyDescent="0.3">
      <c r="B13" s="43" t="s">
        <v>164</v>
      </c>
      <c r="C13" s="46"/>
      <c r="D13" s="46"/>
      <c r="E13" s="46"/>
      <c r="F13" s="46"/>
      <c r="G13" s="47"/>
      <c r="H13" s="46"/>
      <c r="I13" s="46"/>
      <c r="J13" s="46"/>
      <c r="K13" s="46"/>
      <c r="L13" s="47"/>
    </row>
    <row r="14" spans="2:12" ht="22.8" x14ac:dyDescent="0.3">
      <c r="B14" s="44" t="s">
        <v>165</v>
      </c>
      <c r="C14" s="48">
        <v>8.44</v>
      </c>
      <c r="D14" s="48">
        <v>7</v>
      </c>
      <c r="E14" s="48">
        <v>0</v>
      </c>
      <c r="F14" s="48">
        <v>0</v>
      </c>
      <c r="G14" s="48">
        <v>0</v>
      </c>
      <c r="H14" s="48">
        <v>0</v>
      </c>
      <c r="I14" s="48"/>
      <c r="J14" s="48"/>
      <c r="K14" s="48"/>
      <c r="L14" s="48"/>
    </row>
    <row r="15" spans="2:12" ht="22.8" x14ac:dyDescent="0.3">
      <c r="B15" s="44" t="s">
        <v>166</v>
      </c>
      <c r="C15" s="48">
        <v>0</v>
      </c>
      <c r="D15" s="48">
        <v>0.37</v>
      </c>
      <c r="E15" s="48">
        <v>1</v>
      </c>
      <c r="F15" s="48">
        <v>0</v>
      </c>
      <c r="G15" s="48">
        <v>0</v>
      </c>
      <c r="H15" s="48">
        <v>0</v>
      </c>
      <c r="I15" s="48">
        <v>0</v>
      </c>
      <c r="J15" s="48">
        <v>5988</v>
      </c>
      <c r="K15" s="48">
        <v>6141</v>
      </c>
      <c r="L15" s="48">
        <v>6421</v>
      </c>
    </row>
    <row r="16" spans="2:12" ht="34.200000000000003" x14ac:dyDescent="0.3">
      <c r="B16" s="44" t="s">
        <v>167</v>
      </c>
      <c r="C16" s="48">
        <v>287.45999999999998</v>
      </c>
      <c r="D16" s="48">
        <v>178.24</v>
      </c>
      <c r="E16" s="48">
        <v>510</v>
      </c>
      <c r="F16" s="48">
        <v>712</v>
      </c>
      <c r="G16" s="48">
        <v>874</v>
      </c>
      <c r="H16" s="48">
        <v>995</v>
      </c>
      <c r="I16" s="48">
        <v>1363</v>
      </c>
      <c r="J16" s="48">
        <v>2394</v>
      </c>
      <c r="K16" s="48">
        <v>2429</v>
      </c>
      <c r="L16" s="48">
        <v>2753</v>
      </c>
    </row>
    <row r="17" spans="2:12" ht="22.8" x14ac:dyDescent="0.3">
      <c r="B17" s="44" t="s">
        <v>168</v>
      </c>
      <c r="C17" s="48">
        <v>845.21</v>
      </c>
      <c r="D17" s="48">
        <v>993.56</v>
      </c>
      <c r="E17" s="48">
        <v>623</v>
      </c>
      <c r="F17" s="48">
        <v>514</v>
      </c>
      <c r="G17" s="48">
        <v>800</v>
      </c>
      <c r="H17" s="48">
        <v>1082</v>
      </c>
      <c r="I17" s="48">
        <v>1227</v>
      </c>
      <c r="J17" s="48">
        <v>1578</v>
      </c>
      <c r="K17" s="48">
        <v>1580</v>
      </c>
      <c r="L17" s="48">
        <v>1363</v>
      </c>
    </row>
    <row r="18" spans="2:12" ht="36" x14ac:dyDescent="0.3">
      <c r="B18" s="43" t="s">
        <v>169</v>
      </c>
      <c r="C18" s="49">
        <v>1141.1099999999999</v>
      </c>
      <c r="D18" s="49">
        <v>1179.17</v>
      </c>
      <c r="E18" s="49">
        <v>1134</v>
      </c>
      <c r="F18" s="49">
        <v>1226</v>
      </c>
      <c r="G18" s="49">
        <v>1674</v>
      </c>
      <c r="H18" s="49">
        <v>2077</v>
      </c>
      <c r="I18" s="49">
        <v>2590</v>
      </c>
      <c r="J18" s="49">
        <v>9960</v>
      </c>
      <c r="K18" s="49">
        <v>10150</v>
      </c>
      <c r="L18" s="49">
        <v>10537</v>
      </c>
    </row>
    <row r="19" spans="2:12" ht="24" x14ac:dyDescent="0.3">
      <c r="B19" s="43" t="s">
        <v>170</v>
      </c>
      <c r="C19" s="46"/>
      <c r="D19" s="46"/>
      <c r="E19" s="46"/>
      <c r="F19" s="46"/>
      <c r="G19" s="47"/>
      <c r="H19" s="46"/>
      <c r="I19" s="46"/>
      <c r="J19" s="46"/>
      <c r="K19" s="46"/>
      <c r="L19" s="47"/>
    </row>
    <row r="20" spans="2:12" ht="22.8" x14ac:dyDescent="0.3">
      <c r="B20" s="44" t="s">
        <v>171</v>
      </c>
      <c r="C20" s="48">
        <v>37.14</v>
      </c>
      <c r="D20" s="48">
        <v>36.04</v>
      </c>
      <c r="E20" s="48">
        <v>177</v>
      </c>
      <c r="F20" s="48">
        <v>277</v>
      </c>
      <c r="G20" s="48">
        <v>0</v>
      </c>
      <c r="H20" s="48">
        <v>99</v>
      </c>
      <c r="I20" s="48">
        <v>0</v>
      </c>
      <c r="J20" s="48">
        <v>0</v>
      </c>
      <c r="K20" s="48">
        <v>0</v>
      </c>
      <c r="L20" s="48">
        <v>98</v>
      </c>
    </row>
    <row r="21" spans="2:12" ht="22.8" x14ac:dyDescent="0.3">
      <c r="B21" s="44" t="s">
        <v>172</v>
      </c>
      <c r="C21" s="48">
        <v>5964.89</v>
      </c>
      <c r="D21" s="48">
        <v>5507.31</v>
      </c>
      <c r="E21" s="48">
        <v>5685</v>
      </c>
      <c r="F21" s="48">
        <v>6186</v>
      </c>
      <c r="G21" s="48">
        <v>7170</v>
      </c>
      <c r="H21" s="48">
        <v>7206</v>
      </c>
      <c r="I21" s="48">
        <v>7535</v>
      </c>
      <c r="J21" s="48">
        <v>8802</v>
      </c>
      <c r="K21" s="48">
        <v>9068</v>
      </c>
      <c r="L21" s="48">
        <v>9574</v>
      </c>
    </row>
    <row r="22" spans="2:12" ht="22.8" x14ac:dyDescent="0.3">
      <c r="B22" s="44" t="s">
        <v>173</v>
      </c>
      <c r="C22" s="48">
        <v>939.28</v>
      </c>
      <c r="D22" s="48">
        <v>952.77</v>
      </c>
      <c r="E22" s="48">
        <v>912</v>
      </c>
      <c r="F22" s="48">
        <v>859</v>
      </c>
      <c r="G22" s="48">
        <v>1029</v>
      </c>
      <c r="H22" s="48">
        <v>839</v>
      </c>
      <c r="I22" s="48">
        <v>1360</v>
      </c>
      <c r="J22" s="48">
        <v>1794</v>
      </c>
      <c r="K22" s="48">
        <v>1866</v>
      </c>
      <c r="L22" s="48">
        <v>1967</v>
      </c>
    </row>
    <row r="23" spans="2:12" ht="22.8" x14ac:dyDescent="0.3">
      <c r="B23" s="44" t="s">
        <v>174</v>
      </c>
      <c r="C23" s="48">
        <v>2127.3200000000002</v>
      </c>
      <c r="D23" s="48">
        <v>2709.07</v>
      </c>
      <c r="E23" s="48">
        <v>293</v>
      </c>
      <c r="F23" s="48">
        <v>392</v>
      </c>
      <c r="G23" s="48">
        <v>688</v>
      </c>
      <c r="H23" s="48">
        <v>523</v>
      </c>
      <c r="I23" s="48">
        <v>422</v>
      </c>
      <c r="J23" s="48">
        <v>507</v>
      </c>
      <c r="K23" s="48">
        <v>346</v>
      </c>
      <c r="L23" s="48">
        <v>389</v>
      </c>
    </row>
    <row r="24" spans="2:12" ht="24" x14ac:dyDescent="0.3">
      <c r="B24" s="43" t="s">
        <v>175</v>
      </c>
      <c r="C24" s="49">
        <v>9068.6299999999992</v>
      </c>
      <c r="D24" s="49">
        <v>9205.19</v>
      </c>
      <c r="E24" s="49">
        <v>7067</v>
      </c>
      <c r="F24" s="49">
        <v>7714</v>
      </c>
      <c r="G24" s="49">
        <v>8887</v>
      </c>
      <c r="H24" s="49">
        <v>8667</v>
      </c>
      <c r="I24" s="49">
        <v>9317</v>
      </c>
      <c r="J24" s="49">
        <v>11103</v>
      </c>
      <c r="K24" s="49">
        <v>11280</v>
      </c>
      <c r="L24" s="49">
        <v>12028</v>
      </c>
    </row>
    <row r="25" spans="2:12" ht="36" x14ac:dyDescent="0.3">
      <c r="B25" s="43" t="s">
        <v>176</v>
      </c>
      <c r="C25" s="49">
        <v>13769.31</v>
      </c>
      <c r="D25" s="49">
        <v>14430.8</v>
      </c>
      <c r="E25" s="49">
        <v>14794</v>
      </c>
      <c r="F25" s="49">
        <v>15706</v>
      </c>
      <c r="G25" s="49">
        <v>17862</v>
      </c>
      <c r="H25" s="49">
        <v>18629</v>
      </c>
      <c r="I25" s="49">
        <v>20153</v>
      </c>
      <c r="J25" s="49">
        <v>68757</v>
      </c>
      <c r="K25" s="49">
        <v>70517</v>
      </c>
      <c r="L25" s="49">
        <v>73087</v>
      </c>
    </row>
    <row r="26" spans="2:12" x14ac:dyDescent="0.3">
      <c r="B26" s="43" t="s">
        <v>177</v>
      </c>
      <c r="C26" s="46"/>
      <c r="D26" s="46"/>
      <c r="E26" s="46"/>
      <c r="F26" s="46"/>
      <c r="G26" s="47"/>
      <c r="H26" s="46"/>
      <c r="I26" s="46"/>
      <c r="J26" s="46"/>
      <c r="K26" s="46"/>
      <c r="L26" s="47"/>
    </row>
    <row r="27" spans="2:12" ht="36" x14ac:dyDescent="0.3">
      <c r="B27" s="43" t="s">
        <v>178</v>
      </c>
      <c r="C27" s="46"/>
      <c r="D27" s="46"/>
      <c r="E27" s="46"/>
      <c r="F27" s="46"/>
      <c r="G27" s="47"/>
      <c r="H27" s="46"/>
      <c r="I27" s="46"/>
      <c r="J27" s="46"/>
      <c r="K27" s="46"/>
      <c r="L27" s="47"/>
    </row>
    <row r="28" spans="2:12" ht="22.8" x14ac:dyDescent="0.3">
      <c r="B28" s="44" t="s">
        <v>179</v>
      </c>
      <c r="C28" s="48">
        <v>2640.94</v>
      </c>
      <c r="D28" s="48">
        <v>2717.8</v>
      </c>
      <c r="E28" s="48">
        <v>3165</v>
      </c>
      <c r="F28" s="48">
        <v>3968</v>
      </c>
      <c r="G28" s="48">
        <v>4080</v>
      </c>
      <c r="H28" s="48">
        <v>4192</v>
      </c>
      <c r="I28" s="48">
        <v>4960</v>
      </c>
      <c r="J28" s="48">
        <v>6116</v>
      </c>
      <c r="K28" s="48">
        <v>6169</v>
      </c>
      <c r="L28" s="48">
        <v>6949</v>
      </c>
    </row>
    <row r="29" spans="2:12" ht="22.8" x14ac:dyDescent="0.3">
      <c r="B29" s="44" t="s">
        <v>180</v>
      </c>
      <c r="C29" s="48">
        <v>24.12</v>
      </c>
      <c r="D29" s="48">
        <v>22.03</v>
      </c>
      <c r="E29" s="48">
        <v>12</v>
      </c>
      <c r="F29" s="48">
        <v>370</v>
      </c>
      <c r="G29" s="48">
        <v>367</v>
      </c>
      <c r="H29" s="48">
        <v>406</v>
      </c>
      <c r="I29" s="48">
        <v>402</v>
      </c>
      <c r="J29" s="48">
        <v>27930</v>
      </c>
      <c r="K29" s="48">
        <v>27907</v>
      </c>
      <c r="L29" s="48">
        <v>28263</v>
      </c>
    </row>
    <row r="30" spans="2:12" ht="22.8" x14ac:dyDescent="0.3">
      <c r="B30" s="44" t="s">
        <v>181</v>
      </c>
      <c r="C30" s="48">
        <v>364.9</v>
      </c>
      <c r="D30" s="48">
        <v>516.29999999999995</v>
      </c>
      <c r="E30" s="48">
        <v>408</v>
      </c>
      <c r="F30" s="48">
        <v>229</v>
      </c>
      <c r="G30" s="48">
        <v>461</v>
      </c>
      <c r="H30" s="48">
        <v>406</v>
      </c>
      <c r="I30" s="48">
        <v>597</v>
      </c>
      <c r="J30" s="48">
        <v>745</v>
      </c>
      <c r="K30" s="48">
        <v>1313</v>
      </c>
      <c r="L30" s="48">
        <v>1132</v>
      </c>
    </row>
    <row r="31" spans="2:12" ht="34.200000000000003" x14ac:dyDescent="0.3">
      <c r="B31" s="44" t="s">
        <v>182</v>
      </c>
      <c r="C31" s="48">
        <v>7.7</v>
      </c>
      <c r="D31" s="48">
        <v>0</v>
      </c>
      <c r="E31" s="48">
        <v>0</v>
      </c>
      <c r="F31" s="48">
        <v>0</v>
      </c>
      <c r="G31" s="48">
        <v>0</v>
      </c>
      <c r="H31" s="48">
        <v>0</v>
      </c>
      <c r="I31" s="48">
        <v>0</v>
      </c>
      <c r="J31" s="48">
        <v>0</v>
      </c>
      <c r="K31" s="48">
        <v>0</v>
      </c>
      <c r="L31" s="48">
        <v>0</v>
      </c>
    </row>
    <row r="32" spans="2:12" ht="22.8" x14ac:dyDescent="0.3">
      <c r="B32" s="44" t="s">
        <v>183</v>
      </c>
      <c r="C32" s="48">
        <v>380.19</v>
      </c>
      <c r="D32" s="48">
        <v>323.89999999999998</v>
      </c>
      <c r="E32" s="48">
        <v>32</v>
      </c>
      <c r="F32" s="48">
        <v>6</v>
      </c>
      <c r="G32" s="48">
        <v>2</v>
      </c>
      <c r="H32" s="48">
        <v>2</v>
      </c>
      <c r="I32" s="48">
        <v>2</v>
      </c>
      <c r="J32" s="48">
        <v>2</v>
      </c>
      <c r="K32" s="48">
        <v>2</v>
      </c>
      <c r="L32" s="48">
        <v>71</v>
      </c>
    </row>
    <row r="33" spans="2:12" ht="22.8" x14ac:dyDescent="0.3">
      <c r="B33" s="44" t="s">
        <v>184</v>
      </c>
      <c r="C33" s="48">
        <v>179.55</v>
      </c>
      <c r="D33" s="48">
        <v>199.79</v>
      </c>
      <c r="E33" s="48">
        <v>168</v>
      </c>
      <c r="F33" s="48">
        <v>170</v>
      </c>
      <c r="G33" s="48">
        <v>302</v>
      </c>
      <c r="H33" s="48">
        <v>373</v>
      </c>
      <c r="I33" s="48">
        <v>284</v>
      </c>
      <c r="J33" s="48">
        <v>17</v>
      </c>
      <c r="K33" s="48">
        <v>11</v>
      </c>
      <c r="L33" s="48">
        <v>10</v>
      </c>
    </row>
    <row r="34" spans="2:12" ht="34.200000000000003" x14ac:dyDescent="0.3">
      <c r="B34" s="44" t="s">
        <v>185</v>
      </c>
      <c r="C34" s="48">
        <v>530.52</v>
      </c>
      <c r="D34" s="48">
        <v>587.24</v>
      </c>
      <c r="E34" s="48">
        <v>0</v>
      </c>
      <c r="F34" s="48">
        <v>168</v>
      </c>
      <c r="G34" s="48">
        <v>184</v>
      </c>
      <c r="H34" s="48">
        <v>215</v>
      </c>
      <c r="I34" s="48">
        <v>238</v>
      </c>
      <c r="J34" s="48">
        <v>251</v>
      </c>
      <c r="K34" s="48">
        <v>115</v>
      </c>
      <c r="L34" s="48">
        <v>98</v>
      </c>
    </row>
    <row r="35" spans="2:12" ht="34.200000000000003" x14ac:dyDescent="0.3">
      <c r="B35" s="44" t="s">
        <v>186</v>
      </c>
      <c r="C35" s="48">
        <v>0.7</v>
      </c>
      <c r="D35" s="48">
        <v>0.46</v>
      </c>
      <c r="E35" s="48">
        <v>583</v>
      </c>
      <c r="F35" s="48">
        <v>542</v>
      </c>
      <c r="G35" s="48">
        <v>725</v>
      </c>
      <c r="H35" s="48">
        <v>1004</v>
      </c>
      <c r="I35" s="48">
        <v>1232</v>
      </c>
      <c r="J35" s="48">
        <v>2082</v>
      </c>
      <c r="K35" s="48">
        <v>2081</v>
      </c>
      <c r="L35" s="48">
        <v>2100</v>
      </c>
    </row>
    <row r="36" spans="2:12" ht="36" x14ac:dyDescent="0.3">
      <c r="B36" s="43" t="s">
        <v>187</v>
      </c>
      <c r="C36" s="49">
        <v>4209.8</v>
      </c>
      <c r="D36" s="49">
        <v>4448.7</v>
      </c>
      <c r="E36" s="49">
        <v>4449</v>
      </c>
      <c r="F36" s="49">
        <v>5534</v>
      </c>
      <c r="G36" s="49">
        <v>6202</v>
      </c>
      <c r="H36" s="49">
        <v>6715</v>
      </c>
      <c r="I36" s="49">
        <v>7832</v>
      </c>
      <c r="J36" s="49">
        <v>54540</v>
      </c>
      <c r="K36" s="49">
        <v>54995</v>
      </c>
      <c r="L36" s="49">
        <v>56089</v>
      </c>
    </row>
    <row r="37" spans="2:12" ht="24" x14ac:dyDescent="0.3">
      <c r="B37" s="43" t="s">
        <v>188</v>
      </c>
      <c r="C37" s="46"/>
      <c r="D37" s="46"/>
      <c r="E37" s="46"/>
      <c r="F37" s="46"/>
      <c r="G37" s="47"/>
      <c r="H37" s="46"/>
      <c r="I37" s="46"/>
      <c r="J37" s="46"/>
      <c r="K37" s="46"/>
      <c r="L37" s="47"/>
    </row>
    <row r="38" spans="2:12" ht="22.8" x14ac:dyDescent="0.3">
      <c r="B38" s="44" t="s">
        <v>189</v>
      </c>
      <c r="C38" s="48">
        <v>2457.9499999999998</v>
      </c>
      <c r="D38" s="48">
        <v>2701.18</v>
      </c>
      <c r="E38" s="48">
        <v>2560</v>
      </c>
      <c r="F38" s="48">
        <v>3788</v>
      </c>
      <c r="G38" s="48">
        <v>2871</v>
      </c>
      <c r="H38" s="48">
        <v>2714</v>
      </c>
      <c r="I38" s="48">
        <v>1253</v>
      </c>
      <c r="J38" s="48">
        <v>2707</v>
      </c>
      <c r="K38" s="48">
        <v>3519</v>
      </c>
      <c r="L38" s="48">
        <v>2811</v>
      </c>
    </row>
    <row r="39" spans="2:12" x14ac:dyDescent="0.3">
      <c r="B39" s="44" t="s">
        <v>190</v>
      </c>
      <c r="C39" s="48">
        <v>2939.83</v>
      </c>
      <c r="D39" s="48">
        <v>2848.79</v>
      </c>
      <c r="E39" s="48">
        <v>2726</v>
      </c>
      <c r="F39" s="48">
        <v>2541</v>
      </c>
      <c r="G39" s="48">
        <v>2513</v>
      </c>
      <c r="H39" s="48">
        <v>2574</v>
      </c>
      <c r="I39" s="48">
        <v>2767</v>
      </c>
      <c r="J39" s="48">
        <v>3579</v>
      </c>
      <c r="K39" s="48">
        <v>4096</v>
      </c>
      <c r="L39" s="48">
        <v>4251</v>
      </c>
    </row>
    <row r="40" spans="2:12" ht="22.8" x14ac:dyDescent="0.3">
      <c r="B40" s="44" t="s">
        <v>191</v>
      </c>
      <c r="C40" s="48">
        <v>1031.0899999999999</v>
      </c>
      <c r="D40" s="48">
        <v>1011.18</v>
      </c>
      <c r="E40" s="48">
        <v>1264</v>
      </c>
      <c r="F40" s="48">
        <v>1085</v>
      </c>
      <c r="G40" s="48">
        <v>1310</v>
      </c>
      <c r="H40" s="48">
        <v>1816</v>
      </c>
      <c r="I40" s="48">
        <v>1149</v>
      </c>
      <c r="J40" s="48">
        <v>1758</v>
      </c>
      <c r="K40" s="48">
        <v>2236</v>
      </c>
      <c r="L40" s="48">
        <v>3079</v>
      </c>
    </row>
    <row r="41" spans="2:12" ht="34.200000000000003" x14ac:dyDescent="0.3">
      <c r="B41" s="44" t="s">
        <v>192</v>
      </c>
      <c r="C41" s="48">
        <v>2516.0300000000002</v>
      </c>
      <c r="D41" s="48">
        <v>2689.49</v>
      </c>
      <c r="E41" s="48">
        <v>3009</v>
      </c>
      <c r="F41" s="48">
        <v>1828</v>
      </c>
      <c r="G41" s="48">
        <v>3485</v>
      </c>
      <c r="H41" s="48">
        <v>3757</v>
      </c>
      <c r="I41" s="48">
        <v>5113</v>
      </c>
      <c r="J41" s="48">
        <v>4471</v>
      </c>
      <c r="K41" s="48">
        <v>3846</v>
      </c>
      <c r="L41" s="48">
        <v>4678</v>
      </c>
    </row>
    <row r="42" spans="2:12" ht="34.200000000000003" x14ac:dyDescent="0.3">
      <c r="B42" s="44" t="s">
        <v>193</v>
      </c>
      <c r="C42" s="48">
        <v>534.52</v>
      </c>
      <c r="D42" s="48">
        <v>646.79</v>
      </c>
      <c r="E42" s="48">
        <v>0</v>
      </c>
      <c r="F42" s="48">
        <v>0</v>
      </c>
      <c r="G42" s="48">
        <v>4</v>
      </c>
      <c r="H42" s="48">
        <v>4</v>
      </c>
      <c r="I42" s="48">
        <v>0</v>
      </c>
      <c r="J42" s="48">
        <v>0</v>
      </c>
      <c r="K42" s="48">
        <v>35</v>
      </c>
      <c r="L42" s="48">
        <v>36</v>
      </c>
    </row>
    <row r="43" spans="2:12" ht="22.8" x14ac:dyDescent="0.3">
      <c r="B43" s="44" t="s">
        <v>194</v>
      </c>
      <c r="C43" s="48">
        <v>80.09</v>
      </c>
      <c r="D43" s="48">
        <v>84.67</v>
      </c>
      <c r="E43" s="48">
        <v>786</v>
      </c>
      <c r="F43" s="48">
        <v>930</v>
      </c>
      <c r="G43" s="48">
        <v>1477</v>
      </c>
      <c r="H43" s="48">
        <v>1049</v>
      </c>
      <c r="I43" s="48">
        <v>2039</v>
      </c>
      <c r="J43" s="48">
        <v>1702</v>
      </c>
      <c r="K43" s="48">
        <v>1790</v>
      </c>
      <c r="L43" s="48">
        <v>2143</v>
      </c>
    </row>
    <row r="44" spans="2:12" ht="24" x14ac:dyDescent="0.3">
      <c r="B44" s="43" t="s">
        <v>195</v>
      </c>
      <c r="C44" s="49">
        <v>9559.51</v>
      </c>
      <c r="D44" s="49">
        <v>9982.1</v>
      </c>
      <c r="E44" s="49">
        <v>10345</v>
      </c>
      <c r="F44" s="49">
        <v>10172</v>
      </c>
      <c r="G44" s="49">
        <v>11660</v>
      </c>
      <c r="H44" s="49">
        <v>11914</v>
      </c>
      <c r="I44" s="49">
        <v>12321</v>
      </c>
      <c r="J44" s="49">
        <v>14217</v>
      </c>
      <c r="K44" s="49">
        <v>15522</v>
      </c>
      <c r="L44" s="49">
        <v>16998</v>
      </c>
    </row>
    <row r="45" spans="2:12" x14ac:dyDescent="0.3">
      <c r="B45" s="43" t="s">
        <v>196</v>
      </c>
      <c r="C45" s="49">
        <v>13769.31</v>
      </c>
      <c r="D45" s="49">
        <v>14430.8</v>
      </c>
      <c r="E45" s="49">
        <v>14794</v>
      </c>
      <c r="F45" s="49">
        <v>15706</v>
      </c>
      <c r="G45" s="49">
        <v>17862</v>
      </c>
      <c r="H45" s="49">
        <v>18629</v>
      </c>
      <c r="I45" s="49">
        <v>20153</v>
      </c>
      <c r="J45" s="49">
        <v>68757</v>
      </c>
      <c r="K45" s="49">
        <v>70517</v>
      </c>
      <c r="L45" s="49">
        <v>73087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331A-BDD7-4BA4-B330-A42F092009EB}">
  <dimension ref="B2:N35"/>
  <sheetViews>
    <sheetView workbookViewId="0">
      <selection activeCell="L34" sqref="L34"/>
    </sheetView>
  </sheetViews>
  <sheetFormatPr defaultRowHeight="14.4" x14ac:dyDescent="0.3"/>
  <cols>
    <col min="2" max="2" width="31.33203125" bestFit="1" customWidth="1"/>
    <col min="3" max="3" width="7.33203125" bestFit="1" customWidth="1"/>
    <col min="4" max="12" width="7.77734375" bestFit="1" customWidth="1"/>
  </cols>
  <sheetData>
    <row r="2" spans="2:14" x14ac:dyDescent="0.3">
      <c r="C2" s="30">
        <v>41699</v>
      </c>
      <c r="D2" s="30">
        <v>42064</v>
      </c>
      <c r="E2" s="30">
        <v>42430</v>
      </c>
      <c r="F2" s="30">
        <v>42795</v>
      </c>
      <c r="G2" s="30">
        <v>43160</v>
      </c>
      <c r="H2" s="30">
        <v>43525</v>
      </c>
      <c r="I2" s="30">
        <v>43891</v>
      </c>
      <c r="J2" s="30">
        <v>44256</v>
      </c>
      <c r="K2" s="30">
        <v>44621</v>
      </c>
      <c r="L2" s="30">
        <v>44986</v>
      </c>
    </row>
    <row r="3" spans="2:14" x14ac:dyDescent="0.3">
      <c r="B3" s="31" t="s">
        <v>115</v>
      </c>
      <c r="C3" s="32">
        <v>3818</v>
      </c>
      <c r="D3" s="32">
        <v>3292</v>
      </c>
      <c r="E3" s="32">
        <v>4171</v>
      </c>
      <c r="F3" s="32">
        <v>5185</v>
      </c>
      <c r="G3" s="32">
        <v>6059</v>
      </c>
      <c r="H3" s="32">
        <v>5800</v>
      </c>
      <c r="I3" s="32">
        <v>7623</v>
      </c>
      <c r="J3" s="32">
        <v>9163</v>
      </c>
      <c r="K3" s="32">
        <v>9048</v>
      </c>
      <c r="L3" s="32">
        <v>9991</v>
      </c>
    </row>
    <row r="4" spans="2:14" x14ac:dyDescent="0.3">
      <c r="B4" s="31" t="s">
        <v>84</v>
      </c>
      <c r="C4" s="32">
        <v>4802</v>
      </c>
      <c r="D4" s="32">
        <v>5510</v>
      </c>
      <c r="E4" s="32">
        <v>6025</v>
      </c>
      <c r="F4" s="32">
        <v>6512</v>
      </c>
      <c r="G4" s="32">
        <v>7485</v>
      </c>
      <c r="H4" s="32">
        <v>8909</v>
      </c>
      <c r="I4" s="32">
        <v>9723</v>
      </c>
      <c r="J4" s="32">
        <v>11672</v>
      </c>
      <c r="K4" s="32">
        <v>12829</v>
      </c>
      <c r="L4" s="32">
        <v>14089</v>
      </c>
    </row>
    <row r="5" spans="2:14" x14ac:dyDescent="0.3">
      <c r="B5" s="33" t="s">
        <v>42</v>
      </c>
      <c r="C5" s="34">
        <v>-17</v>
      </c>
      <c r="D5" s="34">
        <v>3</v>
      </c>
      <c r="E5" s="34">
        <v>-257</v>
      </c>
      <c r="F5" s="34">
        <v>173</v>
      </c>
      <c r="G5" s="34">
        <v>0</v>
      </c>
      <c r="H5" s="34">
        <v>0</v>
      </c>
      <c r="I5" s="34">
        <v>0</v>
      </c>
      <c r="J5" s="34">
        <v>0</v>
      </c>
      <c r="K5" s="34">
        <v>0</v>
      </c>
      <c r="L5" s="34">
        <v>0</v>
      </c>
    </row>
    <row r="6" spans="2:14" x14ac:dyDescent="0.3">
      <c r="B6" s="33" t="s">
        <v>43</v>
      </c>
      <c r="C6" s="34">
        <v>-201</v>
      </c>
      <c r="D6" s="34">
        <v>91</v>
      </c>
      <c r="E6" s="34">
        <v>89</v>
      </c>
      <c r="F6" s="34">
        <v>37</v>
      </c>
      <c r="G6" s="34">
        <v>-146</v>
      </c>
      <c r="H6" s="34">
        <v>-195</v>
      </c>
      <c r="I6" s="34">
        <v>-331</v>
      </c>
      <c r="J6" s="34">
        <v>-543</v>
      </c>
      <c r="K6" s="34">
        <v>-758</v>
      </c>
      <c r="L6" s="34">
        <v>-339</v>
      </c>
    </row>
    <row r="7" spans="2:14" x14ac:dyDescent="0.3">
      <c r="B7" s="33" t="s">
        <v>85</v>
      </c>
      <c r="C7" s="34">
        <v>546</v>
      </c>
      <c r="D7" s="34">
        <v>-327</v>
      </c>
      <c r="E7" s="34">
        <v>164</v>
      </c>
      <c r="F7" s="34">
        <v>501</v>
      </c>
      <c r="G7" s="34">
        <v>0</v>
      </c>
      <c r="H7" s="34">
        <v>0</v>
      </c>
      <c r="I7" s="34">
        <v>0</v>
      </c>
      <c r="J7" s="34">
        <v>0</v>
      </c>
      <c r="K7" s="34">
        <v>0</v>
      </c>
      <c r="L7" s="34">
        <v>0</v>
      </c>
    </row>
    <row r="8" spans="2:14" x14ac:dyDescent="0.3">
      <c r="B8" s="33" t="s">
        <v>86</v>
      </c>
      <c r="C8" s="34">
        <v>-4</v>
      </c>
      <c r="D8" s="34">
        <v>-148</v>
      </c>
      <c r="E8" s="34">
        <v>0</v>
      </c>
      <c r="F8" s="34">
        <v>0</v>
      </c>
      <c r="G8" s="34">
        <v>0</v>
      </c>
      <c r="H8" s="34">
        <v>0</v>
      </c>
      <c r="I8" s="34">
        <v>0</v>
      </c>
      <c r="J8" s="34">
        <v>0</v>
      </c>
      <c r="K8" s="34">
        <v>0</v>
      </c>
      <c r="L8" s="34">
        <v>0</v>
      </c>
    </row>
    <row r="9" spans="2:14" x14ac:dyDescent="0.3">
      <c r="B9" s="33" t="s">
        <v>116</v>
      </c>
      <c r="C9" s="34">
        <v>0</v>
      </c>
      <c r="D9" s="34">
        <v>0</v>
      </c>
      <c r="E9" s="34">
        <v>0</v>
      </c>
      <c r="F9" s="34">
        <v>-46</v>
      </c>
      <c r="G9" s="34">
        <v>0</v>
      </c>
      <c r="H9" s="34">
        <v>0</v>
      </c>
      <c r="I9" s="34">
        <v>0</v>
      </c>
      <c r="J9" s="34">
        <v>0</v>
      </c>
      <c r="K9" s="34">
        <v>0</v>
      </c>
      <c r="L9" s="34">
        <v>0</v>
      </c>
    </row>
    <row r="10" spans="2:14" x14ac:dyDescent="0.3">
      <c r="B10" s="33" t="s">
        <v>87</v>
      </c>
      <c r="C10" s="34">
        <v>81</v>
      </c>
      <c r="D10" s="34">
        <v>38</v>
      </c>
      <c r="E10" s="34">
        <v>-77</v>
      </c>
      <c r="F10" s="34">
        <v>-99</v>
      </c>
      <c r="G10" s="34">
        <v>982</v>
      </c>
      <c r="H10" s="34">
        <v>-147</v>
      </c>
      <c r="I10" s="34">
        <v>742</v>
      </c>
      <c r="J10" s="34">
        <v>442</v>
      </c>
      <c r="K10" s="34">
        <v>-242</v>
      </c>
      <c r="L10" s="34">
        <v>-619</v>
      </c>
      <c r="M10" s="27">
        <f>+L4+L11</f>
        <v>13131</v>
      </c>
      <c r="N10" s="27">
        <f>+L11+L12</f>
        <v>-4096</v>
      </c>
    </row>
    <row r="11" spans="2:14" x14ac:dyDescent="0.3">
      <c r="B11" s="31" t="s">
        <v>88</v>
      </c>
      <c r="C11" s="35">
        <v>405</v>
      </c>
      <c r="D11" s="35">
        <v>-342</v>
      </c>
      <c r="E11" s="35">
        <v>-81</v>
      </c>
      <c r="F11" s="35">
        <v>566</v>
      </c>
      <c r="G11" s="35">
        <v>836</v>
      </c>
      <c r="H11" s="35">
        <v>-342</v>
      </c>
      <c r="I11" s="35">
        <v>411</v>
      </c>
      <c r="J11" s="35">
        <v>-101</v>
      </c>
      <c r="K11" s="32">
        <v>-1000</v>
      </c>
      <c r="L11" s="35">
        <v>-958</v>
      </c>
      <c r="M11" s="27">
        <f>+M10+L12</f>
        <v>9993</v>
      </c>
      <c r="N11" s="27">
        <f>+N10+L4</f>
        <v>9993</v>
      </c>
    </row>
    <row r="12" spans="2:14" x14ac:dyDescent="0.3">
      <c r="B12" s="33" t="s">
        <v>89</v>
      </c>
      <c r="C12" s="36">
        <v>-1384</v>
      </c>
      <c r="D12" s="36">
        <v>-1862</v>
      </c>
      <c r="E12" s="36">
        <v>-1765</v>
      </c>
      <c r="F12" s="36">
        <v>-1859</v>
      </c>
      <c r="G12" s="36">
        <v>-2264</v>
      </c>
      <c r="H12" s="36">
        <v>-2767</v>
      </c>
      <c r="I12" s="36">
        <v>-2505</v>
      </c>
      <c r="J12" s="36">
        <v>-2407</v>
      </c>
      <c r="K12" s="36">
        <v>-2784</v>
      </c>
      <c r="L12" s="36">
        <v>-3138</v>
      </c>
    </row>
    <row r="13" spans="2:14" x14ac:dyDescent="0.3">
      <c r="B13" s="33" t="s">
        <v>117</v>
      </c>
      <c r="C13" s="34">
        <v>-5</v>
      </c>
      <c r="D13" s="34">
        <v>-14</v>
      </c>
      <c r="E13" s="34">
        <v>-8</v>
      </c>
      <c r="F13" s="34">
        <v>-21</v>
      </c>
      <c r="G13" s="34">
        <v>0</v>
      </c>
      <c r="H13" s="34">
        <v>0</v>
      </c>
      <c r="I13" s="34">
        <v>0</v>
      </c>
      <c r="J13" s="34">
        <v>0</v>
      </c>
      <c r="K13" s="34">
        <v>0</v>
      </c>
      <c r="L13" s="34">
        <v>-1</v>
      </c>
    </row>
    <row r="14" spans="2:14" x14ac:dyDescent="0.3">
      <c r="B14" s="33" t="s">
        <v>118</v>
      </c>
      <c r="C14" s="34">
        <v>0</v>
      </c>
      <c r="D14" s="34">
        <v>0</v>
      </c>
      <c r="E14" s="34">
        <v>0</v>
      </c>
      <c r="F14" s="34">
        <v>-13</v>
      </c>
      <c r="G14" s="34">
        <v>2</v>
      </c>
      <c r="H14" s="34">
        <v>0</v>
      </c>
      <c r="I14" s="34">
        <v>-6</v>
      </c>
      <c r="J14" s="34">
        <v>-1</v>
      </c>
      <c r="K14" s="34">
        <v>3</v>
      </c>
      <c r="L14" s="34">
        <v>-1</v>
      </c>
    </row>
    <row r="15" spans="2:14" x14ac:dyDescent="0.3">
      <c r="B15" s="31" t="s">
        <v>119</v>
      </c>
      <c r="C15" s="35">
        <v>-475</v>
      </c>
      <c r="D15" s="35">
        <v>138</v>
      </c>
      <c r="E15" s="35">
        <v>-282</v>
      </c>
      <c r="F15" s="32">
        <v>-1173</v>
      </c>
      <c r="G15" s="32">
        <v>-1063</v>
      </c>
      <c r="H15" s="35">
        <v>-438</v>
      </c>
      <c r="I15" s="32">
        <v>1791</v>
      </c>
      <c r="J15" s="32">
        <v>-1228</v>
      </c>
      <c r="K15" s="32">
        <v>-1728</v>
      </c>
      <c r="L15" s="32">
        <v>-1484</v>
      </c>
    </row>
    <row r="16" spans="2:14" x14ac:dyDescent="0.3">
      <c r="B16" s="33" t="s">
        <v>90</v>
      </c>
      <c r="C16" s="34">
        <v>-606</v>
      </c>
      <c r="D16" s="34">
        <v>-606</v>
      </c>
      <c r="E16" s="34">
        <v>-810</v>
      </c>
      <c r="F16" s="36">
        <v>-1113</v>
      </c>
      <c r="G16" s="34">
        <v>-895</v>
      </c>
      <c r="H16" s="34">
        <v>-767</v>
      </c>
      <c r="I16" s="34">
        <v>-862</v>
      </c>
      <c r="J16" s="36">
        <v>-4163</v>
      </c>
      <c r="K16" s="36">
        <v>-1228</v>
      </c>
      <c r="L16" s="36">
        <v>-1192</v>
      </c>
    </row>
    <row r="17" spans="2:12" x14ac:dyDescent="0.3">
      <c r="B17" s="33" t="s">
        <v>91</v>
      </c>
      <c r="C17" s="34">
        <v>229</v>
      </c>
      <c r="D17" s="34">
        <v>560</v>
      </c>
      <c r="E17" s="34">
        <v>99</v>
      </c>
      <c r="F17" s="34">
        <v>176</v>
      </c>
      <c r="G17" s="34">
        <v>32</v>
      </c>
      <c r="H17" s="34">
        <v>13</v>
      </c>
      <c r="I17" s="34">
        <v>52</v>
      </c>
      <c r="J17" s="34">
        <v>97</v>
      </c>
      <c r="K17" s="34">
        <v>175</v>
      </c>
      <c r="L17" s="34">
        <v>181</v>
      </c>
    </row>
    <row r="18" spans="2:12" x14ac:dyDescent="0.3">
      <c r="B18" s="33" t="s">
        <v>92</v>
      </c>
      <c r="C18" s="36">
        <v>-9538</v>
      </c>
      <c r="D18" s="36">
        <v>-19353</v>
      </c>
      <c r="E18" s="36">
        <v>-20666</v>
      </c>
      <c r="F18" s="36">
        <v>-31214</v>
      </c>
      <c r="G18" s="36">
        <v>-51855</v>
      </c>
      <c r="H18" s="36">
        <v>-74365</v>
      </c>
      <c r="I18" s="36">
        <v>-36090</v>
      </c>
      <c r="J18" s="36">
        <v>-39920</v>
      </c>
      <c r="K18" s="36">
        <v>-48522</v>
      </c>
      <c r="L18" s="36">
        <v>-22649</v>
      </c>
    </row>
    <row r="19" spans="2:12" x14ac:dyDescent="0.3">
      <c r="B19" s="33" t="s">
        <v>93</v>
      </c>
      <c r="C19" s="36">
        <v>9213</v>
      </c>
      <c r="D19" s="36">
        <v>19461</v>
      </c>
      <c r="E19" s="36">
        <v>20937</v>
      </c>
      <c r="F19" s="36">
        <v>30083</v>
      </c>
      <c r="G19" s="36">
        <v>52897</v>
      </c>
      <c r="H19" s="36">
        <v>74691</v>
      </c>
      <c r="I19" s="36">
        <v>37690</v>
      </c>
      <c r="J19" s="36">
        <v>38486</v>
      </c>
      <c r="K19" s="36">
        <v>47786</v>
      </c>
      <c r="L19" s="36">
        <v>23462</v>
      </c>
    </row>
    <row r="20" spans="2:12" x14ac:dyDescent="0.3">
      <c r="B20" s="33" t="s">
        <v>94</v>
      </c>
      <c r="C20" s="34">
        <v>232</v>
      </c>
      <c r="D20" s="34">
        <v>218</v>
      </c>
      <c r="E20" s="34">
        <v>315</v>
      </c>
      <c r="F20" s="34">
        <v>264</v>
      </c>
      <c r="G20" s="34">
        <v>297</v>
      </c>
      <c r="H20" s="34">
        <v>289</v>
      </c>
      <c r="I20" s="34">
        <v>351</v>
      </c>
      <c r="J20" s="34">
        <v>277</v>
      </c>
      <c r="K20" s="34">
        <v>161</v>
      </c>
      <c r="L20" s="34">
        <v>259</v>
      </c>
    </row>
    <row r="21" spans="2:12" x14ac:dyDescent="0.3">
      <c r="B21" s="33" t="s">
        <v>95</v>
      </c>
      <c r="C21" s="34">
        <v>16</v>
      </c>
      <c r="D21" s="34">
        <v>24</v>
      </c>
      <c r="E21" s="34">
        <v>33</v>
      </c>
      <c r="F21" s="34">
        <v>14</v>
      </c>
      <c r="G21" s="34">
        <v>0</v>
      </c>
      <c r="H21" s="34">
        <v>1</v>
      </c>
      <c r="I21" s="34">
        <v>1</v>
      </c>
      <c r="J21" s="34">
        <v>1</v>
      </c>
      <c r="K21" s="34">
        <v>1</v>
      </c>
      <c r="L21" s="34">
        <v>2</v>
      </c>
    </row>
    <row r="22" spans="2:12" x14ac:dyDescent="0.3">
      <c r="B22" s="33" t="s">
        <v>96</v>
      </c>
      <c r="C22" s="34">
        <v>-101</v>
      </c>
      <c r="D22" s="34">
        <v>0</v>
      </c>
      <c r="E22" s="34">
        <v>0</v>
      </c>
      <c r="F22" s="34">
        <v>0</v>
      </c>
      <c r="G22" s="34">
        <v>0</v>
      </c>
      <c r="H22" s="34">
        <v>0</v>
      </c>
      <c r="I22" s="34">
        <v>0</v>
      </c>
      <c r="J22" s="34">
        <v>0</v>
      </c>
      <c r="K22" s="34">
        <v>0</v>
      </c>
      <c r="L22" s="34">
        <v>0</v>
      </c>
    </row>
    <row r="23" spans="2:12" x14ac:dyDescent="0.3">
      <c r="B23" s="33" t="s">
        <v>120</v>
      </c>
      <c r="C23" s="34">
        <v>-104</v>
      </c>
      <c r="D23" s="34">
        <v>0</v>
      </c>
      <c r="E23" s="34">
        <v>0</v>
      </c>
      <c r="F23" s="34">
        <v>0</v>
      </c>
      <c r="G23" s="34">
        <v>0</v>
      </c>
      <c r="H23" s="34">
        <v>0</v>
      </c>
      <c r="I23" s="34">
        <v>0</v>
      </c>
      <c r="J23" s="34">
        <v>0</v>
      </c>
      <c r="K23" s="34">
        <v>0</v>
      </c>
      <c r="L23" s="34">
        <v>0</v>
      </c>
    </row>
    <row r="24" spans="2:12" x14ac:dyDescent="0.3">
      <c r="B24" s="33" t="s">
        <v>97</v>
      </c>
      <c r="C24" s="34">
        <v>0</v>
      </c>
      <c r="D24" s="34">
        <v>200</v>
      </c>
      <c r="E24" s="34">
        <v>161</v>
      </c>
      <c r="F24" s="34">
        <v>20</v>
      </c>
      <c r="G24" s="34">
        <v>73</v>
      </c>
      <c r="H24" s="34">
        <v>0</v>
      </c>
      <c r="I24" s="34">
        <v>0</v>
      </c>
      <c r="J24" s="34">
        <v>0</v>
      </c>
      <c r="K24" s="34">
        <v>0</v>
      </c>
      <c r="L24" s="34">
        <v>0</v>
      </c>
    </row>
    <row r="25" spans="2:12" x14ac:dyDescent="0.3">
      <c r="B25" s="33" t="s">
        <v>98</v>
      </c>
      <c r="C25" s="34">
        <v>0</v>
      </c>
      <c r="D25" s="34">
        <v>0</v>
      </c>
      <c r="E25" s="34">
        <v>0</v>
      </c>
      <c r="F25" s="34">
        <v>0</v>
      </c>
      <c r="G25" s="34">
        <v>0</v>
      </c>
      <c r="H25" s="34">
        <v>0</v>
      </c>
      <c r="I25" s="34">
        <v>0</v>
      </c>
      <c r="J25" s="34">
        <v>0</v>
      </c>
      <c r="K25" s="34">
        <v>0</v>
      </c>
      <c r="L25" s="34">
        <v>-334</v>
      </c>
    </row>
    <row r="26" spans="2:12" x14ac:dyDescent="0.3">
      <c r="B26" s="33" t="s">
        <v>100</v>
      </c>
      <c r="C26" s="34">
        <v>183</v>
      </c>
      <c r="D26" s="34">
        <v>-367</v>
      </c>
      <c r="E26" s="34">
        <v>-351</v>
      </c>
      <c r="F26" s="34">
        <v>597</v>
      </c>
      <c r="G26" s="36">
        <v>-1612</v>
      </c>
      <c r="H26" s="34">
        <v>-300</v>
      </c>
      <c r="I26" s="34">
        <v>649</v>
      </c>
      <c r="J26" s="36">
        <v>3994</v>
      </c>
      <c r="K26" s="34">
        <v>-101</v>
      </c>
      <c r="L26" s="36">
        <v>-1213</v>
      </c>
    </row>
    <row r="27" spans="2:12" x14ac:dyDescent="0.3">
      <c r="B27" s="31" t="s">
        <v>121</v>
      </c>
      <c r="C27" s="32">
        <v>-2960</v>
      </c>
      <c r="D27" s="32">
        <v>-3462</v>
      </c>
      <c r="E27" s="32">
        <v>-3864</v>
      </c>
      <c r="F27" s="32">
        <v>-4214</v>
      </c>
      <c r="G27" s="32">
        <v>-4975</v>
      </c>
      <c r="H27" s="32">
        <v>-5390</v>
      </c>
      <c r="I27" s="32">
        <v>-6819</v>
      </c>
      <c r="J27" s="32">
        <v>-9309</v>
      </c>
      <c r="K27" s="32">
        <v>-8015</v>
      </c>
      <c r="L27" s="32">
        <v>-8953</v>
      </c>
    </row>
    <row r="28" spans="2:12" x14ac:dyDescent="0.3">
      <c r="B28" s="33" t="s">
        <v>101</v>
      </c>
      <c r="C28" s="34">
        <v>2</v>
      </c>
      <c r="D28" s="34">
        <v>2</v>
      </c>
      <c r="E28" s="34">
        <v>0</v>
      </c>
      <c r="F28" s="34">
        <v>0</v>
      </c>
      <c r="G28" s="34">
        <v>0</v>
      </c>
      <c r="H28" s="34">
        <v>0</v>
      </c>
      <c r="I28" s="34">
        <v>0</v>
      </c>
      <c r="J28" s="34">
        <v>0</v>
      </c>
      <c r="K28" s="34">
        <v>0</v>
      </c>
      <c r="L28" s="34">
        <v>0</v>
      </c>
    </row>
    <row r="29" spans="2:12" x14ac:dyDescent="0.3">
      <c r="B29" s="33" t="s">
        <v>102</v>
      </c>
      <c r="C29" s="34">
        <v>0</v>
      </c>
      <c r="D29" s="34">
        <v>0</v>
      </c>
      <c r="E29" s="34">
        <v>177</v>
      </c>
      <c r="F29" s="34">
        <v>460</v>
      </c>
      <c r="G29" s="34">
        <v>0</v>
      </c>
      <c r="H29" s="34">
        <v>99</v>
      </c>
      <c r="I29" s="34">
        <v>0</v>
      </c>
      <c r="J29" s="34">
        <v>188</v>
      </c>
      <c r="K29" s="34">
        <v>55</v>
      </c>
      <c r="L29" s="34">
        <v>286</v>
      </c>
    </row>
    <row r="30" spans="2:12" x14ac:dyDescent="0.3">
      <c r="B30" s="33" t="s">
        <v>103</v>
      </c>
      <c r="C30" s="34">
        <v>-15</v>
      </c>
      <c r="D30" s="34">
        <v>-3</v>
      </c>
      <c r="E30" s="34">
        <v>0</v>
      </c>
      <c r="F30" s="34">
        <v>-360</v>
      </c>
      <c r="G30" s="34">
        <v>-277</v>
      </c>
      <c r="H30" s="34">
        <v>0</v>
      </c>
      <c r="I30" s="34">
        <v>-99</v>
      </c>
      <c r="J30" s="34">
        <v>-188</v>
      </c>
      <c r="K30" s="34">
        <v>-55</v>
      </c>
      <c r="L30" s="34">
        <v>-208</v>
      </c>
    </row>
    <row r="31" spans="2:12" x14ac:dyDescent="0.3">
      <c r="B31" s="33" t="s">
        <v>104</v>
      </c>
      <c r="C31" s="34">
        <v>-29</v>
      </c>
      <c r="D31" s="34">
        <v>-18</v>
      </c>
      <c r="E31" s="34">
        <v>-2</v>
      </c>
      <c r="F31" s="34">
        <v>-14</v>
      </c>
      <c r="G31" s="34">
        <v>-6</v>
      </c>
      <c r="H31" s="34">
        <v>-7</v>
      </c>
      <c r="I31" s="34">
        <v>-90</v>
      </c>
      <c r="J31" s="34">
        <v>-92</v>
      </c>
      <c r="K31" s="34">
        <v>-82</v>
      </c>
      <c r="L31" s="34">
        <v>-88</v>
      </c>
    </row>
    <row r="32" spans="2:12" x14ac:dyDescent="0.3">
      <c r="B32" s="33" t="s">
        <v>105</v>
      </c>
      <c r="C32" s="36">
        <v>-2481</v>
      </c>
      <c r="D32" s="36">
        <v>-2912</v>
      </c>
      <c r="E32" s="36">
        <v>-3354</v>
      </c>
      <c r="F32" s="36">
        <v>-3572</v>
      </c>
      <c r="G32" s="36">
        <v>-3911</v>
      </c>
      <c r="H32" s="36">
        <v>-4554</v>
      </c>
      <c r="I32" s="36">
        <v>-5196</v>
      </c>
      <c r="J32" s="36">
        <v>-8811</v>
      </c>
      <c r="K32" s="36">
        <v>-7526</v>
      </c>
      <c r="L32" s="36">
        <v>-8474</v>
      </c>
    </row>
    <row r="33" spans="2:12" x14ac:dyDescent="0.3">
      <c r="B33" s="33" t="s">
        <v>106</v>
      </c>
      <c r="C33" s="34">
        <v>0</v>
      </c>
      <c r="D33" s="34">
        <v>0</v>
      </c>
      <c r="E33" s="34">
        <v>0</v>
      </c>
      <c r="F33" s="34">
        <v>0</v>
      </c>
      <c r="G33" s="34">
        <v>0</v>
      </c>
      <c r="H33" s="34">
        <v>0</v>
      </c>
      <c r="I33" s="34">
        <v>-373</v>
      </c>
      <c r="J33" s="34">
        <v>-406</v>
      </c>
      <c r="K33" s="34">
        <v>-407</v>
      </c>
      <c r="L33" s="34">
        <v>-467</v>
      </c>
    </row>
    <row r="34" spans="2:12" x14ac:dyDescent="0.3">
      <c r="B34" s="33" t="s">
        <v>107</v>
      </c>
      <c r="C34" s="34">
        <v>-437</v>
      </c>
      <c r="D34" s="34">
        <v>-533</v>
      </c>
      <c r="E34" s="34">
        <v>-685</v>
      </c>
      <c r="F34" s="34">
        <v>-728</v>
      </c>
      <c r="G34" s="34">
        <v>-781</v>
      </c>
      <c r="H34" s="34">
        <v>-928</v>
      </c>
      <c r="I34" s="36">
        <v>-1061</v>
      </c>
      <c r="J34" s="34">
        <v>0</v>
      </c>
      <c r="K34" s="34">
        <v>0</v>
      </c>
      <c r="L34" s="34">
        <v>-2</v>
      </c>
    </row>
    <row r="35" spans="2:12" x14ac:dyDescent="0.3">
      <c r="B35" s="31" t="s">
        <v>52</v>
      </c>
      <c r="C35" s="35">
        <v>383</v>
      </c>
      <c r="D35" s="35">
        <v>-33</v>
      </c>
      <c r="E35" s="35">
        <v>25</v>
      </c>
      <c r="F35" s="35">
        <v>-202</v>
      </c>
      <c r="G35" s="35">
        <v>21</v>
      </c>
      <c r="H35" s="35">
        <v>-28</v>
      </c>
      <c r="I35" s="32">
        <v>2595</v>
      </c>
      <c r="J35" s="32">
        <v>-1374</v>
      </c>
      <c r="K35" s="35">
        <v>-695</v>
      </c>
      <c r="L35" s="35">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DCF</vt:lpstr>
      <vt:lpstr>Comps_Val</vt:lpstr>
      <vt:lpstr>Dupont Analysis</vt:lpstr>
      <vt:lpstr>Intrinsic Growth</vt:lpstr>
      <vt:lpstr>Peers Comparison</vt:lpstr>
      <vt:lpstr>Common Size Statememt</vt:lpstr>
      <vt:lpstr>RM</vt:lpstr>
      <vt:lpstr>Beta Calculation</vt:lpstr>
      <vt:lpstr>Sales Forecast</vt:lpstr>
      <vt:lpstr>Ratio Analysis</vt:lpstr>
      <vt:lpstr>Financials&gt;</vt:lpstr>
      <vt:lpstr>HistoricalFS</vt:lpstr>
      <vt:lpstr>Data&gt;</vt:lpstr>
      <vt:lpstr>Data Sheet</vt:lpstr>
      <vt:lpstr>Balance Sheet Data</vt:lpstr>
      <vt:lpstr>Cash Flow Data</vt:lpstr>
      <vt:lpstr>'Dupont Analysis'!Print_Area</vt:lpstr>
      <vt:lpstr>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Valuation School</dc:creator>
  <cp:lastModifiedBy>Sejal Singhal</cp:lastModifiedBy>
  <cp:lastPrinted>2024-03-18T14:46:46Z</cp:lastPrinted>
  <dcterms:created xsi:type="dcterms:W3CDTF">2023-01-14T08:22:33Z</dcterms:created>
  <dcterms:modified xsi:type="dcterms:W3CDTF">2024-03-18T14:51:24Z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{9CFBFC8B-C35F-4354-95CF-4607CE1DA376}</vt:lpwstr>
  </property>
</Properties>
</file>