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in\development\Soil_Microbes_C_Cycle\Master Thesis\"/>
    </mc:Choice>
  </mc:AlternateContent>
  <xr:revisionPtr revIDLastSave="0" documentId="13_ncr:1_{4C30190F-D2B6-407D-BE67-C161FD22F8A5}" xr6:coauthVersionLast="47" xr6:coauthVersionMax="47" xr10:uidLastSave="{00000000-0000-0000-0000-000000000000}"/>
  <bookViews>
    <workbookView xWindow="-120" yWindow="-120" windowWidth="29040" windowHeight="15720" xr2:uid="{032DB528-D0F0-4C9A-8068-1E78C1FF2825}"/>
  </bookViews>
  <sheets>
    <sheet name="Sheet1" sheetId="1" r:id="rId1"/>
    <sheet name="Sheet2" sheetId="2" r:id="rId2"/>
    <sheet name="Pivot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A3" i="1" l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2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2" i="1"/>
  <c r="CQ2" i="1"/>
  <c r="CP2" i="1"/>
  <c r="AP2" i="1"/>
  <c r="AA2" i="1"/>
  <c r="D11" i="4"/>
  <c r="F12" i="4"/>
  <c r="F13" i="4"/>
  <c r="F14" i="4"/>
  <c r="F11" i="4"/>
  <c r="E12" i="4"/>
  <c r="E13" i="4"/>
  <c r="E14" i="4"/>
  <c r="E11" i="4"/>
  <c r="D14" i="4"/>
  <c r="D12" i="4"/>
  <c r="D13" i="4"/>
  <c r="C11" i="4"/>
  <c r="C12" i="4"/>
  <c r="C13" i="4"/>
  <c r="C14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C2" i="1" l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F2" i="1"/>
  <c r="AZ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2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2" i="1"/>
  <c r="CT3" i="1"/>
  <c r="CX3" i="1" s="1"/>
  <c r="CT4" i="1"/>
  <c r="CX4" i="1" s="1"/>
  <c r="CT5" i="1"/>
  <c r="CX5" i="1" s="1"/>
  <c r="CT6" i="1"/>
  <c r="CX6" i="1" s="1"/>
  <c r="CT7" i="1"/>
  <c r="CX7" i="1" s="1"/>
  <c r="CT8" i="1"/>
  <c r="CX8" i="1" s="1"/>
  <c r="CT9" i="1"/>
  <c r="CX9" i="1" s="1"/>
  <c r="CT10" i="1"/>
  <c r="CX10" i="1" s="1"/>
  <c r="CT11" i="1"/>
  <c r="CX11" i="1" s="1"/>
  <c r="CT12" i="1"/>
  <c r="CX12" i="1" s="1"/>
  <c r="CT13" i="1"/>
  <c r="CX13" i="1" s="1"/>
  <c r="CT14" i="1"/>
  <c r="CX14" i="1" s="1"/>
  <c r="CT15" i="1"/>
  <c r="CX15" i="1" s="1"/>
  <c r="CT16" i="1"/>
  <c r="CX16" i="1" s="1"/>
  <c r="CT17" i="1"/>
  <c r="CX17" i="1" s="1"/>
  <c r="CT18" i="1"/>
  <c r="CX18" i="1" s="1"/>
  <c r="CT19" i="1"/>
  <c r="CX19" i="1" s="1"/>
  <c r="CT20" i="1"/>
  <c r="CX20" i="1" s="1"/>
  <c r="CT21" i="1"/>
  <c r="CX21" i="1" s="1"/>
  <c r="CT22" i="1"/>
  <c r="CX22" i="1" s="1"/>
  <c r="CT23" i="1"/>
  <c r="CX23" i="1" s="1"/>
  <c r="CT24" i="1"/>
  <c r="CX24" i="1" s="1"/>
  <c r="CT25" i="1"/>
  <c r="CX25" i="1" s="1"/>
  <c r="CT26" i="1"/>
  <c r="CX26" i="1" s="1"/>
  <c r="CT27" i="1"/>
  <c r="CX27" i="1" s="1"/>
  <c r="CT28" i="1"/>
  <c r="CX28" i="1" s="1"/>
  <c r="CT29" i="1"/>
  <c r="CX29" i="1" s="1"/>
  <c r="CT30" i="1"/>
  <c r="CX30" i="1" s="1"/>
  <c r="CT31" i="1"/>
  <c r="CX31" i="1" s="1"/>
  <c r="CT32" i="1"/>
  <c r="CX32" i="1" s="1"/>
  <c r="CT33" i="1"/>
  <c r="CX33" i="1" s="1"/>
  <c r="CT2" i="1"/>
  <c r="CX2" i="1" s="1"/>
  <c r="CS3" i="1"/>
  <c r="CW3" i="1" s="1"/>
  <c r="CS4" i="1"/>
  <c r="CW4" i="1" s="1"/>
  <c r="CS5" i="1"/>
  <c r="CW5" i="1" s="1"/>
  <c r="CS6" i="1"/>
  <c r="CW6" i="1" s="1"/>
  <c r="CS7" i="1"/>
  <c r="CW7" i="1" s="1"/>
  <c r="CS8" i="1"/>
  <c r="CW8" i="1" s="1"/>
  <c r="CS9" i="1"/>
  <c r="CW9" i="1" s="1"/>
  <c r="CS10" i="1"/>
  <c r="CW10" i="1" s="1"/>
  <c r="CS11" i="1"/>
  <c r="CW11" i="1" s="1"/>
  <c r="CS12" i="1"/>
  <c r="CW12" i="1" s="1"/>
  <c r="CS13" i="1"/>
  <c r="CW13" i="1" s="1"/>
  <c r="CS14" i="1"/>
  <c r="CW14" i="1" s="1"/>
  <c r="CS15" i="1"/>
  <c r="CW15" i="1" s="1"/>
  <c r="CS16" i="1"/>
  <c r="CW16" i="1" s="1"/>
  <c r="CS17" i="1"/>
  <c r="CW17" i="1" s="1"/>
  <c r="CS18" i="1"/>
  <c r="CW18" i="1" s="1"/>
  <c r="CS19" i="1"/>
  <c r="CW19" i="1" s="1"/>
  <c r="CS20" i="1"/>
  <c r="CW20" i="1" s="1"/>
  <c r="CS21" i="1"/>
  <c r="CW21" i="1" s="1"/>
  <c r="CS22" i="1"/>
  <c r="CW22" i="1" s="1"/>
  <c r="CS23" i="1"/>
  <c r="CW23" i="1" s="1"/>
  <c r="CS24" i="1"/>
  <c r="CW24" i="1" s="1"/>
  <c r="CS25" i="1"/>
  <c r="CW25" i="1" s="1"/>
  <c r="CS26" i="1"/>
  <c r="CW26" i="1" s="1"/>
  <c r="CS27" i="1"/>
  <c r="CW27" i="1" s="1"/>
  <c r="CS28" i="1"/>
  <c r="CW28" i="1" s="1"/>
  <c r="CS29" i="1"/>
  <c r="CW29" i="1" s="1"/>
  <c r="CS30" i="1"/>
  <c r="CW30" i="1" s="1"/>
  <c r="CS31" i="1"/>
  <c r="CW31" i="1" s="1"/>
  <c r="CS32" i="1"/>
  <c r="CW32" i="1" s="1"/>
  <c r="CS33" i="1"/>
  <c r="CW33" i="1" s="1"/>
  <c r="CS2" i="1"/>
  <c r="CW2" i="1" s="1"/>
  <c r="CR2" i="1" l="1"/>
  <c r="BN11" i="1"/>
  <c r="BN12" i="1"/>
  <c r="BN13" i="1"/>
  <c r="BN14" i="1"/>
  <c r="BN15" i="1"/>
  <c r="BN16" i="1"/>
  <c r="BN17" i="1"/>
  <c r="BN10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BM2" i="1" l="1"/>
  <c r="BR2" i="1"/>
  <c r="BQ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AL2" i="1"/>
  <c r="BO2" i="1" s="1"/>
  <c r="BN3" i="1"/>
  <c r="BN4" i="1"/>
  <c r="BN5" i="1"/>
  <c r="BN6" i="1"/>
  <c r="BN7" i="1"/>
  <c r="BN8" i="1"/>
  <c r="BN9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AO2" i="1"/>
  <c r="AR2" i="1" l="1"/>
  <c r="BT2" i="1"/>
  <c r="AQ2" i="1"/>
  <c r="AT2" i="1"/>
  <c r="BP2" i="1" s="1"/>
  <c r="I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CP29" i="1" l="1"/>
  <c r="CR29" i="1"/>
  <c r="CQ29" i="1"/>
  <c r="CP5" i="1"/>
  <c r="CQ5" i="1"/>
  <c r="CR5" i="1"/>
  <c r="CR31" i="1"/>
  <c r="CP31" i="1"/>
  <c r="CQ31" i="1"/>
  <c r="CP33" i="1"/>
  <c r="CR33" i="1"/>
  <c r="CQ33" i="1"/>
  <c r="CP25" i="1"/>
  <c r="CQ25" i="1"/>
  <c r="CR25" i="1"/>
  <c r="CP21" i="1"/>
  <c r="CR21" i="1"/>
  <c r="CQ21" i="1"/>
  <c r="CP17" i="1"/>
  <c r="CQ17" i="1"/>
  <c r="CR17" i="1"/>
  <c r="CP13" i="1"/>
  <c r="CQ13" i="1"/>
  <c r="CR13" i="1"/>
  <c r="CP9" i="1"/>
  <c r="CQ9" i="1"/>
  <c r="CR9" i="1"/>
  <c r="CQ32" i="1"/>
  <c r="CR32" i="1"/>
  <c r="CP32" i="1"/>
  <c r="CQ28" i="1"/>
  <c r="CP28" i="1"/>
  <c r="CR28" i="1"/>
  <c r="CQ24" i="1"/>
  <c r="CR24" i="1"/>
  <c r="CP24" i="1"/>
  <c r="CQ20" i="1"/>
  <c r="CR20" i="1"/>
  <c r="CP20" i="1"/>
  <c r="CQ16" i="1"/>
  <c r="CR16" i="1"/>
  <c r="CP16" i="1"/>
  <c r="CQ12" i="1"/>
  <c r="CR12" i="1"/>
  <c r="CP12" i="1"/>
  <c r="CQ8" i="1"/>
  <c r="CR8" i="1"/>
  <c r="CP8" i="1"/>
  <c r="CQ4" i="1"/>
  <c r="CR4" i="1"/>
  <c r="CP4" i="1"/>
  <c r="CR27" i="1"/>
  <c r="CP27" i="1"/>
  <c r="CQ27" i="1"/>
  <c r="CR23" i="1"/>
  <c r="CP23" i="1"/>
  <c r="CQ23" i="1"/>
  <c r="CR19" i="1"/>
  <c r="CP19" i="1"/>
  <c r="CQ19" i="1"/>
  <c r="CR15" i="1"/>
  <c r="CP15" i="1"/>
  <c r="CQ15" i="1"/>
  <c r="CR11" i="1"/>
  <c r="CP11" i="1"/>
  <c r="CQ11" i="1"/>
  <c r="CR7" i="1"/>
  <c r="CP7" i="1"/>
  <c r="CQ7" i="1"/>
  <c r="CR3" i="1"/>
  <c r="CP3" i="1"/>
  <c r="CQ3" i="1"/>
  <c r="CP30" i="1"/>
  <c r="CQ30" i="1"/>
  <c r="CR30" i="1"/>
  <c r="CQ26" i="1"/>
  <c r="CP26" i="1"/>
  <c r="CR26" i="1"/>
  <c r="CQ22" i="1"/>
  <c r="CR22" i="1"/>
  <c r="CP22" i="1"/>
  <c r="CP18" i="1"/>
  <c r="CQ18" i="1"/>
  <c r="CR18" i="1"/>
  <c r="CQ14" i="1"/>
  <c r="CP14" i="1"/>
  <c r="CR14" i="1"/>
  <c r="CQ10" i="1"/>
  <c r="CR10" i="1"/>
  <c r="CP10" i="1"/>
  <c r="CP6" i="1"/>
  <c r="CQ6" i="1"/>
  <c r="CR6" i="1"/>
  <c r="AU2" i="1"/>
  <c r="BS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L3" i="1"/>
  <c r="BO3" i="1" s="1"/>
  <c r="BT3" i="1" s="1"/>
  <c r="AL4" i="1"/>
  <c r="BO4" i="1" s="1"/>
  <c r="BT4" i="1" s="1"/>
  <c r="AL5" i="1"/>
  <c r="BO5" i="1" s="1"/>
  <c r="BT5" i="1" s="1"/>
  <c r="AL6" i="1"/>
  <c r="BO6" i="1" s="1"/>
  <c r="BT6" i="1" s="1"/>
  <c r="AL7" i="1"/>
  <c r="BO7" i="1" s="1"/>
  <c r="BT7" i="1" s="1"/>
  <c r="AL8" i="1"/>
  <c r="BO8" i="1" s="1"/>
  <c r="BT8" i="1" s="1"/>
  <c r="AL9" i="1"/>
  <c r="BO9" i="1" s="1"/>
  <c r="BT9" i="1" s="1"/>
  <c r="AL10" i="1"/>
  <c r="BO10" i="1" s="1"/>
  <c r="AL11" i="1"/>
  <c r="BO11" i="1" s="1"/>
  <c r="AL12" i="1"/>
  <c r="BO12" i="1" s="1"/>
  <c r="AL13" i="1"/>
  <c r="BO13" i="1" s="1"/>
  <c r="AL14" i="1"/>
  <c r="BO14" i="1" s="1"/>
  <c r="AL15" i="1"/>
  <c r="BO15" i="1" s="1"/>
  <c r="AL16" i="1"/>
  <c r="BO16" i="1" s="1"/>
  <c r="AL17" i="1"/>
  <c r="BO17" i="1" s="1"/>
  <c r="AL18" i="1"/>
  <c r="AL19" i="1"/>
  <c r="AL20" i="1"/>
  <c r="AL21" i="1"/>
  <c r="AL22" i="1"/>
  <c r="AL23" i="1"/>
  <c r="AL24" i="1"/>
  <c r="AL25" i="1"/>
  <c r="AL26" i="1"/>
  <c r="BO26" i="1" s="1"/>
  <c r="BT26" i="1" s="1"/>
  <c r="AL27" i="1"/>
  <c r="BO27" i="1" s="1"/>
  <c r="BT27" i="1" s="1"/>
  <c r="AL28" i="1"/>
  <c r="BO28" i="1" s="1"/>
  <c r="BT28" i="1" s="1"/>
  <c r="AL29" i="1"/>
  <c r="BO29" i="1" s="1"/>
  <c r="BT29" i="1" s="1"/>
  <c r="AL30" i="1"/>
  <c r="BO30" i="1" s="1"/>
  <c r="BT30" i="1" s="1"/>
  <c r="AL31" i="1"/>
  <c r="BO31" i="1" s="1"/>
  <c r="BT31" i="1" s="1"/>
  <c r="AL32" i="1"/>
  <c r="BO32" i="1" s="1"/>
  <c r="BT32" i="1" s="1"/>
  <c r="AL33" i="1"/>
  <c r="BO33" i="1" s="1"/>
  <c r="BT33" i="1" s="1"/>
  <c r="AS2" i="1"/>
  <c r="AV2" i="1" s="1"/>
  <c r="AO3" i="1" l="1"/>
  <c r="AQ3" i="1" s="1"/>
  <c r="AO4" i="1"/>
  <c r="AQ4" i="1" s="1"/>
  <c r="AO5" i="1"/>
  <c r="AQ5" i="1" s="1"/>
  <c r="AO6" i="1"/>
  <c r="AQ6" i="1" s="1"/>
  <c r="AO7" i="1"/>
  <c r="AQ7" i="1" s="1"/>
  <c r="AO8" i="1"/>
  <c r="AQ8" i="1" s="1"/>
  <c r="AO9" i="1"/>
  <c r="AQ9" i="1" s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Q26" i="1" s="1"/>
  <c r="AO27" i="1"/>
  <c r="AQ27" i="1" s="1"/>
  <c r="AO28" i="1"/>
  <c r="AQ28" i="1" s="1"/>
  <c r="AO29" i="1"/>
  <c r="AQ29" i="1" s="1"/>
  <c r="AO30" i="1"/>
  <c r="AQ30" i="1" s="1"/>
  <c r="AO31" i="1"/>
  <c r="AQ31" i="1" s="1"/>
  <c r="AO32" i="1"/>
  <c r="AQ32" i="1" s="1"/>
  <c r="AO33" i="1"/>
  <c r="AQ33" i="1" s="1"/>
  <c r="AQ20" i="1" l="1"/>
  <c r="BP20" i="1"/>
  <c r="AQ22" i="1"/>
  <c r="BP22" i="1"/>
  <c r="AQ18" i="1"/>
  <c r="BP18" i="1"/>
  <c r="AQ14" i="1"/>
  <c r="AQ10" i="1"/>
  <c r="AQ16" i="1"/>
  <c r="AQ19" i="1"/>
  <c r="BP19" i="1"/>
  <c r="AQ25" i="1"/>
  <c r="BP25" i="1"/>
  <c r="AQ21" i="1"/>
  <c r="BP21" i="1"/>
  <c r="AQ17" i="1"/>
  <c r="AQ13" i="1"/>
  <c r="AQ24" i="1"/>
  <c r="BP24" i="1"/>
  <c r="AQ12" i="1"/>
  <c r="AQ23" i="1"/>
  <c r="BP23" i="1"/>
  <c r="AQ15" i="1"/>
  <c r="AQ11" i="1"/>
  <c r="AS3" i="1"/>
  <c r="AS29" i="1"/>
  <c r="AS13" i="1"/>
  <c r="AS14" i="1"/>
  <c r="AS30" i="1"/>
  <c r="AS7" i="1"/>
  <c r="AS8" i="1"/>
  <c r="AS9" i="1"/>
  <c r="AS4" i="1"/>
  <c r="AS11" i="1"/>
  <c r="AS27" i="1"/>
  <c r="AS12" i="1"/>
  <c r="AS28" i="1"/>
  <c r="AS17" i="1"/>
  <c r="AS33" i="1"/>
  <c r="AS6" i="1"/>
  <c r="AS15" i="1"/>
  <c r="AS31" i="1"/>
  <c r="AS16" i="1"/>
  <c r="AS32" i="1"/>
  <c r="AS5" i="1"/>
  <c r="AS10" i="1"/>
  <c r="AS26" i="1"/>
  <c r="AP27" i="1"/>
  <c r="AT27" i="1"/>
  <c r="AR27" i="1"/>
  <c r="AP23" i="1"/>
  <c r="AR23" i="1"/>
  <c r="AP11" i="1"/>
  <c r="AT11" i="1"/>
  <c r="BP11" i="1" s="1"/>
  <c r="AP3" i="1"/>
  <c r="AT3" i="1"/>
  <c r="AR3" i="1"/>
  <c r="AP30" i="1"/>
  <c r="AT30" i="1"/>
  <c r="BP30" i="1" s="1"/>
  <c r="BS30" i="1" s="1"/>
  <c r="AR30" i="1"/>
  <c r="AP26" i="1"/>
  <c r="AR26" i="1"/>
  <c r="AT26" i="1"/>
  <c r="BP26" i="1" s="1"/>
  <c r="BS26" i="1" s="1"/>
  <c r="AP18" i="1"/>
  <c r="AR18" i="1"/>
  <c r="AP10" i="1"/>
  <c r="AT10" i="1"/>
  <c r="BP10" i="1" s="1"/>
  <c r="AP33" i="1"/>
  <c r="AT33" i="1"/>
  <c r="AR33" i="1"/>
  <c r="AP25" i="1"/>
  <c r="AR25" i="1"/>
  <c r="AP17" i="1"/>
  <c r="AT17" i="1"/>
  <c r="BP17" i="1" s="1"/>
  <c r="AP9" i="1"/>
  <c r="AT9" i="1"/>
  <c r="BP9" i="1" s="1"/>
  <c r="BS9" i="1" s="1"/>
  <c r="AR9" i="1"/>
  <c r="AP5" i="1"/>
  <c r="AT5" i="1"/>
  <c r="BP5" i="1" s="1"/>
  <c r="BS5" i="1" s="1"/>
  <c r="AR5" i="1"/>
  <c r="AP31" i="1"/>
  <c r="AT31" i="1"/>
  <c r="BP31" i="1" s="1"/>
  <c r="BS31" i="1" s="1"/>
  <c r="AR31" i="1"/>
  <c r="AP19" i="1"/>
  <c r="AR19" i="1"/>
  <c r="AP15" i="1"/>
  <c r="AT15" i="1"/>
  <c r="BP15" i="1" s="1"/>
  <c r="AP7" i="1"/>
  <c r="AT7" i="1"/>
  <c r="AR7" i="1"/>
  <c r="AP22" i="1"/>
  <c r="AR22" i="1"/>
  <c r="AP14" i="1"/>
  <c r="AT14" i="1"/>
  <c r="BP14" i="1" s="1"/>
  <c r="AP6" i="1"/>
  <c r="AT6" i="1"/>
  <c r="BP6" i="1" s="1"/>
  <c r="BS6" i="1" s="1"/>
  <c r="AR6" i="1"/>
  <c r="AP29" i="1"/>
  <c r="AT29" i="1"/>
  <c r="AR29" i="1"/>
  <c r="AP21" i="1"/>
  <c r="AR21" i="1"/>
  <c r="AP13" i="1"/>
  <c r="AT13" i="1"/>
  <c r="BP13" i="1" s="1"/>
  <c r="AP32" i="1"/>
  <c r="AR32" i="1"/>
  <c r="AT32" i="1"/>
  <c r="AP28" i="1"/>
  <c r="AT28" i="1"/>
  <c r="AR28" i="1"/>
  <c r="AP24" i="1"/>
  <c r="AR24" i="1"/>
  <c r="AP20" i="1"/>
  <c r="AR20" i="1"/>
  <c r="AP16" i="1"/>
  <c r="AT16" i="1"/>
  <c r="BP16" i="1" s="1"/>
  <c r="AP12" i="1"/>
  <c r="AT12" i="1"/>
  <c r="BP12" i="1" s="1"/>
  <c r="AP8" i="1"/>
  <c r="AR8" i="1"/>
  <c r="AT8" i="1"/>
  <c r="BP8" i="1" s="1"/>
  <c r="BS8" i="1" s="1"/>
  <c r="AP4" i="1"/>
  <c r="AT4" i="1"/>
  <c r="BP4" i="1" s="1"/>
  <c r="BS4" i="1" s="1"/>
  <c r="AR4" i="1"/>
  <c r="AC2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2" i="1"/>
  <c r="R2" i="1"/>
  <c r="U2" i="1"/>
  <c r="AU29" i="1" l="1"/>
  <c r="BP29" i="1"/>
  <c r="BS29" i="1" s="1"/>
  <c r="AU7" i="1"/>
  <c r="BP7" i="1"/>
  <c r="BS7" i="1" s="1"/>
  <c r="AU33" i="1"/>
  <c r="BP33" i="1"/>
  <c r="BS33" i="1" s="1"/>
  <c r="AU27" i="1"/>
  <c r="BP27" i="1"/>
  <c r="BS27" i="1" s="1"/>
  <c r="AU32" i="1"/>
  <c r="BP32" i="1"/>
  <c r="BS32" i="1" s="1"/>
  <c r="AU3" i="1"/>
  <c r="BP3" i="1"/>
  <c r="BS3" i="1" s="1"/>
  <c r="AV4" i="1"/>
  <c r="AU28" i="1"/>
  <c r="BP28" i="1"/>
  <c r="BS28" i="1" s="1"/>
  <c r="AV26" i="1"/>
  <c r="AV32" i="1"/>
  <c r="AV28" i="1"/>
  <c r="AV9" i="1"/>
  <c r="AV7" i="1"/>
  <c r="AV6" i="1"/>
  <c r="AV29" i="1"/>
  <c r="AV5" i="1"/>
  <c r="AV31" i="1"/>
  <c r="AV33" i="1"/>
  <c r="AV27" i="1"/>
  <c r="AV8" i="1"/>
  <c r="AV30" i="1"/>
  <c r="AV3" i="1"/>
  <c r="AU26" i="1"/>
  <c r="AU4" i="1"/>
  <c r="AU8" i="1"/>
  <c r="AU9" i="1"/>
  <c r="AU6" i="1"/>
  <c r="AU5" i="1"/>
  <c r="AU30" i="1"/>
  <c r="AU31" i="1"/>
  <c r="U27" i="1"/>
  <c r="U28" i="1"/>
  <c r="U29" i="1"/>
  <c r="U30" i="1"/>
  <c r="U31" i="1"/>
  <c r="U32" i="1"/>
  <c r="U33" i="1"/>
  <c r="U2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L2" i="1"/>
  <c r="L29" i="1"/>
  <c r="L23" i="1"/>
  <c r="L2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5" i="1"/>
  <c r="L26" i="1" l="1"/>
  <c r="L27" i="1"/>
  <c r="L28" i="1"/>
  <c r="L30" i="1"/>
  <c r="L31" i="1"/>
  <c r="L32" i="1"/>
  <c r="L3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</calcChain>
</file>

<file path=xl/sharedStrings.xml><?xml version="1.0" encoding="utf-8"?>
<sst xmlns="http://schemas.openxmlformats.org/spreadsheetml/2006/main" count="441" uniqueCount="265">
  <si>
    <t>community</t>
  </si>
  <si>
    <t>jar</t>
  </si>
  <si>
    <t>moisture</t>
  </si>
  <si>
    <t>cumulative1</t>
  </si>
  <si>
    <t>cumulative2</t>
  </si>
  <si>
    <t>CUE1</t>
  </si>
  <si>
    <t>CUE2</t>
  </si>
  <si>
    <t>D</t>
  </si>
  <si>
    <t>M</t>
  </si>
  <si>
    <t>Bonly</t>
  </si>
  <si>
    <t>Fonly</t>
  </si>
  <si>
    <t>ratio_cum</t>
  </si>
  <si>
    <t>ratio_CUE</t>
  </si>
  <si>
    <t>BFcomplex</t>
  </si>
  <si>
    <t>BFsimple</t>
  </si>
  <si>
    <t>turnover1</t>
  </si>
  <si>
    <t>turnover2</t>
  </si>
  <si>
    <t>ratio_turn</t>
  </si>
  <si>
    <t>growth1</t>
  </si>
  <si>
    <t>growth2</t>
  </si>
  <si>
    <t>ratio_growth</t>
  </si>
  <si>
    <t>cum_C_h2</t>
  </si>
  <si>
    <t>cum_C_h1</t>
  </si>
  <si>
    <t>ratio_cum_C_h</t>
  </si>
  <si>
    <t>resp_h1</t>
  </si>
  <si>
    <t>resp_h2</t>
  </si>
  <si>
    <t>ratio_resp_h</t>
  </si>
  <si>
    <t>DNA1</t>
  </si>
  <si>
    <t>DNA2</t>
  </si>
  <si>
    <t>ratio_DNA</t>
  </si>
  <si>
    <t>pH1</t>
  </si>
  <si>
    <t>pH2</t>
  </si>
  <si>
    <t>GlcN</t>
  </si>
  <si>
    <t>ManN</t>
  </si>
  <si>
    <t>GalN</t>
  </si>
  <si>
    <t>Muramic</t>
  </si>
  <si>
    <t>GlcN_f</t>
  </si>
  <si>
    <t>GlcN_f_C</t>
  </si>
  <si>
    <t>DOC_g</t>
  </si>
  <si>
    <t>DOC_OD</t>
  </si>
  <si>
    <t>AS_abs</t>
  </si>
  <si>
    <t>AS_C_mg</t>
  </si>
  <si>
    <t>DOC</t>
  </si>
  <si>
    <t>MurN_C</t>
  </si>
  <si>
    <t>BF_ratio_C</t>
  </si>
  <si>
    <t>GlcN_C</t>
  </si>
  <si>
    <t>GlcN_b</t>
  </si>
  <si>
    <t>GlcN_b_C</t>
  </si>
  <si>
    <t>BF_ratio_GlcN_C</t>
  </si>
  <si>
    <t>C_percent</t>
  </si>
  <si>
    <t>N_percent</t>
  </si>
  <si>
    <t>C/N</t>
  </si>
  <si>
    <t>AS_C</t>
  </si>
  <si>
    <t>TOC1</t>
  </si>
  <si>
    <t>TOC2</t>
  </si>
  <si>
    <t xml:space="preserve">UZH 1 </t>
  </si>
  <si>
    <t xml:space="preserve">UZH 2 </t>
  </si>
  <si>
    <t xml:space="preserve">UZH 3 </t>
  </si>
  <si>
    <t>UZH 4</t>
  </si>
  <si>
    <t>UZH 5</t>
  </si>
  <si>
    <t>UZH 6</t>
  </si>
  <si>
    <t>UZH 7</t>
  </si>
  <si>
    <t>UZH 8</t>
  </si>
  <si>
    <t>UZH 9</t>
  </si>
  <si>
    <t>UZH 10</t>
  </si>
  <si>
    <t>UZH 11</t>
  </si>
  <si>
    <t>UZH 12</t>
  </si>
  <si>
    <t>UZH 13</t>
  </si>
  <si>
    <t>UZH 14</t>
  </si>
  <si>
    <t>UZH 15</t>
  </si>
  <si>
    <t>UZH 16</t>
  </si>
  <si>
    <t>UZH 17</t>
  </si>
  <si>
    <t>UZH-18</t>
  </si>
  <si>
    <t>UZH-19</t>
  </si>
  <si>
    <t>UZH-20</t>
  </si>
  <si>
    <t>UZH-21</t>
  </si>
  <si>
    <t>UZH-22</t>
  </si>
  <si>
    <t>UZH-23</t>
  </si>
  <si>
    <t>UZH-24</t>
  </si>
  <si>
    <t>UZH-29</t>
  </si>
  <si>
    <t>UZH-30</t>
  </si>
  <si>
    <t>UZH-31</t>
  </si>
  <si>
    <t>UZH-32</t>
  </si>
  <si>
    <t>UZH-33</t>
  </si>
  <si>
    <t>UZH-34</t>
  </si>
  <si>
    <t>UZH-35</t>
  </si>
  <si>
    <t>UZH-36</t>
  </si>
  <si>
    <t>RE_ID2</t>
  </si>
  <si>
    <t>RE_ID1</t>
  </si>
  <si>
    <t>UZH-41</t>
  </si>
  <si>
    <t>UZH-42</t>
  </si>
  <si>
    <t>UZH-43</t>
  </si>
  <si>
    <t>UZH-44</t>
  </si>
  <si>
    <t>UZH-45</t>
  </si>
  <si>
    <t>UZH-46</t>
  </si>
  <si>
    <t>UZH-47</t>
  </si>
  <si>
    <t>UZH-48</t>
  </si>
  <si>
    <t>UZH-49</t>
  </si>
  <si>
    <t>UZH-50</t>
  </si>
  <si>
    <t>UZH-51</t>
  </si>
  <si>
    <t>UZH-52</t>
  </si>
  <si>
    <t>UZH-53</t>
  </si>
  <si>
    <t>UZH-54</t>
  </si>
  <si>
    <t>UZH-55</t>
  </si>
  <si>
    <t>UZH-56</t>
  </si>
  <si>
    <t>UZH-57</t>
  </si>
  <si>
    <t>UZH-58</t>
  </si>
  <si>
    <t>UZH-59</t>
  </si>
  <si>
    <t>UZH-60</t>
  </si>
  <si>
    <t>UZH-61</t>
  </si>
  <si>
    <t>UZH-62</t>
  </si>
  <si>
    <t>UZH 63</t>
  </si>
  <si>
    <t>UZH 64</t>
  </si>
  <si>
    <t>UZH 65</t>
  </si>
  <si>
    <t>UZH 66</t>
  </si>
  <si>
    <t>UZH 67</t>
  </si>
  <si>
    <t>UZH 68</t>
  </si>
  <si>
    <t>UZH 69</t>
  </si>
  <si>
    <t>UZH 70</t>
  </si>
  <si>
    <t>UZH 71</t>
  </si>
  <si>
    <t>UZH 72</t>
  </si>
  <si>
    <t>AS_C2</t>
  </si>
  <si>
    <t>my jar number</t>
  </si>
  <si>
    <t>my community code</t>
  </si>
  <si>
    <t>my moisture code</t>
  </si>
  <si>
    <t>raw cumulative respiration FMSOC</t>
  </si>
  <si>
    <t>raw cumulative respiration PSOC</t>
  </si>
  <si>
    <t>cum1/cum2</t>
  </si>
  <si>
    <t>CUE FMSOC</t>
  </si>
  <si>
    <t>CUE PSOC</t>
  </si>
  <si>
    <t>CUE1/CUE2</t>
  </si>
  <si>
    <t>turnover FMSOC</t>
  </si>
  <si>
    <t>turnover PSOC</t>
  </si>
  <si>
    <t>t1/t2</t>
  </si>
  <si>
    <t>cum1/648</t>
  </si>
  <si>
    <t>cum2/258</t>
  </si>
  <si>
    <t>pV-formula</t>
  </si>
  <si>
    <t>respiration during CUE measurement FMSOC</t>
  </si>
  <si>
    <t>respiration during CUE measurement PSOC</t>
  </si>
  <si>
    <t>DNA extraction at the end of FMSOC</t>
  </si>
  <si>
    <t>DNA extraction at the end of PSOC</t>
  </si>
  <si>
    <t>pH at the end of FMSOC</t>
  </si>
  <si>
    <t>pH at the end of PSOC</t>
  </si>
  <si>
    <t>total AS, measured by Feng</t>
  </si>
  <si>
    <t>Glucosamine</t>
  </si>
  <si>
    <t>Galactosamine</t>
  </si>
  <si>
    <t xml:space="preserve">Muramic acid </t>
  </si>
  <si>
    <t>Mannosamine</t>
  </si>
  <si>
    <t>fungal GlcN</t>
  </si>
  <si>
    <t>((GlcN/179.17)-(2*Muramic/253.23))*179.17</t>
  </si>
  <si>
    <t>bacterial GlcN</t>
  </si>
  <si>
    <t>GlcN-GlcN_f</t>
  </si>
  <si>
    <t>OD measured of sample above</t>
  </si>
  <si>
    <t>weight of sample used for DOC measurement (end of FMSOC)</t>
  </si>
  <si>
    <t>DOC_OD*0.0546-0.0035</t>
  </si>
  <si>
    <t>total AS normalised with DOC value</t>
  </si>
  <si>
    <t>GlcN normalised with DOC value</t>
  </si>
  <si>
    <t>GlcN_f normalised with DOC value</t>
  </si>
  <si>
    <t>GlcN_b normalised with DOC value</t>
  </si>
  <si>
    <t>MurN normalised with DOC value</t>
  </si>
  <si>
    <t>MurN_C/GlcN_f_C</t>
  </si>
  <si>
    <t>GlcN_b_C/GlcN_f_C</t>
  </si>
  <si>
    <t>remaining C  at the end of FMSOC measured by Rota</t>
  </si>
  <si>
    <t>remaining N  at the end of FMSOC measured by Rota</t>
  </si>
  <si>
    <t>total AS normalised with C value measured by Rota</t>
  </si>
  <si>
    <t>total organic carbon FMSOC of RE pyrolysis</t>
  </si>
  <si>
    <t>total organic carbon PSOC of RE pyrolysis</t>
  </si>
  <si>
    <t>ID FMSOC given by Eric/David</t>
  </si>
  <si>
    <t>ID PSOC given by Eric/David</t>
  </si>
  <si>
    <t>total AS normalised with TOC value measured by Eric/David</t>
  </si>
  <si>
    <t>ratio measured by Rota</t>
  </si>
  <si>
    <t>I_Index1</t>
  </si>
  <si>
    <t>I_Index2</t>
  </si>
  <si>
    <t>R_Index1</t>
  </si>
  <si>
    <t>R_index2</t>
  </si>
  <si>
    <t>GlcN_C2</t>
  </si>
  <si>
    <t>GlcN_f_C2</t>
  </si>
  <si>
    <t>GlcN_b_C2</t>
  </si>
  <si>
    <t>MurN_C2</t>
  </si>
  <si>
    <t>BF_ratio_C2</t>
  </si>
  <si>
    <t>BF_ratio_GlcN_C2</t>
  </si>
  <si>
    <t>moist</t>
  </si>
  <si>
    <t>PreviousMoisture</t>
  </si>
  <si>
    <t>moist_percent</t>
  </si>
  <si>
    <t>ManN_C2</t>
  </si>
  <si>
    <t>GalN_C2</t>
  </si>
  <si>
    <t>Contrib.A1_1</t>
  </si>
  <si>
    <t>Contrib.A2_1</t>
  </si>
  <si>
    <t>Contrib.A3_1</t>
  </si>
  <si>
    <t>Contrib.A4_1</t>
  </si>
  <si>
    <t>Contrib.A5_1</t>
  </si>
  <si>
    <t>Contrib.A1_2</t>
  </si>
  <si>
    <t>Contrib.A2_2</t>
  </si>
  <si>
    <t>Contrib.A3_2</t>
  </si>
  <si>
    <t>Contrib.A4_2</t>
  </si>
  <si>
    <t>Contrib.A5_2</t>
  </si>
  <si>
    <t>Diff_A1</t>
  </si>
  <si>
    <t>Diff_A2</t>
  </si>
  <si>
    <t>Diff_A3</t>
  </si>
  <si>
    <t>Diff_A4</t>
  </si>
  <si>
    <t>Diff_A5</t>
  </si>
  <si>
    <t>MBC1</t>
  </si>
  <si>
    <t>MBC2</t>
  </si>
  <si>
    <t>R_Index1_C</t>
  </si>
  <si>
    <t>R_Index2_C</t>
  </si>
  <si>
    <t>Community</t>
  </si>
  <si>
    <t>Treatment</t>
  </si>
  <si>
    <t>OI1</t>
  </si>
  <si>
    <t>OI2</t>
  </si>
  <si>
    <t>HI1</t>
  </si>
  <si>
    <t>HI2</t>
  </si>
  <si>
    <t>OI_ratio</t>
  </si>
  <si>
    <t>HI_ratio</t>
  </si>
  <si>
    <t>AAE_h</t>
  </si>
  <si>
    <t>AAE_total</t>
  </si>
  <si>
    <t>AAE_total_perc</t>
  </si>
  <si>
    <t>cum_C_h1_ng</t>
  </si>
  <si>
    <t>cum_C_h2_ng</t>
  </si>
  <si>
    <t>TOC1_A1_A2</t>
  </si>
  <si>
    <t>TOC1_A4_A5</t>
  </si>
  <si>
    <t>TOC2_A1_A2</t>
  </si>
  <si>
    <t>TOC2_A4_A5</t>
  </si>
  <si>
    <t>AS_C_A1_A2</t>
  </si>
  <si>
    <t>AS_C_A4_A5</t>
  </si>
  <si>
    <t>40% WHC</t>
  </si>
  <si>
    <t>80% WHC</t>
  </si>
  <si>
    <t>TOC_ratio</t>
  </si>
  <si>
    <t>Row Labels</t>
  </si>
  <si>
    <t>Grand Total</t>
  </si>
  <si>
    <t>Count of moist</t>
  </si>
  <si>
    <t>Average of AAE_total_perc</t>
  </si>
  <si>
    <t>StdDev of AAE_total_perc</t>
  </si>
  <si>
    <t>CI_AAE</t>
  </si>
  <si>
    <t>CI_AAE_upper_BFcomplex</t>
  </si>
  <si>
    <t>CI_AAE_lower_Fonly</t>
  </si>
  <si>
    <t>Average of resp_h1</t>
  </si>
  <si>
    <t>Average of growth1</t>
  </si>
  <si>
    <t>Average of CUE1</t>
  </si>
  <si>
    <t>StdDev of CUE1</t>
  </si>
  <si>
    <t>StdDev of growth1</t>
  </si>
  <si>
    <t>StdDev of resp_h1</t>
  </si>
  <si>
    <t>CI_resp1</t>
  </si>
  <si>
    <t>CI_growth1</t>
  </si>
  <si>
    <t>CI_CUE1</t>
  </si>
  <si>
    <t>CI_AAE_lower_BFcomplex</t>
  </si>
  <si>
    <t>CI_AAE_upper_Fonly</t>
  </si>
  <si>
    <t>CI_resp1_lower_BFcomplex</t>
  </si>
  <si>
    <t>CI_resp1_upper_BFcomplex</t>
  </si>
  <si>
    <t>CI_resp1_lower_Bonly</t>
  </si>
  <si>
    <t>CI_resp1_upper_Bonly</t>
  </si>
  <si>
    <t>CI_growth1_lower_BFsimple</t>
  </si>
  <si>
    <t>CI_growth1_upper_BFsimple</t>
  </si>
  <si>
    <t>CI_growth1_lower_Bonly</t>
  </si>
  <si>
    <t>CI_growth1_upper_Bonly</t>
  </si>
  <si>
    <t>CI_CUE1_lower_BFsimple</t>
  </si>
  <si>
    <t>CI_CUE1_upper_BFsimple</t>
  </si>
  <si>
    <t>CI_CUE1_lower_BFcomplex</t>
  </si>
  <si>
    <t>CI_CUE1_upper_BFcomplex</t>
  </si>
  <si>
    <t>meso</t>
  </si>
  <si>
    <t>initial_glc</t>
  </si>
  <si>
    <t>initial_glc_C_mg_per_g_soil</t>
  </si>
  <si>
    <t>MBC</t>
  </si>
  <si>
    <t>DNA*11.9 (ug C g-1)</t>
  </si>
  <si>
    <t>mg C per g soil</t>
  </si>
  <si>
    <t>remaining_glc_C_mg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</si>
</sst>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left"/>
    </xf>
    <xf numFmtId="0" fontId="2" fillId="0" borderId="0" xfId="0" applyFont="1"/>
    <xf numFmtId="165" fontId="0" fillId="0" borderId="0" xfId="0" applyNumberFormat="1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left"/>
    </xf>
    <xf numFmtId="0" fontId="2" fillId="0" borderId="2" xfId="0" applyFont="1" applyBorder="1"/>
    <xf numFmtId="165" fontId="0" fillId="0" borderId="2" xfId="0" applyNumberFormat="1" applyBorder="1"/>
    <xf numFmtId="0" fontId="0" fillId="0" borderId="2" xfId="0" applyBorder="1" applyAlignment="1">
      <alignment vertical="center"/>
    </xf>
    <xf numFmtId="165" fontId="0" fillId="0" borderId="2" xfId="0" applyNumberFormat="1" applyBorder="1" applyAlignment="1">
      <alignment vertical="center"/>
    </xf>
    <xf numFmtId="1" fontId="0" fillId="0" borderId="2" xfId="0" applyNumberForma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2" fillId="0" borderId="1" xfId="0" applyFont="1" applyBorder="1"/>
    <xf numFmtId="165" fontId="0" fillId="0" borderId="1" xfId="0" applyNumberFormat="1" applyBorder="1"/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-Anwender" refreshedDate="45208.552518518518" createdVersion="8" refreshedVersion="8" minRefreshableVersion="3" recordCount="36" xr:uid="{C6C64405-C304-434E-B6C3-C07BF377DC5E}">
  <cacheSource type="worksheet">
    <worksheetSource ref="A1:CX37" sheet="Sheet1"/>
  </cacheSource>
  <cacheFields count="102">
    <cacheField name="jar" numFmtId="0">
      <sharedItems containsSemiMixedTypes="0" containsString="0" containsNumber="1" containsInteger="1" minValue="37" maxValue="72"/>
    </cacheField>
    <cacheField name="Community" numFmtId="0">
      <sharedItems count="7">
        <s v="BFcomplex"/>
        <s v="Bonly"/>
        <s v="Fonly"/>
        <s v="BFsimple"/>
        <s v="CTRL"/>
        <s v="water/soil_only"/>
        <s v="water2/soil_only"/>
      </sharedItems>
    </cacheField>
    <cacheField name="moist" numFmtId="0">
      <sharedItems containsBlank="1"/>
    </cacheField>
    <cacheField name="moist_percent" numFmtId="0">
      <sharedItems containsString="0" containsBlank="1" containsNumber="1" containsInteger="1" minValue="40" maxValue="80"/>
    </cacheField>
    <cacheField name="Treatment" numFmtId="0">
      <sharedItems containsBlank="1"/>
    </cacheField>
    <cacheField name="PreviousMoisture" numFmtId="0">
      <sharedItems containsBlank="1"/>
    </cacheField>
    <cacheField name="cumulative1" numFmtId="0">
      <sharedItems containsString="0" containsBlank="1" containsNumber="1" minValue="18985.300301398885" maxValue="189708.56271076918"/>
    </cacheField>
    <cacheField name="cumulative2" numFmtId="0">
      <sharedItems containsString="0" containsBlank="1" containsNumber="1" minValue="2953.9346982315819" maxValue="51662.790013212325"/>
    </cacheField>
    <cacheField name="ratio_cum" numFmtId="0">
      <sharedItems containsString="0" containsBlank="1" containsNumber="1" minValue="1.9559178007264397E-2" maxValue="2.2970023883436821"/>
    </cacheField>
    <cacheField name="CUE1" numFmtId="0">
      <sharedItems containsString="0" containsBlank="1" containsNumber="1" minValue="0.20566194323126111" maxValue="33.59471671180173"/>
    </cacheField>
    <cacheField name="CUE2" numFmtId="0">
      <sharedItems containsString="0" containsBlank="1" containsNumber="1" minValue="0.75842867305819495" maxValue="36.963209159862465"/>
    </cacheField>
    <cacheField name="ratio_CUE" numFmtId="0">
      <sharedItems containsString="0" containsBlank="1" containsNumber="1" minValue="2.7478247261453533E-2" maxValue="179.72799721287458"/>
    </cacheField>
    <cacheField name="turnover1" numFmtId="0">
      <sharedItems containsString="0" containsBlank="1" containsNumber="1" minValue="8.0972008303288948E-2" maxValue="28.755929561720109"/>
    </cacheField>
    <cacheField name="turnover2" numFmtId="0">
      <sharedItems containsString="0" containsBlank="1" containsNumber="1" minValue="0.14901796985340457" maxValue="22.712755527886788"/>
    </cacheField>
    <cacheField name="ratio_turn" numFmtId="0">
      <sharedItems containsString="0" containsBlank="1" containsNumber="1" minValue="1.1527797220110332E-2" maxValue="16.022692351520153"/>
    </cacheField>
    <cacheField name="growth1" numFmtId="0">
      <sharedItems containsString="0" containsBlank="1" containsNumber="1" minValue="1.8726187824404792" maxValue="308.71133033381091"/>
    </cacheField>
    <cacheField name="growth2" numFmtId="0">
      <sharedItems containsString="0" containsBlank="1" containsNumber="1" minValue="2.4724258781435644" maxValue="206.45652457978727"/>
    </cacheField>
    <cacheField name="ratio_growth" numFmtId="0">
      <sharedItems containsString="0" containsBlank="1" containsNumber="1" minValue="2.0725800392422406E-2" maxValue="9.2808238634522979"/>
    </cacheField>
    <cacheField name="cum_C_h1_ng" numFmtId="0">
      <sharedItems containsString="0" containsBlank="1" containsNumber="1" minValue="1171.9321173703011" maxValue="11710.405105603037"/>
    </cacheField>
    <cacheField name="cum_C_h2_ng" numFmtId="0">
      <sharedItems containsString="0" containsBlank="1" containsNumber="1" minValue="343.48077886413739" maxValue="6007.3011643270147"/>
    </cacheField>
    <cacheField name="ratio_cum_C_h" numFmtId="0">
      <sharedItems containsString="0" containsBlank="1" containsNumber="1" minValue="3.6844032990428287E-2" maxValue="4.3269114757171696"/>
    </cacheField>
    <cacheField name="resp_h1" numFmtId="0">
      <sharedItems containsString="0" containsBlank="1" containsNumber="1" minValue="65.307157188207455" maxValue="22747.361865904382"/>
    </cacheField>
    <cacheField name="resp_h2" numFmtId="0">
      <sharedItems containsString="0" containsBlank="1" containsNumber="1" minValue="44.324207038505456" maxValue="9988.1324985337887"/>
    </cacheField>
    <cacheField name="ratio_resp_h" numFmtId="0">
      <sharedItems containsString="0" containsBlank="1" containsNumber="1" minValue="4.8182146186582968E-3" maxValue="23.650733797800068"/>
    </cacheField>
    <cacheField name="DNA1" numFmtId="0">
      <sharedItems containsString="0" containsBlank="1" containsNumber="1" minValue="5.28" maxValue="120"/>
    </cacheField>
    <cacheField name="DNA2" numFmtId="0">
      <sharedItems containsString="0" containsBlank="1" containsNumber="1" minValue="1.93" maxValue="61.1"/>
    </cacheField>
    <cacheField name="MBC1" numFmtId="0">
      <sharedItems containsSemiMixedTypes="0" containsString="0" containsNumber="1" minValue="0" maxValue="1428"/>
    </cacheField>
    <cacheField name="MBC2" numFmtId="0">
      <sharedItems containsSemiMixedTypes="0" containsString="0" containsNumber="1" minValue="0" maxValue="727.09"/>
    </cacheField>
    <cacheField name="ratio_DNA" numFmtId="0">
      <sharedItems containsString="0" containsBlank="1" containsNumber="1" minValue="4.5417515274949083E-2" maxValue="4.1477272727272725"/>
    </cacheField>
    <cacheField name="pH1" numFmtId="0">
      <sharedItems containsString="0" containsBlank="1" containsNumber="1" minValue="5.9" maxValue="7.91"/>
    </cacheField>
    <cacheField name="pH2" numFmtId="0">
      <sharedItems containsString="0" containsBlank="1" containsNumber="1" minValue="6.92" maxValue="8.18"/>
    </cacheField>
    <cacheField name="AS_abs" numFmtId="0">
      <sharedItems containsString="0" containsBlank="1" containsNumber="1" minValue="0" maxValue="278.06545334284033"/>
    </cacheField>
    <cacheField name="GlcN" numFmtId="0">
      <sharedItems containsString="0" containsBlank="1" containsNumber="1" minValue="30.393397325080088" maxValue="274.3178996008221"/>
    </cacheField>
    <cacheField name="ManN" numFmtId="0">
      <sharedItems containsString="0" containsBlank="1" containsNumber="1" minValue="0.91199319302926318" maxValue="5.268233121284366"/>
    </cacheField>
    <cacheField name="GalN" numFmtId="0">
      <sharedItems containsString="0" containsBlank="1" containsNumber="1" minValue="1.5056906093558866" maxValue="74.508358110777095"/>
    </cacheField>
    <cacheField name="Muramic" numFmtId="0">
      <sharedItems containsString="0" containsBlank="1" containsNumber="1" minValue="0" maxValue="23.423698247680449"/>
    </cacheField>
    <cacheField name="GlcN_f" numFmtId="0">
      <sharedItems containsString="0" containsBlank="1" containsNumber="1" minValue="0" maxValue="274.3178996008221"/>
    </cacheField>
    <cacheField name="GlcN_b" numFmtId="165">
      <sharedItems containsSemiMixedTypes="0" containsString="0" containsNumber="1" minValue="0" maxValue="64.378693665690179"/>
    </cacheField>
    <cacheField name="DOC_g" numFmtId="0">
      <sharedItems containsString="0" containsBlank="1" containsNumber="1" minValue="2.0009999999999999" maxValue="2.093"/>
    </cacheField>
    <cacheField name="DOC_OD" numFmtId="0">
      <sharedItems containsSemiMixedTypes="0" containsString="0" containsNumber="1" minValue="6.3E-2" maxValue="1.427"/>
    </cacheField>
    <cacheField name="DOC" numFmtId="0">
      <sharedItems containsSemiMixedTypes="0" containsString="0" containsNumber="1" minValue="-6.0199999999999837E-5" maxValue="7.44142E-2"/>
    </cacheField>
    <cacheField name="AS_C_mg" numFmtId="0">
      <sharedItems containsSemiMixedTypes="0" containsString="0" containsNumber="1" minValue="0" maxValue="6.8368793142808046"/>
    </cacheField>
    <cacheField name="GlcN_C" numFmtId="0">
      <sharedItems containsSemiMixedTypes="0" containsString="0" containsNumber="1" minValue="0" maxValue="6.7447370781635767"/>
    </cacheField>
    <cacheField name="GlcN_f_C" numFmtId="0">
      <sharedItems containsSemiMixedTypes="0" containsString="0" containsNumber="1" minValue="0" maxValue="6.7447370781635767"/>
    </cacheField>
    <cacheField name="GlcN_b_C" numFmtId="0">
      <sharedItems containsSemiMixedTypes="0" containsString="0" containsNumber="1" minValue="0" maxValue="1.3654403463923157"/>
    </cacheField>
    <cacheField name="MurN_C" numFmtId="0">
      <sharedItems containsSemiMixedTypes="0" containsString="0" containsNumber="1" minValue="0" maxValue="0.96492286352884449"/>
    </cacheField>
    <cacheField name="BF_ratio_C" numFmtId="0">
      <sharedItems containsString="0" containsBlank="1" containsNumber="1" minValue="0" maxValue="0.76348874160578639"/>
    </cacheField>
    <cacheField name="BF_ratio_GlcN_C" numFmtId="0">
      <sharedItems containsString="0" containsBlank="1" containsNumber="1" minValue="0" maxValue="1.0803955126447002"/>
    </cacheField>
    <cacheField name="C_percent" numFmtId="0">
      <sharedItems containsSemiMixedTypes="0" containsString="0" containsNumber="1" minValue="0.14799999999999999" maxValue="0.81799999999999995"/>
    </cacheField>
    <cacheField name="N_percent" numFmtId="0">
      <sharedItems containsSemiMixedTypes="0" containsString="0" containsNumber="1" minValue="2E-3" maxValue="5.7000000000000002E-2"/>
    </cacheField>
    <cacheField name="C/N" numFmtId="165">
      <sharedItems containsSemiMixedTypes="0" containsString="0" containsNumber="1" minValue="7.1067999999999998" maxValue="248.86150000000001"/>
    </cacheField>
    <cacheField name="AS_C" numFmtId="0">
      <sharedItems containsSemiMixedTypes="0" containsString="0" containsNumber="1" minValue="0" maxValue="758.93360359754433"/>
    </cacheField>
    <cacheField name="TOC1" numFmtId="0">
      <sharedItems containsString="0" containsBlank="1" containsNumber="1" minValue="1.4128197975683829E-2" maxValue="0.38305706439434206"/>
    </cacheField>
    <cacheField name="TOC2" numFmtId="0">
      <sharedItems containsString="0" containsBlank="1" containsNumber="1" minValue="6.7142049318514835E-2" maxValue="0.26212910019450392"/>
    </cacheField>
    <cacheField name="TOC_ratio" numFmtId="2">
      <sharedItems containsMixedTypes="1" containsNumber="1" minValue="0" maxValue="1.1727808134823907"/>
    </cacheField>
    <cacheField name="RE_ID1" numFmtId="0">
      <sharedItems containsBlank="1"/>
    </cacheField>
    <cacheField name="RE_ID2" numFmtId="0">
      <sharedItems containsBlank="1"/>
    </cacheField>
    <cacheField name="AS_C2" numFmtId="0">
      <sharedItems containsMixedTypes="1" containsNumber="1" minValue="235.94472877113284" maxValue="2089.8047377721978"/>
    </cacheField>
    <cacheField name="I_Index1" numFmtId="0">
      <sharedItems containsString="0" containsBlank="1" containsNumber="1" minValue="-5.6590595504780197E-2" maxValue="0.33405579338970898"/>
    </cacheField>
    <cacheField name="I_Index2" numFmtId="0">
      <sharedItems containsString="0" containsBlank="1" containsNumber="1" minValue="-1.09383004999619E-2" maxValue="0.30944007415776897"/>
    </cacheField>
    <cacheField name="R_Index1" numFmtId="0">
      <sharedItems containsString="0" containsBlank="1" containsNumber="1" minValue="0.47504943139322398" maxValue="0.69776893487199898"/>
    </cacheField>
    <cacheField name="R_Index1_C" numFmtId="0">
      <sharedItems containsMixedTypes="1" containsNumber="1" minValue="0" maxValue="7.8736178250939846"/>
    </cacheField>
    <cacheField name="R_index2" numFmtId="0">
      <sharedItems containsString="0" containsBlank="1" containsNumber="1" minValue="0.51116222432688396" maxValue="0.65279012665532199"/>
    </cacheField>
    <cacheField name="R_Index2_C" numFmtId="0">
      <sharedItems containsMixedTypes="1" containsNumber="1" minValue="2.3926159622655891" maxValue="8.849675182108669"/>
    </cacheField>
    <cacheField name="GlcN_C2" numFmtId="0">
      <sharedItems containsMixedTypes="1" containsNumber="1" minValue="0" maxValue="2045.6591577701049"/>
    </cacheField>
    <cacheField name="GlcN_f_C2" numFmtId="0">
      <sharedItems containsMixedTypes="1" containsNumber="1" minValue="0" maxValue="2045.6591577701049"/>
    </cacheField>
    <cacheField name="GlcN_b_C2" numFmtId="0">
      <sharedItems containsMixedTypes="1" containsNumber="1" minValue="0" maxValue="487.16463037148196"/>
    </cacheField>
    <cacheField name="MurN_C2" numFmtId="0">
      <sharedItems containsMixedTypes="1" containsNumber="1" minValue="0" maxValue="12.919342682272655"/>
    </cacheField>
    <cacheField name="ManN_C2" numFmtId="0">
      <sharedItems containsMixedTypes="1" containsNumber="1" minValue="0" maxValue="53.356372267300628"/>
    </cacheField>
    <cacheField name="GalN_C2" numFmtId="0">
      <sharedItems containsMixedTypes="1" containsNumber="1" minValue="0" maxValue="570.92071572423811"/>
    </cacheField>
    <cacheField name="BF_ratio_C2" numFmtId="0">
      <sharedItems containsMixedTypes="1" containsNumber="1" minValue="0" maxValue="3.5261094151703913E-2"/>
    </cacheField>
    <cacheField name="BF_ratio_GlcN_C2" numFmtId="0">
      <sharedItems containsMixedTypes="1" containsNumber="1" minValue="0" maxValue="1.0803955126447002"/>
    </cacheField>
    <cacheField name="Contrib.A1_1" numFmtId="0">
      <sharedItems containsString="0" containsBlank="1" containsNumber="1" minValue="10.3812176681257" maxValue="32.9760280647047"/>
    </cacheField>
    <cacheField name="Contrib.A2_1" numFmtId="0">
      <sharedItems containsString="0" containsBlank="1" containsNumber="1" minValue="17.613022575653002" maxValue="27.493186003683199"/>
    </cacheField>
    <cacheField name="Contrib.A3_1" numFmtId="0">
      <sharedItems containsString="0" containsBlank="1" containsNumber="1" minValue="24.319912314455301" maxValue="34.427908210638002"/>
    </cacheField>
    <cacheField name="Contrib.A4_1" numFmtId="0">
      <sharedItems containsString="0" containsBlank="1" containsNumber="1" minValue="13.4113925082761" maxValue="24.930627404165001"/>
    </cacheField>
    <cacheField name="Contrib.A5_1" numFmtId="0">
      <sharedItems containsString="0" containsBlank="1" containsNumber="1" minValue="5.5574418249902804" maxValue="16.528139855850299"/>
    </cacheField>
    <cacheField name="Contrib.A1_2" numFmtId="0">
      <sharedItems containsString="0" containsBlank="1" containsNumber="1" minValue="11.4319529414536" maxValue="22.535458727319199"/>
    </cacheField>
    <cacheField name="Contrib.A2_2" numFmtId="0">
      <sharedItems containsString="0" containsBlank="1" containsNumber="1" minValue="19.645128640506901" maxValue="31.704200311134201"/>
    </cacheField>
    <cacheField name="Contrib.A3_2" numFmtId="0">
      <sharedItems containsString="0" containsBlank="1" containsNumber="1" minValue="21.289794185005999" maxValue="35.605984773098001"/>
    </cacheField>
    <cacheField name="Contrib.A4_2" numFmtId="0">
      <sharedItems containsString="0" containsBlank="1" containsNumber="1" minValue="12.5946036127584" maxValue="24.158194831277999"/>
    </cacheField>
    <cacheField name="Contrib.A5_2" numFmtId="0">
      <sharedItems containsString="0" containsBlank="1" containsNumber="1" minValue="7.3709163641751196" maxValue="23.910636555290999"/>
    </cacheField>
    <cacheField name="Diff_A1" numFmtId="0">
      <sharedItems containsString="0" containsBlank="1" containsNumber="1" minValue="-8.7443729350100003" maxValue="14.9004688124173"/>
    </cacheField>
    <cacheField name="Diff_A2" numFmtId="0">
      <sharedItems containsString="0" containsBlank="1" containsNumber="1" minValue="-6.3310882136632998" maxValue="2.1043457585188001"/>
    </cacheField>
    <cacheField name="Diff_A3" numFmtId="0">
      <sharedItems containsString="0" containsBlank="1" containsNumber="1" minValue="-6.5111956836185003" maxValue="8.2613431363485006"/>
    </cacheField>
    <cacheField name="Diff_A4" numFmtId="0">
      <sharedItems containsString="0" containsBlank="1" containsNumber="1" minValue="-5.6134140994779997" maxValue="8.1080094433173997"/>
    </cacheField>
    <cacheField name="Diff_A5" numFmtId="0">
      <sharedItems containsString="0" containsBlank="1" containsNumber="1" minValue="-12.279492310542" maxValue="4.0445225191481597"/>
    </cacheField>
    <cacheField name="OI1" numFmtId="0">
      <sharedItems containsString="0" containsBlank="1" containsNumber="1" minValue="205.04166900283192" maxValue="389.45237581867559"/>
    </cacheField>
    <cacheField name="OI2" numFmtId="0">
      <sharedItems containsString="0" containsBlank="1" containsNumber="1" minValue="197.31655325098797" maxValue="570.81279180682088"/>
    </cacheField>
    <cacheField name="HI1" numFmtId="0">
      <sharedItems containsString="0" containsBlank="1" containsNumber="1" minValue="211.94320881818172" maxValue="639.68889674254171"/>
    </cacheField>
    <cacheField name="HI2" numFmtId="0">
      <sharedItems containsString="0" containsBlank="1" containsNumber="1" minValue="173.81838160304255" maxValue="478.30906415422839"/>
    </cacheField>
    <cacheField name="OI_ratio" numFmtId="0">
      <sharedItems containsMixedTypes="1" containsNumber="1" minValue="0.68628011502153319" maxValue="1.9317472397452489"/>
    </cacheField>
    <cacheField name="HI_ratio" numFmtId="0">
      <sharedItems containsMixedTypes="1" containsNumber="1" minValue="0.40313250689009905" maxValue="2.22073601181122"/>
    </cacheField>
    <cacheField name="AAE_h" numFmtId="0">
      <sharedItems containsMixedTypes="1" containsNumber="1" minValue="4.2897030083376933E-2" maxValue="1.4185713739923467"/>
    </cacheField>
    <cacheField name="AAE_total" numFmtId="0">
      <sharedItems containsString="0" containsBlank="1" containsNumber="1" minValue="2.6479648199615393E-3" maxValue="8.7566134197058429E-2"/>
    </cacheField>
    <cacheField name="AAE_total_perc" numFmtId="0">
      <sharedItems containsMixedTypes="1" containsNumber="1" minValue="0.26409716200212058" maxValue="100" count="34">
        <n v="0.39782162937105098"/>
        <n v="0.71763016070749497"/>
        <n v="0.9125702490017229"/>
        <n v="0.76654485434239106"/>
        <n v="0.7510722896760722"/>
        <n v="0.26409716200212058"/>
        <n v="0.53873279190509138"/>
        <n v="0.42048478706920334"/>
        <n v="0.71911985615142437"/>
        <n v="1.3406970934316602"/>
        <n v="1.0959887718992747"/>
        <n v="1.1842921955553776"/>
        <n v="0.86950395746417086"/>
        <n v="0.62455792982388925"/>
        <n v="1.2976833842033775"/>
        <n v="0.73507686029220654"/>
        <n v="4.8569149451552285"/>
        <n v="0.91704721761371699"/>
        <n v="0.84505505002255221"/>
        <n v="1.0870905275291136"/>
        <n v="8.0515686764840133"/>
        <n v="2.6577206588075861"/>
        <n v="1.9767411535251471"/>
        <n v="0.89702177072963329"/>
        <n v="1.0865241324381054"/>
        <n v="1.1567935559019948"/>
        <n v="1.0106891824045723"/>
        <n v="1.2934137072148693"/>
        <n v="0.81013754747124245"/>
        <n v="0.88894741898283036"/>
        <n v="1.1926662864470474"/>
        <n v="1.1020149676013757"/>
        <n v="100"/>
        <e v="#DIV/0!"/>
      </sharedItems>
    </cacheField>
    <cacheField name="TOC1_A1_A2" numFmtId="0">
      <sharedItems containsSemiMixedTypes="0" containsString="0" containsNumber="1" minValue="0" maxValue="0.15806259222178876"/>
    </cacheField>
    <cacheField name="TOC1_A4_A5" numFmtId="0">
      <sharedItems containsSemiMixedTypes="0" containsString="0" containsNumber="1" minValue="0" maxValue="0.14471236523235395"/>
    </cacheField>
    <cacheField name="TOC2_A1_A2" numFmtId="0">
      <sharedItems containsSemiMixedTypes="0" containsString="0" containsNumber="1" minValue="0" maxValue="9.7719768343735552E-2"/>
    </cacheField>
    <cacheField name="TOC2_A4_A5" numFmtId="0">
      <sharedItems containsSemiMixedTypes="0" containsString="0" containsNumber="1" minValue="0" maxValue="8.8005395729252131E-2"/>
    </cacheField>
    <cacheField name="AS_C_A1_A2" numFmtId="0">
      <sharedItems containsMixedTypes="1" containsNumber="1" minValue="498.65361644057515" maxValue="6203.8235419665561"/>
    </cacheField>
    <cacheField name="AS_C_A4_A5" numFmtId="0">
      <sharedItems containsMixedTypes="1" containsNumber="1" minValue="773.75472496783755" maxValue="5759.95222717121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37"/>
    <x v="0"/>
    <s v="D"/>
    <n v="40"/>
    <s v="40% WHC"/>
    <s v="40% WHC"/>
    <n v="72061.197126834479"/>
    <n v="27699.511804622336"/>
    <n v="0.38438872665227297"/>
    <n v="1.1750388105923142"/>
    <n v="2.2408233614609809"/>
    <n v="1.9070207224316493"/>
    <n v="3.0784331845761979"/>
    <n v="4.4753366873743925"/>
    <n v="1.4537709344471297"/>
    <n v="33.816549299416387"/>
    <n v="49.782833448659211"/>
    <n v="1.4721440974912947"/>
    <n v="4448.2220448663256"/>
    <n v="3220.8734656537599"/>
    <n v="0.72408108974032814"/>
    <n v="2844.0925882183583"/>
    <n v="2171.8484787223101"/>
    <n v="0.76363494202656534"/>
    <n v="18.100000000000001"/>
    <n v="32.4"/>
    <n v="215.39000000000001"/>
    <n v="385.56"/>
    <n v="1.7900552486187844"/>
    <n v="7.91"/>
    <n v="6.92"/>
    <n v="59.711514014950808"/>
    <n v="44.506798808335759"/>
    <n v="1.8178030733068702"/>
    <n v="3.4346397556618848"/>
    <n v="9.9522723776462918"/>
    <n v="30.423565053228657"/>
    <n v="14.083233755107102"/>
    <n v="2.0009999999999999"/>
    <n v="0.85799999999999998"/>
    <n v="4.3346799999999998E-2"/>
    <n v="1.3775299218154697"/>
    <n v="1.0267608868090783"/>
    <n v="0.70186415267629121"/>
    <n v="0.3248967341327873"/>
    <n v="0.2295964725803587"/>
    <n v="0.32712380551831882"/>
    <n v="0.46290543959812958"/>
    <n v="0.78200000000000003"/>
    <n v="2.7E-2"/>
    <n v="28.709700000000002"/>
    <n v="76.357434801727379"/>
    <n v="0.20746128114789042"/>
    <n v="0.11922255597993558"/>
    <n v="0.57467376717367724"/>
    <s v="UZH-41"/>
    <s v="UZH 1 "/>
    <n v="287.82003892275679"/>
    <n v="0.29817779488381502"/>
    <n v="0.107394676053569"/>
    <n v="0.48632115816594501"/>
    <n v="2.3441538366827452"/>
    <n v="0.60875267083765106"/>
    <n v="5.1060192916858815"/>
    <n v="214.53062741191081"/>
    <n v="146.64695448179063"/>
    <n v="67.883672930120184"/>
    <n v="1.1066955304141259"/>
    <n v="8.7621317252496613"/>
    <n v="16.555569967841251"/>
    <n v="7.5466656251054025E-3"/>
    <n v="0.46290543959812952"/>
    <n v="29.258688791200299"/>
    <n v="22.1048046745337"/>
    <n v="25.850964991929899"/>
    <n v="16.8740548980212"/>
    <n v="5.9070959266434002"/>
    <n v="15.1953070023926"/>
    <n v="23.921109533131201"/>
    <n v="30.546706073516798"/>
    <n v="18.569838406325601"/>
    <n v="11.7587226039228"/>
    <n v="14.0633817888077"/>
    <n v="-1.8163048585974999"/>
    <n v="-4.6957410815868998"/>
    <n v="-1.6957835083043999"/>
    <n v="-5.8516266772794001"/>
    <n v="278.03391287311399"/>
    <n v="284.26084748281988"/>
    <n v="639.68889674254171"/>
    <n v="257.87938857358256"/>
    <n v="1.0223963132603455"/>
    <n v="0.40313250689009905"/>
    <n v="6.4704512504030393E-2"/>
    <n v="3.9941057101253322E-3"/>
    <x v="0"/>
    <n v="0.10655936158632473"/>
    <n v="4.7262067361082377E-2"/>
    <n v="4.6635591601409641E-2"/>
    <n v="3.6158485628352312E-2"/>
    <n v="560.35915686842736"/>
    <n v="1263.4130783732885"/>
  </r>
  <r>
    <n v="38"/>
    <x v="0"/>
    <s v="D"/>
    <n v="40"/>
    <s v="40% WHC"/>
    <s v="40% WHC"/>
    <n v="139567.613912815"/>
    <n v="4365.996115759468"/>
    <n v="3.1282301053644261E-2"/>
    <n v="13.299452589413738"/>
    <n v="5.2833413945556327"/>
    <n v="0.39726006458048746"/>
    <n v="12.926838233538803"/>
    <n v="0.14901796985340457"/>
    <n v="1.1527797220110332E-2"/>
    <n v="119.29217841196194"/>
    <n v="2.4724258781435644"/>
    <n v="2.0725800392422406E-2"/>
    <n v="8615.2848094330238"/>
    <n v="507.67396694877533"/>
    <n v="5.8927125240585701E-2"/>
    <n v="777.6784119935229"/>
    <n v="44.324207038505456"/>
    <n v="5.699554771603281E-2"/>
    <n v="26.3"/>
    <n v="2.88"/>
    <n v="312.97000000000003"/>
    <n v="34.271999999999998"/>
    <n v="0.10950570342205322"/>
    <n v="7.77"/>
    <n v="7.53"/>
    <n v="80.895373681327413"/>
    <n v="58.09086343658096"/>
    <n v="2.7536447016158254"/>
    <n v="8.0737498617970189"/>
    <n v="11.977115681333606"/>
    <n v="41.142320083703801"/>
    <n v="16.948543352877159"/>
    <n v="2.0129999999999999"/>
    <n v="0.59099999999999997"/>
    <n v="2.8768600000000002E-2"/>
    <n v="2.8119329296986093"/>
    <n v="2.0192454077216464"/>
    <n v="1.4301120000175123"/>
    <n v="0.58913340770413436"/>
    <n v="0.41632598323636205"/>
    <n v="0.29111425065397956"/>
    <n v="0.41194913943587647"/>
    <n v="0.54700000000000004"/>
    <n v="4.1000000000000002E-2"/>
    <n v="13.4588"/>
    <n v="147.88916577939196"/>
    <n v="8.0188203491449311E-2"/>
    <n v="7.4298720048844649E-2"/>
    <n v="0.92655424132013786"/>
    <s v="UZH-42"/>
    <s v="UZH 2 "/>
    <n v="1008.8188805720471"/>
    <n v="0.24728511569832101"/>
    <n v="0.30944007415776897"/>
    <n v="0.53281960086939295"/>
    <n v="6.6446132681624297"/>
    <n v="0.51683490927677"/>
    <n v="6.9561751391813758"/>
    <n v="724.43153615201459"/>
    <n v="513.07197682874789"/>
    <n v="211.35955932326667"/>
    <n v="5.1918607115416426"/>
    <n v="34.339772955625001"/>
    <n v="100.68500739835062"/>
    <n v="1.0119166405524758E-2"/>
    <n v="0.41194913943587652"/>
    <n v="19.793189751696001"/>
    <n v="26.9735888823026"/>
    <n v="26.463808206546801"/>
    <n v="14.915365869722701"/>
    <n v="11.9027860106698"/>
    <n v="22.535458727319199"/>
    <n v="25.768272425249201"/>
    <n v="23.6886659851776"/>
    <n v="13.1884104267825"/>
    <n v="14.806414515716799"/>
    <n v="-2.7422689756232002"/>
    <n v="1.2053164570534001"/>
    <n v="2.7751422213692001"/>
    <n v="1.7269554429402001"/>
    <n v="-2.9036285050470001"/>
    <n v="312.29739074308037"/>
    <n v="446.22858509684443"/>
    <n v="219.28137555797241"/>
    <n v="219.53731722007313"/>
    <n v="1.4288578717711609"/>
    <n v="1.0011671837676568"/>
    <n v="0.11709640515511152"/>
    <n v="7.2281731577229329E-3"/>
    <x v="1"/>
    <n v="3.7501439617426434E-2"/>
    <n v="2.1504994202495076E-2"/>
    <n v="3.5889053982193359E-2"/>
    <n v="2.0799796612191689E-2"/>
    <n v="2157.1271531596449"/>
    <n v="3761.7017200563432"/>
  </r>
  <r>
    <n v="39"/>
    <x v="0"/>
    <s v="D"/>
    <n v="40"/>
    <s v="40% WHC"/>
    <s v="40% WHC"/>
    <n v="128813.19844651863"/>
    <n v="5456.5269124695969"/>
    <n v="4.2359998651342143E-2"/>
    <n v="6.300811837512529"/>
    <n v="1.569161567761209"/>
    <n v="0.24904117250717514"/>
    <n v="4.6922528145953608"/>
    <n v="0.25675052102833246"/>
    <n v="5.4717964093857867E-2"/>
    <n v="48.289529771242776"/>
    <n v="3.6827108275948621"/>
    <n v="7.6263132920129983E-2"/>
    <n v="7951.4320028715174"/>
    <n v="634.47987354297618"/>
    <n v="7.9794416064156132E-2"/>
    <n v="718.11218188988175"/>
    <n v="231.01019162789581"/>
    <n v="0.32169095226868027"/>
    <n v="10.3"/>
    <n v="3.41"/>
    <n v="122.57000000000001"/>
    <n v="40.579000000000001"/>
    <n v="0.33106796116504855"/>
    <n v="7.57"/>
    <n v="7.8"/>
    <n v="79.458992448987104"/>
    <n v="52.792417360745816"/>
    <n v="3.5737259117447961"/>
    <n v="3.7184484665834954"/>
    <n v="19.374400709912994"/>
    <n v="25.376144603212261"/>
    <n v="27.416272757533555"/>
    <n v="2.0819999999999999"/>
    <n v="0.53"/>
    <n v="2.5438000000000002E-2"/>
    <n v="3.1236336366454558"/>
    <n v="2.0753367938024141"/>
    <n v="0.99756838600567099"/>
    <n v="1.0777684077967431"/>
    <n v="0.76163223169718508"/>
    <n v="0.76348874160578639"/>
    <n v="1.0803955126447002"/>
    <n v="0.74"/>
    <n v="3.9E-2"/>
    <n v="18.996300000000002"/>
    <n v="107.37701682295555"/>
    <n v="6.697842750330589E-2"/>
    <n v="7.8551014693098414E-2"/>
    <n v="1.1727808134823907"/>
    <s v="UZH-43"/>
    <s v="UZH 3 "/>
    <n v="1186.3370851019936"/>
    <n v="0.30587212470287301"/>
    <n v="0.296201332418983"/>
    <n v="0.50180199279202897"/>
    <n v="7.4919942360136966"/>
    <n v="0.53437712729748099"/>
    <n v="6.8029309282039359"/>
    <n v="788.20031058716802"/>
    <n v="378.87041468627729"/>
    <n v="409.32989590089073"/>
    <n v="11.371306554779787"/>
    <n v="53.356372267300628"/>
    <n v="55.517106107036653"/>
    <n v="3.0013709474242714E-2"/>
    <n v="1.0803955126447002"/>
    <n v="22.7263090947636"/>
    <n v="27.1342606937265"/>
    <n v="24.653870615286799"/>
    <n v="13.4113925082761"/>
    <n v="12.114936155640001"/>
    <n v="20.599046970728399"/>
    <n v="25.945087361016601"/>
    <n v="23.532259284471699"/>
    <n v="13.628318584070801"/>
    <n v="16.277134861205699"/>
    <n v="2.1272621240351999"/>
    <n v="1.1891733327099001"/>
    <n v="1.1216113308150999"/>
    <n v="-0.216926075794701"/>
    <n v="-4.1621987055657002"/>
    <n v="362.09350776157021"/>
    <n v="481.36002210909209"/>
    <n v="233.61300340906385"/>
    <n v="207.37327192154984"/>
    <n v="1.3293804274062158"/>
    <n v="0.88767863473092978"/>
    <n v="0.14919791613303984"/>
    <n v="9.2097479094469005E-3"/>
    <x v="2"/>
    <n v="3.3395825588519078E-2"/>
    <n v="1.7097133538416635E-2"/>
    <n v="3.6560889797704478E-2"/>
    <n v="2.3491037129836849E-2"/>
    <n v="2379.3091216856687"/>
    <n v="4647.5037625719915"/>
  </r>
  <r>
    <n v="40"/>
    <x v="0"/>
    <s v="D"/>
    <n v="40"/>
    <s v="40% WHC"/>
    <s v="40% WHC"/>
    <n v="84468.865877188015"/>
    <n v="9456.1827987491615"/>
    <n v="0.1119487363840993"/>
    <n v="1.100767839848118"/>
    <n v="21.758961536054404"/>
    <n v="19.767075988572365"/>
    <n v="8.0972008303288948E-2"/>
    <n v="1.297389578128334"/>
    <n v="16.022692351520153"/>
    <n v="1.8726187824404792"/>
    <n v="15.248368338713496"/>
    <n v="8.1428043346020225"/>
    <n v="5214.1275232832104"/>
    <n v="1099.556139389437"/>
    <n v="0.21088017783981491"/>
    <n v="168.24670289931032"/>
    <n v="54.830198202465802"/>
    <n v="0.32589166537949771"/>
    <n v="7.14"/>
    <n v="12.3"/>
    <n v="84.965999999999994"/>
    <n v="146.37"/>
    <n v="1.7226890756302522"/>
    <n v="7.29"/>
    <n v="7.85"/>
    <n v="82.04100972893059"/>
    <n v="62.24658643945817"/>
    <n v="1.2702776524537602"/>
    <n v="4.2700144823818027"/>
    <n v="14.254131154636868"/>
    <n v="42.075890400471579"/>
    <n v="20.170696038986591"/>
    <n v="2.0089999999999999"/>
    <n v="0.97"/>
    <n v="4.9461999999999999E-2"/>
    <n v="1.6586674564095787"/>
    <n v="1.2584728971626336"/>
    <n v="0.85067102827365615"/>
    <n v="0.40780186888897724"/>
    <n v="0.28818347730857768"/>
    <n v="0.33877194324275339"/>
    <n v="0.47938845374405964"/>
    <n v="0.52"/>
    <n v="3.5999999999999997E-2"/>
    <n v="14.5305"/>
    <n v="157.77117255563576"/>
    <n v="0.12573462014192036"/>
    <n v="9.5435405106161719E-2"/>
    <n v="0.75902249514446363"/>
    <s v="UZH-44"/>
    <s v="UZH 4"/>
    <n v="652.49339948161048"/>
    <n v="0.14050630420322099"/>
    <n v="0.110862777763291"/>
    <n v="0.60536750311443299"/>
    <n v="4.8146445460378127"/>
    <n v="0.604006692594932"/>
    <n v="6.3289582301561866"/>
    <n v="495.06322418756758"/>
    <n v="334.64045425976781"/>
    <n v="160.42276992779981"/>
    <n v="2.2919978362625706"/>
    <n v="10.102847179400236"/>
    <n v="33.960531137423501"/>
    <n v="6.8491355635185271E-3"/>
    <n v="0.47938845374405964"/>
    <n v="15.869015839117299"/>
    <n v="23.602064424274801"/>
    <n v="28.560953906388999"/>
    <n v="18.8923295960135"/>
    <n v="13.0834668090408"/>
    <n v="16.321510487650801"/>
    <n v="23.324358164633399"/>
    <n v="30.7139137275759"/>
    <n v="16.165276069540901"/>
    <n v="13.5214794623763"/>
    <n v="-0.45249464853350202"/>
    <n v="0.277706259641402"/>
    <n v="-2.1529598211868999"/>
    <n v="2.7270535264725999"/>
    <n v="-0.43801265333549999"/>
    <n v="338.57250868280607"/>
    <n v="398.0506454401214"/>
    <n v="256.94654473872976"/>
    <n v="220.58852804783805"/>
    <n v="1.1756732612128229"/>
    <n v="0.85849968627575235"/>
    <n v="0.1251395169312528"/>
    <n v="7.7246615389662213E-3"/>
    <x v="3"/>
    <n v="4.9628812835088548E-2"/>
    <n v="4.0204646147248849E-2"/>
    <n v="3.7836195356164205E-2"/>
    <n v="2.8331675404761052E-2"/>
    <n v="1653.0923276674871"/>
    <n v="2040.5852952531097"/>
  </r>
  <r>
    <n v="41"/>
    <x v="0"/>
    <s v="M"/>
    <n v="80"/>
    <s v="80% WHC"/>
    <s v="80% WHC"/>
    <n v="151025.50307249479"/>
    <n v="2953.9346982315819"/>
    <n v="1.9559178007264397E-2"/>
    <n v="9.2339578897115171"/>
    <n v="1.6069174853200765"/>
    <n v="0.17402261354370105"/>
    <n v="4.8832305213646361"/>
    <n v="0.21519837860115598"/>
    <n v="4.4068855168651354E-2"/>
    <n v="57.606042934468697"/>
    <n v="3.191377751854668"/>
    <n v="5.5400051614118082E-2"/>
    <n v="9322.561918055233"/>
    <n v="343.48077886413739"/>
    <n v="3.6844032990428287E-2"/>
    <n v="566.24392067272277"/>
    <n v="195.41108821228835"/>
    <n v="0.34510054956551472"/>
    <n v="49.1"/>
    <n v="2.23"/>
    <n v="584.29000000000008"/>
    <n v="26.536999999999999"/>
    <n v="4.5417515274949083E-2"/>
    <n v="7.8"/>
    <n v="7.68"/>
    <n v="79.274389078201381"/>
    <n v="55.77126051060165"/>
    <n v="2.7763789058023156"/>
    <n v="5.3061432160971345"/>
    <n v="15.420606445700276"/>
    <n v="33.949911879901343"/>
    <n v="21.821348630700307"/>
    <n v="2.016"/>
    <n v="0.38400000000000001"/>
    <n v="1.7466400000000003E-2"/>
    <n v="4.5386793545436586"/>
    <n v="3.1930598469405052"/>
    <n v="1.9437269202526759"/>
    <n v="1.2493329266878292"/>
    <n v="0.88287262662599464"/>
    <n v="0.45421639090702365"/>
    <n v="0.64275125979395376"/>
    <n v="0.39100000000000001"/>
    <n v="3.3000000000000002E-2"/>
    <n v="11.714"/>
    <n v="202.74779815396772"/>
    <n v="6.9362812884535191E-2"/>
    <n v="7.2001871474999701E-2"/>
    <n v="1.0380471679379211"/>
    <s v="UZH-45"/>
    <s v="UZH 5"/>
    <n v="1142.8946690810462"/>
    <n v="0.21180963115075099"/>
    <n v="0.25248912818997998"/>
    <n v="0.54613627992633496"/>
    <n v="7.8736178250939846"/>
    <n v="0.56707792724667705"/>
    <n v="7.8758776074810273"/>
    <n v="804.05130921436648"/>
    <n v="489.45408163328187"/>
    <n v="314.59722758108461"/>
    <n v="12.728327902382919"/>
    <n v="40.026907651856838"/>
    <n v="76.498385740641837"/>
    <n v="2.6005152229825471E-2"/>
    <n v="0.64275125979395376"/>
    <n v="17.888766114180498"/>
    <n v="27.493186003683199"/>
    <n v="27.865930018416201"/>
    <n v="15.102762430939199"/>
    <n v="11.6449355432781"/>
    <n v="17.892223195096701"/>
    <n v="25.388840245164399"/>
    <n v="24.1996338454191"/>
    <n v="14.2991323728409"/>
    <n v="18.209026506407699"/>
    <n v="-3.4570809162026701E-3"/>
    <n v="2.1043457585188001"/>
    <n v="3.6662961729971002"/>
    <n v="0.80363005809830002"/>
    <n v="-6.5640909631296003"/>
    <n v="389.45237581867559"/>
    <n v="517.43435877481932"/>
    <n v="211.94320881818172"/>
    <n v="225.62551655091545"/>
    <n v="1.3286203677333082"/>
    <n v="1.0645564809980361"/>
    <n v="0.12259448412646895"/>
    <n v="7.5675607485474654E-3"/>
    <x v="4"/>
    <n v="3.1478198530863151E-2"/>
    <n v="1.8552955696776955E-2"/>
    <n v="3.1163175671269881E-2"/>
    <n v="2.3406482775125279E-2"/>
    <n v="2518.3902757483379"/>
    <n v="4272.871146454203"/>
  </r>
  <r>
    <n v="42"/>
    <x v="0"/>
    <s v="M"/>
    <n v="80"/>
    <s v="80% WHC"/>
    <s v="80% WHC"/>
    <n v="89104.178043634223"/>
    <n v="34992.398002356014"/>
    <n v="0.39271332467957082"/>
    <n v="20.263727181384404"/>
    <n v="4.2549161800064068"/>
    <n v="0.20997697718291694"/>
    <n v="25.046459196674725"/>
    <n v="5.3216091802147485"/>
    <n v="0.21246952067864619"/>
    <n v="250.74765877338857"/>
    <n v="54.254183614085377"/>
    <n v="0.21636965178254053"/>
    <n v="5500.257903928039"/>
    <n v="4068.8834886460477"/>
    <n v="0.73976230928012165"/>
    <n v="986.67355465343803"/>
    <n v="1220.8398797900893"/>
    <n v="1.2373290781254398"/>
    <n v="62.8"/>
    <n v="15.7"/>
    <n v="747.31999999999994"/>
    <n v="186.82999999999998"/>
    <n v="0.25"/>
    <n v="6.1"/>
    <n v="7.35"/>
    <n v="42.005620924678333"/>
    <n v="30.393397325080088"/>
    <n v="2.0621461070023175"/>
    <n v="3.113089176028847"/>
    <n v="6.4369883165670769"/>
    <n v="21.284561905269456"/>
    <n v="9.1088354198106316"/>
    <n v="2.0539999999999998"/>
    <n v="1.036"/>
    <n v="5.3065600000000004E-2"/>
    <n v="0.79157911951769755"/>
    <n v="0.57275141193315604"/>
    <n v="0.40109905296971021"/>
    <n v="0.17165235896344583"/>
    <n v="0.1213024693316777"/>
    <n v="0.30242521998883426"/>
    <n v="0.42795503428029408"/>
    <n v="0.66500000000000004"/>
    <n v="0.04"/>
    <n v="16.834399999999999"/>
    <n v="63.166347255155387"/>
    <n v="0.17803161419818758"/>
    <n v="0.12139348677967371"/>
    <n v="0.68186477624438424"/>
    <s v="UZH-46"/>
    <s v="UZH 6"/>
    <n v="235.94472877113284"/>
    <n v="0.22653920355943"/>
    <n v="8.3475454490990406E-2"/>
    <n v="0.52676410299292398"/>
    <n v="2.9588233829443458"/>
    <n v="0.61325354766323503"/>
    <n v="5.0517829574849893"/>
    <n v="170.71910212107431"/>
    <n v="119.55495657965078"/>
    <n v="51.164145541423522"/>
    <n v="0.68135353306768254"/>
    <n v="11.583033251087103"/>
    <n v="17.486159354615005"/>
    <n v="5.699082267774872E-3"/>
    <n v="0.42795503428029413"/>
    <n v="24.572124652806799"/>
    <n v="22.744233033581398"/>
    <n v="28.084849608002202"/>
    <n v="18.055853750590401"/>
    <n v="6.5357069406997397"/>
    <n v="12.338317585542599"/>
    <n v="26.332799390317"/>
    <n v="31.908858044075"/>
    <n v="17.7189107562468"/>
    <n v="11.6975859660017"/>
    <n v="12.2338070672642"/>
    <n v="-3.5885663567355999"/>
    <n v="-3.8240084360728002"/>
    <n v="0.33694299434360198"/>
    <n v="-5.1618790253019604"/>
    <n v="299.47254146742227"/>
    <n v="278.24594056339635"/>
    <n v="534.56468429019355"/>
    <n v="227.98076628258113"/>
    <n v="0.92912004285930494"/>
    <n v="0.42647928862958628"/>
    <n v="4.2897030083376933E-2"/>
    <n v="2.6479648199615393E-3"/>
    <x v="5"/>
    <n v="8.4238075368865128E-2"/>
    <n v="4.3780752455230817E-2"/>
    <n v="4.6944217273642279E-2"/>
    <n v="3.5709711059565878E-2"/>
    <n v="498.65361644057515"/>
    <n v="959.45406529118713"/>
  </r>
  <r>
    <n v="43"/>
    <x v="0"/>
    <s v="M"/>
    <n v="80"/>
    <s v="80% WHC"/>
    <s v="80% WHC"/>
    <n v="189708.56271076918"/>
    <n v="4794.7242074903688"/>
    <n v="2.5274158103239831E-2"/>
    <n v="17.98056951899833"/>
    <n v="5.9383918356888241"/>
    <n v="0.33026717142715084"/>
    <n v="1.1356190616455977"/>
    <n v="0.2507062348758663"/>
    <n v="0.2207661383497509"/>
    <n v="14.316849958897382"/>
    <n v="3.5485485179132632"/>
    <n v="0.2478581900418656"/>
    <n v="11710.405105603037"/>
    <n v="557.52607063841492"/>
    <n v="4.7609460613079677E-2"/>
    <n v="65.307157188207455"/>
    <n v="56.207503559806348"/>
    <n v="0.86066376152039525"/>
    <n v="20.2"/>
    <n v="1.93"/>
    <n v="240.38"/>
    <n v="22.966999999999999"/>
    <n v="9.5544554455445546E-2"/>
    <n v="7.46"/>
    <n v="7.72"/>
    <n v="76.746492419850597"/>
    <n v="52.407261658271608"/>
    <n v="2.4073683951414901"/>
    <n v="4.2351770493184926"/>
    <n v="17.696685317119009"/>
    <n v="27.365085705436535"/>
    <n v="25.042175952835073"/>
    <n v="2.0129999999999999"/>
    <n v="0.4"/>
    <n v="1.8340000000000002E-2"/>
    <n v="4.1846506226745142"/>
    <n v="2.8575388036135005"/>
    <n v="1.4920984572211848"/>
    <n v="1.3654403463923157"/>
    <n v="0.96492286352884449"/>
    <n v="0.64668846674224989"/>
    <n v="0.91511410643453694"/>
    <n v="0.46600000000000003"/>
    <n v="4.9000000000000002E-2"/>
    <n v="9.4687999999999999"/>
    <n v="164.69204381942188"/>
    <n v="7.4688231999052751E-2"/>
    <n v="8.2045671964385336E-2"/>
    <n v="1.0985086909732433"/>
    <s v="UZH-47"/>
    <s v="UZH 7"/>
    <n v="1027.5580284297525"/>
    <n v="0.243256438261996"/>
    <n v="0.26006599340877501"/>
    <n v="0.56526606348719499"/>
    <n v="7.56834173681289"/>
    <n v="0.52529828862236405"/>
    <n v="6.402510651023583"/>
    <n v="701.68030833741352"/>
    <n v="366.39086202741549"/>
    <n v="335.28944630999803"/>
    <n v="12.919342682272655"/>
    <n v="32.232231647577656"/>
    <n v="56.704743651880875"/>
    <n v="3.5261094151703913E-2"/>
    <n v="0.91511410643453694"/>
    <n v="17.097071001380201"/>
    <n v="26.3701886213771"/>
    <n v="24.825946940653299"/>
    <n v="15.172519552215901"/>
    <n v="16.528139855850299"/>
    <n v="17.754573241687499"/>
    <n v="29.710943197157501"/>
    <n v="26.080278040682099"/>
    <n v="13.462940838776699"/>
    <n v="12.986609982777599"/>
    <n v="-0.65750224030729898"/>
    <n v="-3.3407545757803998"/>
    <n v="-1.2543311000288"/>
    <n v="1.7095787134392"/>
    <n v="3.5415298730727001"/>
    <n v="387.33531617874695"/>
    <n v="570.07903604018975"/>
    <n v="223.55923155343552"/>
    <n v="174.23801069775746"/>
    <n v="1.4717972057500444"/>
    <n v="0.77938186442598678"/>
    <n v="8.7747436503123236E-2"/>
    <n v="5.416508426118718E-3"/>
    <x v="6"/>
    <n v="3.2464927710675551E-2"/>
    <n v="2.3676662043926027E-2"/>
    <n v="3.8943401913616164E-2"/>
    <n v="2.1700711703105825E-2"/>
    <n v="2363.9816205293378"/>
    <n v="3241.4405492407245"/>
  </r>
  <r>
    <n v="44"/>
    <x v="0"/>
    <s v="M"/>
    <n v="80"/>
    <s v="80% WHC"/>
    <s v="80% WHC"/>
    <n v="80439.494961909106"/>
    <n v="14839.94458514699"/>
    <n v="0.18448580006841439"/>
    <n v="33.59471671180173"/>
    <n v="0.92312393248537317"/>
    <n v="2.7478247261453533E-2"/>
    <n v="11.363666477567337"/>
    <n v="5.2203304170870917"/>
    <n v="0.45938785931392695"/>
    <n v="121.72264670235759"/>
    <n v="53.019467689859951"/>
    <n v="0.43557603392822908"/>
    <n v="4965.4009235746371"/>
    <n v="1725.574951761278"/>
    <n v="0.34751976291957126"/>
    <n v="240.60410766969747"/>
    <n v="5690.4637011532404"/>
    <n v="23.650733797800068"/>
    <n v="50.4"/>
    <n v="12.5"/>
    <n v="599.76"/>
    <n v="148.75"/>
    <n v="0.24801587301587302"/>
    <n v="5.9"/>
    <n v="7.45"/>
    <n v="70.489822231012496"/>
    <n v="49.164077179389167"/>
    <n v="3.3143348904195671"/>
    <n v="5.8111513627350675"/>
    <n v="12.200258798468694"/>
    <n v="31.899769088549728"/>
    <n v="17.264308090839439"/>
    <n v="2.0110000000000001"/>
    <n v="0.70399999999999996"/>
    <n v="3.4938399999999994E-2"/>
    <n v="2.0175458014967056"/>
    <n v="1.407164528982128"/>
    <n v="0.91302890483106647"/>
    <n v="0.49413562415106133"/>
    <n v="0.34919340320302866"/>
    <n v="0.38245602231797721"/>
    <n v="0.54120479815750078"/>
    <n v="0.33200000000000002"/>
    <n v="4.3999999999999997E-2"/>
    <n v="7.4988000000000001"/>
    <n v="212.31874165967619"/>
    <n v="0.20752804740258388"/>
    <n v="0.18124726612626105"/>
    <n v="0.87336274973309647"/>
    <s v="UZH-48"/>
    <s v="UZH 8"/>
    <n v="339.66407487210256"/>
    <n v="0.13842402433432199"/>
    <n v="0.119757402377762"/>
    <n v="0.570527614164407"/>
    <n v="2.7491590717742356"/>
    <n v="0.59684913680923002"/>
    <n v="3.2930104247390473"/>
    <n v="236.90328991539019"/>
    <n v="153.71304981570677"/>
    <n v="83.190240099683436"/>
    <n v="1.6826323360795084"/>
    <n v="15.970539557913757"/>
    <n v="28.001763787918311"/>
    <n v="1.0946580905764924E-2"/>
    <n v="0.54120479815750078"/>
    <n v="21.260552857370101"/>
    <n v="21.679468695308401"/>
    <n v="31.220383519581901"/>
    <n v="20.274936071868499"/>
    <n v="5.5574418249902804"/>
    <n v="16.712761342934002"/>
    <n v="23.640149214886801"/>
    <n v="30.627917064283899"/>
    <n v="19.952806454411402"/>
    <n v="9.1041901622278107"/>
    <n v="4.5477915144361001"/>
    <n v="-1.9606805195784001"/>
    <n v="0.59246645529800201"/>
    <n v="0.32212961745709701"/>
    <n v="-3.5467483372375299"/>
    <n v="291.40837636099383"/>
    <n v="279.57653459016973"/>
    <n v="587.29991216544931"/>
    <n v="357.07191753566485"/>
    <n v="0.95939772933580014"/>
    <n v="0.60798905318935836"/>
    <n v="6.8406173056329012E-2"/>
    <n v="4.2226032750820389E-3"/>
    <x v="7"/>
    <n v="8.9112588282522373E-2"/>
    <n v="5.3609429447007688E-2"/>
    <n v="7.3138547188425565E-2"/>
    <n v="5.2665011986058739E-2"/>
    <n v="791.01980527747332"/>
    <n v="1314.8773071851265"/>
  </r>
  <r>
    <n v="45"/>
    <x v="1"/>
    <s v="D"/>
    <n v="40"/>
    <s v="40% WHC"/>
    <s v="40% WHC"/>
    <n v="146433.18677883077"/>
    <n v="14604.66389588928"/>
    <n v="9.9736024443337554E-2"/>
    <n v="3.8110416928131303"/>
    <n v="1.5726714721129349"/>
    <n v="0.41266183864602735"/>
    <n v="3.3717645244260193"/>
    <n v="1.0084927355294795"/>
    <n v="0.29909939683618825"/>
    <n v="35.665248931103989"/>
    <n v="12.01895573113276"/>
    <n v="0.33699346258174911"/>
    <n v="9039.0856036315272"/>
    <n v="1698.2167320801489"/>
    <n v="0.18787483674210104"/>
    <n v="900.17465537541636"/>
    <n v="752.21921760998487"/>
    <n v="0.83563696569114476"/>
    <n v="10.4"/>
    <n v="10.8"/>
    <n v="123.76"/>
    <n v="128.52000000000001"/>
    <n v="1.0384615384615385"/>
    <n v="7.72"/>
    <n v="7.73"/>
    <n v="119.64599969712663"/>
    <n v="54.953930053759194"/>
    <n v="3.5743077290607483"/>
    <n v="46.383918621631061"/>
    <n v="14.73384329267563"/>
    <n v="0"/>
    <n v="54.953930053759194"/>
    <n v="2.0529999999999999"/>
    <n v="1.266"/>
    <n v="6.5623600000000004E-2"/>
    <n v="1.8232160335173111"/>
    <n v="0.83741108463661229"/>
    <n v="0"/>
    <n v="0.83741108463661229"/>
    <n v="0.2245204970875665"/>
    <n v="0"/>
    <n v="0"/>
    <n v="0.52"/>
    <n v="4.7E-2"/>
    <n v="11.062099999999999"/>
    <n v="230.08846095601274"/>
    <n v="0.11280361222417705"/>
    <n v="7.8934889857413953E-2"/>
    <n v="0.69975498391438873"/>
    <s v="UZH-49"/>
    <s v="UZH 9"/>
    <n v="1060.6575209608675"/>
    <n v="0.23326975915984699"/>
    <n v="0.229868813032227"/>
    <n v="0.54470851605384996"/>
    <n v="4.8288215715232505"/>
    <n v="0.53259404218308304"/>
    <n v="6.7472576847215198"/>
    <n v="487.16463037148196"/>
    <n v="0"/>
    <n v="487.16463037148196"/>
    <n v="1.9903662006972975"/>
    <n v="31.686110564947597"/>
    <n v="411.19178461635875"/>
    <n v="0"/>
    <n v="0"/>
    <n v="21.3560673433715"/>
    <n v="24.163881137109399"/>
    <n v="26.603085037873001"/>
    <n v="15.759452911772801"/>
    <n v="12.108313655739201"/>
    <n v="16.896426759440502"/>
    <n v="29.845618612741902"/>
    <n v="27.532072189606399"/>
    <n v="14.2117851706893"/>
    <n v="11.5155468580126"/>
    <n v="4.4596405839309998"/>
    <n v="-5.6817374756324996"/>
    <n v="-0.92898715173339896"/>
    <n v="1.5476677410835"/>
    <n v="0.59276679772660001"/>
    <n v="284.71492012727867"/>
    <n v="433.83248026534932"/>
    <n v="343.76090992186914"/>
    <n v="192.65458497302427"/>
    <n v="1.5237433994376173"/>
    <n v="0.56043191477707954"/>
    <n v="0.11734124085900233"/>
    <n v="7.2432864727779199E-3"/>
    <x v="8"/>
    <n v="5.1348146168566845E-2"/>
    <n v="3.1435847334355088E-2"/>
    <n v="3.6895782031634634E-2"/>
    <n v="2.0307841200107028E-2"/>
    <n v="2330.093851964004"/>
    <n v="3806.0370514132728"/>
  </r>
  <r>
    <n v="46"/>
    <x v="1"/>
    <s v="D"/>
    <n v="40"/>
    <s v="40% WHC"/>
    <s v="40% WHC"/>
    <n v="72234.685518430328"/>
    <n v="13954.61682561724"/>
    <n v="0.19318443384178349"/>
    <n v="0.45736425109226525"/>
    <n v="10.040903181756471"/>
    <n v="21.953843479845769"/>
    <n v="9.9591816272535407"/>
    <n v="1.0414571557667556"/>
    <n v="0.10457256376535828"/>
    <n v="104.51632153248735"/>
    <n v="12.233335046647721"/>
    <n v="0.11704712591559366"/>
    <n v="4458.9312048413776"/>
    <n v="1622.6298634438651"/>
    <n v="0.36390556142289454"/>
    <n v="22747.361865904382"/>
    <n v="109.60167147821076"/>
    <n v="4.8182146186582968E-3"/>
    <n v="47.5"/>
    <n v="8.08"/>
    <n v="565.25"/>
    <n v="96.152000000000001"/>
    <n v="0.17010526315789473"/>
    <n v="7.72"/>
    <n v="7.81"/>
    <n v="132.51639178882368"/>
    <n v="52.852238613450318"/>
    <n v="4.0382379895848954"/>
    <n v="64.530649700293324"/>
    <n v="11.095265485495146"/>
    <n v="0"/>
    <n v="52.852238613450318"/>
    <n v="2.0430000000000001"/>
    <n v="1.3959999999999999"/>
    <n v="7.2721599999999997E-2"/>
    <n v="1.8222425220130427"/>
    <n v="0.72677496938255381"/>
    <n v="0"/>
    <n v="0.72677496938255381"/>
    <n v="0.15257180102603829"/>
    <n v="0"/>
    <n v="0"/>
    <n v="0.47299999999999998"/>
    <n v="4.5999999999999999E-2"/>
    <n v="10.3803"/>
    <n v="280.16150483895069"/>
    <n v="0.13499919865053805"/>
    <n v="7.1906369851473542E-2"/>
    <n v="0.53264293840448629"/>
    <s v="UZH-50"/>
    <s v="UZH 10"/>
    <n v="981.60872889222537"/>
    <n v="0.15528321289293201"/>
    <n v="0.20990105918993701"/>
    <n v="0.56556364695601502"/>
    <n v="4.1893852156859515"/>
    <n v="0.55653923541247496"/>
    <n v="7.7397765533434182"/>
    <n v="391.5003877190768"/>
    <n v="0"/>
    <n v="391.5003877190768"/>
    <n v="1.130168197671966"/>
    <n v="29.9130515584642"/>
    <n v="478.00765001086273"/>
    <n v="0"/>
    <n v="0"/>
    <n v="17.8660064083892"/>
    <n v="25.573550830177702"/>
    <n v="30.381007864841202"/>
    <n v="16.379260122342"/>
    <n v="9.7960967084182897"/>
    <n v="17.128772635814901"/>
    <n v="27.2112676056338"/>
    <n v="27.346076458752499"/>
    <n v="14.784708249496999"/>
    <n v="13.523138832998001"/>
    <n v="0.73723377257429901"/>
    <n v="-1.6377167754560999"/>
    <n v="3.0349314060886998"/>
    <n v="1.5945518728450001"/>
    <n v="-3.7270421245797101"/>
    <n v="277.17732677030943"/>
    <n v="387.89493363700205"/>
    <n v="309.46247747594566"/>
    <n v="184.79846917031676"/>
    <n v="1.3994468384437584"/>
    <n v="0.59715953506732022"/>
    <n v="0.22014439869052549"/>
    <n v="1.3589160412995398E-2"/>
    <x v="9"/>
    <n v="5.864305416940712E-2"/>
    <n v="3.5336521965445261E-2"/>
    <n v="3.1883313328308308E-2"/>
    <n v="2.0355145220128421E-2"/>
    <n v="2259.7116344931906"/>
    <n v="3750.1254910828034"/>
  </r>
  <r>
    <n v="47"/>
    <x v="1"/>
    <s v="D"/>
    <n v="40"/>
    <s v="40% WHC"/>
    <s v="40% WHC"/>
    <n v="72878.689569488401"/>
    <n v="36659.793824663524"/>
    <n v="0.50302487656160622"/>
    <n v="0.20566194323126111"/>
    <n v="36.963209159862465"/>
    <n v="179.72799721287458"/>
    <n v="1.7482329891574016"/>
    <n v="21.385467082246183"/>
    <n v="12.232618429511142"/>
    <n v="20.51028662389254"/>
    <n v="190.35235754526835"/>
    <n v="9.2808238634522979"/>
    <n v="4498.6845413264437"/>
    <n v="4262.7667237980841"/>
    <n v="0.94755848840674683"/>
    <n v="9952.3054427448114"/>
    <n v="324.62554040188223"/>
    <n v="3.2618124741994617E-2"/>
    <n v="23.6"/>
    <n v="33.4"/>
    <n v="280.84000000000003"/>
    <n v="397.46"/>
    <n v="1.4152542372881354"/>
    <n v="7.03"/>
    <n v="7.67"/>
    <n v="155.62571098877279"/>
    <n v="64.378693665690179"/>
    <n v="4.5164886855720665"/>
    <n v="74.508358110777095"/>
    <n v="12.222170526733427"/>
    <n v="0"/>
    <n v="64.378693665690179"/>
    <n v="2.004"/>
    <n v="1.081"/>
    <n v="5.5522599999999998E-2"/>
    <n v="2.802925493200477"/>
    <n v="1.1595043039355177"/>
    <n v="0"/>
    <n v="1.1595043039355177"/>
    <n v="0.22012965038981291"/>
    <n v="0"/>
    <n v="0"/>
    <n v="0.65100000000000002"/>
    <n v="5.5E-2"/>
    <n v="11.8226"/>
    <n v="239.05639168782304"/>
    <n v="0.19270305251450989"/>
    <n v="0.12970984954807327"/>
    <n v="0.67310739428119104"/>
    <s v="UZH-51"/>
    <s v="UZH 11"/>
    <n v="807.59338764005668"/>
    <n v="2.3618903914904899E-3"/>
    <n v="0.122261836279521"/>
    <n v="0.66659079269333599"/>
    <n v="3.4591605270141943"/>
    <n v="0.58861126801977803"/>
    <n v="4.5379072604785193"/>
    <n v="334.08237609958297"/>
    <n v="0"/>
    <n v="334.08237609958297"/>
    <n v="1.1423257053659692"/>
    <n v="23.437556523563579"/>
    <n v="386.64856180815747"/>
    <n v="0"/>
    <n v="0"/>
    <n v="12.137938883514501"/>
    <n v="21.1980672829703"/>
    <n v="33.155201936855597"/>
    <n v="23.9114240337708"/>
    <n v="9.5924532987072109"/>
    <n v="14.955932308311301"/>
    <n v="26.177524316544499"/>
    <n v="31.040833223712202"/>
    <n v="16.4524540945424"/>
    <n v="11.3678394837232"/>
    <n v="-2.8179934247967999"/>
    <n v="-4.9794570335742003"/>
    <n v="2.1143687131434001"/>
    <n v="7.4589699392283997"/>
    <n v="-1.77538618501599"/>
    <n v="248.65987488719858"/>
    <n v="331.21275947451613"/>
    <n v="434.53997835314078"/>
    <n v="233.84238944873442"/>
    <n v="1.331991177204471"/>
    <n v="0.53813780341908157"/>
    <n v="0.17951767460492721"/>
    <n v="1.108133793857575E-2"/>
    <x v="10"/>
    <n v="6.4239501469241456E-2"/>
    <n v="6.4562994330402079E-2"/>
    <n v="5.3354144702022432E-2"/>
    <n v="3.6085660944200598E-2"/>
    <n v="2422.5859078823646"/>
    <n v="2410.4475420138651"/>
  </r>
  <r>
    <n v="48"/>
    <x v="1"/>
    <s v="D"/>
    <n v="40"/>
    <s v="40% WHC"/>
    <s v="40% WHC"/>
    <n v="85886.367608707078"/>
    <n v="15369.861451280805"/>
    <n v="0.17895577469645629"/>
    <n v="0.66918407446571404"/>
    <n v="1.3583333963874022"/>
    <n v="2.0298352100980805"/>
    <n v="6.7586058522878378"/>
    <n v="1.1224026900362409"/>
    <n v="0.16607015034858105"/>
    <n v="66.854717944564584"/>
    <n v="13.555984162371798"/>
    <n v="0.20276780127338681"/>
    <n v="5301.6276301671023"/>
    <n v="1787.1931920093957"/>
    <n v="0.33710273838169674"/>
    <n v="9923.6277958454302"/>
    <n v="984.43053361191232"/>
    <n v="9.9200670749062997E-2"/>
    <n v="19.600000000000001"/>
    <n v="16.899999999999999"/>
    <n v="233.24000000000004"/>
    <n v="201.10999999999999"/>
    <n v="0.86224489795918358"/>
    <n v="7.5"/>
    <n v="7.63"/>
    <n v="134.20941857140241"/>
    <n v="58.116461851071357"/>
    <n v="3.8928898953539113"/>
    <n v="59.691767441188816"/>
    <n v="12.508299383788339"/>
    <n v="0"/>
    <n v="58.116461851071357"/>
    <n v="2.0710000000000002"/>
    <n v="1.4"/>
    <n v="7.2939999999999991E-2"/>
    <n v="1.8399975126323338"/>
    <n v="0.796770795874299"/>
    <n v="0"/>
    <n v="0.796770795874299"/>
    <n v="0.17148751554412311"/>
    <n v="0"/>
    <n v="0"/>
    <n v="0.52900000000000003"/>
    <n v="5.7000000000000002E-2"/>
    <n v="9.3594000000000008"/>
    <n v="253.70400486087411"/>
    <n v="0.13038447356862146"/>
    <n v="8.852012217685068E-2"/>
    <n v="0.67891612976649762"/>
    <s v="UZH-52"/>
    <s v="UZH 12"/>
    <n v="1029.3358932861579"/>
    <n v="0.14337315679051299"/>
    <n v="0.23387315530633301"/>
    <n v="0.56747840554276696"/>
    <n v="4.3523464873607258"/>
    <n v="0.54198802653578504"/>
    <n v="6.1227663632565896"/>
    <n v="445.73146065957474"/>
    <n v="0"/>
    <n v="445.73146065957474"/>
    <n v="1.315244912607398"/>
    <n v="29.857005123428905"/>
    <n v="457.81346357757076"/>
    <n v="0"/>
    <n v="0"/>
    <n v="17.216309228069399"/>
    <n v="26.048385258791601"/>
    <n v="31.100006837295201"/>
    <n v="16.810629714884801"/>
    <n v="8.8372040020967706"/>
    <n v="18.534598996817898"/>
    <n v="27.254463081818699"/>
    <n v="26.723208025457101"/>
    <n v="14.6540100318214"/>
    <n v="12.821584596300101"/>
    <n v="-1.3182897687485"/>
    <n v="-1.2060778230271001"/>
    <n v="4.3767988118380998"/>
    <n v="2.1566196830634001"/>
    <n v="-3.9843805942033299"/>
    <n v="277.3214338935768"/>
    <n v="455.7238696554698"/>
    <n v="291.880908194612"/>
    <n v="181.78617301079854"/>
    <n v="1.6433056156429497"/>
    <n v="0.62280939899499133"/>
    <n v="0.19415469457512885"/>
    <n v="1.1984857689822765E-2"/>
    <x v="11"/>
    <n v="5.6410444147766109E-2"/>
    <n v="3.3440792973641817E-2"/>
    <n v="4.0532533695643122E-2"/>
    <n v="2.4321429933629374E-2"/>
    <n v="2379.1590475664989"/>
    <n v="4013.3443808341171"/>
  </r>
  <r>
    <n v="49"/>
    <x v="1"/>
    <s v="M"/>
    <n v="80"/>
    <s v="80% WHC"/>
    <s v="80% WHC"/>
    <n v="122762.87347990833"/>
    <n v="10170.475340091767"/>
    <n v="8.2846507676087366E-2"/>
    <n v="1.0954757195608051"/>
    <n v="6.731744560344838"/>
    <n v="6.1450422315555375"/>
    <n v="10.710121301442694"/>
    <n v="0.53841540155049394"/>
    <n v="5.0271643653369953E-2"/>
    <n v="105.46666189439117"/>
    <n v="7.105915154529387"/>
    <n v="6.7375936877995452E-2"/>
    <n v="7577.9551530807603"/>
    <n v="1182.6134116385774"/>
    <n v="0.15605970050611806"/>
    <n v="9522.0093296934956"/>
    <n v="98.452385384512198"/>
    <n v="1.0339454833077893E-2"/>
    <n v="21.7"/>
    <n v="13.2"/>
    <n v="258.23"/>
    <n v="157.07999999999998"/>
    <n v="0.60829493087557607"/>
    <n v="7.77"/>
    <n v="7.75"/>
    <n v="102.64144780729626"/>
    <n v="36.133890533322962"/>
    <n v="2.9676525737648389"/>
    <n v="54.421090747561678"/>
    <n v="9.1188139526467751"/>
    <n v="0"/>
    <n v="36.133890533322962"/>
    <n v="2.0059999999999998"/>
    <n v="0.58599999999999997"/>
    <n v="2.8495599999999999E-2"/>
    <n v="3.6020104088805383"/>
    <n v="1.2680515775531296"/>
    <n v="0"/>
    <n v="1.2680515775531296"/>
    <n v="0.32000778901468208"/>
    <n v="0"/>
    <n v="0"/>
    <n v="0.746"/>
    <n v="4.7E-2"/>
    <n v="15.901400000000001"/>
    <n v="137.58907212774298"/>
    <n v="9.5321625663076739E-2"/>
    <n v="9.2451519534534982E-2"/>
    <n v="0.9698902939540035"/>
    <s v="UZH-53"/>
    <s v="UZH 13"/>
    <n v="1076.7907816647203"/>
    <n v="0.13279482497011899"/>
    <n v="0.27133932543602202"/>
    <n v="0.58208162882927905"/>
    <n v="6.1065012769159157"/>
    <n v="0.51116222432688396"/>
    <n v="5.5289759097571229"/>
    <n v="379.07337691702406"/>
    <n v="0"/>
    <n v="379.07337691702406"/>
    <n v="3.3571373420107178"/>
    <n v="31.133046180457374"/>
    <n v="570.92071572423811"/>
    <n v="0"/>
    <n v="0"/>
    <n v="15.109973040210701"/>
    <n v="26.677700402835502"/>
    <n v="30.778919318406601"/>
    <n v="16.732764991828802"/>
    <n v="10.6964785726925"/>
    <n v="17.443819879214299"/>
    <n v="31.438727690926299"/>
    <n v="26.170649807505399"/>
    <n v="13.0010700975388"/>
    <n v="11.9445025276442"/>
    <n v="-2.3338468390035998"/>
    <n v="-4.7610272880907996"/>
    <n v="4.6082695109012004"/>
    <n v="3.7316948942899999"/>
    <n v="-1.2480239549517"/>
    <n v="345.29461870056053"/>
    <n v="570.81279180682088"/>
    <n v="256.48415797273799"/>
    <n v="173.81838160304255"/>
    <n v="1.6531181225903486"/>
    <n v="0.67769636525277288"/>
    <n v="0.14209516418515081"/>
    <n v="8.7713064311821468E-3"/>
    <x v="12"/>
    <n v="3.9832689652689435E-2"/>
    <n v="2.6146000872786561E-2"/>
    <n v="4.5192658015786896E-2"/>
    <n v="2.3062560948572671E-2"/>
    <n v="2576.8143879374234"/>
    <n v="3925.7035256251424"/>
  </r>
  <r>
    <n v="50"/>
    <x v="1"/>
    <s v="M"/>
    <n v="80"/>
    <s v="80% WHC"/>
    <s v="80% WHC"/>
    <n v="146771.28437513276"/>
    <n v="16144.480603081569"/>
    <n v="0.10999754258345172"/>
    <n v="5.604655790954153"/>
    <n v="5.3380373715019287"/>
    <n v="0.95242911796964536"/>
    <n v="3.1373975646751955"/>
    <n v="1.3051583107217928"/>
    <n v="0.41600029445325065"/>
    <n v="38.814232079261139"/>
    <n v="16.4493907340389"/>
    <n v="0.42379791774440351"/>
    <n v="9059.9558256254786"/>
    <n v="1877.2651864048332"/>
    <n v="0.20720467323859509"/>
    <n v="653.72128708512435"/>
    <n v="291.70489124714254"/>
    <n v="0.44622210873356211"/>
    <n v="51.5"/>
    <n v="31.1"/>
    <n v="612.85"/>
    <n v="370.09000000000003"/>
    <n v="0.60388349514563111"/>
    <n v="7.71"/>
    <n v="7.96"/>
    <n v="129.25270928334788"/>
    <n v="45.581293416484876"/>
    <n v="4.8671221224522112"/>
    <n v="68.597822473798985"/>
    <n v="10.206471270611818"/>
    <n v="0"/>
    <n v="45.581293416484876"/>
    <n v="2.0419999999999998"/>
    <n v="1.427"/>
    <n v="7.44142E-2"/>
    <n v="1.7369360858995713"/>
    <n v="0.61253488469250328"/>
    <n v="0"/>
    <n v="0.61253488469250328"/>
    <n v="0.1371575757128588"/>
    <n v="0"/>
    <n v="0"/>
    <n v="0.42299999999999999"/>
    <n v="5.2999999999999999E-2"/>
    <n v="8.0372000000000003"/>
    <n v="305.56196048072786"/>
    <n v="0.14012154176995401"/>
    <n v="7.6260822163244507E-2"/>
    <n v="0.54424766670385705"/>
    <s v="UZH-54"/>
    <s v="UZH 14"/>
    <n v="922.43282261017271"/>
    <n v="0.1047866203009"/>
    <n v="0.18878202993816201"/>
    <n v="0.60233648107877302"/>
    <n v="4.2986715209547519"/>
    <n v="0.52294614415882701"/>
    <n v="6.8573368254462883"/>
    <n v="325.29825778907315"/>
    <n v="0"/>
    <n v="325.29825778907315"/>
    <n v="0.9788471778168033"/>
    <n v="34.735002633948028"/>
    <n v="489.55943252765638"/>
    <n v="0"/>
    <n v="0"/>
    <n v="14.3917503252008"/>
    <n v="25.373112097470901"/>
    <n v="31.240132264887201"/>
    <n v="18.650639975374101"/>
    <n v="10.342875867616"/>
    <n v="16.012297207200501"/>
    <n v="31.704200311134201"/>
    <n v="30.894881102303899"/>
    <n v="14.0288169494037"/>
    <n v="7.3709163641751196"/>
    <n v="-1.6205468819997"/>
    <n v="-6.3310882136632998"/>
    <n v="0.34525116258330302"/>
    <n v="4.6218230259704001"/>
    <n v="2.9719595034408801"/>
    <n v="261.19432920353961"/>
    <n v="409.60751125180292"/>
    <n v="293.76450943359703"/>
    <n v="185.67639826222043"/>
    <n v="1.5682098171917436"/>
    <n v="0.63205864663577072"/>
    <n v="0.10181427375188003"/>
    <n v="6.2848317130790136E-3"/>
    <x v="13"/>
    <n v="5.5719138309348673E-2"/>
    <n v="4.0626161412513601E-2"/>
    <n v="3.6388993314986212E-2"/>
    <n v="1.6319612565676937E-2"/>
    <n v="2319.7183805274603"/>
    <n v="3181.5141965033322"/>
  </r>
  <r>
    <n v="51"/>
    <x v="1"/>
    <s v="M"/>
    <n v="80"/>
    <s v="80% WHC"/>
    <s v="80% WHC"/>
    <n v="22233.307878523738"/>
    <n v="51069.961297749433"/>
    <n v="2.2970023883436821"/>
    <n v="2.6419515173165133"/>
    <n v="1.8185092969273213"/>
    <n v="0.68832046500778343"/>
    <n v="14.160878883034936"/>
    <n v="21.121220594362491"/>
    <n v="1.4915190482750478"/>
    <n v="157.51222154100415"/>
    <n v="184.99934842563118"/>
    <n v="1.1745078992328952"/>
    <n v="1372.4264122545517"/>
    <n v="5938.3675927615623"/>
    <n v="4.3269114757171696"/>
    <n v="5804.4526558838734"/>
    <n v="9988.1324985337887"/>
    <n v="1.7207707755888044"/>
    <n v="85.9"/>
    <n v="30.3"/>
    <n v="1022.2100000000002"/>
    <n v="360.57"/>
    <n v="0.35273573923166474"/>
    <n v="6.78"/>
    <n v="7.34"/>
    <n v="111.97187635980529"/>
    <n v="49.270605994787935"/>
    <n v="3.7687769714535873"/>
    <n v="45.145370141266035"/>
    <n v="13.787123252297739"/>
    <n v="0"/>
    <n v="49.270605994787935"/>
    <n v="2.0259999999999998"/>
    <n v="1.2190000000000001"/>
    <n v="6.30574E-2"/>
    <n v="1.7757134984919341"/>
    <n v="0.78136120415348453"/>
    <n v="0"/>
    <n v="0.78136120415348453"/>
    <n v="0.21864401723346888"/>
    <n v="0"/>
    <n v="0"/>
    <n v="0.55400000000000005"/>
    <n v="4.7E-2"/>
    <n v="11.7592"/>
    <n v="202.11530028845718"/>
    <n v="0.38305706439434206"/>
    <n v="0.26212910019450392"/>
    <n v="0.68430822600533581"/>
    <s v="UZH-55"/>
    <s v="UZH 15"/>
    <n v="292.31121618092567"/>
    <n v="4.8913534743793799E-2"/>
    <n v="0.10691617948681199"/>
    <n v="0.67137072944125697"/>
    <n v="1.7526650513619231"/>
    <n v="0.627174269299686"/>
    <n v="2.3926159622655891"/>
    <n v="128.62471567438789"/>
    <n v="0"/>
    <n v="128.62471567438789"/>
    <n v="0.57078706426983816"/>
    <n v="9.8386828537217124"/>
    <n v="117.85546942632722"/>
    <n v="0"/>
    <n v="0"/>
    <n v="15.245781324302699"/>
    <n v="17.613022575653002"/>
    <n v="29.3587942792586"/>
    <n v="24.318648484465299"/>
    <n v="13.459630180401801"/>
    <n v="17.634123556683701"/>
    <n v="19.645128640506901"/>
    <n v="29.144124437436901"/>
    <n v="24.158194831277999"/>
    <n v="9.4151076612536393"/>
    <n v="-2.388342232381"/>
    <n v="-2.0321060648539002"/>
    <n v="0.21466984182169899"/>
    <n v="0.16045365318730001"/>
    <n v="4.0445225191481597"/>
    <n v="270.04980435860222"/>
    <n v="373.59803651553318"/>
    <n v="215.38312595927246"/>
    <n v="478.30906415422839"/>
    <n v="1.3834412411550134"/>
    <n v="2.22073601181122"/>
    <n v="0.21298862625408951"/>
    <n v="1.3147446065067254E-2"/>
    <x v="14"/>
    <n v="0.12586796961426391"/>
    <n v="0.14471236523235395"/>
    <n v="9.7719768343735552E-2"/>
    <n v="8.8005395729252131E-2"/>
    <n v="889.5978595901347"/>
    <n v="773.75472496783755"/>
  </r>
  <r>
    <n v="52"/>
    <x v="1"/>
    <s v="M"/>
    <n v="80"/>
    <s v="80% WHC"/>
    <s v="80% WHC"/>
    <n v="54322.529330148107"/>
    <n v="51662.790013212325"/>
    <n v="0.95103800670305549"/>
    <n v="5.2055681238760583"/>
    <n v="0.93081658802921297"/>
    <n v="0.17881171965839693"/>
    <n v="28.755929561720109"/>
    <n v="2.5932923276503517"/>
    <n v="9.0182872443203582E-2"/>
    <n v="308.71133033381091"/>
    <n v="28.978764082690812"/>
    <n v="9.387010205085751E-2"/>
    <n v="3353.2425512437103"/>
    <n v="6007.3011643270147"/>
    <n v="1.7914901986731977"/>
    <n v="5621.6947845696459"/>
    <n v="3084.2837685550858"/>
    <n v="0.5486394916032773"/>
    <n v="120"/>
    <n v="18.399999999999999"/>
    <n v="1428"/>
    <n v="218.95999999999998"/>
    <n v="0.15333333333333332"/>
    <n v="6.2"/>
    <n v="7.49"/>
    <n v="103.81062679526923"/>
    <n v="48.160486976861122"/>
    <n v="4.5162466301942494"/>
    <n v="35.563875545760474"/>
    <n v="15.570017642453395"/>
    <n v="0"/>
    <n v="48.160486976861122"/>
    <n v="2.0249999999999999"/>
    <n v="1.3859999999999999"/>
    <n v="7.2175599999999993E-2"/>
    <n v="1.4383063915681926"/>
    <n v="0.66726825931285816"/>
    <n v="0"/>
    <n v="0.66726825931285816"/>
    <n v="0.21572411787991227"/>
    <n v="0"/>
    <n v="0"/>
    <n v="0.435"/>
    <n v="4.3999999999999997E-2"/>
    <n v="9.9616000000000007"/>
    <n v="238.64511906958444"/>
    <n v="0.25806249342780418"/>
    <n v="0.15995922818071415"/>
    <n v="0.61984686753972051"/>
    <s v="UZH-56"/>
    <s v="UZH 16"/>
    <n v="402.26933180552015"/>
    <n v="2.5555347549527999E-2"/>
    <n v="5.7815847590138497E-2"/>
    <n v="0.66189416761584396"/>
    <n v="2.5648600028001205"/>
    <n v="0.63910983133785904"/>
    <n v="3.9954545830630281"/>
    <n v="186.62334978304219"/>
    <n v="0"/>
    <n v="186.62334978304219"/>
    <n v="0.83593750883548468"/>
    <n v="17.500592861076569"/>
    <n v="137.81109789869507"/>
    <n v="0"/>
    <n v="0"/>
    <n v="14.670271766321401"/>
    <n v="19.1392469741646"/>
    <n v="31.87745499835"/>
    <n v="24.333996870376101"/>
    <n v="9.9779648928582798"/>
    <n v="11.9635735705232"/>
    <n v="24.127209853861501"/>
    <n v="31.5922430430731"/>
    <n v="20.506648883314401"/>
    <n v="11.8120912073983"/>
    <n v="2.7066981957982001"/>
    <n v="-4.9879628796968998"/>
    <n v="0.28521195527690002"/>
    <n v="3.8273479870617"/>
    <n v="-1.83412631454002"/>
    <n v="205.04166900283192"/>
    <n v="382.09547916486792"/>
    <n v="381.42562385693327"/>
    <n v="276.60831356221343"/>
    <n v="1.8635016044450488"/>
    <n v="0.72519593929002746"/>
    <n v="0.11996428103786269"/>
    <n v="7.4052025332014011E-3"/>
    <x v="15"/>
    <n v="8.7249687077638902E-2"/>
    <n v="8.854630407019741E-2"/>
    <n v="5.7730538610018887E-2"/>
    <n v="5.1696807206835074E-2"/>
    <n v="1189.8108780939651"/>
    <n v="1172.3880277709911"/>
  </r>
  <r>
    <n v="53"/>
    <x v="2"/>
    <s v="D"/>
    <n v="40"/>
    <s v="40% WHC"/>
    <s v="40% WHC"/>
    <n v="18985.300301398885"/>
    <n v="8039.8373717639124"/>
    <n v="0.42347696608051633"/>
    <n v="7.9011701724812378"/>
    <n v="1.8870455682401526"/>
    <n v="0.23883115121510612"/>
    <n v="5.2349110511005001"/>
    <n v="11.204647507086639"/>
    <n v="2.1403701796864651"/>
    <n v="53.471253189027685"/>
    <n v="102.99586325787071"/>
    <n v="1.9261913105677031"/>
    <n v="1171.9321173703011"/>
    <n v="934.86481067022237"/>
    <n v="0.7977124244772521"/>
    <n v="623.27981053645942"/>
    <n v="5355.0526858253415"/>
    <n v="8.5917313464978537"/>
    <n v="17.5"/>
    <n v="17.5"/>
    <n v="208.25"/>
    <n v="208.25"/>
    <n v="1"/>
    <n v="6.91"/>
    <n v="7.73"/>
    <n v="142.10806511667946"/>
    <n v="138.00191753858803"/>
    <n v="1.4407060006587777"/>
    <n v="2.6654415774326723"/>
    <n v="0"/>
    <n v="138.00191753858803"/>
    <n v="0"/>
    <n v="2.056"/>
    <n v="0.90900000000000003"/>
    <n v="4.6131400000000003E-2"/>
    <n v="3.080506230391435"/>
    <n v="2.9914964110906674"/>
    <n v="2.9914964110906674"/>
    <n v="0"/>
    <n v="0"/>
    <n v="0"/>
    <n v="0"/>
    <n v="0.36499999999999999"/>
    <n v="2.9000000000000001E-2"/>
    <n v="12.559900000000001"/>
    <n v="389.33716470323139"/>
    <n v="0.14662836322200073"/>
    <n v="0.16774148203112749"/>
    <n v="1.1439906873758163"/>
    <s v="UZH-57"/>
    <s v="UZH 17"/>
    <n v="969.17173454035367"/>
    <n v="5.4773717536915699E-2"/>
    <n v="0.13836518108695001"/>
    <n v="0.65767508086260895"/>
    <n v="4.4853196640193325"/>
    <n v="0.60584694045851895"/>
    <n v="3.6117896010129029"/>
    <n v="941.16796031916454"/>
    <n v="941.16796031916454"/>
    <n v="0"/>
    <n v="0"/>
    <n v="9.8255615012048914"/>
    <n v="18.17821271998444"/>
    <n v="0"/>
    <n v="0"/>
    <n v="14.084949184086501"/>
    <n v="20.143058148204201"/>
    <n v="30.172263984887"/>
    <n v="22.142620901512998"/>
    <n v="13.452623199861"/>
    <n v="16.714772664797401"/>
    <n v="22.695493613356099"/>
    <n v="28.657888467388702"/>
    <n v="21.215203328018799"/>
    <n v="10.7116022504444"/>
    <n v="-2.6298234807109"/>
    <n v="-2.5524354651519001"/>
    <n v="1.5143755174983"/>
    <n v="0.92741757349419995"/>
    <n v="2.7410209494165998"/>
    <n v="338.81363472400568"/>
    <n v="365.97457300733328"/>
    <n v="289.28244970340114"/>
    <n v="280.22691503585753"/>
    <n v="1.0801648325205466"/>
    <n v="0.96869656394009329"/>
    <n v="0.82698623936945981"/>
    <n v="5.1048533294411079E-2"/>
    <x v="16"/>
    <n v="5.0187966914844256E-2"/>
    <n v="5.2192723810720459E-2"/>
    <n v="6.6107364727388346E-2"/>
    <n v="5.3554496842510853E-2"/>
    <n v="2831.5166732655134"/>
    <n v="2722.7562529988186"/>
  </r>
  <r>
    <n v="54"/>
    <x v="2"/>
    <s v="D"/>
    <n v="40"/>
    <s v="40% WHC"/>
    <s v="40% WHC"/>
    <n v="52524.000820292305"/>
    <n v="37053.500071070623"/>
    <n v="0.70545844742191166"/>
    <n v="12.425956869577876"/>
    <n v="7.1437701846563924"/>
    <n v="0.57490704817640936"/>
    <n v="5.5573406354178418"/>
    <n v="7.3507362559408724"/>
    <n v="1.3227075211286179"/>
    <n v="56.877514687772745"/>
    <n v="78.470360497685874"/>
    <n v="1.3796376464134614"/>
    <n v="3242.2222728575498"/>
    <n v="4308.5465198919328"/>
    <n v="1.3288868428180196"/>
    <n v="400.85395247210755"/>
    <n v="1019.9742768483884"/>
    <n v="2.544503479529395"/>
    <n v="12.2"/>
    <n v="38.799999999999997"/>
    <n v="145.18"/>
    <n v="461.71999999999997"/>
    <n v="3.180327868852459"/>
    <n v="7.15"/>
    <n v="7.41"/>
    <n v="130.38261623412302"/>
    <n v="126.57083624544509"/>
    <n v="1.2573508156287685"/>
    <n v="2.5544291730491646"/>
    <n v="0"/>
    <n v="126.57083624544509"/>
    <n v="0"/>
    <n v="2.0920000000000001"/>
    <n v="1.1910000000000001"/>
    <n v="6.1528600000000003E-2"/>
    <n v="2.1190570927036045"/>
    <n v="2.0571057401833475"/>
    <n v="2.0571057401833475"/>
    <n v="0"/>
    <n v="0"/>
    <n v="0"/>
    <n v="0"/>
    <n v="0.442"/>
    <n v="3.4000000000000002E-2"/>
    <n v="13.1379"/>
    <n v="294.98329464733717"/>
    <n v="0.26820639876156582"/>
    <n v="0.15294797825452236"/>
    <n v="0.570262227004108"/>
    <s v="UZH-58"/>
    <s v="UZH-18"/>
    <n v="486.12791057991325"/>
    <n v="6.8143843460333406E-2"/>
    <n v="-1.09383004999619E-2"/>
    <n v="0.65000632394146995"/>
    <n v="2.4235302623011705"/>
    <n v="0.65279012665532199"/>
    <n v="4.2680533218229728"/>
    <n v="471.91579630419614"/>
    <n v="471.91579630419614"/>
    <n v="0"/>
    <n v="0"/>
    <n v="4.6879970852095409"/>
    <n v="9.5241171905075976"/>
    <n v="0"/>
    <n v="0"/>
    <n v="15.247752568493199"/>
    <n v="19.745047867372399"/>
    <n v="29.911270236612701"/>
    <n v="23.725969022415899"/>
    <n v="11.363393135118301"/>
    <n v="11.4319529414536"/>
    <n v="23.288445572363099"/>
    <n v="35.605984773098001"/>
    <n v="19.484664166141599"/>
    <n v="10.1883637262926"/>
    <n v="3.8157996270396"/>
    <n v="-3.5433977049907002"/>
    <n v="-5.6947145364853"/>
    <n v="4.2413048562742999"/>
    <n v="1.1750294088257001"/>
    <n v="289.46819284268128"/>
    <n v="277.4270741351026"/>
    <n v="313.29701350153084"/>
    <n v="230.14779415817989"/>
    <n v="0.95840261899129375"/>
    <n v="0.73459938729053775"/>
    <n v="0.14993663902982871"/>
    <n v="9.2553480882610322E-3"/>
    <x v="17"/>
    <n v="9.3852929874856633E-2"/>
    <n v="9.4111914591126153E-2"/>
    <n v="5.3104147568795862E-2"/>
    <n v="4.5384296248378614E-2"/>
    <n v="1389.2226530165337"/>
    <n v="1385.399678675933"/>
  </r>
  <r>
    <n v="55"/>
    <x v="2"/>
    <s v="D"/>
    <n v="40"/>
    <s v="40% WHC"/>
    <s v="40% WHC"/>
    <n v="77930.567152771211"/>
    <n v="17531.754265594413"/>
    <n v="0.22496633742220859"/>
    <n v="12.510081836495562"/>
    <n v="3.2453668818739003"/>
    <n v="0.2594201160544144"/>
    <n v="5.0872753372039066"/>
    <n v="1.2555399431003558"/>
    <n v="0.24680007663796547"/>
    <n v="51.694785421106161"/>
    <n v="15.154358205698626"/>
    <n v="0.29315061630009864"/>
    <n v="4810.5288365908145"/>
    <n v="2038.576077394699"/>
    <n v="0.42377379839997437"/>
    <n v="361.53021259847014"/>
    <n v="451.79926390522832"/>
    <n v="1.249686051569401"/>
    <n v="12"/>
    <n v="19.600000000000001"/>
    <n v="142.80000000000001"/>
    <n v="233.24000000000004"/>
    <n v="1.6333333333333335"/>
    <n v="7.48"/>
    <n v="7.53"/>
    <n v="121.68289621610592"/>
    <n v="118.81586879253361"/>
    <n v="0.91199319302926318"/>
    <n v="1.9550342305430461"/>
    <n v="0"/>
    <n v="118.81586879253361"/>
    <n v="0"/>
    <n v="2.0680000000000001"/>
    <n v="0.81299999999999994"/>
    <n v="4.0889799999999997E-2"/>
    <n v="2.9758740863517534"/>
    <n v="2.9057581302068884"/>
    <n v="2.9057581302068884"/>
    <n v="0"/>
    <n v="0"/>
    <n v="0"/>
    <n v="0"/>
    <n v="0.57399999999999995"/>
    <n v="2.5999999999999999E-2"/>
    <n v="22.3169"/>
    <n v="211.99110839042845"/>
    <n v="0.18321080265573256"/>
    <n v="0.11827268894226489"/>
    <n v="0.64555521414590677"/>
    <s v="UZH-59"/>
    <s v="UZH-19"/>
    <n v="664.1687850948266"/>
    <n v="0.18229912510996099"/>
    <n v="0.18084268290811001"/>
    <n v="0.58122037642078095"/>
    <n v="3.1724132419906459"/>
    <n v="0.57495532063126598"/>
    <n v="4.8612686984053592"/>
    <n v="648.51999483784766"/>
    <n v="648.51999483784766"/>
    <n v="0"/>
    <n v="0"/>
    <n v="4.9778352575801428"/>
    <n v="10.670954999398745"/>
    <n v="0"/>
    <n v="0"/>
    <n v="17.283143895816998"/>
    <n v="24.592057429478601"/>
    <n v="27.520592701670399"/>
    <n v="20.070866504072502"/>
    <n v="10.530578436335199"/>
    <n v="15.9936994517311"/>
    <n v="26.506729672149401"/>
    <n v="28.025323357465201"/>
    <n v="16.5601429739799"/>
    <n v="12.910065731681501"/>
    <n v="1.2894444440859001"/>
    <n v="-1.9146722426708001"/>
    <n v="-0.50473065579480203"/>
    <n v="3.5107235300926001"/>
    <n v="-2.3794872953463"/>
    <n v="323.36162816708833"/>
    <n v="298.81684449620684"/>
    <n v="275.77722766897966"/>
    <n v="193.2682485839986"/>
    <n v="0.92409494036132622"/>
    <n v="0.70081293592515892"/>
    <n v="0.13806564884153527"/>
    <n v="8.5225709161441503E-3"/>
    <x v="18"/>
    <n v="7.671989246177803E-2"/>
    <n v="5.6065152899573006E-2"/>
    <n v="5.0266400336814947E-2"/>
    <n v="3.4855208273083173E-2"/>
    <n v="1586.0670852312328"/>
    <n v="2170.3837396835611"/>
  </r>
  <r>
    <n v="56"/>
    <x v="2"/>
    <s v="D"/>
    <n v="40"/>
    <s v="40% WHC"/>
    <s v="40% WHC"/>
    <n v="80317.548540349846"/>
    <n v="14974.597262354509"/>
    <n v="0.1864424093426057"/>
    <n v="1.7993560002214175"/>
    <n v="2.6873004923260932"/>
    <n v="1.4934790513913927"/>
    <n v="1.2451104822541559"/>
    <n v="2.2130311015704294"/>
    <n v="1.7773772955183413"/>
    <n v="14.390065864700535"/>
    <n v="25.409469317830244"/>
    <n v="1.765764629344803"/>
    <n v="4957.8733666882617"/>
    <n v="1741.232239808664"/>
    <n v="0.35120546876165265"/>
    <n v="785.34416476724687"/>
    <n v="920.12934892709666"/>
    <n v="1.1716256263262568"/>
    <n v="5.28"/>
    <n v="21.9"/>
    <n v="62.832000000000008"/>
    <n v="260.61"/>
    <n v="4.1477272727272725"/>
    <n v="7.48"/>
    <n v="7.65"/>
    <n v="221.88123271099994"/>
    <n v="217.6443233521602"/>
    <n v="0.93522724378544608"/>
    <n v="3.3016821150542959"/>
    <n v="0"/>
    <n v="217.6443233521602"/>
    <n v="0"/>
    <n v="2.0249999999999999"/>
    <n v="0.96"/>
    <n v="4.8915999999999994E-2"/>
    <n v="4.5359643615790324"/>
    <n v="4.4493483390334498"/>
    <n v="4.4493483390334498"/>
    <n v="0"/>
    <n v="0"/>
    <n v="0"/>
    <n v="0"/>
    <n v="0.43"/>
    <n v="3.5999999999999997E-2"/>
    <n v="11.8445"/>
    <n v="516.00286676976725"/>
    <n v="0.2513607078577389"/>
    <n v="0.10643639731294213"/>
    <n v="0.42344087196468788"/>
    <s v="UZH-60"/>
    <s v="UZH-20"/>
    <n v="882.72043233016643"/>
    <n v="0.28302027968997301"/>
    <n v="0.13581028174565199"/>
    <n v="0.52228434119010803"/>
    <n v="2.0778280966876581"/>
    <n v="0.60232935450225999"/>
    <n v="5.6590543245399738"/>
    <n v="865.86453868254955"/>
    <n v="865.86453868254955"/>
    <n v="0"/>
    <n v="0"/>
    <n v="3.7206580605062229"/>
    <n v="13.135235587110651"/>
    <n v="0"/>
    <n v="0"/>
    <n v="21.450866982225701"/>
    <n v="26.317680158423499"/>
    <n v="24.895551584234902"/>
    <n v="17.638197932766602"/>
    <n v="9.6946846020092696"/>
    <n v="14.239772858964001"/>
    <n v="25.527291690810099"/>
    <n v="29.087959207324101"/>
    <n v="17.701935334337701"/>
    <n v="13.4430409085641"/>
    <n v="7.2110941232616996"/>
    <n v="0.79038846761340098"/>
    <n v="-4.1924076230892"/>
    <n v="-6.3737401571099597E-2"/>
    <n v="-3.7483563065548302"/>
    <n v="276.57888793111351"/>
    <n v="348.27320543019061"/>
    <n v="288.33383692742422"/>
    <n v="206.04200902522868"/>
    <n v="1.2592183302036188"/>
    <n v="0.71459531500318152"/>
    <n v="0.17804416673106802"/>
    <n v="1.0990380662411606E-2"/>
    <x v="19"/>
    <n v="0.12007135822609354"/>
    <n v="6.8704127017336913E-2"/>
    <n v="4.2326630823891723E-2"/>
    <n v="3.3149590656916396E-2"/>
    <n v="1847.9114085908741"/>
    <n v="3229.5182595800984"/>
  </r>
  <r>
    <n v="57"/>
    <x v="2"/>
    <s v="M"/>
    <n v="80"/>
    <s v="80% WHC"/>
    <s v="80% WHC"/>
    <n v="23865.444751384261"/>
    <n v="29698.966119465989"/>
    <n v="1.2444338007882032"/>
    <n v="1.9209760511763481"/>
    <n v="2.0112851896503172"/>
    <n v="1.0470121105459209"/>
    <n v="21.190293659938536"/>
    <n v="1.5240226565797879"/>
    <n v="7.1920789821853195E-2"/>
    <n v="174.42907689953074"/>
    <n v="17.539396156987404"/>
    <n v="0.1005531673316709"/>
    <n v="1473.1756019372999"/>
    <n v="3453.3681534262773"/>
    <n v="2.3441659968335919"/>
    <n v="8905.80265179462"/>
    <n v="854.50979145905671"/>
    <n v="9.5949778461221949E-2"/>
    <n v="14.5"/>
    <n v="11.8"/>
    <n v="172.55"/>
    <n v="140.42000000000002"/>
    <n v="0.81379310344827593"/>
    <n v="7.05"/>
    <n v="8.0299999999999994"/>
    <n v="260.07214268517669"/>
    <n v="254.57831095357511"/>
    <n v="3.9881411222457008"/>
    <n v="1.5056906093558866"/>
    <n v="0"/>
    <n v="254.57831095357511"/>
    <n v="0"/>
    <n v="2.0099999999999998"/>
    <n v="0.92300000000000004"/>
    <n v="4.6895800000000001E-2"/>
    <n v="5.5457448787562349"/>
    <n v="5.4285951184023959"/>
    <n v="5.4285951184023959"/>
    <n v="0"/>
    <n v="0"/>
    <n v="0"/>
    <n v="0"/>
    <n v="0.433"/>
    <n v="4.1000000000000002E-2"/>
    <n v="10.5425"/>
    <n v="600.62850504659741"/>
    <n v="0.12444805870352382"/>
    <n v="8.2957108861888368E-2"/>
    <n v="0.66660026460934574"/>
    <s v="UZH-61"/>
    <s v="UZH-21"/>
    <n v="2089.8047377721978"/>
    <n v="4.9297819926833401E-2"/>
    <n v="0.30700077524062802"/>
    <n v="0.66352673492605196"/>
    <n v="5.3317564117797183"/>
    <n v="0.56057536986231105"/>
    <n v="6.7574120838225964"/>
    <n v="2045.6591577701049"/>
    <n v="2045.6591577701049"/>
    <n v="0"/>
    <n v="0"/>
    <n v="32.046631854232167"/>
    <n v="12.09894814786092"/>
    <n v="0"/>
    <n v="0"/>
    <n v="12.0384275060043"/>
    <n v="21.647326507394801"/>
    <n v="30.071040323600101"/>
    <n v="23.320439893818701"/>
    <n v="12.9611932751864"/>
    <n v="20.782800441014299"/>
    <n v="23.440424604497299"/>
    <n v="21.809697187251601"/>
    <n v="15.2124304505013"/>
    <n v="19.035409348478201"/>
    <n v="-8.7443729350100003"/>
    <n v="-1.7930980971024999"/>
    <n v="8.2613431363485006"/>
    <n v="8.1080094433173997"/>
    <n v="-6.0742160732918"/>
    <n v="350.26296160706238"/>
    <n v="467.790024067807"/>
    <n v="335.78412058558581"/>
    <n v="218.62605840520925"/>
    <n v="1.335539509862852"/>
    <n v="0.65109111778108963"/>
    <n v="1.4185713739923467"/>
    <n v="8.7566134197058429E-2"/>
    <x v="20"/>
    <n v="4.1921266929319551E-2"/>
    <n v="4.5151788144760639E-2"/>
    <n v="3.6686308943242936E-2"/>
    <n v="2.8411017744884554E-2"/>
    <n v="6203.8235419665561"/>
    <n v="5759.9522271712103"/>
  </r>
  <r>
    <n v="58"/>
    <x v="2"/>
    <s v="M"/>
    <n v="80"/>
    <s v="80% WHC"/>
    <s v="80% WHC"/>
    <n v="35061.3586456911"/>
    <n v="16052.708407884511"/>
    <n v="0.45784615964553688"/>
    <n v="3.8957680404107671"/>
    <n v="6.5269464673094522"/>
    <n v="1.6753940172016133"/>
    <n v="17.108436792685914"/>
    <n v="3.7127898229447185"/>
    <n v="0.21701514100528377"/>
    <n v="150.12072868891133"/>
    <n v="40.102984602061454"/>
    <n v="0.26713822236478169"/>
    <n v="2164.2813978821669"/>
    <n v="1866.5940009168035"/>
    <n v="0.86245439375089483"/>
    <n v="3703.3101514792697"/>
    <n v="574.31885573199543"/>
    <n v="0.15508256998204337"/>
    <n v="14.2"/>
    <n v="21.2"/>
    <n v="168.98"/>
    <n v="252.28"/>
    <n v="1.4929577464788732"/>
    <n v="6.98"/>
    <n v="7.49"/>
    <n v="198.29963873246615"/>
    <n v="194.54669009270538"/>
    <n v="1.9884421165657664"/>
    <n v="1.7645065231949908"/>
    <n v="0"/>
    <n v="194.54669009270538"/>
    <n v="0"/>
    <n v="2.093"/>
    <n v="1.218"/>
    <n v="6.3002799999999998E-2"/>
    <n v="3.1474734255059484"/>
    <n v="3.0879054596415618"/>
    <n v="3.0879054596415618"/>
    <n v="0"/>
    <n v="0"/>
    <n v="0"/>
    <n v="0"/>
    <n v="0.64400000000000002"/>
    <n v="5.6000000000000001E-2"/>
    <n v="11.6005"/>
    <n v="307.91869368395362"/>
    <n v="0.20715020188254119"/>
    <n v="0.14175296196575549"/>
    <n v="0.68430038048494202"/>
    <s v="UZH-62"/>
    <s v="UZH-22"/>
    <n v="957.27465834142174"/>
    <n v="-5.6590595504780197E-2"/>
    <n v="7.8370423027649197E-2"/>
    <n v="0.69776893487199898"/>
    <n v="3.3684202502860683"/>
    <n v="0.61585785202505805"/>
    <n v="4.3445854216001232"/>
    <n v="939.15761763542821"/>
    <n v="939.15761763542821"/>
    <n v="0"/>
    <n v="0"/>
    <n v="9.5990353786536868"/>
    <n v="8.5180053273397505"/>
    <n v="0"/>
    <n v="0"/>
    <n v="10.3812176681257"/>
    <n v="19.8405624088075"/>
    <n v="34.427908210638002"/>
    <n v="24.930627404165001"/>
    <n v="10.4183578723969"/>
    <n v="14.442999512335399"/>
    <n v="23.964963175071599"/>
    <n v="32.066447426006299"/>
    <n v="19.255873857426899"/>
    <n v="10.2634639190727"/>
    <n v="-4.0617818442097002"/>
    <n v="-4.1244007662640998"/>
    <n v="2.3614607846317002"/>
    <n v="5.6747535467381001"/>
    <n v="0.1548939533242"/>
    <n v="317.46011372442837"/>
    <n v="274.64948049918507"/>
    <n v="418.75475152269343"/>
    <n v="256.17495829055122"/>
    <n v="0.86514641879576371"/>
    <n v="0.61175415289984691"/>
    <n v="0.44230600479131416"/>
    <n v="2.7302839801932974E-2"/>
    <x v="21"/>
    <n v="6.260447844186473E-2"/>
    <n v="7.3225494363827748E-2"/>
    <n v="5.4444424740101603E-2"/>
    <n v="4.1844535650864365E-2"/>
    <n v="3167.4992535335882"/>
    <n v="2708.0682821640748"/>
  </r>
  <r>
    <n v="59"/>
    <x v="2"/>
    <s v="M"/>
    <n v="80"/>
    <s v="80% WHC"/>
    <s v="80% WHC"/>
    <n v="83626.610726355575"/>
    <n v="14405.30386098599"/>
    <n v="0.17225741586160023"/>
    <n v="27.299182522781408"/>
    <n v="4.825452639341016"/>
    <n v="0.17676179992987459"/>
    <n v="14.562075082207651"/>
    <n v="0.79551264072319916"/>
    <n v="5.4629071490997785E-2"/>
    <n v="131.88895961648646"/>
    <n v="9.8724520211264473"/>
    <n v="7.485427172853644E-2"/>
    <n v="5162.1364645898493"/>
    <n v="1675.0353326727895"/>
    <n v="0.32448489964627025"/>
    <n v="351.23524934626903"/>
    <n v="194.71875960196954"/>
    <n v="0.55438273910260061"/>
    <n v="13.6"/>
    <n v="13.7"/>
    <n v="161.84"/>
    <n v="163.03"/>
    <n v="1.0073529411764706"/>
    <n v="7.38"/>
    <n v="7.56"/>
    <n v="278.06545334284033"/>
    <n v="274.3178996008221"/>
    <n v="1.7681910278889144"/>
    <n v="1.9793627141292993"/>
    <n v="0"/>
    <n v="274.3178996008221"/>
    <n v="0"/>
    <n v="2.0150000000000001"/>
    <n v="0.80900000000000005"/>
    <n v="4.0671400000000003E-2"/>
    <n v="6.8368793142808046"/>
    <n v="6.7447370781635767"/>
    <n v="6.7447370781635767"/>
    <n v="0"/>
    <n v="0"/>
    <n v="0"/>
    <n v="0"/>
    <n v="0.51300000000000001"/>
    <n v="5.3999999999999999E-2"/>
    <n v="9.5408000000000008"/>
    <n v="542.03792074627745"/>
    <n v="0.16488527500666"/>
    <n v="0.11197088604891403"/>
    <n v="0.67908359945659991"/>
    <s v="UZH 63"/>
    <s v="UZH-23"/>
    <n v="1686.4177430738359"/>
    <n v="0.16742743490196199"/>
    <n v="0.24351625884498501"/>
    <n v="0.59406491357116598"/>
    <n v="3.6028985216974085"/>
    <n v="0.55469021128916995"/>
    <n v="4.9538789131922716"/>
    <n v="1663.6894931323729"/>
    <n v="1663.6894931323729"/>
    <n v="0"/>
    <n v="0"/>
    <n v="10.723765526166567"/>
    <n v="12.004484415296329"/>
    <n v="0"/>
    <n v="0"/>
    <n v="16.215980139757299"/>
    <n v="24.3733909525561"/>
    <n v="27.604817947774901"/>
    <n v="19.355001838911399"/>
    <n v="12.446671570430301"/>
    <n v="19.145656833724601"/>
    <n v="25.374094110442002"/>
    <n v="25.411860773706199"/>
    <n v="15.353679697866699"/>
    <n v="14.7034806573441"/>
    <n v="-2.9296766939672998"/>
    <n v="-1.0007031578859"/>
    <n v="2.1929571740687002"/>
    <n v="4.0013221410447004"/>
    <n v="-2.2568090869138002"/>
    <n v="280.46691646070758"/>
    <n v="385.16096165124912"/>
    <n v="270.85937431631612"/>
    <n v="205.05676299160532"/>
    <n v="1.3732848298533948"/>
    <n v="0.75705987104634997"/>
    <n v="0.32668988017693329"/>
    <n v="2.0166041986230447E-2"/>
    <x v="22"/>
    <n v="6.69258961490347E-2"/>
    <n v="5.243627665771293E-2"/>
    <n v="4.9849159598953113E-2"/>
    <n v="3.3655268770872444E-2"/>
    <n v="4154.8259992458989"/>
    <n v="5302.9213946284126"/>
  </r>
  <r>
    <n v="60"/>
    <x v="2"/>
    <s v="M"/>
    <n v="80"/>
    <s v="80% WHC"/>
    <s v="80% WHC"/>
    <n v="75854.599878094654"/>
    <n v="14019.829696883731"/>
    <n v="0.18482504316699175"/>
    <n v="9.1829663610341363"/>
    <n v="3.1778949439290107"/>
    <n v="0.34606409508518915"/>
    <n v="12.121950935976125"/>
    <n v="1.761491461647271"/>
    <n v="0.1453141883638078"/>
    <n v="113.91368639787113"/>
    <n v="20.927308607154192"/>
    <n v="0.18371197762892599"/>
    <n v="4682.3827085243611"/>
    <n v="1630.2127554515964"/>
    <n v="0.34815880224479839"/>
    <n v="1126.5753007037083"/>
    <n v="637.6000806362606"/>
    <n v="0.56596312757610401"/>
    <n v="14.2"/>
    <n v="24.5"/>
    <n v="168.98"/>
    <n v="291.55"/>
    <n v="1.7253521126760565"/>
    <n v="7.5"/>
    <n v="7.44"/>
    <n v="146.2335146968702"/>
    <n v="143.01611989494592"/>
    <n v="1.1511055331090603"/>
    <n v="2.0662892688152428"/>
    <n v="0"/>
    <n v="143.01611989494592"/>
    <n v="0"/>
    <n v="2.0030000000000001"/>
    <n v="0.95899999999999996"/>
    <n v="4.8861399999999999E-2"/>
    <n v="2.9928228560145675"/>
    <n v="2.9269754836117245"/>
    <n v="2.9269754836117245"/>
    <n v="0"/>
    <n v="0"/>
    <n v="0"/>
    <n v="0"/>
    <n v="0.47299999999999998"/>
    <n v="4.2999999999999997E-2"/>
    <n v="11.1351"/>
    <n v="309.1617646868292"/>
    <n v="0.21298485324286087"/>
    <n v="0.10432221798827834"/>
    <n v="0.48981050248358526"/>
    <s v="UZH 64"/>
    <s v="UZH-24"/>
    <n v="686.59114707149661"/>
    <n v="0.18150787956380901"/>
    <n v="0.134691953215924"/>
    <n v="0.58429718074631698"/>
    <n v="2.7433743378927455"/>
    <n v="0.60636261632895505"/>
    <n v="5.8124015001012159"/>
    <n v="671.48493293027036"/>
    <n v="671.48493293027036"/>
    <n v="0"/>
    <n v="0"/>
    <n v="5.4046356610931658"/>
    <n v="9.7015784801330867"/>
    <n v="0"/>
    <n v="0"/>
    <n v="16.922065458533801"/>
    <n v="24.6447889921978"/>
    <n v="27.367761796744499"/>
    <n v="19.9634818156891"/>
    <n v="11.0984744621981"/>
    <n v="14.411118549459299"/>
    <n v="24.947905371639798"/>
    <n v="28.8637242237665"/>
    <n v="17.4736226745995"/>
    <n v="14.2989147345295"/>
    <n v="2.5109469090744998"/>
    <n v="-0.30311637944199898"/>
    <n v="-1.495962427022"/>
    <n v="2.4898591410896"/>
    <n v="-3.2004402723314"/>
    <n v="267.73981038805044"/>
    <n v="383.43176278655193"/>
    <n v="273.23563582116321"/>
    <n v="229.51621952090684"/>
    <n v="1.4321059024835441"/>
    <n v="0.83999372494416735"/>
    <n v="0.14663285549503358"/>
    <n v="9.0514108330267649E-3"/>
    <x v="23"/>
    <n v="8.8531103949564274E-2"/>
    <n v="6.6157261992819655E-2"/>
    <n v="4.1060206733027613E-2"/>
    <n v="3.3145815736358844E-2"/>
    <n v="1651.7755700886628"/>
    <n v="2210.3924843918358"/>
  </r>
  <r>
    <n v="64"/>
    <x v="3"/>
    <s v="D"/>
    <n v="40"/>
    <s v="40% WHC"/>
    <s v="40% WHC"/>
    <n v="58040.225168990357"/>
    <n v="15850.230125672897"/>
    <n v="0.27309043132626121"/>
    <n v="3.7613538574587784"/>
    <n v="3.1467505136321758"/>
    <n v="0.83660049888477206"/>
    <n v="2.0564470188550747"/>
    <n v="22.712755527886788"/>
    <n v="11.044658734039302"/>
    <n v="25.706594163064516"/>
    <n v="206.45652457978727"/>
    <n v="8.0312671243095295"/>
    <n v="4030.5711922909968"/>
    <n v="1843.0500146131271"/>
    <n v="0.45726769896490238"/>
    <n v="657.73333564008988"/>
    <n v="6354.4870165553575"/>
    <n v="9.6611904433448359"/>
    <n v="46.1"/>
    <n v="44.5"/>
    <n v="548.59"/>
    <n v="529.55000000000007"/>
    <n v="0.96529284164858997"/>
    <n v="7.11"/>
    <n v="7.62"/>
    <n v="192.01020171017871"/>
    <n v="133.73338691663395"/>
    <n v="3.155900003624605"/>
    <n v="36.816325257457414"/>
    <n v="18.304589532462749"/>
    <n v="107.83097956733607"/>
    <n v="25.902407349297874"/>
    <n v="2.0129999999999999"/>
    <n v="1.196"/>
    <n v="6.1801599999999998E-2"/>
    <n v="3.1068807556791205"/>
    <n v="2.1639146384014971"/>
    <n v="1.7447926844505008"/>
    <n v="0.419121953950996"/>
    <n v="0.29618310096280276"/>
    <n v="0.16975260362011529"/>
    <n v="0.24021303945516762"/>
    <n v="0.253"/>
    <n v="3.1E-2"/>
    <n v="8.1707000000000001"/>
    <n v="758.93360359754433"/>
    <n v="0.30116971774668355"/>
    <n v="0.20597820977807541"/>
    <n v="0.68392735936129356"/>
    <s v="UZH 65"/>
    <s v="UZH-29"/>
    <n v="637.54816768025842"/>
    <n v="0.33405579338970898"/>
    <n v="0.110051716463408"/>
    <n v="0.47504943139322398"/>
    <n v="1.5773479317492078"/>
    <n v="0.60272512367027098"/>
    <n v="2.926159637563885"/>
    <n v="444.04659245694234"/>
    <n v="358.04057716730222"/>
    <n v="86.006015289640146"/>
    <n v="0.98344250271511335"/>
    <n v="10.478809181868211"/>
    <n v="122.24444586564955"/>
    <n v="2.746734770946307E-3"/>
    <n v="0.24021303945516759"/>
    <n v="32.9760280647047"/>
    <n v="19.506868756527702"/>
    <n v="24.319912314455301"/>
    <n v="15.640142788846701"/>
    <n v="7.5448880360203701"/>
    <n v="18.075559252287398"/>
    <n v="21.6473317865429"/>
    <n v="30.831107998073801"/>
    <n v="21.253556888324699"/>
    <n v="8.1878474806286405"/>
    <n v="14.9004688124173"/>
    <n v="-2.1404630300152001"/>
    <n v="-6.5111956836185003"/>
    <n v="-5.6134140994779997"/>
    <n v="-0.64295944460827004"/>
    <n v="287.5160578487646"/>
    <n v="197.31655325098797"/>
    <n v="431.11662356807869"/>
    <n v="453.52759232266175"/>
    <n v="0.68628011502153319"/>
    <n v="1.0519835411798824"/>
    <n v="0.15817811850083532"/>
    <n v="1.0984591562558007E-2"/>
    <x v="24"/>
    <n v="0.15806259222178876"/>
    <n v="6.982629189473373E-2"/>
    <n v="8.182049983387818E-2"/>
    <n v="6.0642877652694167E-2"/>
    <n v="1214.7732047868458"/>
    <n v="2749.8266985112527"/>
  </r>
  <r>
    <n v="65"/>
    <x v="3"/>
    <s v="D"/>
    <n v="40"/>
    <s v="40% WHC"/>
    <s v="40% WHC"/>
    <n v="103945.3210728686"/>
    <n v="12451.062926859129"/>
    <n v="0.1197847368053304"/>
    <n v="0.58578464435747202"/>
    <n v="1.8043533586334921"/>
    <n v="3.08023328370553"/>
    <n v="0.31899005094839755"/>
    <n v="0.93223769614590302"/>
    <n v="2.9224663696383102"/>
    <n v="6.6410495774917377"/>
    <n v="11.236738318560503"/>
    <n v="1.69201241271331"/>
    <n v="7218.425074504763"/>
    <n v="1447.7980147510614"/>
    <n v="0.20056979186008811"/>
    <n v="1127.0604978190072"/>
    <n v="611.52034331374944"/>
    <n v="0.54257987436975408"/>
    <n v="51.3"/>
    <n v="10.1"/>
    <n v="610.47"/>
    <n v="120.19"/>
    <n v="0.19688109161793374"/>
    <n v="7.54"/>
    <n v="7.95"/>
    <n v="151.43300078752975"/>
    <n v="97.534147074772278"/>
    <n v="2.2611759569835836"/>
    <n v="28.213979508093448"/>
    <n v="23.423698247680449"/>
    <n v="64.387805685229921"/>
    <n v="33.146341389542357"/>
    <n v="2.0390000000000001"/>
    <n v="1.1200000000000001"/>
    <n v="5.7652000000000009E-2"/>
    <n v="2.6266738497802287"/>
    <n v="1.6917738686389416"/>
    <n v="1.1168355943459014"/>
    <n v="0.57493827429304023"/>
    <n v="0.40629463414418315"/>
    <n v="0.36379090727506608"/>
    <n v="0.51479221937743225"/>
    <n v="0.23699999999999999"/>
    <n v="3.2000000000000001E-2"/>
    <n v="7.2949999999999999"/>
    <n v="638.9578092300834"/>
    <n v="0.12448199733184179"/>
    <n v="7.5801095567115118E-2"/>
    <n v="0.6089321925406288"/>
    <s v="UZH 66"/>
    <s v="UZH-30"/>
    <n v="1216.5052299397357"/>
    <n v="0.213032001251697"/>
    <n v="0.27402793272166498"/>
    <n v="0.56428363912664503"/>
    <n v="4.5330541863205189"/>
    <n v="0.54611346803767902"/>
    <n v="7.2045590364079128"/>
    <n v="783.52010061959049"/>
    <n v="517.24592363011425"/>
    <n v="266.2741769894763"/>
    <n v="3.2638826726172341"/>
    <n v="18.164682487828202"/>
    <n v="226.65108299058818"/>
    <n v="6.3101177283540208E-3"/>
    <n v="0.51479221937743214"/>
    <n v="18.4541235539068"/>
    <n v="25.108573386670201"/>
    <n v="26.673668998294101"/>
    <n v="15.8505970605106"/>
    <n v="13.904097853859801"/>
    <n v="17.877327964334501"/>
    <n v="27.498382109728901"/>
    <n v="24.143237218666901"/>
    <n v="13.5370676637664"/>
    <n v="16.9310419213346"/>
    <n v="0.57679558957229904"/>
    <n v="-2.3898087230587"/>
    <n v="2.5304317796271998"/>
    <n v="2.3135293967442001"/>
    <n v="-3.0269440674747998"/>
    <n v="280.20647255062295"/>
    <n v="450.05743507016416"/>
    <n v="272.16282246321066"/>
    <n v="228.94402047706046"/>
    <n v="1.6061635942005423"/>
    <n v="0.84120240378535804"/>
    <n v="0.16852779067228829"/>
    <n v="1.1703318796686686E-2"/>
    <x v="25"/>
    <n v="5.4227715243247383E-2"/>
    <n v="3.7039238529404224E-2"/>
    <n v="3.4395285357497883E-2"/>
    <n v="2.3095160864095771E-2"/>
    <n v="2792.5388356904209"/>
    <n v="4088.4480027123695"/>
  </r>
  <r>
    <n v="66"/>
    <x v="3"/>
    <s v="D"/>
    <n v="40"/>
    <s v="40% WHC"/>
    <s v="40% WHC"/>
    <n v="56731.404424597298"/>
    <n v="36501.372687873249"/>
    <n v="0.64340682304785635"/>
    <n v="0.2068234777923009"/>
    <n v="0.75842867305819495"/>
    <n v="3.6670337485565083"/>
    <n v="0.16131099001746488"/>
    <n v="1.5674462119911288"/>
    <n v="9.7169214064176526"/>
    <n v="4.8450338168943228"/>
    <n v="17.956592978543675"/>
    <n v="3.7061852728313651"/>
    <n v="3939.6808628192566"/>
    <n v="4244.3456613806102"/>
    <n v="1.0773323548708293"/>
    <n v="2337.7486932646457"/>
    <n v="2349.6481161284723"/>
    <n v="1.0050901206353404"/>
    <n v="51.5"/>
    <n v="11.1"/>
    <n v="612.85"/>
    <n v="132.09"/>
    <n v="0.21553398058252426"/>
    <n v="7.48"/>
    <n v="7.41"/>
    <n v="146.46557424768099"/>
    <n v="93.281875633211058"/>
    <n v="3.3035599864930512"/>
    <n v="29.440536659505796"/>
    <n v="20.439601968471084"/>
    <n v="64.358260858571697"/>
    <n v="28.923614774639361"/>
    <n v="2.0110000000000001"/>
    <n v="1.1240000000000001"/>
    <n v="5.7870400000000009E-2"/>
    <n v="2.5309238271669279"/>
    <n v="1.611909985643974"/>
    <n v="1.1121101782357075"/>
    <n v="0.49979980740826668"/>
    <n v="0.35319614117875603"/>
    <n v="0.31759096184074082"/>
    <n v="0.44941572983458122"/>
    <n v="0.35099999999999998"/>
    <n v="3.5000000000000003E-2"/>
    <n v="10.0723"/>
    <n v="417.28083831248148"/>
    <n v="0.25286149829080123"/>
    <n v="0.14418418046353795"/>
    <n v="0.57021010093723379"/>
    <s v="UZH 67"/>
    <s v="UZH-31"/>
    <n v="579.23240682232881"/>
    <n v="0.262967358650741"/>
    <n v="0.18984987364535699"/>
    <n v="0.52233545601668596"/>
    <n v="2.0656978604784602"/>
    <n v="0.55846570338236701"/>
    <n v="3.8732800060794097"/>
    <n v="368.90501821646654"/>
    <n v="254.51981141295391"/>
    <n v="114.38520680351266"/>
    <n v="1.3967968376607727"/>
    <n v="13.064701462354778"/>
    <n v="116.42949542934352"/>
    <n v="5.4879690107678663E-3"/>
    <n v="0.44941572983458122"/>
    <n v="28.130192446417301"/>
    <n v="19.6251847328904"/>
    <n v="26.064831450656399"/>
    <n v="18.578657711230399"/>
    <n v="7.5900564397818098"/>
    <n v="18.919947378148901"/>
    <n v="25.228046141970299"/>
    <n v="28.5141937658328"/>
    <n v="16.308424932320001"/>
    <n v="11.023951640083901"/>
    <n v="9.2102450682683994"/>
    <n v="-5.6028614090798996"/>
    <n v="-2.4493623151763999"/>
    <n v="2.2702327789104002"/>
    <n v="-3.4338952003020902"/>
    <n v="279.95058535510356"/>
    <n v="364.71114618457341"/>
    <n v="550.69696858686177"/>
    <n v="301.23517224577813"/>
    <n v="1.3027697217419827"/>
    <n v="0.54700713718975946"/>
    <n v="0.14702521016076084"/>
    <n v="1.0210084038941724E-2"/>
    <x v="26"/>
    <n v="0.12075496225002082"/>
    <n v="6.6170602685686392E-2"/>
    <n v="6.3654422648079703E-2"/>
    <n v="3.9408963162128614E-2"/>
    <n v="1212.9155731457797"/>
    <n v="2213.4538345282972"/>
  </r>
  <r>
    <n v="67"/>
    <x v="3"/>
    <s v="D"/>
    <n v="40"/>
    <s v="40% WHC"/>
    <s v="40% WHC"/>
    <n v="111492.95589034856"/>
    <n v="9734.8084869089726"/>
    <n v="8.7313215522629009E-2"/>
    <n v="0.35117007345075435"/>
    <n v="1.3844383460885243"/>
    <n v="3.9423585628593387"/>
    <n v="0.69786506117024205"/>
    <n v="0.50534397810382969"/>
    <n v="0.72412849735796214"/>
    <n v="11.05407523231151"/>
    <n v="6.5393018827657601"/>
    <n v="0.59157385356407888"/>
    <n v="7742.566381274205"/>
    <n v="1131.9544752219738"/>
    <n v="0.14619887250300675"/>
    <n v="3136.7298813244697"/>
    <n v="465.80400623502464"/>
    <n v="0.14849987849076154"/>
    <n v="53.4"/>
    <n v="7.85"/>
    <n v="635.46"/>
    <n v="93.414999999999992"/>
    <n v="0.14700374531835206"/>
    <n v="7.64"/>
    <n v="7.75"/>
    <n v="183.03742212185236"/>
    <n v="108.70467149249696"/>
    <n v="1.460914396398846"/>
    <n v="52.685243355653213"/>
    <n v="20.186592877303351"/>
    <n v="80.1390841148052"/>
    <n v="28.565587377691756"/>
    <n v="2.0059999999999998"/>
    <n v="1.2270000000000001"/>
    <n v="6.3494200000000001E-2"/>
    <n v="2.8827423941376118"/>
    <n v="1.7120409658283271"/>
    <n v="1.2621481035244984"/>
    <n v="0.44989286230382863"/>
    <n v="0.31792813953563237"/>
    <n v="0.25189447945754601"/>
    <n v="0.35645013532684533"/>
    <n v="0.27200000000000002"/>
    <n v="3.4000000000000002E-2"/>
    <n v="7.9501999999999997"/>
    <n v="672.93169897739836"/>
    <n v="0.1252855933726873"/>
    <n v="0.1034096521069735"/>
    <n v="0.82539140633161712"/>
    <s v="UZH 68"/>
    <s v="UZH-32"/>
    <n v="1460.9614497125028"/>
    <n v="0.19357493749514901"/>
    <n v="0.29703599060041502"/>
    <n v="0.55639248925047202"/>
    <n v="4.4409933678118136"/>
    <n v="0.57795034353055397"/>
    <n v="5.5889400240190872"/>
    <n v="867.6549997982047"/>
    <n v="639.65123169760875"/>
    <n v="228.00376810059595"/>
    <n v="2.5376272800168724"/>
    <n v="11.660673482649047"/>
    <n v="420.52116238880171"/>
    <n v="3.9672045550230729E-3"/>
    <n v="0.35645013532684533"/>
    <n v="18.536362792712001"/>
    <n v="25.816654808673899"/>
    <n v="28.401955022117701"/>
    <n v="15.606149658180501"/>
    <n v="11.631144244749001"/>
    <n v="18.3474132831814"/>
    <n v="23.8423854518981"/>
    <n v="21.289794185005999"/>
    <n v="12.5946036127584"/>
    <n v="23.910636555290999"/>
    <n v="0.18894950953060199"/>
    <n v="1.9742693567758001"/>
    <n v="7.1121608371117002"/>
    <n v="3.0115460454220999"/>
    <n v="-12.279492310542"/>
    <n v="300.95427012592131"/>
    <n v="283.39704298505217"/>
    <n v="246.74417377964389"/>
    <n v="177.53389078817136"/>
    <n v="0.9416614785577786"/>
    <n v="0.71950590795598235"/>
    <n v="0.18869214389248418"/>
    <n v="1.3103621103644734E-2"/>
    <x v="27"/>
    <n v="5.5567941280588763E-2"/>
    <n v="3.4124405284948006E-2"/>
    <n v="4.3628324096578019E-2"/>
    <n v="3.7749941858595031E-2"/>
    <n v="3293.939237331288"/>
    <n v="5363.8274599495708"/>
  </r>
  <r>
    <n v="68"/>
    <x v="3"/>
    <s v="M"/>
    <n v="80"/>
    <s v="80% WHC"/>
    <s v="80% WHC"/>
    <n v="144438.95290481971"/>
    <n v="4472.7658031081846"/>
    <n v="3.096647900830175E-2"/>
    <n v="2.7482401765404507"/>
    <n v="1.0739689571690674"/>
    <n v="0.39078424307187182"/>
    <n v="1.4770452667264335"/>
    <n v="0.77110800680686309"/>
    <n v="0.52206118808793522"/>
    <n v="19.400121591141044"/>
    <n v="9.3833376510716651"/>
    <n v="0.48367416704009286"/>
    <n v="10030.48284061248"/>
    <n v="520.08904687304482"/>
    <n v="5.1850848572040149E-2"/>
    <n v="686.51058289329637"/>
    <n v="864.32326144893489"/>
    <n v="1.259009377257154"/>
    <n v="42.7"/>
    <n v="7.63"/>
    <n v="508.13000000000005"/>
    <n v="90.796999999999997"/>
    <n v="0.17868852459016393"/>
    <n v="7.31"/>
    <n v="8.18"/>
    <n v="155.20165385070425"/>
    <n v="90.212485304705368"/>
    <n v="5.268233121284366"/>
    <n v="48.878951056055826"/>
    <n v="10.841984368658695"/>
    <n v="74.870240394287336"/>
    <n v="15.342244910418032"/>
    <n v="2.0089999999999999"/>
    <n v="1.32"/>
    <n v="6.8572000000000008E-2"/>
    <n v="2.2633385908345129"/>
    <n v="1.3155877807954464"/>
    <n v="1.0918485736785764"/>
    <n v="0.22373920711687029"/>
    <n v="0.15811095445165219"/>
    <n v="0.14481033200323404"/>
    <n v="0.2049177995104802"/>
    <n v="0.312"/>
    <n v="3.2000000000000001E-2"/>
    <n v="9.7812999999999999"/>
    <n v="497.44119823943669"/>
    <n v="0.13155899300093765"/>
    <n v="0.11667587456821468"/>
    <n v="0.88687114355901997"/>
    <s v="UZH 69"/>
    <s v="UZH-33"/>
    <n v="1179.7114762773997"/>
    <n v="8.2867268311078601E-2"/>
    <n v="0.189566016490157"/>
    <n v="0.63258143944754197"/>
    <n v="4.8083481411493736"/>
    <n v="0.57611975307325702"/>
    <n v="4.9377795984415611"/>
    <n v="685.71887977329231"/>
    <n v="569.10013284879517"/>
    <n v="116.61874692449709"/>
    <n v="1.2018255145091092"/>
    <n v="40.044644619975301"/>
    <n v="371.53637270321349"/>
    <n v="2.1117997433826351E-3"/>
    <n v="0.20491779951048025"/>
    <n v="13.496589590467799"/>
    <n v="23.2396060340192"/>
    <n v="30.354767497806598"/>
    <n v="18.8124416268078"/>
    <n v="14.0909348201398"/>
    <n v="15.6269657650358"/>
    <n v="26.757860394699001"/>
    <n v="27.393302272024599"/>
    <n v="15.8796498672609"/>
    <n v="14.339023168040301"/>
    <n v="-2.1303761745680001"/>
    <n v="-3.5182543606798"/>
    <n v="2.9614652257820002"/>
    <n v="2.9327917595469"/>
    <n v="-0.24808834790049999"/>
    <n v="307.65087657206084"/>
    <n v="446.33090473203663"/>
    <n v="264.08561714032498"/>
    <n v="198.97401683645236"/>
    <n v="1.450770788320809"/>
    <n v="0.75344510992707792"/>
    <n v="0.11761263091950659"/>
    <n v="8.1675438138546236E-3"/>
    <x v="28"/>
    <n v="4.8329769030429605E-2"/>
    <n v="4.328735071691197E-2"/>
    <n v="4.9452866606088018E-2"/>
    <n v="3.5257901046846937E-2"/>
    <n v="3211.3055155091988"/>
    <n v="3585.3812090668875"/>
  </r>
  <r>
    <n v="69"/>
    <x v="3"/>
    <s v="M"/>
    <n v="80"/>
    <s v="80% WHC"/>
    <s v="80% WHC"/>
    <n v="97308.087318453647"/>
    <n v="35313.683011996523"/>
    <n v="0.36290594117247216"/>
    <n v="3.2526038791222107"/>
    <n v="1.9432258287084958"/>
    <n v="0.59743697693459052"/>
    <n v="1.6416342598833304"/>
    <n v="1.9033654020842132"/>
    <n v="1.1594332846218036"/>
    <n v="22.863344604558204"/>
    <n v="21.882220939569752"/>
    <n v="0.95708748295764001"/>
    <n v="6757.5060637815022"/>
    <n v="4106.242210697269"/>
    <n v="0.60765645963762771"/>
    <n v="680.06100321760573"/>
    <n v="1104.1948729467895"/>
    <n v="1.6236703291652639"/>
    <n v="65.900000000000006"/>
    <n v="17.899999999999999"/>
    <n v="784.21"/>
    <n v="213.01"/>
    <n v="0.27162367223065248"/>
    <n v="7.13"/>
    <n v="7.77"/>
    <n v="193.08346118569381"/>
    <n v="105.36491365829306"/>
    <n v="5.2576393011789602"/>
    <n v="65.853325230449443"/>
    <n v="16.607582995772365"/>
    <n v="81.863901571632439"/>
    <n v="23.501012086660623"/>
    <n v="2.0270000000000001"/>
    <n v="1.288"/>
    <n v="6.6824800000000004E-2"/>
    <n v="2.8893982651005885"/>
    <n v="1.5767336925556537"/>
    <n v="1.2250526985734702"/>
    <n v="0.35168099398218355"/>
    <n v="0.24852424542643398"/>
    <n v="0.20286820780512668"/>
    <n v="0.28707417598581958"/>
    <n v="0.314"/>
    <n v="3.5000000000000003E-2"/>
    <n v="9.0333000000000006"/>
    <n v="614.9154814831013"/>
    <n v="0.22122904994189754"/>
    <n v="0.14201071473817339"/>
    <n v="0.64191712062891537"/>
    <s v="UZH 70"/>
    <s v="UZH-34"/>
    <n v="872.77625265038319"/>
    <n v="0.15968286150097999"/>
    <n v="0.15755659296244701"/>
    <n v="0.58344684770421895"/>
    <n v="2.6372976236956784"/>
    <n v="0.59281932112467595"/>
    <n v="4.1744689632586036"/>
    <n v="476.27069630306488"/>
    <n v="370.04137383012198"/>
    <n v="106.2293224729429"/>
    <n v="1.1233797979591971"/>
    <n v="23.765591826931406"/>
    <n v="297.67033419772321"/>
    <n v="3.0358221469443483E-3"/>
    <n v="0.28707417598581958"/>
    <n v="19.833190036331398"/>
    <n v="21.8182449418881"/>
    <n v="28.836802754570002"/>
    <n v="20.483234250774501"/>
    <n v="9.0246477650773294"/>
    <n v="16.498450795412499"/>
    <n v="24.2097900480947"/>
    <n v="28.322118941916401"/>
    <n v="16.971883092859802"/>
    <n v="13.9879300776915"/>
    <n v="3.3347392409188998"/>
    <n v="-2.3915451062066002"/>
    <n v="0.51468381265360097"/>
    <n v="3.5113511579146999"/>
    <n v="-4.9632823126141696"/>
    <n v="256.6119557908317"/>
    <n v="361.91685625256179"/>
    <n v="414.00780549615257"/>
    <n v="252.30375881598258"/>
    <n v="1.4103663063445326"/>
    <n v="0.60941787924413249"/>
    <n v="0.12915656226018646"/>
    <n v="8.9692057125129471E-3"/>
    <x v="29"/>
    <n v="9.214507388948219E-2"/>
    <n v="6.528000704164505E-2"/>
    <n v="5.7810063779201594E-2"/>
    <n v="4.3966251965103044E-2"/>
    <n v="2095.4290124860722"/>
    <n v="2957.7732897993897"/>
  </r>
  <r>
    <n v="70"/>
    <x v="3"/>
    <s v="M"/>
    <n v="80"/>
    <s v="80% WHC"/>
    <s v="80% WHC"/>
    <n v="132503.38966205184"/>
    <n v="14930.433607513492"/>
    <n v="0.11267963518211396"/>
    <n v="2.3858470988333855"/>
    <n v="1.6298692779521082"/>
    <n v="0.68314070870219223"/>
    <n v="1.4309226419755752"/>
    <n v="0.82520852858021543"/>
    <n v="0.5766968139108537"/>
    <n v="19.079539380407443"/>
    <n v="10.81892050474077"/>
    <n v="0.56704306582215469"/>
    <n v="9201.624282086932"/>
    <n v="1736.0969311062202"/>
    <n v="0.18867287751423736"/>
    <n v="780.61711300510456"/>
    <n v="652.97176817763534"/>
    <n v="0.8364814930381439"/>
    <n v="45.4"/>
    <n v="25.6"/>
    <n v="540.26"/>
    <n v="304.64000000000004"/>
    <n v="0.56387665198237891"/>
    <n v="7.27"/>
    <n v="7.76"/>
    <n v="161.1530733608123"/>
    <n v="88.97978111096063"/>
    <n v="4.0408500481600464"/>
    <n v="52.94985122858931"/>
    <n v="15.182590973102307"/>
    <n v="67.49524274938625"/>
    <n v="21.48453836157438"/>
    <n v="2.093"/>
    <n v="1.29"/>
    <n v="6.6934000000000007E-2"/>
    <n v="2.4076414581649428"/>
    <n v="1.329365959168145"/>
    <n v="1.0083850173213351"/>
    <n v="0.32098094184680998"/>
    <n v="0.22682927918699475"/>
    <n v="0.22494312716936435"/>
    <n v="0.31831189112613045"/>
    <n v="0.223"/>
    <n v="3.1E-2"/>
    <n v="7.2933000000000003"/>
    <n v="722.65952179736462"/>
    <n v="0.10075853423667984"/>
    <n v="6.7142049318514835E-2"/>
    <n v="0.66636587984497142"/>
    <s v="UZH 71"/>
    <s v="UZH-35"/>
    <n v="1599.3987465346297"/>
    <n v="0.11277759881829"/>
    <n v="0.222714654562573"/>
    <n v="0.60852057151722905"/>
    <n v="6.0393948376405122"/>
    <n v="0.59418532752997699"/>
    <n v="8.849675182108669"/>
    <n v="883.09920132371963"/>
    <n v="669.8712249112441"/>
    <n v="213.22797641247556"/>
    <n v="2.2512165436446026"/>
    <n v="40.104295668575013"/>
    <n v="525.51232141002708"/>
    <n v="3.3606706183608379E-3"/>
    <n v="0.3183118911261304"/>
    <n v="14.429681659825899"/>
    <n v="24.716850731322001"/>
    <n v="30.1936557638331"/>
    <n v="16.621532038533701"/>
    <n v="14.036869349356101"/>
    <n v="14.3584583116112"/>
    <n v="26.220584134528"/>
    <n v="24.2989294504189"/>
    <n v="13.113323068343"/>
    <n v="22.006280234235799"/>
    <n v="7.1223348214699597E-2"/>
    <n v="-1.5037334032059999"/>
    <n v="5.8947263134141998"/>
    <n v="3.5082089701907"/>
    <n v="-7.9694108848797001"/>
    <n v="286.7196251217174"/>
    <n v="553.86984440967012"/>
    <n v="305.88562453509121"/>
    <n v="332.08766853544785"/>
    <n v="1.9317472397452489"/>
    <n v="1.0856596122821416"/>
    <n v="0.17381700203172015"/>
    <n v="1.2070625141091676E-2"/>
    <x v="30"/>
    <n v="3.944347224180772E-2"/>
    <n v="3.0890955858835674E-2"/>
    <n v="2.7245600692167849E-2"/>
    <n v="2.358002136988422E-2"/>
    <n v="4085.6715750800381"/>
    <n v="5216.8367368508616"/>
  </r>
  <r>
    <n v="71"/>
    <x v="3"/>
    <s v="M"/>
    <n v="80"/>
    <s v="80% WHC"/>
    <s v="80% WHC"/>
    <n v="55803.33669787331"/>
    <n v="37447.206855438169"/>
    <n v="0.67105676956527405"/>
    <n v="2.6819932786962957"/>
    <n v="6.2486647840235161"/>
    <n v="2.3298584801304805"/>
    <n v="2.1424138345150943"/>
    <n v="9.2261961513315125"/>
    <n v="4.3064491102017808"/>
    <n v="26.752602272807703"/>
    <n v="101.06650728200317"/>
    <n v="3.7778196771807417"/>
    <n v="3875.2317151300899"/>
    <n v="4354.326378539321"/>
    <n v="1.1236299397372032"/>
    <n v="970.73693229500509"/>
    <n v="1516.3431438231155"/>
    <n v="1.5620536248046053"/>
    <n v="43.2"/>
    <n v="61.1"/>
    <n v="514.08000000000004"/>
    <n v="727.09"/>
    <n v="1.4143518518518519"/>
    <n v="6.27"/>
    <n v="7.86"/>
    <n v="169.01786773213792"/>
    <n v="92.070771641856751"/>
    <n v="4.6771635749119236"/>
    <n v="54.901756426066413"/>
    <n v="17.368176089302846"/>
    <n v="67.49346160812938"/>
    <n v="24.577310033727372"/>
    <n v="2.012"/>
    <n v="1.0209999999999999"/>
    <n v="5.2246599999999997E-2"/>
    <n v="3.2350022342532898"/>
    <n v="1.7622347031549757"/>
    <n v="1.2918249533582928"/>
    <n v="0.47040974979668287"/>
    <n v="0.33242691561370208"/>
    <n v="0.25733123884122877"/>
    <n v="0.36414356958640731"/>
    <n v="0.40100000000000002"/>
    <n v="5.6000000000000001E-2"/>
    <n v="7.1067999999999998"/>
    <n v="421.49094197540626"/>
    <n v="0.27181436244644491"/>
    <n v="0.16171194582720869"/>
    <n v="0.59493525055752161"/>
    <s v="UZH 72"/>
    <s v="UZH-36"/>
    <n v="621.81360179390515"/>
    <n v="6.3513929412711903E-2"/>
    <n v="9.7225307672931499E-2"/>
    <n v="0.64676303414508696"/>
    <n v="2.3794292116279085"/>
    <n v="0.611847097352749"/>
    <n v="3.7835615311098634"/>
    <n v="338.7266618775426"/>
    <n v="248.30719392698572"/>
    <n v="90.419467950556864"/>
    <n v="1.2229924593451147"/>
    <n v="17.207198077450585"/>
    <n v="201.98254401249164"/>
    <n v="4.9253202857454598E-3"/>
    <n v="0.36414356958640731"/>
    <n v="16.5028854110647"/>
    <n v="18.810852115213599"/>
    <n v="30.509125214346099"/>
    <n v="23.494326052355699"/>
    <n v="10.6728521478069"/>
    <n v="14.5567603612008"/>
    <n v="24.255902032986299"/>
    <n v="31.0275959254867"/>
    <n v="20.640937624207901"/>
    <n v="9.5161761855802194"/>
    <n v="1.9461250498639"/>
    <n v="-5.4450499177726996"/>
    <n v="-0.51847071114060095"/>
    <n v="2.8533884281478001"/>
    <n v="1.15667596222668"/>
    <n v="319.4459568103789"/>
    <n v="325.0458236657667"/>
    <n v="392.92071117830216"/>
    <n v="396.09304122340035"/>
    <n v="1.0175299349890092"/>
    <n v="1.0080737155228721"/>
    <n v="0.16045843126390472"/>
    <n v="1.1142946615548936E-2"/>
    <x v="31"/>
    <n v="9.5987810513064334E-2"/>
    <n v="9.2871297590712665E-2"/>
    <n v="6.2764711584985242E-2"/>
    <n v="4.8767655547134234E-2"/>
    <n v="1760.8263677306597"/>
    <n v="1819.915001909482"/>
  </r>
  <r>
    <n v="61"/>
    <x v="4"/>
    <m/>
    <m/>
    <m/>
    <m/>
    <m/>
    <m/>
    <m/>
    <m/>
    <m/>
    <m/>
    <m/>
    <m/>
    <m/>
    <m/>
    <m/>
    <m/>
    <m/>
    <m/>
    <m/>
    <m/>
    <m/>
    <m/>
    <m/>
    <m/>
    <n v="0"/>
    <n v="0"/>
    <m/>
    <m/>
    <m/>
    <n v="11.228219175694871"/>
    <m/>
    <m/>
    <m/>
    <m/>
    <m/>
    <n v="0"/>
    <n v="2.028"/>
    <n v="0.72399999999999998"/>
    <n v="3.6030399999999997E-2"/>
    <n v="0.31163182134239065"/>
    <n v="0"/>
    <n v="0"/>
    <n v="0"/>
    <n v="0"/>
    <m/>
    <m/>
    <n v="0.81799999999999995"/>
    <n v="4.1000000000000002E-2"/>
    <n v="19.736699999999999"/>
    <n v="13.72642931014043"/>
    <n v="1.4128197975683829E-2"/>
    <m/>
    <n v="0"/>
    <s v="UZH 73"/>
    <m/>
    <n v="794.73823873503625"/>
    <m/>
    <m/>
    <m/>
    <n v="0"/>
    <m/>
    <e v="#DIV/0!"/>
    <n v="0"/>
    <n v="0"/>
    <n v="0"/>
    <n v="0"/>
    <n v="0"/>
    <n v="0"/>
    <e v="#DIV/0!"/>
    <e v="#DIV/0!"/>
    <m/>
    <m/>
    <m/>
    <m/>
    <m/>
    <m/>
    <m/>
    <m/>
    <m/>
    <m/>
    <m/>
    <m/>
    <m/>
    <m/>
    <m/>
    <m/>
    <m/>
    <m/>
    <m/>
    <e v="#DIV/0!"/>
    <e v="#DIV/0!"/>
    <e v="#DIV/0!"/>
    <m/>
    <x v="32"/>
    <n v="0"/>
    <n v="0"/>
    <n v="0"/>
    <n v="0"/>
    <e v="#DIV/0!"/>
    <e v="#DIV/0!"/>
  </r>
  <r>
    <n v="62"/>
    <x v="4"/>
    <m/>
    <m/>
    <m/>
    <m/>
    <m/>
    <m/>
    <m/>
    <m/>
    <m/>
    <m/>
    <m/>
    <m/>
    <m/>
    <m/>
    <m/>
    <m/>
    <m/>
    <m/>
    <m/>
    <m/>
    <m/>
    <m/>
    <m/>
    <m/>
    <n v="0"/>
    <n v="0"/>
    <m/>
    <m/>
    <m/>
    <n v="6.7658875758206944"/>
    <m/>
    <m/>
    <m/>
    <m/>
    <m/>
    <n v="0"/>
    <n v="2.0710000000000002"/>
    <n v="0.67700000000000005"/>
    <n v="3.34642E-2"/>
    <n v="0.20218285737656047"/>
    <n v="0"/>
    <n v="0"/>
    <n v="0"/>
    <n v="0"/>
    <m/>
    <m/>
    <n v="0.47899999999999998"/>
    <n v="2.5000000000000001E-2"/>
    <n v="18.868600000000001"/>
    <n v="14.125026254322954"/>
    <n v="2.1089057209884222E-2"/>
    <m/>
    <n v="0"/>
    <s v="UZH 74"/>
    <m/>
    <n v="320.82456358692002"/>
    <m/>
    <m/>
    <m/>
    <n v="0"/>
    <m/>
    <e v="#DIV/0!"/>
    <n v="0"/>
    <n v="0"/>
    <n v="0"/>
    <n v="0"/>
    <n v="0"/>
    <n v="0"/>
    <e v="#DIV/0!"/>
    <e v="#DIV/0!"/>
    <m/>
    <m/>
    <m/>
    <m/>
    <m/>
    <m/>
    <m/>
    <m/>
    <m/>
    <m/>
    <m/>
    <m/>
    <m/>
    <m/>
    <m/>
    <m/>
    <m/>
    <m/>
    <m/>
    <e v="#DIV/0!"/>
    <e v="#DIV/0!"/>
    <e v="#DIV/0!"/>
    <m/>
    <x v="32"/>
    <n v="0"/>
    <n v="0"/>
    <n v="0"/>
    <n v="0"/>
    <e v="#DIV/0!"/>
    <e v="#DIV/0!"/>
  </r>
  <r>
    <n v="63"/>
    <x v="5"/>
    <m/>
    <m/>
    <m/>
    <m/>
    <m/>
    <m/>
    <m/>
    <m/>
    <m/>
    <m/>
    <m/>
    <m/>
    <m/>
    <m/>
    <m/>
    <m/>
    <m/>
    <m/>
    <m/>
    <m/>
    <m/>
    <m/>
    <m/>
    <m/>
    <n v="0"/>
    <n v="0"/>
    <m/>
    <m/>
    <m/>
    <n v="0"/>
    <m/>
    <m/>
    <m/>
    <m/>
    <m/>
    <n v="0"/>
    <m/>
    <n v="7.8E-2"/>
    <n v="7.5880000000000001E-4"/>
    <n v="0"/>
    <n v="0"/>
    <n v="0"/>
    <n v="0"/>
    <n v="0"/>
    <m/>
    <m/>
    <n v="0.14799999999999999"/>
    <n v="2E-3"/>
    <n v="80.469499999999996"/>
    <n v="0"/>
    <m/>
    <m/>
    <e v="#DIV/0!"/>
    <m/>
    <m/>
    <e v="#DIV/0!"/>
    <m/>
    <m/>
    <m/>
    <e v="#DIV/0!"/>
    <m/>
    <e v="#DIV/0!"/>
    <e v="#DIV/0!"/>
    <e v="#DIV/0!"/>
    <e v="#DIV/0!"/>
    <e v="#DIV/0!"/>
    <e v="#DIV/0!"/>
    <e v="#DIV/0!"/>
    <e v="#DIV/0!"/>
    <e v="#DIV/0!"/>
    <m/>
    <m/>
    <m/>
    <m/>
    <m/>
    <m/>
    <m/>
    <m/>
    <m/>
    <m/>
    <m/>
    <m/>
    <m/>
    <m/>
    <m/>
    <m/>
    <m/>
    <m/>
    <m/>
    <e v="#DIV/0!"/>
    <e v="#DIV/0!"/>
    <e v="#DIV/0!"/>
    <m/>
    <x v="33"/>
    <n v="0"/>
    <n v="0"/>
    <n v="0"/>
    <n v="0"/>
    <e v="#DIV/0!"/>
    <e v="#DIV/0!"/>
  </r>
  <r>
    <n v="72"/>
    <x v="6"/>
    <m/>
    <m/>
    <m/>
    <m/>
    <m/>
    <m/>
    <m/>
    <m/>
    <m/>
    <m/>
    <m/>
    <m/>
    <m/>
    <m/>
    <m/>
    <m/>
    <m/>
    <m/>
    <m/>
    <m/>
    <m/>
    <m/>
    <m/>
    <m/>
    <n v="0"/>
    <n v="0"/>
    <m/>
    <m/>
    <m/>
    <m/>
    <m/>
    <m/>
    <m/>
    <m/>
    <m/>
    <n v="0"/>
    <m/>
    <n v="6.3E-2"/>
    <n v="-6.0199999999999837E-5"/>
    <n v="0"/>
    <n v="0"/>
    <n v="0"/>
    <n v="0"/>
    <n v="0"/>
    <m/>
    <m/>
    <n v="0.376"/>
    <n v="2E-3"/>
    <n v="248.86150000000001"/>
    <n v="0"/>
    <m/>
    <m/>
    <e v="#DIV/0!"/>
    <m/>
    <m/>
    <e v="#DIV/0!"/>
    <m/>
    <m/>
    <m/>
    <e v="#DIV/0!"/>
    <m/>
    <e v="#DIV/0!"/>
    <e v="#DIV/0!"/>
    <e v="#DIV/0!"/>
    <e v="#DIV/0!"/>
    <e v="#DIV/0!"/>
    <e v="#DIV/0!"/>
    <e v="#DIV/0!"/>
    <e v="#DIV/0!"/>
    <e v="#DIV/0!"/>
    <m/>
    <m/>
    <m/>
    <m/>
    <m/>
    <m/>
    <m/>
    <m/>
    <m/>
    <m/>
    <m/>
    <m/>
    <m/>
    <m/>
    <m/>
    <m/>
    <m/>
    <m/>
    <m/>
    <e v="#DIV/0!"/>
    <e v="#DIV/0!"/>
    <e v="#DIV/0!"/>
    <m/>
    <x v="33"/>
    <n v="0"/>
    <n v="0"/>
    <n v="0"/>
    <n v="0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5FFE2-7B70-9144-9560-9E7B9C48F57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" firstHeaderRow="0" firstDataRow="1" firstDataCol="1"/>
  <pivotFields count="102">
    <pivotField showAll="0"/>
    <pivotField axis="axisRow" showAll="0">
      <items count="8">
        <item x="0"/>
        <item x="3"/>
        <item x="1"/>
        <item h="1" x="4"/>
        <item x="2"/>
        <item h="1" x="5"/>
        <item h="1"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5">
        <item x="5"/>
        <item x="0"/>
        <item x="7"/>
        <item x="6"/>
        <item x="13"/>
        <item x="1"/>
        <item x="8"/>
        <item x="15"/>
        <item x="4"/>
        <item x="3"/>
        <item x="28"/>
        <item x="18"/>
        <item x="12"/>
        <item x="29"/>
        <item x="23"/>
        <item x="2"/>
        <item x="17"/>
        <item x="26"/>
        <item x="24"/>
        <item x="19"/>
        <item x="10"/>
        <item x="31"/>
        <item x="25"/>
        <item x="11"/>
        <item x="30"/>
        <item x="27"/>
        <item x="14"/>
        <item x="9"/>
        <item x="22"/>
        <item x="21"/>
        <item x="16"/>
        <item x="20"/>
        <item x="32"/>
        <item x="3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unt of moist" fld="2" subtotal="count" baseField="0" baseItem="0"/>
    <dataField name="Average of AAE_total_perc" fld="95" subtotal="average" baseField="0" baseItem="0"/>
    <dataField name="StdDev of AAE_total_perc" fld="95" subtotal="stdDev" baseField="0" baseItem="0"/>
    <dataField name="Average of resp_h1" fld="21" subtotal="average" baseField="0" baseItem="0"/>
    <dataField name="StdDev of resp_h1" fld="21" subtotal="stdDev" baseField="0" baseItem="0"/>
    <dataField name="Average of growth1" fld="15" subtotal="average" baseField="0" baseItem="0"/>
    <dataField name="StdDev of growth1" fld="15" subtotal="stdDev" baseField="0" baseItem="0"/>
    <dataField name="Average of CUE1" fld="9" subtotal="average" baseField="0" baseItem="0"/>
    <dataField name="StdDev of CUE1" fld="9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2A78-B6FF-496A-8BE4-27D703BF7A83}">
  <dimension ref="A1:DA49"/>
  <sheetViews>
    <sheetView tabSelected="1" zoomScale="84" workbookViewId="0">
      <pane xSplit="3" topLeftCell="CB1" activePane="topRight" state="frozen"/>
      <selection pane="topRight" activeCell="CZ12" sqref="CZ12"/>
    </sheetView>
  </sheetViews>
  <sheetFormatPr defaultColWidth="8.85546875" defaultRowHeight="15"/>
  <cols>
    <col min="2" max="2" width="11" bestFit="1" customWidth="1"/>
    <col min="3" max="4" width="11" customWidth="1"/>
    <col min="5" max="6" width="9" customWidth="1"/>
    <col min="7" max="8" width="11.85546875" customWidth="1"/>
    <col min="9" max="9" width="10.28515625" customWidth="1"/>
    <col min="10" max="11" width="8.85546875" customWidth="1"/>
    <col min="12" max="12" width="10" customWidth="1"/>
    <col min="13" max="18" width="8.85546875" customWidth="1"/>
    <col min="19" max="19" width="15.42578125" customWidth="1"/>
    <col min="20" max="20" width="16.42578125" customWidth="1"/>
    <col min="21" max="21" width="14.28515625" customWidth="1"/>
    <col min="22" max="31" width="8.85546875" customWidth="1"/>
    <col min="59" max="70" width="0" hidden="1" customWidth="1"/>
    <col min="71" max="71" width="10.28515625" hidden="1" customWidth="1"/>
    <col min="72" max="72" width="14.85546875" hidden="1" customWidth="1"/>
    <col min="73" max="82" width="12.28515625" bestFit="1" customWidth="1"/>
    <col min="83" max="95" width="8.85546875" customWidth="1"/>
    <col min="96" max="96" width="12.28515625" customWidth="1"/>
    <col min="97" max="98" width="12.28515625" bestFit="1" customWidth="1"/>
    <col min="99" max="100" width="11.140625" bestFit="1" customWidth="1"/>
    <col min="104" max="104" width="23.7109375" bestFit="1" customWidth="1"/>
    <col min="105" max="105" width="18" bestFit="1" customWidth="1"/>
  </cols>
  <sheetData>
    <row r="1" spans="1:105" s="1" customFormat="1">
      <c r="A1" s="1" t="s">
        <v>1</v>
      </c>
      <c r="B1" s="1" t="s">
        <v>205</v>
      </c>
      <c r="C1" s="1" t="s">
        <v>181</v>
      </c>
      <c r="D1" s="1" t="s">
        <v>183</v>
      </c>
      <c r="E1" s="1" t="s">
        <v>206</v>
      </c>
      <c r="F1" s="1" t="s">
        <v>182</v>
      </c>
      <c r="G1" s="37" t="s">
        <v>3</v>
      </c>
      <c r="H1" s="1" t="s">
        <v>4</v>
      </c>
      <c r="I1" s="1" t="s">
        <v>11</v>
      </c>
      <c r="J1" s="1" t="s">
        <v>5</v>
      </c>
      <c r="K1" s="1" t="s">
        <v>6</v>
      </c>
      <c r="L1" s="1" t="s">
        <v>12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37" t="s">
        <v>216</v>
      </c>
      <c r="T1" s="1" t="s">
        <v>217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37" t="s">
        <v>201</v>
      </c>
      <c r="AB1" s="1" t="s">
        <v>202</v>
      </c>
      <c r="AC1" s="1" t="s">
        <v>29</v>
      </c>
      <c r="AD1" s="1" t="s">
        <v>30</v>
      </c>
      <c r="AE1" s="1" t="s">
        <v>31</v>
      </c>
      <c r="AF1" s="1" t="s">
        <v>40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46</v>
      </c>
      <c r="AM1" s="1" t="s">
        <v>38</v>
      </c>
      <c r="AN1" s="1" t="s">
        <v>39</v>
      </c>
      <c r="AO1" s="1" t="s">
        <v>42</v>
      </c>
      <c r="AP1" s="1" t="s">
        <v>41</v>
      </c>
      <c r="AQ1" s="1" t="s">
        <v>45</v>
      </c>
      <c r="AR1" s="1" t="s">
        <v>37</v>
      </c>
      <c r="AS1" s="1" t="s">
        <v>47</v>
      </c>
      <c r="AT1" s="1" t="s">
        <v>43</v>
      </c>
      <c r="AU1" s="1" t="s">
        <v>44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226</v>
      </c>
      <c r="BD1" s="1" t="s">
        <v>88</v>
      </c>
      <c r="BE1" s="1" t="s">
        <v>87</v>
      </c>
      <c r="BF1" s="1" t="s">
        <v>121</v>
      </c>
      <c r="BG1" s="1" t="s">
        <v>171</v>
      </c>
      <c r="BH1" s="1" t="s">
        <v>172</v>
      </c>
      <c r="BI1" s="1" t="s">
        <v>173</v>
      </c>
      <c r="BJ1" s="1" t="s">
        <v>203</v>
      </c>
      <c r="BK1" s="1" t="s">
        <v>174</v>
      </c>
      <c r="BL1" s="1" t="s">
        <v>204</v>
      </c>
      <c r="BM1" s="1" t="s">
        <v>175</v>
      </c>
      <c r="BN1" s="1" t="s">
        <v>176</v>
      </c>
      <c r="BO1" s="1" t="s">
        <v>177</v>
      </c>
      <c r="BP1" s="1" t="s">
        <v>178</v>
      </c>
      <c r="BQ1" s="1" t="s">
        <v>184</v>
      </c>
      <c r="BR1" s="1" t="s">
        <v>185</v>
      </c>
      <c r="BS1" s="1" t="s">
        <v>179</v>
      </c>
      <c r="BT1" s="1" t="s">
        <v>180</v>
      </c>
      <c r="BU1" s="1" t="s">
        <v>186</v>
      </c>
      <c r="BV1" s="1" t="s">
        <v>187</v>
      </c>
      <c r="BW1" s="1" t="s">
        <v>188</v>
      </c>
      <c r="BX1" s="1" t="s">
        <v>189</v>
      </c>
      <c r="BY1" s="1" t="s">
        <v>190</v>
      </c>
      <c r="BZ1" s="1" t="s">
        <v>191</v>
      </c>
      <c r="CA1" s="1" t="s">
        <v>192</v>
      </c>
      <c r="CB1" s="1" t="s">
        <v>193</v>
      </c>
      <c r="CC1" s="1" t="s">
        <v>194</v>
      </c>
      <c r="CD1" s="1" t="s">
        <v>195</v>
      </c>
      <c r="CE1" s="1" t="s">
        <v>196</v>
      </c>
      <c r="CF1" s="1" t="s">
        <v>197</v>
      </c>
      <c r="CG1" s="1" t="s">
        <v>198</v>
      </c>
      <c r="CH1" s="1" t="s">
        <v>199</v>
      </c>
      <c r="CI1" s="1" t="s">
        <v>200</v>
      </c>
      <c r="CJ1" s="1" t="s">
        <v>207</v>
      </c>
      <c r="CK1" s="1" t="s">
        <v>208</v>
      </c>
      <c r="CL1" s="1" t="s">
        <v>209</v>
      </c>
      <c r="CM1" s="1" t="s">
        <v>210</v>
      </c>
      <c r="CN1" s="1" t="s">
        <v>211</v>
      </c>
      <c r="CO1" s="1" t="s">
        <v>212</v>
      </c>
      <c r="CP1" s="1" t="s">
        <v>213</v>
      </c>
      <c r="CQ1" s="1" t="s">
        <v>214</v>
      </c>
      <c r="CR1" s="1" t="s">
        <v>215</v>
      </c>
      <c r="CS1" s="1" t="s">
        <v>218</v>
      </c>
      <c r="CT1" s="1" t="s">
        <v>219</v>
      </c>
      <c r="CU1" s="1" t="s">
        <v>220</v>
      </c>
      <c r="CV1" s="1" t="s">
        <v>221</v>
      </c>
      <c r="CW1" s="1" t="s">
        <v>222</v>
      </c>
      <c r="CX1" s="1" t="s">
        <v>223</v>
      </c>
      <c r="CY1" s="1" t="s">
        <v>258</v>
      </c>
      <c r="CZ1" s="37" t="s">
        <v>260</v>
      </c>
      <c r="DA1" s="37" t="s">
        <v>264</v>
      </c>
    </row>
    <row r="2" spans="1:105" ht="15.75">
      <c r="A2">
        <v>37</v>
      </c>
      <c r="B2" t="s">
        <v>13</v>
      </c>
      <c r="C2" t="s">
        <v>7</v>
      </c>
      <c r="D2">
        <v>40</v>
      </c>
      <c r="E2" t="s">
        <v>224</v>
      </c>
      <c r="F2" t="s">
        <v>224</v>
      </c>
      <c r="G2">
        <v>72061.197126834479</v>
      </c>
      <c r="H2">
        <v>27699.511804622336</v>
      </c>
      <c r="I2">
        <f>H2/G2</f>
        <v>0.38438872665227297</v>
      </c>
      <c r="J2" s="4">
        <v>1.1750388105923142</v>
      </c>
      <c r="K2" s="5">
        <v>2.2408233614609809</v>
      </c>
      <c r="L2">
        <f>K2/J2</f>
        <v>1.9070207224316493</v>
      </c>
      <c r="M2" s="6">
        <v>3.0784331845761979</v>
      </c>
      <c r="N2">
        <v>4.4753366873743925</v>
      </c>
      <c r="O2">
        <f>N2/M2</f>
        <v>1.4537709344471297</v>
      </c>
      <c r="P2">
        <v>33.816549299416387</v>
      </c>
      <c r="Q2">
        <v>49.782833448659211</v>
      </c>
      <c r="R2">
        <f>Q2/P2</f>
        <v>1.4721440974912947</v>
      </c>
      <c r="S2">
        <v>4448.2220448663302</v>
      </c>
      <c r="T2">
        <v>3220.8734656537599</v>
      </c>
      <c r="U2">
        <f>T2/S2</f>
        <v>0.72408108974032737</v>
      </c>
      <c r="V2">
        <v>2844.0925882183583</v>
      </c>
      <c r="W2">
        <v>2171.8484787223101</v>
      </c>
      <c r="X2">
        <f>W2/V2</f>
        <v>0.76363494202656534</v>
      </c>
      <c r="Y2">
        <v>18.100000000000001</v>
      </c>
      <c r="Z2">
        <v>32.4</v>
      </c>
      <c r="AA2">
        <f>Y2*11.9</f>
        <v>215.39000000000001</v>
      </c>
      <c r="AB2">
        <f>Z2*11.9</f>
        <v>385.56</v>
      </c>
      <c r="AC2">
        <f>Z2/Y2</f>
        <v>1.7900552486187844</v>
      </c>
      <c r="AD2">
        <v>7.91</v>
      </c>
      <c r="AE2" s="7">
        <v>6.92</v>
      </c>
      <c r="AF2" s="8">
        <v>59.711514014950808</v>
      </c>
      <c r="AG2" s="8">
        <v>44.506798808335759</v>
      </c>
      <c r="AH2" s="8">
        <v>1.8178030733068702</v>
      </c>
      <c r="AI2" s="8">
        <v>3.4346397556618848</v>
      </c>
      <c r="AJ2" s="8">
        <v>9.9522723776462918</v>
      </c>
      <c r="AK2">
        <v>30.423565053228657</v>
      </c>
      <c r="AL2" s="8">
        <f>AG2-AK2</f>
        <v>14.083233755107102</v>
      </c>
      <c r="AM2">
        <v>2.0009999999999999</v>
      </c>
      <c r="AN2">
        <v>0.85799999999999998</v>
      </c>
      <c r="AO2">
        <f>AN2*0.0546-0.0035</f>
        <v>4.3346799999999998E-2</v>
      </c>
      <c r="AP2">
        <f>(AF2/AO2)/1000</f>
        <v>1.3775299218154697</v>
      </c>
      <c r="AQ2">
        <f>(AG2/AO2)/1000</f>
        <v>1.0267608868090783</v>
      </c>
      <c r="AR2">
        <f>(AK2/AO2)/1000</f>
        <v>0.70186415267629121</v>
      </c>
      <c r="AS2">
        <f>(AL2/AO2)/1000</f>
        <v>0.3248967341327873</v>
      </c>
      <c r="AT2">
        <f>(AJ2/AO2)/1000</f>
        <v>0.2295964725803587</v>
      </c>
      <c r="AU2">
        <f>AT2/AR2</f>
        <v>0.32712380551831882</v>
      </c>
      <c r="AV2">
        <f>AS2/AR2</f>
        <v>0.46290543959812958</v>
      </c>
      <c r="AW2" s="9">
        <v>0.78200000000000003</v>
      </c>
      <c r="AX2" s="9">
        <v>2.7E-2</v>
      </c>
      <c r="AY2" s="10">
        <v>28.709700000000002</v>
      </c>
      <c r="AZ2">
        <f>AF2/AW2</f>
        <v>76.357434801727379</v>
      </c>
      <c r="BA2" s="5">
        <v>0.20746128114789042</v>
      </c>
      <c r="BB2" s="5">
        <v>0.11922255597993558</v>
      </c>
      <c r="BC2" s="5">
        <f>BB2/BA2</f>
        <v>0.57467376717367724</v>
      </c>
      <c r="BD2" t="s">
        <v>89</v>
      </c>
      <c r="BE2" t="s">
        <v>55</v>
      </c>
      <c r="BF2">
        <f>AF2/BA2</f>
        <v>287.82003892275679</v>
      </c>
      <c r="BG2">
        <v>0.29817779488381502</v>
      </c>
      <c r="BH2">
        <v>0.107394676053569</v>
      </c>
      <c r="BI2">
        <v>0.48632115816594501</v>
      </c>
      <c r="BJ2">
        <f>BI2/BA2</f>
        <v>2.3441538366827452</v>
      </c>
      <c r="BK2">
        <v>0.60875267083765106</v>
      </c>
      <c r="BL2">
        <f>BK2/BB2</f>
        <v>5.1060192916858815</v>
      </c>
      <c r="BM2">
        <f>AG2/BA2</f>
        <v>214.53062741191081</v>
      </c>
      <c r="BN2">
        <f>AK2/BA2</f>
        <v>146.64695448179063</v>
      </c>
      <c r="BO2">
        <f>AL2/BA2</f>
        <v>67.883672930120184</v>
      </c>
      <c r="BP2">
        <f>AT2/BA2</f>
        <v>1.1066955304141259</v>
      </c>
      <c r="BQ2">
        <f>AH2/BA2</f>
        <v>8.7621317252496613</v>
      </c>
      <c r="BR2">
        <f>AI2/BA2</f>
        <v>16.555569967841251</v>
      </c>
      <c r="BS2">
        <f>BP2/BN2</f>
        <v>7.5466656251054025E-3</v>
      </c>
      <c r="BT2">
        <f>BO2/BN2</f>
        <v>0.46290543959812952</v>
      </c>
      <c r="BU2">
        <v>29.258688791200299</v>
      </c>
      <c r="BV2">
        <v>22.1048046745337</v>
      </c>
      <c r="BW2">
        <v>25.850964991929899</v>
      </c>
      <c r="BX2">
        <v>16.8740548980212</v>
      </c>
      <c r="BY2">
        <v>5.9070959266434002</v>
      </c>
      <c r="BZ2">
        <v>15.1953070023926</v>
      </c>
      <c r="CA2">
        <v>23.921109533131201</v>
      </c>
      <c r="CB2">
        <v>30.546706073516798</v>
      </c>
      <c r="CC2">
        <v>18.569838406325601</v>
      </c>
      <c r="CD2">
        <v>11.7587226039228</v>
      </c>
      <c r="CE2">
        <v>14.0633817888077</v>
      </c>
      <c r="CF2">
        <v>-1.8163048585974999</v>
      </c>
      <c r="CG2">
        <v>-4.6957410815868998</v>
      </c>
      <c r="CH2">
        <v>-1.6957835083043999</v>
      </c>
      <c r="CI2">
        <v>-5.8516266772794001</v>
      </c>
      <c r="CJ2" s="11">
        <v>278.03391287311399</v>
      </c>
      <c r="CK2" s="11">
        <v>284.26084748281988</v>
      </c>
      <c r="CL2" s="11">
        <v>639.68889674254171</v>
      </c>
      <c r="CM2" s="11">
        <v>257.87938857358256</v>
      </c>
      <c r="CN2">
        <v>1.0223963132603455</v>
      </c>
      <c r="CO2">
        <v>0.40313250689009905</v>
      </c>
      <c r="CP2">
        <f>BF2/S2</f>
        <v>6.4704512504030323E-2</v>
      </c>
      <c r="CQ2">
        <f>BF2/G2</f>
        <v>3.9941057101253322E-3</v>
      </c>
      <c r="CR2">
        <f>(BF2/(BF2+G2))*100</f>
        <v>0.39782162937105098</v>
      </c>
      <c r="CS2">
        <f>(BA2*SUM(BU2:BV2))/100</f>
        <v>0.10655936158632473</v>
      </c>
      <c r="CT2">
        <f>(BA2*SUM(BX2:BY2))/100</f>
        <v>4.7262067361082377E-2</v>
      </c>
      <c r="CU2">
        <f>(BB2*SUM(BZ2:CA2))/100</f>
        <v>4.6635591601409641E-2</v>
      </c>
      <c r="CV2">
        <f>(BB2*SUM(CC2:CD2))/100</f>
        <v>3.6158485628352312E-2</v>
      </c>
      <c r="CW2">
        <f>AF2/CS2</f>
        <v>560.35915686842736</v>
      </c>
      <c r="CX2">
        <f>AF2/CT2</f>
        <v>1263.4130783732885</v>
      </c>
      <c r="CY2">
        <v>5.7</v>
      </c>
      <c r="CZ2">
        <f>1.2*4</f>
        <v>4.8</v>
      </c>
      <c r="DA2">
        <f>CZ2-((G2/1000000)+(AA2/1000)+(AP2))</f>
        <v>3.1350188810576958</v>
      </c>
    </row>
    <row r="3" spans="1:105" ht="15.75">
      <c r="A3">
        <v>38</v>
      </c>
      <c r="B3" t="s">
        <v>13</v>
      </c>
      <c r="C3" t="s">
        <v>7</v>
      </c>
      <c r="D3">
        <v>40</v>
      </c>
      <c r="E3" t="s">
        <v>224</v>
      </c>
      <c r="F3" t="s">
        <v>224</v>
      </c>
      <c r="G3">
        <v>139567.613912815</v>
      </c>
      <c r="H3">
        <v>4365.996115759468</v>
      </c>
      <c r="I3">
        <f t="shared" ref="I3:I33" si="0">H3/G3</f>
        <v>3.1282301053644261E-2</v>
      </c>
      <c r="J3" s="4">
        <v>13.299452589413738</v>
      </c>
      <c r="K3" s="5">
        <v>5.2833413945556327</v>
      </c>
      <c r="L3">
        <f t="shared" ref="L3:L33" si="1">K3/J3</f>
        <v>0.39726006458048746</v>
      </c>
      <c r="M3" s="6">
        <v>12.926838233538803</v>
      </c>
      <c r="N3">
        <v>0.14901796985340457</v>
      </c>
      <c r="O3">
        <f t="shared" ref="O3:O33" si="2">N3/M3</f>
        <v>1.1527797220110332E-2</v>
      </c>
      <c r="P3">
        <v>119.29217841196194</v>
      </c>
      <c r="Q3">
        <v>2.4724258781435644</v>
      </c>
      <c r="R3">
        <f t="shared" ref="R3:R33" si="3">Q3/P3</f>
        <v>2.0725800392422406E-2</v>
      </c>
      <c r="S3">
        <v>8615.2848094330238</v>
      </c>
      <c r="T3">
        <v>507.67396694877533</v>
      </c>
      <c r="U3">
        <f t="shared" ref="U3:U33" si="4">T3/S3</f>
        <v>5.8927125240585701E-2</v>
      </c>
      <c r="V3">
        <v>777.6784119935229</v>
      </c>
      <c r="W3">
        <v>44.324207038505456</v>
      </c>
      <c r="X3">
        <f t="shared" ref="X3:X33" si="5">W3/V3</f>
        <v>5.699554771603281E-2</v>
      </c>
      <c r="Y3">
        <v>26.3</v>
      </c>
      <c r="Z3">
        <v>2.88</v>
      </c>
      <c r="AA3">
        <f t="shared" ref="AA3:AA33" si="6">Y3*11.9</f>
        <v>312.97000000000003</v>
      </c>
      <c r="AB3">
        <f t="shared" ref="AB3:AB33" si="7">Z3*11.9</f>
        <v>34.271999999999998</v>
      </c>
      <c r="AC3">
        <f t="shared" ref="AC3:AC33" si="8">Z3/Y3</f>
        <v>0.10950570342205322</v>
      </c>
      <c r="AD3">
        <v>7.77</v>
      </c>
      <c r="AE3" s="7">
        <v>7.53</v>
      </c>
      <c r="AF3" s="8">
        <v>80.895373681327413</v>
      </c>
      <c r="AG3" s="8">
        <v>58.09086343658096</v>
      </c>
      <c r="AH3" s="8">
        <v>2.7536447016158254</v>
      </c>
      <c r="AI3" s="8">
        <v>8.0737498617970189</v>
      </c>
      <c r="AJ3" s="8">
        <v>11.977115681333606</v>
      </c>
      <c r="AK3">
        <v>41.142320083703801</v>
      </c>
      <c r="AL3" s="8">
        <f t="shared" ref="AL3:AL33" si="9">AG3-AK3</f>
        <v>16.948543352877159</v>
      </c>
      <c r="AM3">
        <v>2.0129999999999999</v>
      </c>
      <c r="AN3">
        <v>0.59099999999999997</v>
      </c>
      <c r="AO3">
        <f t="shared" ref="AO3:AO33" si="10">AN3*0.0546-0.0035</f>
        <v>2.8768600000000002E-2</v>
      </c>
      <c r="AP3">
        <f t="shared" ref="AP3:AP33" si="11">(AF3/AO3)/1000</f>
        <v>2.8119329296986093</v>
      </c>
      <c r="AQ3">
        <f t="shared" ref="AQ3:AQ33" si="12">(AG3/AO3)/1000</f>
        <v>2.0192454077216464</v>
      </c>
      <c r="AR3">
        <f t="shared" ref="AR3:AR9" si="13">(AK3/AO3)/1000</f>
        <v>1.4301120000175123</v>
      </c>
      <c r="AS3">
        <f t="shared" ref="AS3:AS33" si="14">(AL3/AO3)/1000</f>
        <v>0.58913340770413436</v>
      </c>
      <c r="AT3">
        <f t="shared" ref="AT3:AT17" si="15">(AJ3/AO3)/1000</f>
        <v>0.41632598323636205</v>
      </c>
      <c r="AU3">
        <f>AT3/AR3</f>
        <v>0.29111425065397956</v>
      </c>
      <c r="AV3">
        <f t="shared" ref="AV3:AV9" si="16">AS3/AR3</f>
        <v>0.41194913943587647</v>
      </c>
      <c r="AW3" s="9">
        <v>0.54700000000000004</v>
      </c>
      <c r="AX3" s="9">
        <v>4.1000000000000002E-2</v>
      </c>
      <c r="AY3" s="10">
        <v>13.4588</v>
      </c>
      <c r="AZ3">
        <f t="shared" ref="AZ3:AZ33" si="17">AF3/AW3</f>
        <v>147.88916577939196</v>
      </c>
      <c r="BA3" s="5">
        <v>8.0188203491449311E-2</v>
      </c>
      <c r="BB3" s="5">
        <v>7.4298720048844649E-2</v>
      </c>
      <c r="BC3" s="5">
        <f t="shared" ref="BC3:BC33" si="18">BB3/BA3</f>
        <v>0.92655424132013786</v>
      </c>
      <c r="BD3" t="s">
        <v>90</v>
      </c>
      <c r="BE3" t="s">
        <v>56</v>
      </c>
      <c r="BF3">
        <f t="shared" ref="BF3:BF33" si="19">AF3/BA3</f>
        <v>1008.8188805720471</v>
      </c>
      <c r="BG3">
        <v>0.24728511569832101</v>
      </c>
      <c r="BH3">
        <v>0.30944007415776897</v>
      </c>
      <c r="BI3">
        <v>0.53281960086939295</v>
      </c>
      <c r="BJ3">
        <f t="shared" ref="BJ3:BJ33" si="20">BI3/BA3</f>
        <v>6.6446132681624297</v>
      </c>
      <c r="BK3">
        <v>0.51683490927677</v>
      </c>
      <c r="BL3">
        <f t="shared" ref="BL3:BL33" si="21">BK3/BB3</f>
        <v>6.9561751391813758</v>
      </c>
      <c r="BM3">
        <f t="shared" ref="BM3:BM33" si="22">AG3/BA3</f>
        <v>724.43153615201459</v>
      </c>
      <c r="BN3">
        <f t="shared" ref="BN3:BN33" si="23">AK3/BA3</f>
        <v>513.07197682874789</v>
      </c>
      <c r="BO3">
        <f t="shared" ref="BO3:BO33" si="24">AL3/BA3</f>
        <v>211.35955932326667</v>
      </c>
      <c r="BP3">
        <f t="shared" ref="BP3:BP33" si="25">AT3/BA3</f>
        <v>5.1918607115416426</v>
      </c>
      <c r="BQ3">
        <f t="shared" ref="BQ3:BQ33" si="26">AH3/BA3</f>
        <v>34.339772955625001</v>
      </c>
      <c r="BR3">
        <f t="shared" ref="BR3:BR33" si="27">AI3/BA3</f>
        <v>100.68500739835062</v>
      </c>
      <c r="BS3">
        <f t="shared" ref="BS3:BS33" si="28">BP3/BN3</f>
        <v>1.0119166405524758E-2</v>
      </c>
      <c r="BT3">
        <f t="shared" ref="BT3:BT33" si="29">BO3/BN3</f>
        <v>0.41194913943587652</v>
      </c>
      <c r="BU3">
        <v>19.793189751696001</v>
      </c>
      <c r="BV3">
        <v>26.9735888823026</v>
      </c>
      <c r="BW3">
        <v>26.463808206546801</v>
      </c>
      <c r="BX3">
        <v>14.915365869722701</v>
      </c>
      <c r="BY3">
        <v>11.9027860106698</v>
      </c>
      <c r="BZ3">
        <v>22.535458727319199</v>
      </c>
      <c r="CA3">
        <v>25.768272425249201</v>
      </c>
      <c r="CB3">
        <v>23.6886659851776</v>
      </c>
      <c r="CC3">
        <v>13.1884104267825</v>
      </c>
      <c r="CD3">
        <v>14.806414515716799</v>
      </c>
      <c r="CE3">
        <v>-2.7422689756232002</v>
      </c>
      <c r="CF3">
        <v>1.2053164570534001</v>
      </c>
      <c r="CG3">
        <v>2.7751422213692001</v>
      </c>
      <c r="CH3">
        <v>1.7269554429402001</v>
      </c>
      <c r="CI3">
        <v>-2.9036285050470001</v>
      </c>
      <c r="CJ3" s="11">
        <v>312.29739074308037</v>
      </c>
      <c r="CK3" s="11">
        <v>446.22858509684443</v>
      </c>
      <c r="CL3" s="11">
        <v>219.28137555797241</v>
      </c>
      <c r="CM3" s="11">
        <v>219.53731722007313</v>
      </c>
      <c r="CN3">
        <v>1.4288578717711609</v>
      </c>
      <c r="CO3">
        <v>1.0011671837676568</v>
      </c>
      <c r="CP3">
        <f t="shared" ref="CP3:CP33" si="30">BF3/S3</f>
        <v>0.11709640515511152</v>
      </c>
      <c r="CQ3">
        <f t="shared" ref="CQ3:CQ33" si="31">BF3/G3</f>
        <v>7.2281731577229329E-3</v>
      </c>
      <c r="CR3">
        <f t="shared" ref="CR3:CR33" si="32">(BF3/(BF3+G3))*100</f>
        <v>0.71763016070749497</v>
      </c>
      <c r="CS3">
        <f t="shared" ref="CS3:CS33" si="33">(BA3*SUM(BU3:BV3))/100</f>
        <v>3.7501439617426434E-2</v>
      </c>
      <c r="CT3">
        <f t="shared" ref="CT3:CT33" si="34">(BA3*SUM(BX3:BY3))/100</f>
        <v>2.1504994202495076E-2</v>
      </c>
      <c r="CU3">
        <f t="shared" ref="CU3:CU33" si="35">(BB3*SUM(BZ3:CA3))/100</f>
        <v>3.5889053982193359E-2</v>
      </c>
      <c r="CV3">
        <f t="shared" ref="CV3:CV33" si="36">(BB3*SUM(CC3:CD3))/100</f>
        <v>2.0799796612191689E-2</v>
      </c>
      <c r="CW3">
        <f t="shared" ref="CW3:CW33" si="37">AF3/CS3</f>
        <v>2157.1271531596449</v>
      </c>
      <c r="CX3">
        <f t="shared" ref="CX3:CX33" si="38">AF3/CT3</f>
        <v>3761.7017200563432</v>
      </c>
      <c r="CY3">
        <v>5</v>
      </c>
      <c r="CZ3">
        <f t="shared" ref="CZ3:CZ33" si="39">1.2*4</f>
        <v>4.8</v>
      </c>
      <c r="DA3">
        <f>CZ3-((G3/1000000)+(AA3/1000)+(AP3))</f>
        <v>1.5355294563885753</v>
      </c>
    </row>
    <row r="4" spans="1:105" ht="15.75">
      <c r="A4">
        <v>39</v>
      </c>
      <c r="B4" t="s">
        <v>13</v>
      </c>
      <c r="C4" t="s">
        <v>7</v>
      </c>
      <c r="D4">
        <v>40</v>
      </c>
      <c r="E4" t="s">
        <v>224</v>
      </c>
      <c r="F4" t="s">
        <v>224</v>
      </c>
      <c r="G4">
        <v>128813.19844651863</v>
      </c>
      <c r="H4">
        <v>5456.5269124695969</v>
      </c>
      <c r="I4">
        <f t="shared" si="0"/>
        <v>4.2359998651342143E-2</v>
      </c>
      <c r="J4" s="4">
        <v>6.300811837512529</v>
      </c>
      <c r="K4" s="5">
        <v>1.569161567761209</v>
      </c>
      <c r="L4">
        <f t="shared" si="1"/>
        <v>0.24904117250717514</v>
      </c>
      <c r="M4" s="6">
        <v>4.6922528145953608</v>
      </c>
      <c r="N4">
        <v>0.25675052102833246</v>
      </c>
      <c r="O4">
        <f t="shared" si="2"/>
        <v>5.4717964093857867E-2</v>
      </c>
      <c r="P4">
        <v>48.289529771242776</v>
      </c>
      <c r="Q4">
        <v>3.6827108275948621</v>
      </c>
      <c r="R4">
        <f t="shared" si="3"/>
        <v>7.6263132920129983E-2</v>
      </c>
      <c r="S4">
        <v>7951.4320028715174</v>
      </c>
      <c r="T4">
        <v>634.47987354297618</v>
      </c>
      <c r="U4">
        <f t="shared" si="4"/>
        <v>7.9794416064156132E-2</v>
      </c>
      <c r="V4">
        <v>718.11218188988175</v>
      </c>
      <c r="W4">
        <v>231.01019162789581</v>
      </c>
      <c r="X4">
        <f t="shared" si="5"/>
        <v>0.32169095226868027</v>
      </c>
      <c r="Y4">
        <v>10.3</v>
      </c>
      <c r="Z4">
        <v>3.41</v>
      </c>
      <c r="AA4">
        <f t="shared" si="6"/>
        <v>122.57000000000001</v>
      </c>
      <c r="AB4">
        <f t="shared" si="7"/>
        <v>40.579000000000001</v>
      </c>
      <c r="AC4">
        <f t="shared" si="8"/>
        <v>0.33106796116504855</v>
      </c>
      <c r="AD4">
        <v>7.57</v>
      </c>
      <c r="AE4" s="7">
        <v>7.8</v>
      </c>
      <c r="AF4" s="8">
        <v>79.458992448987104</v>
      </c>
      <c r="AG4" s="8">
        <v>52.792417360745816</v>
      </c>
      <c r="AH4" s="8">
        <v>3.5737259117447961</v>
      </c>
      <c r="AI4" s="8">
        <v>3.7184484665834954</v>
      </c>
      <c r="AJ4" s="8">
        <v>19.374400709912994</v>
      </c>
      <c r="AK4">
        <v>25.376144603212261</v>
      </c>
      <c r="AL4" s="8">
        <f t="shared" si="9"/>
        <v>27.416272757533555</v>
      </c>
      <c r="AM4">
        <v>2.0819999999999999</v>
      </c>
      <c r="AN4">
        <v>0.53</v>
      </c>
      <c r="AO4">
        <f t="shared" si="10"/>
        <v>2.5438000000000002E-2</v>
      </c>
      <c r="AP4">
        <f t="shared" si="11"/>
        <v>3.1236336366454558</v>
      </c>
      <c r="AQ4">
        <f t="shared" si="12"/>
        <v>2.0753367938024141</v>
      </c>
      <c r="AR4">
        <f t="shared" si="13"/>
        <v>0.99756838600567099</v>
      </c>
      <c r="AS4">
        <f t="shared" si="14"/>
        <v>1.0777684077967431</v>
      </c>
      <c r="AT4">
        <f t="shared" si="15"/>
        <v>0.76163223169718508</v>
      </c>
      <c r="AU4">
        <f t="shared" ref="AU4:AU9" si="40">AT4/AR4</f>
        <v>0.76348874160578639</v>
      </c>
      <c r="AV4">
        <f t="shared" si="16"/>
        <v>1.0803955126447002</v>
      </c>
      <c r="AW4" s="9">
        <v>0.74</v>
      </c>
      <c r="AX4" s="9">
        <v>3.9E-2</v>
      </c>
      <c r="AY4" s="10">
        <v>18.996300000000002</v>
      </c>
      <c r="AZ4">
        <f t="shared" si="17"/>
        <v>107.37701682295555</v>
      </c>
      <c r="BA4" s="5">
        <v>6.697842750330589E-2</v>
      </c>
      <c r="BB4" s="5">
        <v>7.8551014693098414E-2</v>
      </c>
      <c r="BC4" s="5">
        <f t="shared" si="18"/>
        <v>1.1727808134823907</v>
      </c>
      <c r="BD4" t="s">
        <v>91</v>
      </c>
      <c r="BE4" t="s">
        <v>57</v>
      </c>
      <c r="BF4">
        <f t="shared" si="19"/>
        <v>1186.3370851019936</v>
      </c>
      <c r="BG4">
        <v>0.30587212470287301</v>
      </c>
      <c r="BH4">
        <v>0.296201332418983</v>
      </c>
      <c r="BI4">
        <v>0.50180199279202897</v>
      </c>
      <c r="BJ4">
        <f t="shared" si="20"/>
        <v>7.4919942360136966</v>
      </c>
      <c r="BK4">
        <v>0.53437712729748099</v>
      </c>
      <c r="BL4">
        <f t="shared" si="21"/>
        <v>6.8029309282039359</v>
      </c>
      <c r="BM4">
        <f t="shared" si="22"/>
        <v>788.20031058716802</v>
      </c>
      <c r="BN4">
        <f t="shared" si="23"/>
        <v>378.87041468627729</v>
      </c>
      <c r="BO4">
        <f t="shared" si="24"/>
        <v>409.32989590089073</v>
      </c>
      <c r="BP4">
        <f t="shared" si="25"/>
        <v>11.371306554779787</v>
      </c>
      <c r="BQ4">
        <f t="shared" si="26"/>
        <v>53.356372267300628</v>
      </c>
      <c r="BR4">
        <f t="shared" si="27"/>
        <v>55.517106107036653</v>
      </c>
      <c r="BS4">
        <f t="shared" si="28"/>
        <v>3.0013709474242714E-2</v>
      </c>
      <c r="BT4">
        <f t="shared" si="29"/>
        <v>1.0803955126447002</v>
      </c>
      <c r="BU4">
        <v>22.7263090947636</v>
      </c>
      <c r="BV4">
        <v>27.1342606937265</v>
      </c>
      <c r="BW4">
        <v>24.653870615286799</v>
      </c>
      <c r="BX4">
        <v>13.4113925082761</v>
      </c>
      <c r="BY4">
        <v>12.114936155640001</v>
      </c>
      <c r="BZ4">
        <v>20.599046970728399</v>
      </c>
      <c r="CA4">
        <v>25.945087361016601</v>
      </c>
      <c r="CB4">
        <v>23.532259284471699</v>
      </c>
      <c r="CC4">
        <v>13.628318584070801</v>
      </c>
      <c r="CD4">
        <v>16.277134861205699</v>
      </c>
      <c r="CE4">
        <v>2.1272621240351999</v>
      </c>
      <c r="CF4">
        <v>1.1891733327099001</v>
      </c>
      <c r="CG4">
        <v>1.1216113308150999</v>
      </c>
      <c r="CH4">
        <v>-0.216926075794701</v>
      </c>
      <c r="CI4">
        <v>-4.1621987055657002</v>
      </c>
      <c r="CJ4" s="11">
        <v>362.09350776157021</v>
      </c>
      <c r="CK4" s="11">
        <v>481.36002210909209</v>
      </c>
      <c r="CL4" s="11">
        <v>233.61300340906385</v>
      </c>
      <c r="CM4" s="11">
        <v>207.37327192154984</v>
      </c>
      <c r="CN4">
        <v>1.3293804274062158</v>
      </c>
      <c r="CO4">
        <v>0.88767863473092978</v>
      </c>
      <c r="CP4">
        <f t="shared" si="30"/>
        <v>0.14919791613303984</v>
      </c>
      <c r="CQ4">
        <f t="shared" si="31"/>
        <v>9.2097479094469005E-3</v>
      </c>
      <c r="CR4">
        <f t="shared" si="32"/>
        <v>0.9125702490017229</v>
      </c>
      <c r="CS4">
        <f t="shared" si="33"/>
        <v>3.3395825588519078E-2</v>
      </c>
      <c r="CT4">
        <f t="shared" si="34"/>
        <v>1.7097133538416635E-2</v>
      </c>
      <c r="CU4">
        <f t="shared" si="35"/>
        <v>3.6560889797704478E-2</v>
      </c>
      <c r="CV4">
        <f t="shared" si="36"/>
        <v>2.3491037129836849E-2</v>
      </c>
      <c r="CW4">
        <f t="shared" si="37"/>
        <v>2379.3091216856687</v>
      </c>
      <c r="CX4">
        <f t="shared" si="38"/>
        <v>4647.5037625719915</v>
      </c>
      <c r="CY4">
        <v>8.6</v>
      </c>
      <c r="CZ4">
        <f t="shared" si="39"/>
        <v>4.8</v>
      </c>
      <c r="DA4">
        <f>CZ4-((G4/1000000)+(AA4/1000)+(AP4))</f>
        <v>1.4249831649080256</v>
      </c>
    </row>
    <row r="5" spans="1:105" s="12" customFormat="1" ht="15.75">
      <c r="A5" s="12">
        <v>40</v>
      </c>
      <c r="B5" s="12" t="s">
        <v>13</v>
      </c>
      <c r="C5" s="12" t="s">
        <v>7</v>
      </c>
      <c r="D5" s="12">
        <v>40</v>
      </c>
      <c r="E5" t="s">
        <v>224</v>
      </c>
      <c r="F5" t="s">
        <v>224</v>
      </c>
      <c r="G5" s="12">
        <v>84468.865877188015</v>
      </c>
      <c r="H5" s="12">
        <v>9456.1827987491615</v>
      </c>
      <c r="I5" s="12">
        <f t="shared" si="0"/>
        <v>0.1119487363840993</v>
      </c>
      <c r="J5" s="13">
        <v>1.100767839848118</v>
      </c>
      <c r="K5" s="14">
        <v>21.758961536054404</v>
      </c>
      <c r="L5" s="12">
        <f t="shared" si="1"/>
        <v>19.767075988572365</v>
      </c>
      <c r="M5" s="15">
        <v>8.0972008303288948E-2</v>
      </c>
      <c r="N5" s="12">
        <v>1.297389578128334</v>
      </c>
      <c r="O5" s="12">
        <f t="shared" si="2"/>
        <v>16.022692351520153</v>
      </c>
      <c r="P5" s="12">
        <v>1.8726187824404792</v>
      </c>
      <c r="Q5" s="12">
        <v>15.248368338713496</v>
      </c>
      <c r="R5" s="12">
        <f t="shared" si="3"/>
        <v>8.1428043346020225</v>
      </c>
      <c r="S5" s="12">
        <v>5214.1275232832104</v>
      </c>
      <c r="T5" s="12">
        <v>1099.556139389437</v>
      </c>
      <c r="U5" s="12">
        <f t="shared" si="4"/>
        <v>0.21088017783981491</v>
      </c>
      <c r="V5" s="12">
        <v>168.24670289931032</v>
      </c>
      <c r="W5" s="12">
        <v>54.830198202465802</v>
      </c>
      <c r="X5" s="12">
        <f t="shared" si="5"/>
        <v>0.32589166537949771</v>
      </c>
      <c r="Y5" s="12">
        <v>7.14</v>
      </c>
      <c r="Z5" s="12">
        <v>12.3</v>
      </c>
      <c r="AA5" s="12">
        <f t="shared" si="6"/>
        <v>84.965999999999994</v>
      </c>
      <c r="AB5" s="12">
        <f t="shared" si="7"/>
        <v>146.37</v>
      </c>
      <c r="AC5" s="12">
        <f t="shared" si="8"/>
        <v>1.7226890756302522</v>
      </c>
      <c r="AD5" s="12">
        <v>7.29</v>
      </c>
      <c r="AE5" s="16">
        <v>7.85</v>
      </c>
      <c r="AF5" s="17">
        <v>82.04100972893059</v>
      </c>
      <c r="AG5" s="17">
        <v>62.24658643945817</v>
      </c>
      <c r="AH5" s="17">
        <v>1.2702776524537602</v>
      </c>
      <c r="AI5" s="17">
        <v>4.2700144823818027</v>
      </c>
      <c r="AJ5" s="17">
        <v>14.254131154636868</v>
      </c>
      <c r="AK5" s="12">
        <v>42.075890400471579</v>
      </c>
      <c r="AL5" s="17">
        <f t="shared" si="9"/>
        <v>20.170696038986591</v>
      </c>
      <c r="AM5" s="12">
        <v>2.0089999999999999</v>
      </c>
      <c r="AN5" s="12">
        <v>0.97</v>
      </c>
      <c r="AO5" s="12">
        <f t="shared" si="10"/>
        <v>4.9461999999999999E-2</v>
      </c>
      <c r="AP5" s="12">
        <f t="shared" si="11"/>
        <v>1.6586674564095787</v>
      </c>
      <c r="AQ5" s="12">
        <f t="shared" si="12"/>
        <v>1.2584728971626336</v>
      </c>
      <c r="AR5" s="12">
        <f t="shared" si="13"/>
        <v>0.85067102827365615</v>
      </c>
      <c r="AS5" s="12">
        <f t="shared" si="14"/>
        <v>0.40780186888897724</v>
      </c>
      <c r="AT5" s="12">
        <f t="shared" si="15"/>
        <v>0.28818347730857768</v>
      </c>
      <c r="AU5" s="12">
        <f t="shared" si="40"/>
        <v>0.33877194324275339</v>
      </c>
      <c r="AV5" s="12">
        <f t="shared" si="16"/>
        <v>0.47938845374405964</v>
      </c>
      <c r="AW5" s="18">
        <v>0.52</v>
      </c>
      <c r="AX5" s="18">
        <v>3.5999999999999997E-2</v>
      </c>
      <c r="AY5" s="19">
        <v>14.5305</v>
      </c>
      <c r="AZ5" s="12">
        <f t="shared" si="17"/>
        <v>157.77117255563576</v>
      </c>
      <c r="BA5" s="14">
        <v>0.12573462014192036</v>
      </c>
      <c r="BB5" s="14">
        <v>9.5435405106161719E-2</v>
      </c>
      <c r="BC5" s="5">
        <f t="shared" si="18"/>
        <v>0.75902249514446363</v>
      </c>
      <c r="BD5" s="12" t="s">
        <v>92</v>
      </c>
      <c r="BE5" s="12" t="s">
        <v>58</v>
      </c>
      <c r="BF5" s="12">
        <f t="shared" si="19"/>
        <v>652.49339948161048</v>
      </c>
      <c r="BG5" s="12">
        <v>0.14050630420322099</v>
      </c>
      <c r="BH5" s="12">
        <v>0.110862777763291</v>
      </c>
      <c r="BI5" s="12">
        <v>0.60536750311443299</v>
      </c>
      <c r="BJ5" s="12">
        <f t="shared" si="20"/>
        <v>4.8146445460378127</v>
      </c>
      <c r="BK5" s="12">
        <v>0.604006692594932</v>
      </c>
      <c r="BL5" s="12">
        <f t="shared" si="21"/>
        <v>6.3289582301561866</v>
      </c>
      <c r="BM5" s="12">
        <f t="shared" si="22"/>
        <v>495.06322418756758</v>
      </c>
      <c r="BN5" s="12">
        <f t="shared" si="23"/>
        <v>334.64045425976781</v>
      </c>
      <c r="BO5" s="12">
        <f t="shared" si="24"/>
        <v>160.42276992779981</v>
      </c>
      <c r="BP5" s="12">
        <f t="shared" si="25"/>
        <v>2.2919978362625706</v>
      </c>
      <c r="BQ5" s="12">
        <f t="shared" si="26"/>
        <v>10.102847179400236</v>
      </c>
      <c r="BR5" s="12">
        <f t="shared" si="27"/>
        <v>33.960531137423501</v>
      </c>
      <c r="BS5" s="12">
        <f t="shared" si="28"/>
        <v>6.8491355635185271E-3</v>
      </c>
      <c r="BT5" s="12">
        <f t="shared" si="29"/>
        <v>0.47938845374405964</v>
      </c>
      <c r="BU5" s="12">
        <v>15.869015839117299</v>
      </c>
      <c r="BV5" s="12">
        <v>23.602064424274801</v>
      </c>
      <c r="BW5" s="12">
        <v>28.560953906388999</v>
      </c>
      <c r="BX5" s="12">
        <v>18.8923295960135</v>
      </c>
      <c r="BY5" s="12">
        <v>13.0834668090408</v>
      </c>
      <c r="BZ5" s="12">
        <v>16.321510487650801</v>
      </c>
      <c r="CA5" s="12">
        <v>23.324358164633399</v>
      </c>
      <c r="CB5" s="12">
        <v>30.7139137275759</v>
      </c>
      <c r="CC5" s="12">
        <v>16.165276069540901</v>
      </c>
      <c r="CD5" s="12">
        <v>13.5214794623763</v>
      </c>
      <c r="CE5" s="12">
        <v>-0.45249464853350202</v>
      </c>
      <c r="CF5" s="12">
        <v>0.277706259641402</v>
      </c>
      <c r="CG5" s="12">
        <v>-2.1529598211868999</v>
      </c>
      <c r="CH5" s="12">
        <v>2.7270535264725999</v>
      </c>
      <c r="CI5" s="12">
        <v>-0.43801265333549999</v>
      </c>
      <c r="CJ5" s="20">
        <v>338.57250868280607</v>
      </c>
      <c r="CK5" s="20">
        <v>398.0506454401214</v>
      </c>
      <c r="CL5" s="20">
        <v>256.94654473872976</v>
      </c>
      <c r="CM5" s="20">
        <v>220.58852804783805</v>
      </c>
      <c r="CN5" s="12">
        <v>1.1756732612128229</v>
      </c>
      <c r="CO5" s="12">
        <v>0.85849968627575235</v>
      </c>
      <c r="CP5" s="12">
        <f t="shared" si="30"/>
        <v>0.1251395169312528</v>
      </c>
      <c r="CQ5" s="12">
        <f t="shared" si="31"/>
        <v>7.7246615389662213E-3</v>
      </c>
      <c r="CR5" s="12">
        <f t="shared" si="32"/>
        <v>0.76654485434239106</v>
      </c>
      <c r="CS5">
        <f t="shared" si="33"/>
        <v>4.9628812835088548E-2</v>
      </c>
      <c r="CT5">
        <f t="shared" si="34"/>
        <v>4.0204646147248849E-2</v>
      </c>
      <c r="CU5">
        <f t="shared" si="35"/>
        <v>3.7836195356164205E-2</v>
      </c>
      <c r="CV5">
        <f t="shared" si="36"/>
        <v>2.8331675404761052E-2</v>
      </c>
      <c r="CW5">
        <f t="shared" si="37"/>
        <v>1653.0923276674871</v>
      </c>
      <c r="CX5">
        <f t="shared" si="38"/>
        <v>2040.5852952531097</v>
      </c>
      <c r="CZ5">
        <f t="shared" si="39"/>
        <v>4.8</v>
      </c>
      <c r="DA5">
        <f>CZ5-((G5/1000000)+(AA5/1000)+(AP5))</f>
        <v>2.9718976777132333</v>
      </c>
    </row>
    <row r="6" spans="1:105" ht="15.75">
      <c r="A6">
        <v>41</v>
      </c>
      <c r="B6" t="s">
        <v>13</v>
      </c>
      <c r="C6" t="s">
        <v>8</v>
      </c>
      <c r="D6">
        <v>80</v>
      </c>
      <c r="E6" t="s">
        <v>225</v>
      </c>
      <c r="F6" t="s">
        <v>225</v>
      </c>
      <c r="G6">
        <v>151025.50307249479</v>
      </c>
      <c r="H6">
        <v>2953.9346982315819</v>
      </c>
      <c r="I6">
        <f t="shared" si="0"/>
        <v>1.9559178007264397E-2</v>
      </c>
      <c r="J6" s="4">
        <v>9.2339578897115171</v>
      </c>
      <c r="K6" s="5">
        <v>1.6069174853200765</v>
      </c>
      <c r="L6">
        <f t="shared" si="1"/>
        <v>0.17402261354370105</v>
      </c>
      <c r="M6" s="6">
        <v>4.8832305213646361</v>
      </c>
      <c r="N6">
        <v>0.21519837860115598</v>
      </c>
      <c r="O6">
        <f t="shared" si="2"/>
        <v>4.4068855168651354E-2</v>
      </c>
      <c r="P6">
        <v>57.606042934468697</v>
      </c>
      <c r="Q6">
        <v>3.191377751854668</v>
      </c>
      <c r="R6">
        <f t="shared" si="3"/>
        <v>5.5400051614118082E-2</v>
      </c>
      <c r="S6">
        <v>9322.561918055233</v>
      </c>
      <c r="T6">
        <v>343.48077886413739</v>
      </c>
      <c r="U6">
        <f t="shared" si="4"/>
        <v>3.6844032990428287E-2</v>
      </c>
      <c r="V6">
        <v>566.24392067272277</v>
      </c>
      <c r="W6">
        <v>195.41108821228835</v>
      </c>
      <c r="X6">
        <f t="shared" si="5"/>
        <v>0.34510054956551472</v>
      </c>
      <c r="Y6">
        <v>49.1</v>
      </c>
      <c r="Z6">
        <v>2.23</v>
      </c>
      <c r="AA6">
        <f t="shared" si="6"/>
        <v>584.29000000000008</v>
      </c>
      <c r="AB6">
        <f t="shared" si="7"/>
        <v>26.536999999999999</v>
      </c>
      <c r="AC6">
        <f t="shared" si="8"/>
        <v>4.5417515274949083E-2</v>
      </c>
      <c r="AD6">
        <v>7.8</v>
      </c>
      <c r="AE6" s="7">
        <v>7.68</v>
      </c>
      <c r="AF6" s="8">
        <v>79.274389078201381</v>
      </c>
      <c r="AG6" s="8">
        <v>55.77126051060165</v>
      </c>
      <c r="AH6" s="8">
        <v>2.7763789058023156</v>
      </c>
      <c r="AI6" s="8">
        <v>5.3061432160971345</v>
      </c>
      <c r="AJ6" s="8">
        <v>15.420606445700276</v>
      </c>
      <c r="AK6">
        <v>33.949911879901343</v>
      </c>
      <c r="AL6" s="8">
        <f t="shared" si="9"/>
        <v>21.821348630700307</v>
      </c>
      <c r="AM6">
        <v>2.016</v>
      </c>
      <c r="AN6">
        <v>0.38400000000000001</v>
      </c>
      <c r="AO6">
        <f t="shared" si="10"/>
        <v>1.7466400000000003E-2</v>
      </c>
      <c r="AP6">
        <f t="shared" si="11"/>
        <v>4.5386793545436586</v>
      </c>
      <c r="AQ6">
        <f t="shared" si="12"/>
        <v>3.1930598469405052</v>
      </c>
      <c r="AR6">
        <f t="shared" si="13"/>
        <v>1.9437269202526759</v>
      </c>
      <c r="AS6">
        <f t="shared" si="14"/>
        <v>1.2493329266878292</v>
      </c>
      <c r="AT6">
        <f t="shared" si="15"/>
        <v>0.88287262662599464</v>
      </c>
      <c r="AU6">
        <f t="shared" si="40"/>
        <v>0.45421639090702365</v>
      </c>
      <c r="AV6">
        <f t="shared" si="16"/>
        <v>0.64275125979395376</v>
      </c>
      <c r="AW6" s="9">
        <v>0.39100000000000001</v>
      </c>
      <c r="AX6" s="9">
        <v>3.3000000000000002E-2</v>
      </c>
      <c r="AY6" s="10">
        <v>11.714</v>
      </c>
      <c r="AZ6">
        <f t="shared" si="17"/>
        <v>202.74779815396772</v>
      </c>
      <c r="BA6" s="5">
        <v>6.9362812884535191E-2</v>
      </c>
      <c r="BB6" s="5">
        <v>7.2001871474999701E-2</v>
      </c>
      <c r="BC6" s="5">
        <f t="shared" si="18"/>
        <v>1.0380471679379211</v>
      </c>
      <c r="BD6" t="s">
        <v>93</v>
      </c>
      <c r="BE6" t="s">
        <v>59</v>
      </c>
      <c r="BF6">
        <f t="shared" si="19"/>
        <v>1142.8946690810462</v>
      </c>
      <c r="BG6">
        <v>0.21180963115075099</v>
      </c>
      <c r="BH6">
        <v>0.25248912818997998</v>
      </c>
      <c r="BI6">
        <v>0.54613627992633496</v>
      </c>
      <c r="BJ6">
        <f t="shared" si="20"/>
        <v>7.8736178250939846</v>
      </c>
      <c r="BK6">
        <v>0.56707792724667705</v>
      </c>
      <c r="BL6">
        <f t="shared" si="21"/>
        <v>7.8758776074810273</v>
      </c>
      <c r="BM6">
        <f t="shared" si="22"/>
        <v>804.05130921436648</v>
      </c>
      <c r="BN6">
        <f t="shared" si="23"/>
        <v>489.45408163328187</v>
      </c>
      <c r="BO6">
        <f t="shared" si="24"/>
        <v>314.59722758108461</v>
      </c>
      <c r="BP6">
        <f t="shared" si="25"/>
        <v>12.728327902382919</v>
      </c>
      <c r="BQ6">
        <f t="shared" si="26"/>
        <v>40.026907651856838</v>
      </c>
      <c r="BR6">
        <f t="shared" si="27"/>
        <v>76.498385740641837</v>
      </c>
      <c r="BS6">
        <f t="shared" si="28"/>
        <v>2.6005152229825471E-2</v>
      </c>
      <c r="BT6">
        <f t="shared" si="29"/>
        <v>0.64275125979395376</v>
      </c>
      <c r="BU6">
        <v>17.888766114180498</v>
      </c>
      <c r="BV6">
        <v>27.493186003683199</v>
      </c>
      <c r="BW6">
        <v>27.865930018416201</v>
      </c>
      <c r="BX6">
        <v>15.102762430939199</v>
      </c>
      <c r="BY6">
        <v>11.6449355432781</v>
      </c>
      <c r="BZ6">
        <v>17.892223195096701</v>
      </c>
      <c r="CA6">
        <v>25.388840245164399</v>
      </c>
      <c r="CB6">
        <v>24.1996338454191</v>
      </c>
      <c r="CC6">
        <v>14.2991323728409</v>
      </c>
      <c r="CD6">
        <v>18.209026506407699</v>
      </c>
      <c r="CE6">
        <v>-3.4570809162026701E-3</v>
      </c>
      <c r="CF6">
        <v>2.1043457585188001</v>
      </c>
      <c r="CG6">
        <v>3.6662961729971002</v>
      </c>
      <c r="CH6">
        <v>0.80363005809830002</v>
      </c>
      <c r="CI6">
        <v>-6.5640909631296003</v>
      </c>
      <c r="CJ6" s="11">
        <v>389.45237581867559</v>
      </c>
      <c r="CK6" s="11">
        <v>517.43435877481932</v>
      </c>
      <c r="CL6" s="11">
        <v>211.94320881818172</v>
      </c>
      <c r="CM6" s="11">
        <v>225.62551655091545</v>
      </c>
      <c r="CN6">
        <v>1.3286203677333082</v>
      </c>
      <c r="CO6">
        <v>1.0645564809980361</v>
      </c>
      <c r="CP6">
        <f t="shared" si="30"/>
        <v>0.12259448412646895</v>
      </c>
      <c r="CQ6">
        <f t="shared" si="31"/>
        <v>7.5675607485474654E-3</v>
      </c>
      <c r="CR6">
        <f t="shared" si="32"/>
        <v>0.7510722896760722</v>
      </c>
      <c r="CS6">
        <f t="shared" si="33"/>
        <v>3.1478198530863151E-2</v>
      </c>
      <c r="CT6">
        <f t="shared" si="34"/>
        <v>1.8552955696776955E-2</v>
      </c>
      <c r="CU6">
        <f t="shared" si="35"/>
        <v>3.1163175671269881E-2</v>
      </c>
      <c r="CV6">
        <f t="shared" si="36"/>
        <v>2.3406482775125279E-2</v>
      </c>
      <c r="CW6">
        <f t="shared" si="37"/>
        <v>2518.3902757483379</v>
      </c>
      <c r="CX6">
        <f t="shared" si="38"/>
        <v>4272.871146454203</v>
      </c>
      <c r="CY6">
        <v>4.8</v>
      </c>
      <c r="CZ6">
        <f t="shared" si="39"/>
        <v>4.8</v>
      </c>
      <c r="DA6">
        <f>CZ6-((G6/1000000)+(AA6/1000)+(AP6))</f>
        <v>-0.47399485761615345</v>
      </c>
    </row>
    <row r="7" spans="1:105" ht="15.75">
      <c r="A7">
        <v>42</v>
      </c>
      <c r="B7" t="s">
        <v>13</v>
      </c>
      <c r="C7" t="s">
        <v>8</v>
      </c>
      <c r="D7">
        <v>80</v>
      </c>
      <c r="E7" t="s">
        <v>225</v>
      </c>
      <c r="F7" t="s">
        <v>225</v>
      </c>
      <c r="G7">
        <v>89104.178043634223</v>
      </c>
      <c r="H7">
        <v>34992.398002356014</v>
      </c>
      <c r="I7">
        <f t="shared" si="0"/>
        <v>0.39271332467957082</v>
      </c>
      <c r="J7" s="4">
        <v>20.263727181384404</v>
      </c>
      <c r="K7" s="5">
        <v>4.2549161800064068</v>
      </c>
      <c r="L7">
        <f t="shared" si="1"/>
        <v>0.20997697718291694</v>
      </c>
      <c r="M7" s="6">
        <v>25.046459196674725</v>
      </c>
      <c r="N7">
        <v>5.3216091802147485</v>
      </c>
      <c r="O7">
        <f t="shared" si="2"/>
        <v>0.21246952067864619</v>
      </c>
      <c r="P7">
        <v>250.74765877338857</v>
      </c>
      <c r="Q7">
        <v>54.254183614085377</v>
      </c>
      <c r="R7">
        <f t="shared" si="3"/>
        <v>0.21636965178254053</v>
      </c>
      <c r="S7">
        <v>5500.257903928039</v>
      </c>
      <c r="T7">
        <v>4068.8834886460477</v>
      </c>
      <c r="U7">
        <f t="shared" si="4"/>
        <v>0.73976230928012165</v>
      </c>
      <c r="V7">
        <v>986.67355465343803</v>
      </c>
      <c r="W7">
        <v>1220.8398797900893</v>
      </c>
      <c r="X7">
        <f t="shared" si="5"/>
        <v>1.2373290781254398</v>
      </c>
      <c r="Y7">
        <v>62.8</v>
      </c>
      <c r="Z7">
        <v>15.7</v>
      </c>
      <c r="AA7">
        <f t="shared" si="6"/>
        <v>747.31999999999994</v>
      </c>
      <c r="AB7">
        <f t="shared" si="7"/>
        <v>186.82999999999998</v>
      </c>
      <c r="AC7">
        <f t="shared" si="8"/>
        <v>0.25</v>
      </c>
      <c r="AD7">
        <v>6.1</v>
      </c>
      <c r="AE7" s="7">
        <v>7.35</v>
      </c>
      <c r="AF7" s="8">
        <v>42.005620924678333</v>
      </c>
      <c r="AG7" s="8">
        <v>30.393397325080088</v>
      </c>
      <c r="AH7" s="8">
        <v>2.0621461070023175</v>
      </c>
      <c r="AI7" s="8">
        <v>3.113089176028847</v>
      </c>
      <c r="AJ7" s="8">
        <v>6.4369883165670769</v>
      </c>
      <c r="AK7">
        <v>21.284561905269456</v>
      </c>
      <c r="AL7" s="8">
        <f t="shared" si="9"/>
        <v>9.1088354198106316</v>
      </c>
      <c r="AM7">
        <v>2.0539999999999998</v>
      </c>
      <c r="AN7">
        <v>1.036</v>
      </c>
      <c r="AO7">
        <f t="shared" si="10"/>
        <v>5.3065600000000004E-2</v>
      </c>
      <c r="AP7">
        <f t="shared" si="11"/>
        <v>0.79157911951769755</v>
      </c>
      <c r="AQ7">
        <f t="shared" si="12"/>
        <v>0.57275141193315604</v>
      </c>
      <c r="AR7">
        <f t="shared" si="13"/>
        <v>0.40109905296971021</v>
      </c>
      <c r="AS7">
        <f t="shared" si="14"/>
        <v>0.17165235896344583</v>
      </c>
      <c r="AT7">
        <f t="shared" si="15"/>
        <v>0.1213024693316777</v>
      </c>
      <c r="AU7">
        <f t="shared" si="40"/>
        <v>0.30242521998883426</v>
      </c>
      <c r="AV7">
        <f t="shared" si="16"/>
        <v>0.42795503428029408</v>
      </c>
      <c r="AW7" s="9">
        <v>0.66500000000000004</v>
      </c>
      <c r="AX7" s="9">
        <v>0.04</v>
      </c>
      <c r="AY7" s="10">
        <v>16.834399999999999</v>
      </c>
      <c r="AZ7">
        <f t="shared" si="17"/>
        <v>63.166347255155387</v>
      </c>
      <c r="BA7" s="5">
        <v>0.17803161419818758</v>
      </c>
      <c r="BB7" s="5">
        <v>0.12139348677967371</v>
      </c>
      <c r="BC7" s="5">
        <f t="shared" si="18"/>
        <v>0.68186477624438424</v>
      </c>
      <c r="BD7" t="s">
        <v>94</v>
      </c>
      <c r="BE7" t="s">
        <v>60</v>
      </c>
      <c r="BF7">
        <f t="shared" si="19"/>
        <v>235.94472877113284</v>
      </c>
      <c r="BG7">
        <v>0.22653920355943</v>
      </c>
      <c r="BH7">
        <v>8.3475454490990406E-2</v>
      </c>
      <c r="BI7">
        <v>0.52676410299292398</v>
      </c>
      <c r="BJ7">
        <f t="shared" si="20"/>
        <v>2.9588233829443458</v>
      </c>
      <c r="BK7">
        <v>0.61325354766323503</v>
      </c>
      <c r="BL7">
        <f t="shared" si="21"/>
        <v>5.0517829574849893</v>
      </c>
      <c r="BM7">
        <f t="shared" si="22"/>
        <v>170.71910212107431</v>
      </c>
      <c r="BN7">
        <f t="shared" si="23"/>
        <v>119.55495657965078</v>
      </c>
      <c r="BO7">
        <f t="shared" si="24"/>
        <v>51.164145541423522</v>
      </c>
      <c r="BP7">
        <f t="shared" si="25"/>
        <v>0.68135353306768254</v>
      </c>
      <c r="BQ7">
        <f t="shared" si="26"/>
        <v>11.583033251087103</v>
      </c>
      <c r="BR7">
        <f t="shared" si="27"/>
        <v>17.486159354615005</v>
      </c>
      <c r="BS7">
        <f t="shared" si="28"/>
        <v>5.699082267774872E-3</v>
      </c>
      <c r="BT7">
        <f t="shared" si="29"/>
        <v>0.42795503428029413</v>
      </c>
      <c r="BU7">
        <v>24.572124652806799</v>
      </c>
      <c r="BV7">
        <v>22.744233033581398</v>
      </c>
      <c r="BW7">
        <v>28.084849608002202</v>
      </c>
      <c r="BX7">
        <v>18.055853750590401</v>
      </c>
      <c r="BY7">
        <v>6.5357069406997397</v>
      </c>
      <c r="BZ7">
        <v>12.338317585542599</v>
      </c>
      <c r="CA7">
        <v>26.332799390317</v>
      </c>
      <c r="CB7">
        <v>31.908858044075</v>
      </c>
      <c r="CC7">
        <v>17.7189107562468</v>
      </c>
      <c r="CD7">
        <v>11.6975859660017</v>
      </c>
      <c r="CE7">
        <v>12.2338070672642</v>
      </c>
      <c r="CF7">
        <v>-3.5885663567355999</v>
      </c>
      <c r="CG7">
        <v>-3.8240084360728002</v>
      </c>
      <c r="CH7">
        <v>0.33694299434360198</v>
      </c>
      <c r="CI7">
        <v>-5.1618790253019604</v>
      </c>
      <c r="CJ7" s="11">
        <v>299.47254146742227</v>
      </c>
      <c r="CK7" s="11">
        <v>278.24594056339635</v>
      </c>
      <c r="CL7" s="11">
        <v>534.56468429019355</v>
      </c>
      <c r="CM7" s="11">
        <v>227.98076628258113</v>
      </c>
      <c r="CN7">
        <v>0.92912004285930494</v>
      </c>
      <c r="CO7">
        <v>0.42647928862958628</v>
      </c>
      <c r="CP7">
        <f t="shared" si="30"/>
        <v>4.2897030083376933E-2</v>
      </c>
      <c r="CQ7">
        <f t="shared" si="31"/>
        <v>2.6479648199615393E-3</v>
      </c>
      <c r="CR7">
        <f t="shared" si="32"/>
        <v>0.26409716200212058</v>
      </c>
      <c r="CS7">
        <f t="shared" si="33"/>
        <v>8.4238075368865128E-2</v>
      </c>
      <c r="CT7">
        <f t="shared" si="34"/>
        <v>4.3780752455230817E-2</v>
      </c>
      <c r="CU7">
        <f t="shared" si="35"/>
        <v>4.6944217273642279E-2</v>
      </c>
      <c r="CV7">
        <f t="shared" si="36"/>
        <v>3.5709711059565878E-2</v>
      </c>
      <c r="CW7">
        <f t="shared" si="37"/>
        <v>498.65361644057515</v>
      </c>
      <c r="CX7">
        <f t="shared" si="38"/>
        <v>959.45406529118713</v>
      </c>
      <c r="CY7">
        <v>4.8</v>
      </c>
      <c r="CZ7">
        <f t="shared" si="39"/>
        <v>4.8</v>
      </c>
      <c r="DA7">
        <f>CZ7-((G7/1000000)+(AA7/1000)+(AP7))</f>
        <v>3.1719967024386682</v>
      </c>
    </row>
    <row r="8" spans="1:105" ht="15.75">
      <c r="A8">
        <v>43</v>
      </c>
      <c r="B8" t="s">
        <v>13</v>
      </c>
      <c r="C8" t="s">
        <v>8</v>
      </c>
      <c r="D8">
        <v>80</v>
      </c>
      <c r="E8" t="s">
        <v>225</v>
      </c>
      <c r="F8" t="s">
        <v>225</v>
      </c>
      <c r="G8">
        <v>189708.56271076918</v>
      </c>
      <c r="H8">
        <v>4794.7242074903688</v>
      </c>
      <c r="I8">
        <f t="shared" si="0"/>
        <v>2.5274158103239831E-2</v>
      </c>
      <c r="J8" s="4">
        <v>17.98056951899833</v>
      </c>
      <c r="K8" s="5">
        <v>5.9383918356888241</v>
      </c>
      <c r="L8">
        <f t="shared" si="1"/>
        <v>0.33026717142715084</v>
      </c>
      <c r="M8" s="6">
        <v>1.1356190616455977</v>
      </c>
      <c r="N8">
        <v>0.2507062348758663</v>
      </c>
      <c r="O8">
        <f t="shared" si="2"/>
        <v>0.2207661383497509</v>
      </c>
      <c r="P8">
        <v>14.316849958897382</v>
      </c>
      <c r="Q8">
        <v>3.5485485179132632</v>
      </c>
      <c r="R8">
        <f t="shared" si="3"/>
        <v>0.2478581900418656</v>
      </c>
      <c r="S8">
        <v>11710.405105603037</v>
      </c>
      <c r="T8">
        <v>557.52607063841492</v>
      </c>
      <c r="U8">
        <f t="shared" si="4"/>
        <v>4.7609460613079677E-2</v>
      </c>
      <c r="V8">
        <v>65.307157188207455</v>
      </c>
      <c r="W8">
        <v>56.207503559806348</v>
      </c>
      <c r="X8">
        <f t="shared" si="5"/>
        <v>0.86066376152039525</v>
      </c>
      <c r="Y8">
        <v>20.2</v>
      </c>
      <c r="Z8">
        <v>1.93</v>
      </c>
      <c r="AA8">
        <f t="shared" si="6"/>
        <v>240.38</v>
      </c>
      <c r="AB8">
        <f t="shared" si="7"/>
        <v>22.966999999999999</v>
      </c>
      <c r="AC8">
        <f t="shared" si="8"/>
        <v>9.5544554455445546E-2</v>
      </c>
      <c r="AD8">
        <v>7.46</v>
      </c>
      <c r="AE8" s="7">
        <v>7.72</v>
      </c>
      <c r="AF8" s="8">
        <v>76.746492419850597</v>
      </c>
      <c r="AG8" s="8">
        <v>52.407261658271608</v>
      </c>
      <c r="AH8" s="8">
        <v>2.4073683951414901</v>
      </c>
      <c r="AI8" s="8">
        <v>4.2351770493184926</v>
      </c>
      <c r="AJ8" s="8">
        <v>17.696685317119009</v>
      </c>
      <c r="AK8" s="5">
        <v>27.365085705436535</v>
      </c>
      <c r="AL8" s="8">
        <f t="shared" si="9"/>
        <v>25.042175952835073</v>
      </c>
      <c r="AM8">
        <v>2.0129999999999999</v>
      </c>
      <c r="AN8">
        <v>0.4</v>
      </c>
      <c r="AO8">
        <f t="shared" si="10"/>
        <v>1.8340000000000002E-2</v>
      </c>
      <c r="AP8">
        <f t="shared" si="11"/>
        <v>4.1846506226745142</v>
      </c>
      <c r="AQ8">
        <f t="shared" si="12"/>
        <v>2.8575388036135005</v>
      </c>
      <c r="AR8">
        <f t="shared" si="13"/>
        <v>1.4920984572211848</v>
      </c>
      <c r="AS8">
        <f t="shared" si="14"/>
        <v>1.3654403463923157</v>
      </c>
      <c r="AT8">
        <f t="shared" si="15"/>
        <v>0.96492286352884449</v>
      </c>
      <c r="AU8">
        <f t="shared" si="40"/>
        <v>0.64668846674224989</v>
      </c>
      <c r="AV8">
        <f t="shared" si="16"/>
        <v>0.91511410643453694</v>
      </c>
      <c r="AW8" s="9">
        <v>0.46600000000000003</v>
      </c>
      <c r="AX8" s="9">
        <v>4.9000000000000002E-2</v>
      </c>
      <c r="AY8" s="10">
        <v>9.4687999999999999</v>
      </c>
      <c r="AZ8">
        <f t="shared" si="17"/>
        <v>164.69204381942188</v>
      </c>
      <c r="BA8" s="5">
        <v>7.4688231999052751E-2</v>
      </c>
      <c r="BB8" s="5">
        <v>8.2045671964385336E-2</v>
      </c>
      <c r="BC8" s="5">
        <f t="shared" si="18"/>
        <v>1.0985086909732433</v>
      </c>
      <c r="BD8" t="s">
        <v>95</v>
      </c>
      <c r="BE8" t="s">
        <v>61</v>
      </c>
      <c r="BF8">
        <f t="shared" si="19"/>
        <v>1027.5580284297525</v>
      </c>
      <c r="BG8">
        <v>0.243256438261996</v>
      </c>
      <c r="BH8">
        <v>0.26006599340877501</v>
      </c>
      <c r="BI8">
        <v>0.56526606348719499</v>
      </c>
      <c r="BJ8">
        <f t="shared" si="20"/>
        <v>7.56834173681289</v>
      </c>
      <c r="BK8">
        <v>0.52529828862236405</v>
      </c>
      <c r="BL8">
        <f t="shared" si="21"/>
        <v>6.402510651023583</v>
      </c>
      <c r="BM8">
        <f t="shared" si="22"/>
        <v>701.68030833741352</v>
      </c>
      <c r="BN8">
        <f t="shared" si="23"/>
        <v>366.39086202741549</v>
      </c>
      <c r="BO8">
        <f t="shared" si="24"/>
        <v>335.28944630999803</v>
      </c>
      <c r="BP8">
        <f t="shared" si="25"/>
        <v>12.919342682272655</v>
      </c>
      <c r="BQ8">
        <f t="shared" si="26"/>
        <v>32.232231647577656</v>
      </c>
      <c r="BR8">
        <f t="shared" si="27"/>
        <v>56.704743651880875</v>
      </c>
      <c r="BS8">
        <f t="shared" si="28"/>
        <v>3.5261094151703913E-2</v>
      </c>
      <c r="BT8">
        <f t="shared" si="29"/>
        <v>0.91511410643453694</v>
      </c>
      <c r="BU8">
        <v>17.097071001380201</v>
      </c>
      <c r="BV8">
        <v>26.3701886213771</v>
      </c>
      <c r="BW8">
        <v>24.825946940653299</v>
      </c>
      <c r="BX8">
        <v>15.172519552215901</v>
      </c>
      <c r="BY8">
        <v>16.528139855850299</v>
      </c>
      <c r="BZ8">
        <v>17.754573241687499</v>
      </c>
      <c r="CA8">
        <v>29.710943197157501</v>
      </c>
      <c r="CB8">
        <v>26.080278040682099</v>
      </c>
      <c r="CC8">
        <v>13.462940838776699</v>
      </c>
      <c r="CD8">
        <v>12.986609982777599</v>
      </c>
      <c r="CE8">
        <v>-0.65750224030729898</v>
      </c>
      <c r="CF8">
        <v>-3.3407545757803998</v>
      </c>
      <c r="CG8">
        <v>-1.2543311000288</v>
      </c>
      <c r="CH8">
        <v>1.7095787134392</v>
      </c>
      <c r="CI8">
        <v>3.5415298730727001</v>
      </c>
      <c r="CJ8" s="11">
        <v>387.33531617874695</v>
      </c>
      <c r="CK8" s="11">
        <v>570.07903604018975</v>
      </c>
      <c r="CL8" s="11">
        <v>223.55923155343552</v>
      </c>
      <c r="CM8" s="11">
        <v>174.23801069775746</v>
      </c>
      <c r="CN8">
        <v>1.4717972057500444</v>
      </c>
      <c r="CO8">
        <v>0.77938186442598678</v>
      </c>
      <c r="CP8">
        <f t="shared" si="30"/>
        <v>8.7747436503123236E-2</v>
      </c>
      <c r="CQ8">
        <f t="shared" si="31"/>
        <v>5.416508426118718E-3</v>
      </c>
      <c r="CR8">
        <f t="shared" si="32"/>
        <v>0.53873279190509138</v>
      </c>
      <c r="CS8">
        <f t="shared" si="33"/>
        <v>3.2464927710675551E-2</v>
      </c>
      <c r="CT8">
        <f t="shared" si="34"/>
        <v>2.3676662043926027E-2</v>
      </c>
      <c r="CU8">
        <f t="shared" si="35"/>
        <v>3.8943401913616164E-2</v>
      </c>
      <c r="CV8">
        <f t="shared" si="36"/>
        <v>2.1700711703105825E-2</v>
      </c>
      <c r="CW8">
        <f t="shared" si="37"/>
        <v>2363.9816205293378</v>
      </c>
      <c r="CX8">
        <f t="shared" si="38"/>
        <v>3241.4405492407245</v>
      </c>
      <c r="CY8">
        <v>5.4</v>
      </c>
      <c r="CZ8">
        <f t="shared" si="39"/>
        <v>4.8</v>
      </c>
      <c r="DA8">
        <f>CZ8-((G8/1000000)+(AA8/1000)+(AP8))</f>
        <v>0.18526081461471655</v>
      </c>
    </row>
    <row r="9" spans="1:105" s="21" customFormat="1" ht="16.5" thickBot="1">
      <c r="A9" s="21">
        <v>44</v>
      </c>
      <c r="B9" s="21" t="s">
        <v>13</v>
      </c>
      <c r="C9" s="21" t="s">
        <v>8</v>
      </c>
      <c r="D9" s="21">
        <v>80</v>
      </c>
      <c r="E9" t="s">
        <v>225</v>
      </c>
      <c r="F9" t="s">
        <v>225</v>
      </c>
      <c r="G9" s="21">
        <v>80439.494961909106</v>
      </c>
      <c r="H9" s="21">
        <v>14839.94458514699</v>
      </c>
      <c r="I9" s="21">
        <f t="shared" si="0"/>
        <v>0.18448580006841439</v>
      </c>
      <c r="J9" s="22">
        <v>33.59471671180173</v>
      </c>
      <c r="K9" s="23">
        <v>0.92312393248537317</v>
      </c>
      <c r="L9" s="21">
        <f t="shared" si="1"/>
        <v>2.7478247261453533E-2</v>
      </c>
      <c r="M9" s="24">
        <v>11.363666477567337</v>
      </c>
      <c r="N9" s="21">
        <v>5.2203304170870917</v>
      </c>
      <c r="O9" s="21">
        <f t="shared" si="2"/>
        <v>0.45938785931392695</v>
      </c>
      <c r="P9" s="21">
        <v>121.72264670235759</v>
      </c>
      <c r="Q9" s="21">
        <v>53.019467689859951</v>
      </c>
      <c r="R9" s="21">
        <f t="shared" si="3"/>
        <v>0.43557603392822908</v>
      </c>
      <c r="S9" s="21">
        <v>4965.4009235746371</v>
      </c>
      <c r="T9" s="21">
        <v>1725.574951761278</v>
      </c>
      <c r="U9" s="21">
        <f t="shared" si="4"/>
        <v>0.34751976291957126</v>
      </c>
      <c r="V9" s="21">
        <v>240.60410766969747</v>
      </c>
      <c r="W9" s="21">
        <v>5690.4637011532404</v>
      </c>
      <c r="X9" s="21">
        <f t="shared" si="5"/>
        <v>23.650733797800068</v>
      </c>
      <c r="Y9" s="21">
        <v>50.4</v>
      </c>
      <c r="Z9" s="21">
        <v>12.5</v>
      </c>
      <c r="AA9" s="21">
        <f t="shared" si="6"/>
        <v>599.76</v>
      </c>
      <c r="AB9" s="21">
        <f t="shared" si="7"/>
        <v>148.75</v>
      </c>
      <c r="AC9" s="21">
        <f t="shared" si="8"/>
        <v>0.24801587301587302</v>
      </c>
      <c r="AD9" s="21">
        <v>5.9</v>
      </c>
      <c r="AE9" s="25">
        <v>7.45</v>
      </c>
      <c r="AF9" s="26">
        <v>70.489822231012496</v>
      </c>
      <c r="AG9" s="26">
        <v>49.164077179389167</v>
      </c>
      <c r="AH9" s="26">
        <v>3.3143348904195671</v>
      </c>
      <c r="AI9" s="26">
        <v>5.8111513627350675</v>
      </c>
      <c r="AJ9" s="26">
        <v>12.200258798468694</v>
      </c>
      <c r="AK9" s="21">
        <v>31.899769088549728</v>
      </c>
      <c r="AL9" s="26">
        <f t="shared" si="9"/>
        <v>17.264308090839439</v>
      </c>
      <c r="AM9" s="21">
        <v>2.0110000000000001</v>
      </c>
      <c r="AN9" s="21">
        <v>0.70399999999999996</v>
      </c>
      <c r="AO9" s="21">
        <f t="shared" si="10"/>
        <v>3.4938399999999994E-2</v>
      </c>
      <c r="AP9" s="21">
        <f t="shared" si="11"/>
        <v>2.0175458014967056</v>
      </c>
      <c r="AQ9" s="21">
        <f t="shared" si="12"/>
        <v>1.407164528982128</v>
      </c>
      <c r="AR9" s="21">
        <f t="shared" si="13"/>
        <v>0.91302890483106647</v>
      </c>
      <c r="AS9" s="21">
        <f t="shared" si="14"/>
        <v>0.49413562415106133</v>
      </c>
      <c r="AT9" s="21">
        <f t="shared" si="15"/>
        <v>0.34919340320302866</v>
      </c>
      <c r="AU9" s="21">
        <f t="shared" si="40"/>
        <v>0.38245602231797721</v>
      </c>
      <c r="AV9" s="21">
        <f t="shared" si="16"/>
        <v>0.54120479815750078</v>
      </c>
      <c r="AW9" s="27">
        <v>0.33200000000000002</v>
      </c>
      <c r="AX9" s="27">
        <v>4.3999999999999997E-2</v>
      </c>
      <c r="AY9" s="28">
        <v>7.4988000000000001</v>
      </c>
      <c r="AZ9" s="21">
        <f t="shared" si="17"/>
        <v>212.31874165967619</v>
      </c>
      <c r="BA9" s="23">
        <v>0.20752804740258388</v>
      </c>
      <c r="BB9" s="23">
        <v>0.18124726612626105</v>
      </c>
      <c r="BC9" s="5">
        <f t="shared" si="18"/>
        <v>0.87336274973309647</v>
      </c>
      <c r="BD9" s="21" t="s">
        <v>96</v>
      </c>
      <c r="BE9" s="21" t="s">
        <v>62</v>
      </c>
      <c r="BF9" s="21">
        <f t="shared" si="19"/>
        <v>339.66407487210256</v>
      </c>
      <c r="BG9" s="21">
        <v>0.13842402433432199</v>
      </c>
      <c r="BH9" s="21">
        <v>0.119757402377762</v>
      </c>
      <c r="BI9" s="21">
        <v>0.570527614164407</v>
      </c>
      <c r="BJ9" s="21">
        <f t="shared" si="20"/>
        <v>2.7491590717742356</v>
      </c>
      <c r="BK9" s="21">
        <v>0.59684913680923002</v>
      </c>
      <c r="BL9" s="21">
        <f t="shared" si="21"/>
        <v>3.2930104247390473</v>
      </c>
      <c r="BM9" s="21">
        <f t="shared" si="22"/>
        <v>236.90328991539019</v>
      </c>
      <c r="BN9" s="21">
        <f t="shared" si="23"/>
        <v>153.71304981570677</v>
      </c>
      <c r="BO9" s="21">
        <f t="shared" si="24"/>
        <v>83.190240099683436</v>
      </c>
      <c r="BP9" s="21">
        <f t="shared" si="25"/>
        <v>1.6826323360795084</v>
      </c>
      <c r="BQ9" s="21">
        <f t="shared" si="26"/>
        <v>15.970539557913757</v>
      </c>
      <c r="BR9" s="21">
        <f t="shared" si="27"/>
        <v>28.001763787918311</v>
      </c>
      <c r="BS9" s="21">
        <f t="shared" si="28"/>
        <v>1.0946580905764924E-2</v>
      </c>
      <c r="BT9" s="21">
        <f t="shared" si="29"/>
        <v>0.54120479815750078</v>
      </c>
      <c r="BU9" s="21">
        <v>21.260552857370101</v>
      </c>
      <c r="BV9" s="21">
        <v>21.679468695308401</v>
      </c>
      <c r="BW9" s="21">
        <v>31.220383519581901</v>
      </c>
      <c r="BX9" s="21">
        <v>20.274936071868499</v>
      </c>
      <c r="BY9" s="21">
        <v>5.5574418249902804</v>
      </c>
      <c r="BZ9" s="21">
        <v>16.712761342934002</v>
      </c>
      <c r="CA9" s="21">
        <v>23.640149214886801</v>
      </c>
      <c r="CB9" s="21">
        <v>30.627917064283899</v>
      </c>
      <c r="CC9" s="21">
        <v>19.952806454411402</v>
      </c>
      <c r="CD9" s="21">
        <v>9.1041901622278107</v>
      </c>
      <c r="CE9" s="21">
        <v>4.5477915144361001</v>
      </c>
      <c r="CF9" s="21">
        <v>-1.9606805195784001</v>
      </c>
      <c r="CG9" s="21">
        <v>0.59246645529800201</v>
      </c>
      <c r="CH9" s="21">
        <v>0.32212961745709701</v>
      </c>
      <c r="CI9" s="21">
        <v>-3.5467483372375299</v>
      </c>
      <c r="CJ9" s="29">
        <v>291.40837636099383</v>
      </c>
      <c r="CK9" s="29">
        <v>279.57653459016973</v>
      </c>
      <c r="CL9" s="29">
        <v>587.29991216544931</v>
      </c>
      <c r="CM9" s="29">
        <v>357.07191753566485</v>
      </c>
      <c r="CN9" s="21">
        <v>0.95939772933580014</v>
      </c>
      <c r="CO9" s="21">
        <v>0.60798905318935836</v>
      </c>
      <c r="CP9" s="21">
        <f t="shared" si="30"/>
        <v>6.8406173056329012E-2</v>
      </c>
      <c r="CQ9" s="21">
        <f t="shared" si="31"/>
        <v>4.2226032750820389E-3</v>
      </c>
      <c r="CR9" s="21">
        <f t="shared" si="32"/>
        <v>0.42048478706920334</v>
      </c>
      <c r="CS9">
        <f t="shared" si="33"/>
        <v>8.9112588282522373E-2</v>
      </c>
      <c r="CT9">
        <f t="shared" si="34"/>
        <v>5.3609429447007688E-2</v>
      </c>
      <c r="CU9">
        <f t="shared" si="35"/>
        <v>7.3138547188425565E-2</v>
      </c>
      <c r="CV9">
        <f t="shared" si="36"/>
        <v>5.2665011986058739E-2</v>
      </c>
      <c r="CW9">
        <f t="shared" si="37"/>
        <v>791.01980527747332</v>
      </c>
      <c r="CX9">
        <f t="shared" si="38"/>
        <v>1314.8773071851265</v>
      </c>
      <c r="CZ9">
        <f t="shared" si="39"/>
        <v>4.8</v>
      </c>
      <c r="DA9">
        <f>CZ9-((G9/1000000)+(AA9/1000)+(AP9))</f>
        <v>2.1022547035413854</v>
      </c>
    </row>
    <row r="10" spans="1:105" ht="15.75">
      <c r="A10">
        <v>45</v>
      </c>
      <c r="B10" t="s">
        <v>9</v>
      </c>
      <c r="C10" t="s">
        <v>7</v>
      </c>
      <c r="D10">
        <v>40</v>
      </c>
      <c r="E10" t="s">
        <v>224</v>
      </c>
      <c r="F10" t="s">
        <v>224</v>
      </c>
      <c r="G10">
        <v>146433.18677883077</v>
      </c>
      <c r="H10">
        <v>14604.66389588928</v>
      </c>
      <c r="I10">
        <f t="shared" si="0"/>
        <v>9.9736024443337554E-2</v>
      </c>
      <c r="J10" s="4">
        <v>3.8110416928131303</v>
      </c>
      <c r="K10" s="5">
        <v>1.5726714721129349</v>
      </c>
      <c r="L10">
        <f t="shared" si="1"/>
        <v>0.41266183864602735</v>
      </c>
      <c r="M10" s="6">
        <v>3.3717645244260193</v>
      </c>
      <c r="N10">
        <v>1.0084927355294795</v>
      </c>
      <c r="O10">
        <f t="shared" si="2"/>
        <v>0.29909939683618825</v>
      </c>
      <c r="P10">
        <v>35.665248931103989</v>
      </c>
      <c r="Q10">
        <v>12.01895573113276</v>
      </c>
      <c r="R10">
        <f t="shared" si="3"/>
        <v>0.33699346258174911</v>
      </c>
      <c r="S10">
        <v>9039.0856036315272</v>
      </c>
      <c r="T10">
        <v>1698.2167320801489</v>
      </c>
      <c r="U10">
        <f t="shared" si="4"/>
        <v>0.18787483674210104</v>
      </c>
      <c r="V10">
        <v>900.17465537541636</v>
      </c>
      <c r="W10">
        <v>752.21921760998487</v>
      </c>
      <c r="X10">
        <f t="shared" si="5"/>
        <v>0.83563696569114476</v>
      </c>
      <c r="Y10">
        <v>10.4</v>
      </c>
      <c r="Z10">
        <v>10.8</v>
      </c>
      <c r="AA10">
        <f t="shared" si="6"/>
        <v>123.76</v>
      </c>
      <c r="AB10">
        <f t="shared" si="7"/>
        <v>128.52000000000001</v>
      </c>
      <c r="AC10">
        <f t="shared" si="8"/>
        <v>1.0384615384615385</v>
      </c>
      <c r="AD10">
        <v>7.72</v>
      </c>
      <c r="AE10" s="7">
        <v>7.73</v>
      </c>
      <c r="AF10" s="8">
        <v>119.64599969712663</v>
      </c>
      <c r="AG10" s="8">
        <v>54.953930053759194</v>
      </c>
      <c r="AH10" s="8">
        <v>3.5743077290607483</v>
      </c>
      <c r="AI10" s="8">
        <v>46.383918621631061</v>
      </c>
      <c r="AJ10" s="8">
        <v>14.73384329267563</v>
      </c>
      <c r="AK10" s="8">
        <v>0</v>
      </c>
      <c r="AL10" s="8">
        <f t="shared" si="9"/>
        <v>54.953930053759194</v>
      </c>
      <c r="AM10">
        <v>2.0529999999999999</v>
      </c>
      <c r="AN10">
        <v>1.266</v>
      </c>
      <c r="AO10">
        <f t="shared" si="10"/>
        <v>6.5623600000000004E-2</v>
      </c>
      <c r="AP10">
        <f t="shared" si="11"/>
        <v>1.8232160335173111</v>
      </c>
      <c r="AQ10">
        <f t="shared" si="12"/>
        <v>0.83741108463661229</v>
      </c>
      <c r="AS10">
        <f t="shared" si="14"/>
        <v>0.83741108463661229</v>
      </c>
      <c r="AT10">
        <f t="shared" si="15"/>
        <v>0.2245204970875665</v>
      </c>
      <c r="AW10" s="9">
        <v>0.52</v>
      </c>
      <c r="AX10" s="9">
        <v>4.7E-2</v>
      </c>
      <c r="AY10" s="10">
        <v>11.062099999999999</v>
      </c>
      <c r="AZ10">
        <f t="shared" si="17"/>
        <v>230.08846095601274</v>
      </c>
      <c r="BA10" s="5">
        <v>0.11280361222417705</v>
      </c>
      <c r="BB10" s="5">
        <v>7.8934889857413953E-2</v>
      </c>
      <c r="BC10" s="5">
        <f t="shared" si="18"/>
        <v>0.69975498391438873</v>
      </c>
      <c r="BD10" t="s">
        <v>97</v>
      </c>
      <c r="BE10" t="s">
        <v>63</v>
      </c>
      <c r="BF10">
        <f t="shared" si="19"/>
        <v>1060.6575209608675</v>
      </c>
      <c r="BG10">
        <v>0.23326975915984699</v>
      </c>
      <c r="BH10">
        <v>0.229868813032227</v>
      </c>
      <c r="BI10">
        <v>0.54470851605384996</v>
      </c>
      <c r="BJ10">
        <f t="shared" si="20"/>
        <v>4.8288215715232505</v>
      </c>
      <c r="BK10">
        <v>0.53259404218308304</v>
      </c>
      <c r="BL10">
        <f t="shared" si="21"/>
        <v>6.7472576847215198</v>
      </c>
      <c r="BM10">
        <f t="shared" si="22"/>
        <v>487.16463037148196</v>
      </c>
      <c r="BN10">
        <f t="shared" si="23"/>
        <v>0</v>
      </c>
      <c r="BO10">
        <f t="shared" si="24"/>
        <v>487.16463037148196</v>
      </c>
      <c r="BP10">
        <f t="shared" si="25"/>
        <v>1.9903662006972975</v>
      </c>
      <c r="BQ10">
        <f t="shared" si="26"/>
        <v>31.686110564947597</v>
      </c>
      <c r="BR10">
        <f t="shared" si="27"/>
        <v>411.19178461635875</v>
      </c>
      <c r="BS10">
        <v>0</v>
      </c>
      <c r="BT10">
        <v>0</v>
      </c>
      <c r="BU10">
        <v>21.3560673433715</v>
      </c>
      <c r="BV10">
        <v>24.163881137109399</v>
      </c>
      <c r="BW10">
        <v>26.603085037873001</v>
      </c>
      <c r="BX10">
        <v>15.759452911772801</v>
      </c>
      <c r="BY10">
        <v>12.108313655739201</v>
      </c>
      <c r="BZ10">
        <v>16.896426759440502</v>
      </c>
      <c r="CA10">
        <v>29.845618612741902</v>
      </c>
      <c r="CB10">
        <v>27.532072189606399</v>
      </c>
      <c r="CC10">
        <v>14.2117851706893</v>
      </c>
      <c r="CD10">
        <v>11.5155468580126</v>
      </c>
      <c r="CE10">
        <v>4.4596405839309998</v>
      </c>
      <c r="CF10">
        <v>-5.6817374756324996</v>
      </c>
      <c r="CG10">
        <v>-0.92898715173339896</v>
      </c>
      <c r="CH10">
        <v>1.5476677410835</v>
      </c>
      <c r="CI10">
        <v>0.59276679772660001</v>
      </c>
      <c r="CJ10" s="11">
        <v>284.71492012727867</v>
      </c>
      <c r="CK10" s="11">
        <v>433.83248026534932</v>
      </c>
      <c r="CL10" s="11">
        <v>343.76090992186914</v>
      </c>
      <c r="CM10" s="11">
        <v>192.65458497302427</v>
      </c>
      <c r="CN10">
        <v>1.5237433994376173</v>
      </c>
      <c r="CO10">
        <v>0.56043191477707954</v>
      </c>
      <c r="CP10">
        <f t="shared" si="30"/>
        <v>0.11734124085900233</v>
      </c>
      <c r="CQ10">
        <f t="shared" si="31"/>
        <v>7.2432864727779199E-3</v>
      </c>
      <c r="CR10">
        <f t="shared" si="32"/>
        <v>0.71911985615142437</v>
      </c>
      <c r="CS10">
        <f t="shared" si="33"/>
        <v>5.1348146168566845E-2</v>
      </c>
      <c r="CT10">
        <f t="shared" si="34"/>
        <v>3.1435847334355088E-2</v>
      </c>
      <c r="CU10">
        <f t="shared" si="35"/>
        <v>3.6895782031634634E-2</v>
      </c>
      <c r="CV10">
        <f t="shared" si="36"/>
        <v>2.0307841200107028E-2</v>
      </c>
      <c r="CW10">
        <f t="shared" si="37"/>
        <v>2330.093851964004</v>
      </c>
      <c r="CX10">
        <f t="shared" si="38"/>
        <v>3806.0370514132728</v>
      </c>
      <c r="CZ10">
        <f t="shared" si="39"/>
        <v>4.8</v>
      </c>
      <c r="DA10">
        <f>CZ10-((G10/1000000)+(AA10/1000)+(AP10))</f>
        <v>2.7065907797038582</v>
      </c>
    </row>
    <row r="11" spans="1:105" ht="15.75">
      <c r="A11">
        <v>46</v>
      </c>
      <c r="B11" t="s">
        <v>9</v>
      </c>
      <c r="C11" t="s">
        <v>7</v>
      </c>
      <c r="D11">
        <v>40</v>
      </c>
      <c r="E11" t="s">
        <v>224</v>
      </c>
      <c r="F11" t="s">
        <v>224</v>
      </c>
      <c r="G11">
        <v>72234.685518430328</v>
      </c>
      <c r="H11">
        <v>13954.61682561724</v>
      </c>
      <c r="I11">
        <f t="shared" si="0"/>
        <v>0.19318443384178349</v>
      </c>
      <c r="J11" s="4">
        <v>0.45736425109226525</v>
      </c>
      <c r="K11" s="5">
        <v>10.040903181756471</v>
      </c>
      <c r="L11">
        <f t="shared" si="1"/>
        <v>21.953843479845769</v>
      </c>
      <c r="M11" s="6">
        <v>9.9591816272535407</v>
      </c>
      <c r="N11">
        <v>1.0414571557667556</v>
      </c>
      <c r="O11">
        <f t="shared" si="2"/>
        <v>0.10457256376535828</v>
      </c>
      <c r="P11">
        <v>104.51632153248735</v>
      </c>
      <c r="Q11">
        <v>12.233335046647721</v>
      </c>
      <c r="R11">
        <f t="shared" si="3"/>
        <v>0.11704712591559366</v>
      </c>
      <c r="S11">
        <v>4458.9312048413776</v>
      </c>
      <c r="T11">
        <v>1622.6298634438651</v>
      </c>
      <c r="U11">
        <f t="shared" si="4"/>
        <v>0.36390556142289454</v>
      </c>
      <c r="V11">
        <v>22747.361865904382</v>
      </c>
      <c r="W11">
        <v>109.60167147821076</v>
      </c>
      <c r="X11">
        <f t="shared" si="5"/>
        <v>4.8182146186582968E-3</v>
      </c>
      <c r="Y11">
        <v>47.5</v>
      </c>
      <c r="Z11">
        <v>8.08</v>
      </c>
      <c r="AA11">
        <f t="shared" si="6"/>
        <v>565.25</v>
      </c>
      <c r="AB11">
        <f t="shared" si="7"/>
        <v>96.152000000000001</v>
      </c>
      <c r="AC11">
        <f t="shared" si="8"/>
        <v>0.17010526315789473</v>
      </c>
      <c r="AD11">
        <v>7.72</v>
      </c>
      <c r="AE11" s="7">
        <v>7.81</v>
      </c>
      <c r="AF11" s="8">
        <v>132.51639178882368</v>
      </c>
      <c r="AG11" s="8">
        <v>52.852238613450318</v>
      </c>
      <c r="AH11" s="8">
        <v>4.0382379895848954</v>
      </c>
      <c r="AI11" s="8">
        <v>64.530649700293324</v>
      </c>
      <c r="AJ11" s="8">
        <v>11.095265485495146</v>
      </c>
      <c r="AK11" s="8">
        <v>0</v>
      </c>
      <c r="AL11" s="8">
        <f t="shared" si="9"/>
        <v>52.852238613450318</v>
      </c>
      <c r="AM11">
        <v>2.0430000000000001</v>
      </c>
      <c r="AN11">
        <v>1.3959999999999999</v>
      </c>
      <c r="AO11">
        <f t="shared" si="10"/>
        <v>7.2721599999999997E-2</v>
      </c>
      <c r="AP11">
        <f t="shared" si="11"/>
        <v>1.8222425220130427</v>
      </c>
      <c r="AQ11">
        <f t="shared" si="12"/>
        <v>0.72677496938255381</v>
      </c>
      <c r="AS11">
        <f t="shared" si="14"/>
        <v>0.72677496938255381</v>
      </c>
      <c r="AT11">
        <f t="shared" si="15"/>
        <v>0.15257180102603829</v>
      </c>
      <c r="AW11" s="9">
        <v>0.47299999999999998</v>
      </c>
      <c r="AX11" s="9">
        <v>4.5999999999999999E-2</v>
      </c>
      <c r="AY11" s="10">
        <v>10.3803</v>
      </c>
      <c r="AZ11">
        <f t="shared" si="17"/>
        <v>280.16150483895069</v>
      </c>
      <c r="BA11" s="5">
        <v>0.13499919865053805</v>
      </c>
      <c r="BB11" s="5">
        <v>7.1906369851473542E-2</v>
      </c>
      <c r="BC11" s="5">
        <f t="shared" si="18"/>
        <v>0.53264293840448629</v>
      </c>
      <c r="BD11" t="s">
        <v>98</v>
      </c>
      <c r="BE11" t="s">
        <v>64</v>
      </c>
      <c r="BF11">
        <f t="shared" si="19"/>
        <v>981.60872889222537</v>
      </c>
      <c r="BG11">
        <v>0.15528321289293201</v>
      </c>
      <c r="BH11">
        <v>0.20990105918993701</v>
      </c>
      <c r="BI11">
        <v>0.56556364695601502</v>
      </c>
      <c r="BJ11">
        <f t="shared" si="20"/>
        <v>4.1893852156859515</v>
      </c>
      <c r="BK11">
        <v>0.55653923541247496</v>
      </c>
      <c r="BL11">
        <f t="shared" si="21"/>
        <v>7.7397765533434182</v>
      </c>
      <c r="BM11">
        <f t="shared" si="22"/>
        <v>391.5003877190768</v>
      </c>
      <c r="BN11">
        <f t="shared" si="23"/>
        <v>0</v>
      </c>
      <c r="BO11">
        <f t="shared" si="24"/>
        <v>391.5003877190768</v>
      </c>
      <c r="BP11">
        <f t="shared" si="25"/>
        <v>1.130168197671966</v>
      </c>
      <c r="BQ11">
        <f t="shared" si="26"/>
        <v>29.9130515584642</v>
      </c>
      <c r="BR11">
        <f t="shared" si="27"/>
        <v>478.00765001086273</v>
      </c>
      <c r="BS11">
        <v>0</v>
      </c>
      <c r="BT11">
        <v>0</v>
      </c>
      <c r="BU11">
        <v>17.8660064083892</v>
      </c>
      <c r="BV11">
        <v>25.573550830177702</v>
      </c>
      <c r="BW11">
        <v>30.381007864841202</v>
      </c>
      <c r="BX11">
        <v>16.379260122342</v>
      </c>
      <c r="BY11">
        <v>9.7960967084182897</v>
      </c>
      <c r="BZ11">
        <v>17.128772635814901</v>
      </c>
      <c r="CA11">
        <v>27.2112676056338</v>
      </c>
      <c r="CB11">
        <v>27.346076458752499</v>
      </c>
      <c r="CC11">
        <v>14.784708249496999</v>
      </c>
      <c r="CD11">
        <v>13.523138832998001</v>
      </c>
      <c r="CE11">
        <v>0.73723377257429901</v>
      </c>
      <c r="CF11">
        <v>-1.6377167754560999</v>
      </c>
      <c r="CG11">
        <v>3.0349314060886998</v>
      </c>
      <c r="CH11">
        <v>1.5945518728450001</v>
      </c>
      <c r="CI11">
        <v>-3.7270421245797101</v>
      </c>
      <c r="CJ11" s="11">
        <v>277.17732677030943</v>
      </c>
      <c r="CK11" s="11">
        <v>387.89493363700205</v>
      </c>
      <c r="CL11" s="11">
        <v>309.46247747594566</v>
      </c>
      <c r="CM11" s="11">
        <v>184.79846917031676</v>
      </c>
      <c r="CN11">
        <v>1.3994468384437584</v>
      </c>
      <c r="CO11">
        <v>0.59715953506732022</v>
      </c>
      <c r="CP11">
        <f t="shared" si="30"/>
        <v>0.22014439869052549</v>
      </c>
      <c r="CQ11">
        <f t="shared" si="31"/>
        <v>1.3589160412995398E-2</v>
      </c>
      <c r="CR11">
        <f t="shared" si="32"/>
        <v>1.3406970934316602</v>
      </c>
      <c r="CS11">
        <f t="shared" si="33"/>
        <v>5.864305416940712E-2</v>
      </c>
      <c r="CT11">
        <f t="shared" si="34"/>
        <v>3.5336521965445261E-2</v>
      </c>
      <c r="CU11">
        <f t="shared" si="35"/>
        <v>3.1883313328308308E-2</v>
      </c>
      <c r="CV11">
        <f t="shared" si="36"/>
        <v>2.0355145220128421E-2</v>
      </c>
      <c r="CW11">
        <f t="shared" si="37"/>
        <v>2259.7116344931906</v>
      </c>
      <c r="CX11">
        <f t="shared" si="38"/>
        <v>3750.1254910828034</v>
      </c>
      <c r="CZ11">
        <f t="shared" si="39"/>
        <v>4.8</v>
      </c>
      <c r="DA11">
        <f>CZ11-((G11/1000000)+(AA11/1000)+(AP11))</f>
        <v>2.3402727924685269</v>
      </c>
    </row>
    <row r="12" spans="1:105" ht="15.75">
      <c r="A12">
        <v>47</v>
      </c>
      <c r="B12" t="s">
        <v>9</v>
      </c>
      <c r="C12" t="s">
        <v>7</v>
      </c>
      <c r="D12">
        <v>40</v>
      </c>
      <c r="E12" t="s">
        <v>224</v>
      </c>
      <c r="F12" t="s">
        <v>224</v>
      </c>
      <c r="G12">
        <v>72878.689569488401</v>
      </c>
      <c r="H12">
        <v>36659.793824663524</v>
      </c>
      <c r="I12">
        <f t="shared" si="0"/>
        <v>0.50302487656160622</v>
      </c>
      <c r="J12" s="4">
        <v>0.20566194323126111</v>
      </c>
      <c r="K12" s="5">
        <v>36.963209159862465</v>
      </c>
      <c r="L12">
        <f t="shared" si="1"/>
        <v>179.72799721287458</v>
      </c>
      <c r="M12" s="6">
        <v>1.7482329891574016</v>
      </c>
      <c r="N12">
        <v>21.385467082246183</v>
      </c>
      <c r="O12">
        <f t="shared" si="2"/>
        <v>12.232618429511142</v>
      </c>
      <c r="P12">
        <v>20.51028662389254</v>
      </c>
      <c r="Q12">
        <v>190.35235754526835</v>
      </c>
      <c r="R12">
        <f t="shared" si="3"/>
        <v>9.2808238634522979</v>
      </c>
      <c r="S12">
        <v>4498.6845413264437</v>
      </c>
      <c r="T12">
        <v>4262.7667237980841</v>
      </c>
      <c r="U12">
        <f t="shared" si="4"/>
        <v>0.94755848840674683</v>
      </c>
      <c r="V12">
        <v>9952.3054427448114</v>
      </c>
      <c r="W12">
        <v>324.62554040188223</v>
      </c>
      <c r="X12">
        <f t="shared" si="5"/>
        <v>3.2618124741994617E-2</v>
      </c>
      <c r="Y12">
        <v>23.6</v>
      </c>
      <c r="Z12">
        <v>33.4</v>
      </c>
      <c r="AA12">
        <f t="shared" si="6"/>
        <v>280.84000000000003</v>
      </c>
      <c r="AB12">
        <f t="shared" si="7"/>
        <v>397.46</v>
      </c>
      <c r="AC12">
        <f t="shared" si="8"/>
        <v>1.4152542372881354</v>
      </c>
      <c r="AD12">
        <v>7.03</v>
      </c>
      <c r="AE12" s="7">
        <v>7.67</v>
      </c>
      <c r="AF12" s="8">
        <v>155.62571098877279</v>
      </c>
      <c r="AG12" s="8">
        <v>64.378693665690179</v>
      </c>
      <c r="AH12" s="8">
        <v>4.5164886855720665</v>
      </c>
      <c r="AI12" s="8">
        <v>74.508358110777095</v>
      </c>
      <c r="AJ12" s="8">
        <v>12.222170526733427</v>
      </c>
      <c r="AK12" s="8">
        <v>0</v>
      </c>
      <c r="AL12" s="8">
        <f t="shared" si="9"/>
        <v>64.378693665690179</v>
      </c>
      <c r="AM12">
        <v>2.004</v>
      </c>
      <c r="AN12">
        <v>1.081</v>
      </c>
      <c r="AO12">
        <f t="shared" si="10"/>
        <v>5.5522599999999998E-2</v>
      </c>
      <c r="AP12">
        <f t="shared" si="11"/>
        <v>2.802925493200477</v>
      </c>
      <c r="AQ12">
        <f t="shared" si="12"/>
        <v>1.1595043039355177</v>
      </c>
      <c r="AS12">
        <f t="shared" si="14"/>
        <v>1.1595043039355177</v>
      </c>
      <c r="AT12">
        <f t="shared" si="15"/>
        <v>0.22012965038981291</v>
      </c>
      <c r="AW12" s="9">
        <v>0.65100000000000002</v>
      </c>
      <c r="AX12" s="9">
        <v>5.5E-2</v>
      </c>
      <c r="AY12" s="10">
        <v>11.8226</v>
      </c>
      <c r="AZ12">
        <f t="shared" si="17"/>
        <v>239.05639168782304</v>
      </c>
      <c r="BA12" s="5">
        <v>0.19270305251450989</v>
      </c>
      <c r="BB12" s="5">
        <v>0.12970984954807327</v>
      </c>
      <c r="BC12" s="5">
        <f t="shared" si="18"/>
        <v>0.67310739428119104</v>
      </c>
      <c r="BD12" t="s">
        <v>99</v>
      </c>
      <c r="BE12" t="s">
        <v>65</v>
      </c>
      <c r="BF12">
        <f t="shared" si="19"/>
        <v>807.59338764005668</v>
      </c>
      <c r="BG12">
        <v>2.3618903914904899E-3</v>
      </c>
      <c r="BH12">
        <v>0.122261836279521</v>
      </c>
      <c r="BI12">
        <v>0.66659079269333599</v>
      </c>
      <c r="BJ12">
        <f t="shared" si="20"/>
        <v>3.4591605270141943</v>
      </c>
      <c r="BK12">
        <v>0.58861126801977803</v>
      </c>
      <c r="BL12">
        <f t="shared" si="21"/>
        <v>4.5379072604785193</v>
      </c>
      <c r="BM12">
        <f t="shared" si="22"/>
        <v>334.08237609958297</v>
      </c>
      <c r="BN12">
        <f t="shared" si="23"/>
        <v>0</v>
      </c>
      <c r="BO12">
        <f t="shared" si="24"/>
        <v>334.08237609958297</v>
      </c>
      <c r="BP12">
        <f t="shared" si="25"/>
        <v>1.1423257053659692</v>
      </c>
      <c r="BQ12">
        <f t="shared" si="26"/>
        <v>23.437556523563579</v>
      </c>
      <c r="BR12">
        <f t="shared" si="27"/>
        <v>386.64856180815747</v>
      </c>
      <c r="BS12">
        <v>0</v>
      </c>
      <c r="BT12">
        <v>0</v>
      </c>
      <c r="BU12">
        <v>12.137938883514501</v>
      </c>
      <c r="BV12">
        <v>21.1980672829703</v>
      </c>
      <c r="BW12">
        <v>33.155201936855597</v>
      </c>
      <c r="BX12">
        <v>23.9114240337708</v>
      </c>
      <c r="BY12">
        <v>9.5924532987072109</v>
      </c>
      <c r="BZ12">
        <v>14.955932308311301</v>
      </c>
      <c r="CA12">
        <v>26.177524316544499</v>
      </c>
      <c r="CB12">
        <v>31.040833223712202</v>
      </c>
      <c r="CC12">
        <v>16.4524540945424</v>
      </c>
      <c r="CD12">
        <v>11.3678394837232</v>
      </c>
      <c r="CE12">
        <v>-2.8179934247967999</v>
      </c>
      <c r="CF12">
        <v>-4.9794570335742003</v>
      </c>
      <c r="CG12">
        <v>2.1143687131434001</v>
      </c>
      <c r="CH12">
        <v>7.4589699392283997</v>
      </c>
      <c r="CI12">
        <v>-1.77538618501599</v>
      </c>
      <c r="CJ12" s="11">
        <v>248.65987488719858</v>
      </c>
      <c r="CK12" s="11">
        <v>331.21275947451613</v>
      </c>
      <c r="CL12" s="11">
        <v>434.53997835314078</v>
      </c>
      <c r="CM12" s="11">
        <v>233.84238944873442</v>
      </c>
      <c r="CN12">
        <v>1.331991177204471</v>
      </c>
      <c r="CO12">
        <v>0.53813780341908157</v>
      </c>
      <c r="CP12">
        <f t="shared" si="30"/>
        <v>0.17951767460492721</v>
      </c>
      <c r="CQ12">
        <f t="shared" si="31"/>
        <v>1.108133793857575E-2</v>
      </c>
      <c r="CR12">
        <f t="shared" si="32"/>
        <v>1.0959887718992747</v>
      </c>
      <c r="CS12">
        <f t="shared" si="33"/>
        <v>6.4239501469241456E-2</v>
      </c>
      <c r="CT12">
        <f t="shared" si="34"/>
        <v>6.4562994330402079E-2</v>
      </c>
      <c r="CU12">
        <f t="shared" si="35"/>
        <v>5.3354144702022432E-2</v>
      </c>
      <c r="CV12">
        <f t="shared" si="36"/>
        <v>3.6085660944200598E-2</v>
      </c>
      <c r="CW12">
        <f t="shared" si="37"/>
        <v>2422.5859078823646</v>
      </c>
      <c r="CX12">
        <f t="shared" si="38"/>
        <v>2410.4475420138651</v>
      </c>
      <c r="CZ12">
        <f t="shared" si="39"/>
        <v>4.8</v>
      </c>
      <c r="DA12">
        <f>CZ12-((G12/1000000)+(AA12/1000)+(AP12))</f>
        <v>1.6433558172300344</v>
      </c>
    </row>
    <row r="13" spans="1:105" s="12" customFormat="1" ht="15.75">
      <c r="A13" s="12">
        <v>48</v>
      </c>
      <c r="B13" s="12" t="s">
        <v>9</v>
      </c>
      <c r="C13" s="12" t="s">
        <v>7</v>
      </c>
      <c r="D13" s="12">
        <v>40</v>
      </c>
      <c r="E13" t="s">
        <v>224</v>
      </c>
      <c r="F13" t="s">
        <v>224</v>
      </c>
      <c r="G13" s="12">
        <v>85886.367608707078</v>
      </c>
      <c r="H13" s="12">
        <v>15369.861451280805</v>
      </c>
      <c r="I13" s="12">
        <f t="shared" si="0"/>
        <v>0.17895577469645629</v>
      </c>
      <c r="J13" s="13">
        <v>0.66918407446571404</v>
      </c>
      <c r="K13" s="14">
        <v>1.3583333963874022</v>
      </c>
      <c r="L13" s="12">
        <f t="shared" si="1"/>
        <v>2.0298352100980805</v>
      </c>
      <c r="M13" s="15">
        <v>6.7586058522878378</v>
      </c>
      <c r="N13" s="12">
        <v>1.1224026900362409</v>
      </c>
      <c r="O13" s="12">
        <f t="shared" si="2"/>
        <v>0.16607015034858105</v>
      </c>
      <c r="P13" s="12">
        <v>66.854717944564584</v>
      </c>
      <c r="Q13" s="12">
        <v>13.555984162371798</v>
      </c>
      <c r="R13" s="12">
        <f t="shared" si="3"/>
        <v>0.20276780127338681</v>
      </c>
      <c r="S13" s="12">
        <v>5301.6276301671023</v>
      </c>
      <c r="T13" s="12">
        <v>1787.1931920093957</v>
      </c>
      <c r="U13" s="12">
        <f t="shared" si="4"/>
        <v>0.33710273838169674</v>
      </c>
      <c r="V13" s="12">
        <v>9923.6277958454302</v>
      </c>
      <c r="W13" s="12">
        <v>984.43053361191232</v>
      </c>
      <c r="X13" s="12">
        <f t="shared" si="5"/>
        <v>9.9200670749062997E-2</v>
      </c>
      <c r="Y13" s="12">
        <v>19.600000000000001</v>
      </c>
      <c r="Z13" s="12">
        <v>16.899999999999999</v>
      </c>
      <c r="AA13" s="12">
        <f t="shared" si="6"/>
        <v>233.24000000000004</v>
      </c>
      <c r="AB13" s="12">
        <f t="shared" si="7"/>
        <v>201.10999999999999</v>
      </c>
      <c r="AC13" s="12">
        <f t="shared" si="8"/>
        <v>0.86224489795918358</v>
      </c>
      <c r="AD13" s="12">
        <v>7.5</v>
      </c>
      <c r="AE13" s="16">
        <v>7.63</v>
      </c>
      <c r="AF13" s="17">
        <v>134.20941857140241</v>
      </c>
      <c r="AG13" s="17">
        <v>58.116461851071357</v>
      </c>
      <c r="AH13" s="17">
        <v>3.8928898953539113</v>
      </c>
      <c r="AI13" s="17">
        <v>59.691767441188816</v>
      </c>
      <c r="AJ13" s="17">
        <v>12.508299383788339</v>
      </c>
      <c r="AK13" s="17">
        <v>0</v>
      </c>
      <c r="AL13" s="17">
        <f t="shared" si="9"/>
        <v>58.116461851071357</v>
      </c>
      <c r="AM13" s="12">
        <v>2.0710000000000002</v>
      </c>
      <c r="AN13" s="12">
        <v>1.4</v>
      </c>
      <c r="AO13" s="12">
        <f t="shared" si="10"/>
        <v>7.2939999999999991E-2</v>
      </c>
      <c r="AP13" s="12">
        <f t="shared" si="11"/>
        <v>1.8399975126323338</v>
      </c>
      <c r="AQ13" s="12">
        <f t="shared" si="12"/>
        <v>0.796770795874299</v>
      </c>
      <c r="AS13" s="12">
        <f t="shared" si="14"/>
        <v>0.796770795874299</v>
      </c>
      <c r="AT13" s="12">
        <f t="shared" si="15"/>
        <v>0.17148751554412311</v>
      </c>
      <c r="AW13" s="18">
        <v>0.52900000000000003</v>
      </c>
      <c r="AX13" s="18">
        <v>5.7000000000000002E-2</v>
      </c>
      <c r="AY13" s="19">
        <v>9.3594000000000008</v>
      </c>
      <c r="AZ13" s="12">
        <f t="shared" si="17"/>
        <v>253.70400486087411</v>
      </c>
      <c r="BA13" s="14">
        <v>0.13038447356862146</v>
      </c>
      <c r="BB13" s="14">
        <v>8.852012217685068E-2</v>
      </c>
      <c r="BC13" s="5">
        <f t="shared" si="18"/>
        <v>0.67891612976649762</v>
      </c>
      <c r="BD13" s="12" t="s">
        <v>100</v>
      </c>
      <c r="BE13" s="12" t="s">
        <v>66</v>
      </c>
      <c r="BF13" s="12">
        <f t="shared" si="19"/>
        <v>1029.3358932861579</v>
      </c>
      <c r="BG13" s="12">
        <v>0.14337315679051299</v>
      </c>
      <c r="BH13" s="12">
        <v>0.23387315530633301</v>
      </c>
      <c r="BI13" s="12">
        <v>0.56747840554276696</v>
      </c>
      <c r="BJ13" s="12">
        <f t="shared" si="20"/>
        <v>4.3523464873607258</v>
      </c>
      <c r="BK13" s="12">
        <v>0.54198802653578504</v>
      </c>
      <c r="BL13" s="12">
        <f t="shared" si="21"/>
        <v>6.1227663632565896</v>
      </c>
      <c r="BM13" s="12">
        <f t="shared" si="22"/>
        <v>445.73146065957474</v>
      </c>
      <c r="BN13" s="12">
        <f t="shared" si="23"/>
        <v>0</v>
      </c>
      <c r="BO13" s="12">
        <f t="shared" si="24"/>
        <v>445.73146065957474</v>
      </c>
      <c r="BP13" s="12">
        <f t="shared" si="25"/>
        <v>1.315244912607398</v>
      </c>
      <c r="BQ13" s="12">
        <f t="shared" si="26"/>
        <v>29.857005123428905</v>
      </c>
      <c r="BR13" s="12">
        <f t="shared" si="27"/>
        <v>457.81346357757076</v>
      </c>
      <c r="BS13" s="12">
        <v>0</v>
      </c>
      <c r="BT13" s="12">
        <v>0</v>
      </c>
      <c r="BU13" s="12">
        <v>17.216309228069399</v>
      </c>
      <c r="BV13" s="12">
        <v>26.048385258791601</v>
      </c>
      <c r="BW13" s="12">
        <v>31.100006837295201</v>
      </c>
      <c r="BX13" s="12">
        <v>16.810629714884801</v>
      </c>
      <c r="BY13" s="12">
        <v>8.8372040020967706</v>
      </c>
      <c r="BZ13" s="12">
        <v>18.534598996817898</v>
      </c>
      <c r="CA13" s="12">
        <v>27.254463081818699</v>
      </c>
      <c r="CB13" s="12">
        <v>26.723208025457101</v>
      </c>
      <c r="CC13" s="12">
        <v>14.6540100318214</v>
      </c>
      <c r="CD13" s="12">
        <v>12.821584596300101</v>
      </c>
      <c r="CE13" s="12">
        <v>-1.3182897687485</v>
      </c>
      <c r="CF13" s="12">
        <v>-1.2060778230271001</v>
      </c>
      <c r="CG13" s="12">
        <v>4.3767988118380998</v>
      </c>
      <c r="CH13" s="12">
        <v>2.1566196830634001</v>
      </c>
      <c r="CI13" s="12">
        <v>-3.9843805942033299</v>
      </c>
      <c r="CJ13" s="20">
        <v>277.3214338935768</v>
      </c>
      <c r="CK13" s="20">
        <v>455.7238696554698</v>
      </c>
      <c r="CL13" s="20">
        <v>291.880908194612</v>
      </c>
      <c r="CM13" s="20">
        <v>181.78617301079854</v>
      </c>
      <c r="CN13" s="12">
        <v>1.6433056156429497</v>
      </c>
      <c r="CO13" s="12">
        <v>0.62280939899499133</v>
      </c>
      <c r="CP13" s="12">
        <f t="shared" si="30"/>
        <v>0.19415469457512885</v>
      </c>
      <c r="CQ13" s="12">
        <f t="shared" si="31"/>
        <v>1.1984857689822765E-2</v>
      </c>
      <c r="CR13" s="12">
        <f t="shared" si="32"/>
        <v>1.1842921955553776</v>
      </c>
      <c r="CS13">
        <f t="shared" si="33"/>
        <v>5.6410444147766109E-2</v>
      </c>
      <c r="CT13">
        <f t="shared" si="34"/>
        <v>3.3440792973641817E-2</v>
      </c>
      <c r="CU13">
        <f t="shared" si="35"/>
        <v>4.0532533695643122E-2</v>
      </c>
      <c r="CV13">
        <f t="shared" si="36"/>
        <v>2.4321429933629374E-2</v>
      </c>
      <c r="CW13">
        <f t="shared" si="37"/>
        <v>2379.1590475664989</v>
      </c>
      <c r="CX13">
        <f t="shared" si="38"/>
        <v>4013.3443808341171</v>
      </c>
      <c r="CZ13">
        <f t="shared" si="39"/>
        <v>4.8</v>
      </c>
      <c r="DA13">
        <f>CZ13-((G13/1000000)+(AA13/1000)+(AP13))</f>
        <v>2.6408761197589588</v>
      </c>
    </row>
    <row r="14" spans="1:105" ht="15.75">
      <c r="A14">
        <v>49</v>
      </c>
      <c r="B14" t="s">
        <v>9</v>
      </c>
      <c r="C14" t="s">
        <v>8</v>
      </c>
      <c r="D14">
        <v>80</v>
      </c>
      <c r="E14" t="s">
        <v>225</v>
      </c>
      <c r="F14" t="s">
        <v>225</v>
      </c>
      <c r="G14">
        <v>122762.87347990833</v>
      </c>
      <c r="H14">
        <v>10170.475340091767</v>
      </c>
      <c r="I14">
        <f t="shared" si="0"/>
        <v>8.2846507676087366E-2</v>
      </c>
      <c r="J14" s="4">
        <v>1.0954757195608051</v>
      </c>
      <c r="K14" s="5">
        <v>6.731744560344838</v>
      </c>
      <c r="L14">
        <f t="shared" si="1"/>
        <v>6.1450422315555375</v>
      </c>
      <c r="M14" s="6">
        <v>10.710121301442694</v>
      </c>
      <c r="N14">
        <v>0.53841540155049394</v>
      </c>
      <c r="O14">
        <f t="shared" si="2"/>
        <v>5.0271643653369953E-2</v>
      </c>
      <c r="P14">
        <v>105.46666189439117</v>
      </c>
      <c r="Q14">
        <v>7.105915154529387</v>
      </c>
      <c r="R14">
        <f t="shared" si="3"/>
        <v>6.7375936877995452E-2</v>
      </c>
      <c r="S14">
        <v>7577.9551530807603</v>
      </c>
      <c r="T14">
        <v>1182.6134116385774</v>
      </c>
      <c r="U14">
        <f t="shared" si="4"/>
        <v>0.15605970050611806</v>
      </c>
      <c r="V14">
        <v>9522.0093296934956</v>
      </c>
      <c r="W14">
        <v>98.452385384512198</v>
      </c>
      <c r="X14">
        <f t="shared" si="5"/>
        <v>1.0339454833077893E-2</v>
      </c>
      <c r="Y14">
        <v>21.7</v>
      </c>
      <c r="Z14">
        <v>13.2</v>
      </c>
      <c r="AA14">
        <f t="shared" si="6"/>
        <v>258.23</v>
      </c>
      <c r="AB14">
        <f t="shared" si="7"/>
        <v>157.07999999999998</v>
      </c>
      <c r="AC14">
        <f t="shared" si="8"/>
        <v>0.60829493087557607</v>
      </c>
      <c r="AD14">
        <v>7.77</v>
      </c>
      <c r="AE14" s="7">
        <v>7.75</v>
      </c>
      <c r="AF14" s="8">
        <v>102.64144780729626</v>
      </c>
      <c r="AG14" s="8">
        <v>36.133890533322962</v>
      </c>
      <c r="AH14" s="8">
        <v>2.9676525737648389</v>
      </c>
      <c r="AI14" s="8">
        <v>54.421090747561678</v>
      </c>
      <c r="AJ14" s="8">
        <v>9.1188139526467751</v>
      </c>
      <c r="AK14" s="8">
        <v>0</v>
      </c>
      <c r="AL14" s="8">
        <f t="shared" si="9"/>
        <v>36.133890533322962</v>
      </c>
      <c r="AM14">
        <v>2.0059999999999998</v>
      </c>
      <c r="AN14">
        <v>0.58599999999999997</v>
      </c>
      <c r="AO14">
        <f t="shared" si="10"/>
        <v>2.8495599999999999E-2</v>
      </c>
      <c r="AP14">
        <f t="shared" si="11"/>
        <v>3.6020104088805383</v>
      </c>
      <c r="AQ14">
        <f t="shared" si="12"/>
        <v>1.2680515775531296</v>
      </c>
      <c r="AS14">
        <f t="shared" si="14"/>
        <v>1.2680515775531296</v>
      </c>
      <c r="AT14">
        <f t="shared" si="15"/>
        <v>0.32000778901468208</v>
      </c>
      <c r="AW14" s="9">
        <v>0.746</v>
      </c>
      <c r="AX14" s="9">
        <v>4.7E-2</v>
      </c>
      <c r="AY14" s="10">
        <v>15.901400000000001</v>
      </c>
      <c r="AZ14">
        <f t="shared" si="17"/>
        <v>137.58907212774298</v>
      </c>
      <c r="BA14" s="5">
        <v>9.5321625663076739E-2</v>
      </c>
      <c r="BB14" s="5">
        <v>9.2451519534534982E-2</v>
      </c>
      <c r="BC14" s="5">
        <f t="shared" si="18"/>
        <v>0.9698902939540035</v>
      </c>
      <c r="BD14" t="s">
        <v>101</v>
      </c>
      <c r="BE14" t="s">
        <v>67</v>
      </c>
      <c r="BF14">
        <f t="shared" si="19"/>
        <v>1076.7907816647203</v>
      </c>
      <c r="BG14">
        <v>0.13279482497011899</v>
      </c>
      <c r="BH14">
        <v>0.27133932543602202</v>
      </c>
      <c r="BI14">
        <v>0.58208162882927905</v>
      </c>
      <c r="BJ14">
        <f t="shared" si="20"/>
        <v>6.1065012769159157</v>
      </c>
      <c r="BK14">
        <v>0.51116222432688396</v>
      </c>
      <c r="BL14">
        <f t="shared" si="21"/>
        <v>5.5289759097571229</v>
      </c>
      <c r="BM14">
        <f t="shared" si="22"/>
        <v>379.07337691702406</v>
      </c>
      <c r="BN14">
        <f t="shared" si="23"/>
        <v>0</v>
      </c>
      <c r="BO14">
        <f t="shared" si="24"/>
        <v>379.07337691702406</v>
      </c>
      <c r="BP14">
        <f t="shared" si="25"/>
        <v>3.3571373420107178</v>
      </c>
      <c r="BQ14">
        <f t="shared" si="26"/>
        <v>31.133046180457374</v>
      </c>
      <c r="BR14">
        <f t="shared" si="27"/>
        <v>570.92071572423811</v>
      </c>
      <c r="BS14">
        <v>0</v>
      </c>
      <c r="BT14">
        <v>0</v>
      </c>
      <c r="BU14">
        <v>15.109973040210701</v>
      </c>
      <c r="BV14">
        <v>26.677700402835502</v>
      </c>
      <c r="BW14">
        <v>30.778919318406601</v>
      </c>
      <c r="BX14">
        <v>16.732764991828802</v>
      </c>
      <c r="BY14">
        <v>10.6964785726925</v>
      </c>
      <c r="BZ14">
        <v>17.443819879214299</v>
      </c>
      <c r="CA14">
        <v>31.438727690926299</v>
      </c>
      <c r="CB14">
        <v>26.170649807505399</v>
      </c>
      <c r="CC14">
        <v>13.0010700975388</v>
      </c>
      <c r="CD14">
        <v>11.9445025276442</v>
      </c>
      <c r="CE14">
        <v>-2.3338468390035998</v>
      </c>
      <c r="CF14">
        <v>-4.7610272880907996</v>
      </c>
      <c r="CG14">
        <v>4.6082695109012004</v>
      </c>
      <c r="CH14">
        <v>3.7316948942899999</v>
      </c>
      <c r="CI14">
        <v>-1.2480239549517</v>
      </c>
      <c r="CJ14" s="11">
        <v>345.29461870056053</v>
      </c>
      <c r="CK14" s="11">
        <v>570.81279180682088</v>
      </c>
      <c r="CL14" s="11">
        <v>256.48415797273799</v>
      </c>
      <c r="CM14" s="11">
        <v>173.81838160304255</v>
      </c>
      <c r="CN14">
        <v>1.6531181225903486</v>
      </c>
      <c r="CO14">
        <v>0.67769636525277288</v>
      </c>
      <c r="CP14">
        <f t="shared" si="30"/>
        <v>0.14209516418515081</v>
      </c>
      <c r="CQ14">
        <f t="shared" si="31"/>
        <v>8.7713064311821468E-3</v>
      </c>
      <c r="CR14">
        <f t="shared" si="32"/>
        <v>0.86950395746417086</v>
      </c>
      <c r="CS14">
        <f t="shared" si="33"/>
        <v>3.9832689652689435E-2</v>
      </c>
      <c r="CT14">
        <f t="shared" si="34"/>
        <v>2.6146000872786561E-2</v>
      </c>
      <c r="CU14">
        <f t="shared" si="35"/>
        <v>4.5192658015786896E-2</v>
      </c>
      <c r="CV14">
        <f t="shared" si="36"/>
        <v>2.3062560948572671E-2</v>
      </c>
      <c r="CW14">
        <f t="shared" si="37"/>
        <v>2576.8143879374234</v>
      </c>
      <c r="CX14">
        <f t="shared" si="38"/>
        <v>3925.7035256251424</v>
      </c>
      <c r="CY14">
        <v>5.4</v>
      </c>
      <c r="CZ14">
        <f t="shared" si="39"/>
        <v>4.8</v>
      </c>
      <c r="DA14">
        <f>CZ14-((G14/1000000)+(AA14/1000)+(AP14))</f>
        <v>0.81699671763955317</v>
      </c>
    </row>
    <row r="15" spans="1:105" ht="15.75">
      <c r="A15">
        <v>50</v>
      </c>
      <c r="B15" t="s">
        <v>9</v>
      </c>
      <c r="C15" t="s">
        <v>8</v>
      </c>
      <c r="D15">
        <v>80</v>
      </c>
      <c r="E15" t="s">
        <v>225</v>
      </c>
      <c r="F15" t="s">
        <v>225</v>
      </c>
      <c r="G15">
        <v>146771.28437513276</v>
      </c>
      <c r="H15">
        <v>16144.480603081569</v>
      </c>
      <c r="I15">
        <f t="shared" si="0"/>
        <v>0.10999754258345172</v>
      </c>
      <c r="J15" s="4">
        <v>5.604655790954153</v>
      </c>
      <c r="K15" s="5">
        <v>5.3380373715019287</v>
      </c>
      <c r="L15">
        <f t="shared" si="1"/>
        <v>0.95242911796964536</v>
      </c>
      <c r="M15" s="6">
        <v>3.1373975646751955</v>
      </c>
      <c r="N15">
        <v>1.3051583107217928</v>
      </c>
      <c r="O15">
        <f t="shared" si="2"/>
        <v>0.41600029445325065</v>
      </c>
      <c r="P15">
        <v>38.814232079261139</v>
      </c>
      <c r="Q15">
        <v>16.4493907340389</v>
      </c>
      <c r="R15">
        <f t="shared" si="3"/>
        <v>0.42379791774440351</v>
      </c>
      <c r="S15">
        <v>9059.9558256254786</v>
      </c>
      <c r="T15">
        <v>1877.2651864048332</v>
      </c>
      <c r="U15">
        <f t="shared" si="4"/>
        <v>0.20720467323859509</v>
      </c>
      <c r="V15">
        <v>653.72128708512435</v>
      </c>
      <c r="W15">
        <v>291.70489124714254</v>
      </c>
      <c r="X15">
        <f t="shared" si="5"/>
        <v>0.44622210873356211</v>
      </c>
      <c r="Y15">
        <v>51.5</v>
      </c>
      <c r="Z15">
        <v>31.1</v>
      </c>
      <c r="AA15">
        <f t="shared" si="6"/>
        <v>612.85</v>
      </c>
      <c r="AB15">
        <f t="shared" si="7"/>
        <v>370.09000000000003</v>
      </c>
      <c r="AC15">
        <f t="shared" si="8"/>
        <v>0.60388349514563111</v>
      </c>
      <c r="AD15">
        <v>7.71</v>
      </c>
      <c r="AE15" s="7">
        <v>7.96</v>
      </c>
      <c r="AF15" s="8">
        <v>129.25270928334788</v>
      </c>
      <c r="AG15" s="8">
        <v>45.581293416484876</v>
      </c>
      <c r="AH15" s="8">
        <v>4.8671221224522112</v>
      </c>
      <c r="AI15" s="8">
        <v>68.597822473798985</v>
      </c>
      <c r="AJ15" s="8">
        <v>10.206471270611818</v>
      </c>
      <c r="AK15" s="8">
        <v>0</v>
      </c>
      <c r="AL15" s="8">
        <f t="shared" si="9"/>
        <v>45.581293416484876</v>
      </c>
      <c r="AM15">
        <v>2.0419999999999998</v>
      </c>
      <c r="AN15">
        <v>1.427</v>
      </c>
      <c r="AO15">
        <f t="shared" si="10"/>
        <v>7.44142E-2</v>
      </c>
      <c r="AP15">
        <f t="shared" si="11"/>
        <v>1.7369360858995713</v>
      </c>
      <c r="AQ15">
        <f t="shared" si="12"/>
        <v>0.61253488469250328</v>
      </c>
      <c r="AS15">
        <f t="shared" si="14"/>
        <v>0.61253488469250328</v>
      </c>
      <c r="AT15">
        <f t="shared" si="15"/>
        <v>0.1371575757128588</v>
      </c>
      <c r="AW15" s="9">
        <v>0.42299999999999999</v>
      </c>
      <c r="AX15" s="9">
        <v>5.2999999999999999E-2</v>
      </c>
      <c r="AY15" s="10">
        <v>8.0372000000000003</v>
      </c>
      <c r="AZ15">
        <f t="shared" si="17"/>
        <v>305.56196048072786</v>
      </c>
      <c r="BA15" s="5">
        <v>0.14012154176995401</v>
      </c>
      <c r="BB15" s="5">
        <v>7.6260822163244507E-2</v>
      </c>
      <c r="BC15" s="5">
        <f t="shared" si="18"/>
        <v>0.54424766670385705</v>
      </c>
      <c r="BD15" t="s">
        <v>102</v>
      </c>
      <c r="BE15" t="s">
        <v>68</v>
      </c>
      <c r="BF15">
        <f t="shared" si="19"/>
        <v>922.43282261017271</v>
      </c>
      <c r="BG15">
        <v>0.1047866203009</v>
      </c>
      <c r="BH15">
        <v>0.18878202993816201</v>
      </c>
      <c r="BI15">
        <v>0.60233648107877302</v>
      </c>
      <c r="BJ15">
        <f t="shared" si="20"/>
        <v>4.2986715209547519</v>
      </c>
      <c r="BK15">
        <v>0.52294614415882701</v>
      </c>
      <c r="BL15">
        <f t="shared" si="21"/>
        <v>6.8573368254462883</v>
      </c>
      <c r="BM15">
        <f t="shared" si="22"/>
        <v>325.29825778907315</v>
      </c>
      <c r="BN15">
        <f t="shared" si="23"/>
        <v>0</v>
      </c>
      <c r="BO15">
        <f t="shared" si="24"/>
        <v>325.29825778907315</v>
      </c>
      <c r="BP15">
        <f t="shared" si="25"/>
        <v>0.9788471778168033</v>
      </c>
      <c r="BQ15">
        <f t="shared" si="26"/>
        <v>34.735002633948028</v>
      </c>
      <c r="BR15">
        <f t="shared" si="27"/>
        <v>489.55943252765638</v>
      </c>
      <c r="BS15">
        <v>0</v>
      </c>
      <c r="BT15">
        <v>0</v>
      </c>
      <c r="BU15">
        <v>14.3917503252008</v>
      </c>
      <c r="BV15">
        <v>25.373112097470901</v>
      </c>
      <c r="BW15">
        <v>31.240132264887201</v>
      </c>
      <c r="BX15">
        <v>18.650639975374101</v>
      </c>
      <c r="BY15">
        <v>10.342875867616</v>
      </c>
      <c r="BZ15">
        <v>16.012297207200501</v>
      </c>
      <c r="CA15">
        <v>31.704200311134201</v>
      </c>
      <c r="CB15">
        <v>30.894881102303899</v>
      </c>
      <c r="CC15">
        <v>14.0288169494037</v>
      </c>
      <c r="CD15">
        <v>7.3709163641751196</v>
      </c>
      <c r="CE15">
        <v>-1.6205468819997</v>
      </c>
      <c r="CF15">
        <v>-6.3310882136632998</v>
      </c>
      <c r="CG15">
        <v>0.34525116258330302</v>
      </c>
      <c r="CH15">
        <v>4.6218230259704001</v>
      </c>
      <c r="CI15">
        <v>2.9719595034408801</v>
      </c>
      <c r="CJ15" s="11">
        <v>261.19432920353961</v>
      </c>
      <c r="CK15" s="11">
        <v>409.60751125180292</v>
      </c>
      <c r="CL15" s="11">
        <v>293.76450943359703</v>
      </c>
      <c r="CM15" s="11">
        <v>185.67639826222043</v>
      </c>
      <c r="CN15">
        <v>1.5682098171917436</v>
      </c>
      <c r="CO15">
        <v>0.63205864663577072</v>
      </c>
      <c r="CP15">
        <f t="shared" si="30"/>
        <v>0.10181427375188003</v>
      </c>
      <c r="CQ15">
        <f t="shared" si="31"/>
        <v>6.2848317130790136E-3</v>
      </c>
      <c r="CR15">
        <f t="shared" si="32"/>
        <v>0.62455792982388925</v>
      </c>
      <c r="CS15">
        <f t="shared" si="33"/>
        <v>5.5719138309348673E-2</v>
      </c>
      <c r="CT15">
        <f t="shared" si="34"/>
        <v>4.0626161412513601E-2</v>
      </c>
      <c r="CU15">
        <f t="shared" si="35"/>
        <v>3.6388993314986212E-2</v>
      </c>
      <c r="CV15">
        <f t="shared" si="36"/>
        <v>1.6319612565676937E-2</v>
      </c>
      <c r="CW15">
        <f t="shared" si="37"/>
        <v>2319.7183805274603</v>
      </c>
      <c r="CX15">
        <f t="shared" si="38"/>
        <v>3181.5141965033322</v>
      </c>
      <c r="CY15">
        <v>5.9</v>
      </c>
      <c r="CZ15">
        <f t="shared" si="39"/>
        <v>4.8</v>
      </c>
      <c r="DA15">
        <f>CZ15-((G15/1000000)+(AA15/1000)+(AP15))</f>
        <v>2.3034426297252959</v>
      </c>
    </row>
    <row r="16" spans="1:105" ht="15.75">
      <c r="A16">
        <v>51</v>
      </c>
      <c r="B16" t="s">
        <v>9</v>
      </c>
      <c r="C16" t="s">
        <v>8</v>
      </c>
      <c r="D16">
        <v>80</v>
      </c>
      <c r="E16" t="s">
        <v>225</v>
      </c>
      <c r="F16" t="s">
        <v>225</v>
      </c>
      <c r="G16">
        <v>22233.307878523738</v>
      </c>
      <c r="H16">
        <v>51069.961297749433</v>
      </c>
      <c r="I16">
        <f t="shared" si="0"/>
        <v>2.2970023883436821</v>
      </c>
      <c r="J16" s="4">
        <v>2.6419515173165133</v>
      </c>
      <c r="K16" s="5">
        <v>1.8185092969273213</v>
      </c>
      <c r="L16">
        <f t="shared" si="1"/>
        <v>0.68832046500778343</v>
      </c>
      <c r="M16" s="6">
        <v>14.160878883034936</v>
      </c>
      <c r="N16">
        <v>21.121220594362491</v>
      </c>
      <c r="O16">
        <f t="shared" si="2"/>
        <v>1.4915190482750478</v>
      </c>
      <c r="P16">
        <v>157.51222154100415</v>
      </c>
      <c r="Q16">
        <v>184.99934842563118</v>
      </c>
      <c r="R16">
        <f t="shared" si="3"/>
        <v>1.1745078992328952</v>
      </c>
      <c r="S16">
        <v>1372.4264122545517</v>
      </c>
      <c r="T16">
        <v>5938.3675927615623</v>
      </c>
      <c r="U16">
        <f t="shared" si="4"/>
        <v>4.3269114757171696</v>
      </c>
      <c r="V16">
        <v>5804.4526558838734</v>
      </c>
      <c r="W16">
        <v>9988.1324985337887</v>
      </c>
      <c r="X16">
        <f t="shared" si="5"/>
        <v>1.7207707755888044</v>
      </c>
      <c r="Y16">
        <v>85.9</v>
      </c>
      <c r="Z16">
        <v>30.3</v>
      </c>
      <c r="AA16">
        <f t="shared" si="6"/>
        <v>1022.2100000000002</v>
      </c>
      <c r="AB16">
        <f t="shared" si="7"/>
        <v>360.57</v>
      </c>
      <c r="AC16">
        <f t="shared" si="8"/>
        <v>0.35273573923166474</v>
      </c>
      <c r="AD16">
        <v>6.78</v>
      </c>
      <c r="AE16" s="7">
        <v>7.34</v>
      </c>
      <c r="AF16" s="8">
        <v>111.97187635980529</v>
      </c>
      <c r="AG16" s="8">
        <v>49.270605994787935</v>
      </c>
      <c r="AH16" s="8">
        <v>3.7687769714535873</v>
      </c>
      <c r="AI16" s="8">
        <v>45.145370141266035</v>
      </c>
      <c r="AJ16" s="8">
        <v>13.787123252297739</v>
      </c>
      <c r="AK16" s="8">
        <v>0</v>
      </c>
      <c r="AL16" s="8">
        <f t="shared" si="9"/>
        <v>49.270605994787935</v>
      </c>
      <c r="AM16">
        <v>2.0259999999999998</v>
      </c>
      <c r="AN16">
        <v>1.2190000000000001</v>
      </c>
      <c r="AO16">
        <f t="shared" si="10"/>
        <v>6.30574E-2</v>
      </c>
      <c r="AP16">
        <f t="shared" si="11"/>
        <v>1.7757134984919341</v>
      </c>
      <c r="AQ16">
        <f t="shared" si="12"/>
        <v>0.78136120415348453</v>
      </c>
      <c r="AS16">
        <f t="shared" si="14"/>
        <v>0.78136120415348453</v>
      </c>
      <c r="AT16">
        <f t="shared" si="15"/>
        <v>0.21864401723346888</v>
      </c>
      <c r="AW16" s="9">
        <v>0.55400000000000005</v>
      </c>
      <c r="AX16" s="9">
        <v>4.7E-2</v>
      </c>
      <c r="AY16" s="10">
        <v>11.7592</v>
      </c>
      <c r="AZ16">
        <f t="shared" si="17"/>
        <v>202.11530028845718</v>
      </c>
      <c r="BA16" s="5">
        <v>0.38305706439434206</v>
      </c>
      <c r="BB16" s="5">
        <v>0.26212910019450392</v>
      </c>
      <c r="BC16" s="5">
        <f t="shared" si="18"/>
        <v>0.68430822600533581</v>
      </c>
      <c r="BD16" t="s">
        <v>103</v>
      </c>
      <c r="BE16" t="s">
        <v>69</v>
      </c>
      <c r="BF16">
        <f t="shared" si="19"/>
        <v>292.31121618092567</v>
      </c>
      <c r="BG16">
        <v>4.8913534743793799E-2</v>
      </c>
      <c r="BH16">
        <v>0.10691617948681199</v>
      </c>
      <c r="BI16">
        <v>0.67137072944125697</v>
      </c>
      <c r="BJ16">
        <f t="shared" si="20"/>
        <v>1.7526650513619231</v>
      </c>
      <c r="BK16">
        <v>0.627174269299686</v>
      </c>
      <c r="BL16">
        <f t="shared" si="21"/>
        <v>2.3926159622655891</v>
      </c>
      <c r="BM16">
        <f t="shared" si="22"/>
        <v>128.62471567438789</v>
      </c>
      <c r="BN16">
        <f t="shared" si="23"/>
        <v>0</v>
      </c>
      <c r="BO16">
        <f t="shared" si="24"/>
        <v>128.62471567438789</v>
      </c>
      <c r="BP16">
        <f t="shared" si="25"/>
        <v>0.57078706426983816</v>
      </c>
      <c r="BQ16">
        <f t="shared" si="26"/>
        <v>9.8386828537217124</v>
      </c>
      <c r="BR16">
        <f t="shared" si="27"/>
        <v>117.85546942632722</v>
      </c>
      <c r="BS16">
        <v>0</v>
      </c>
      <c r="BT16">
        <v>0</v>
      </c>
      <c r="BU16">
        <v>15.245781324302699</v>
      </c>
      <c r="BV16">
        <v>17.613022575653002</v>
      </c>
      <c r="BW16">
        <v>29.3587942792586</v>
      </c>
      <c r="BX16">
        <v>24.318648484465299</v>
      </c>
      <c r="BY16">
        <v>13.459630180401801</v>
      </c>
      <c r="BZ16">
        <v>17.634123556683701</v>
      </c>
      <c r="CA16">
        <v>19.645128640506901</v>
      </c>
      <c r="CB16">
        <v>29.144124437436901</v>
      </c>
      <c r="CC16">
        <v>24.158194831277999</v>
      </c>
      <c r="CD16">
        <v>9.4151076612536393</v>
      </c>
      <c r="CE16">
        <v>-2.388342232381</v>
      </c>
      <c r="CF16">
        <v>-2.0321060648539002</v>
      </c>
      <c r="CG16">
        <v>0.21466984182169899</v>
      </c>
      <c r="CH16">
        <v>0.16045365318730001</v>
      </c>
      <c r="CI16">
        <v>4.0445225191481597</v>
      </c>
      <c r="CJ16" s="11">
        <v>270.04980435860222</v>
      </c>
      <c r="CK16" s="11">
        <v>373.59803651553318</v>
      </c>
      <c r="CL16" s="11">
        <v>215.38312595927246</v>
      </c>
      <c r="CM16" s="11">
        <v>478.30906415422839</v>
      </c>
      <c r="CN16">
        <v>1.3834412411550134</v>
      </c>
      <c r="CO16">
        <v>2.22073601181122</v>
      </c>
      <c r="CP16">
        <f t="shared" si="30"/>
        <v>0.21298862625408951</v>
      </c>
      <c r="CQ16">
        <f t="shared" si="31"/>
        <v>1.3147446065067254E-2</v>
      </c>
      <c r="CR16">
        <f t="shared" si="32"/>
        <v>1.2976833842033775</v>
      </c>
      <c r="CS16">
        <f t="shared" si="33"/>
        <v>0.12586796961426391</v>
      </c>
      <c r="CT16">
        <f t="shared" si="34"/>
        <v>0.14471236523235395</v>
      </c>
      <c r="CU16">
        <f t="shared" si="35"/>
        <v>9.7719768343735552E-2</v>
      </c>
      <c r="CV16">
        <f t="shared" si="36"/>
        <v>8.8005395729252131E-2</v>
      </c>
      <c r="CW16">
        <f t="shared" si="37"/>
        <v>889.5978595901347</v>
      </c>
      <c r="CX16">
        <f t="shared" si="38"/>
        <v>773.75472496783755</v>
      </c>
      <c r="CY16">
        <v>6.2</v>
      </c>
      <c r="CZ16">
        <f t="shared" si="39"/>
        <v>4.8</v>
      </c>
      <c r="DA16">
        <f>CZ16-((G16/1000000)+(AA16/1000)+(AP16))</f>
        <v>1.979843193629542</v>
      </c>
    </row>
    <row r="17" spans="1:105" s="21" customFormat="1" ht="16.5" thickBot="1">
      <c r="A17" s="21">
        <v>52</v>
      </c>
      <c r="B17" s="21" t="s">
        <v>9</v>
      </c>
      <c r="C17" s="21" t="s">
        <v>8</v>
      </c>
      <c r="D17" s="21">
        <v>80</v>
      </c>
      <c r="E17" t="s">
        <v>225</v>
      </c>
      <c r="F17" t="s">
        <v>225</v>
      </c>
      <c r="G17" s="21">
        <v>54322.529330148107</v>
      </c>
      <c r="H17" s="21">
        <v>51662.790013212325</v>
      </c>
      <c r="I17" s="21">
        <f t="shared" si="0"/>
        <v>0.95103800670305549</v>
      </c>
      <c r="J17" s="22">
        <v>5.2055681238760583</v>
      </c>
      <c r="K17" s="23">
        <v>0.93081658802921297</v>
      </c>
      <c r="L17" s="21">
        <f t="shared" si="1"/>
        <v>0.17881171965839693</v>
      </c>
      <c r="M17" s="24">
        <v>28.755929561720109</v>
      </c>
      <c r="N17" s="21">
        <v>2.5932923276503517</v>
      </c>
      <c r="O17" s="21">
        <f t="shared" si="2"/>
        <v>9.0182872443203582E-2</v>
      </c>
      <c r="P17" s="21">
        <v>308.71133033381091</v>
      </c>
      <c r="Q17" s="21">
        <v>28.978764082690812</v>
      </c>
      <c r="R17" s="21">
        <f t="shared" si="3"/>
        <v>9.387010205085751E-2</v>
      </c>
      <c r="S17" s="21">
        <v>3353.2425512437103</v>
      </c>
      <c r="T17" s="21">
        <v>6007.3011643270147</v>
      </c>
      <c r="U17" s="21">
        <f t="shared" si="4"/>
        <v>1.7914901986731977</v>
      </c>
      <c r="V17" s="21">
        <v>5621.6947845696459</v>
      </c>
      <c r="W17" s="21">
        <v>3084.2837685550858</v>
      </c>
      <c r="X17" s="21">
        <f t="shared" si="5"/>
        <v>0.5486394916032773</v>
      </c>
      <c r="Y17" s="21">
        <v>120</v>
      </c>
      <c r="Z17" s="21">
        <v>18.399999999999999</v>
      </c>
      <c r="AA17" s="21">
        <f t="shared" si="6"/>
        <v>1428</v>
      </c>
      <c r="AB17" s="21">
        <f t="shared" si="7"/>
        <v>218.95999999999998</v>
      </c>
      <c r="AC17" s="21">
        <f t="shared" si="8"/>
        <v>0.15333333333333332</v>
      </c>
      <c r="AD17" s="21">
        <v>6.2</v>
      </c>
      <c r="AE17" s="25">
        <v>7.49</v>
      </c>
      <c r="AF17" s="26">
        <v>103.81062679526923</v>
      </c>
      <c r="AG17" s="26">
        <v>48.160486976861122</v>
      </c>
      <c r="AH17" s="26">
        <v>4.5162466301942494</v>
      </c>
      <c r="AI17" s="26">
        <v>35.563875545760474</v>
      </c>
      <c r="AJ17" s="26">
        <v>15.570017642453395</v>
      </c>
      <c r="AK17" s="26">
        <v>0</v>
      </c>
      <c r="AL17" s="26">
        <f t="shared" si="9"/>
        <v>48.160486976861122</v>
      </c>
      <c r="AM17" s="21">
        <v>2.0249999999999999</v>
      </c>
      <c r="AN17" s="21">
        <v>1.3859999999999999</v>
      </c>
      <c r="AO17" s="21">
        <f t="shared" si="10"/>
        <v>7.2175599999999993E-2</v>
      </c>
      <c r="AP17" s="21">
        <f t="shared" si="11"/>
        <v>1.4383063915681926</v>
      </c>
      <c r="AQ17" s="21">
        <f t="shared" si="12"/>
        <v>0.66726825931285816</v>
      </c>
      <c r="AS17" s="21">
        <f t="shared" si="14"/>
        <v>0.66726825931285816</v>
      </c>
      <c r="AT17" s="21">
        <f t="shared" si="15"/>
        <v>0.21572411787991227</v>
      </c>
      <c r="AW17" s="27">
        <v>0.435</v>
      </c>
      <c r="AX17" s="27">
        <v>4.3999999999999997E-2</v>
      </c>
      <c r="AY17" s="28">
        <v>9.9616000000000007</v>
      </c>
      <c r="AZ17" s="21">
        <f t="shared" si="17"/>
        <v>238.64511906958444</v>
      </c>
      <c r="BA17" s="23">
        <v>0.25806249342780418</v>
      </c>
      <c r="BB17" s="23">
        <v>0.15995922818071415</v>
      </c>
      <c r="BC17" s="5">
        <f t="shared" si="18"/>
        <v>0.61984686753972051</v>
      </c>
      <c r="BD17" s="21" t="s">
        <v>104</v>
      </c>
      <c r="BE17" s="21" t="s">
        <v>70</v>
      </c>
      <c r="BF17" s="21">
        <f t="shared" si="19"/>
        <v>402.26933180552015</v>
      </c>
      <c r="BG17" s="21">
        <v>2.5555347549527999E-2</v>
      </c>
      <c r="BH17" s="21">
        <v>5.7815847590138497E-2</v>
      </c>
      <c r="BI17" s="21">
        <v>0.66189416761584396</v>
      </c>
      <c r="BJ17" s="21">
        <f t="shared" si="20"/>
        <v>2.5648600028001205</v>
      </c>
      <c r="BK17" s="21">
        <v>0.63910983133785904</v>
      </c>
      <c r="BL17" s="21">
        <f t="shared" si="21"/>
        <v>3.9954545830630281</v>
      </c>
      <c r="BM17" s="21">
        <f t="shared" si="22"/>
        <v>186.62334978304219</v>
      </c>
      <c r="BN17" s="21">
        <f t="shared" si="23"/>
        <v>0</v>
      </c>
      <c r="BO17" s="21">
        <f t="shared" si="24"/>
        <v>186.62334978304219</v>
      </c>
      <c r="BP17" s="21">
        <f t="shared" si="25"/>
        <v>0.83593750883548468</v>
      </c>
      <c r="BQ17" s="21">
        <f t="shared" si="26"/>
        <v>17.500592861076569</v>
      </c>
      <c r="BR17" s="21">
        <f t="shared" si="27"/>
        <v>137.81109789869507</v>
      </c>
      <c r="BS17" s="21">
        <v>0</v>
      </c>
      <c r="BT17" s="21">
        <v>0</v>
      </c>
      <c r="BU17" s="21">
        <v>14.670271766321401</v>
      </c>
      <c r="BV17" s="21">
        <v>19.1392469741646</v>
      </c>
      <c r="BW17" s="21">
        <v>31.87745499835</v>
      </c>
      <c r="BX17" s="21">
        <v>24.333996870376101</v>
      </c>
      <c r="BY17" s="21">
        <v>9.9779648928582798</v>
      </c>
      <c r="BZ17" s="21">
        <v>11.9635735705232</v>
      </c>
      <c r="CA17" s="21">
        <v>24.127209853861501</v>
      </c>
      <c r="CB17" s="21">
        <v>31.5922430430731</v>
      </c>
      <c r="CC17" s="21">
        <v>20.506648883314401</v>
      </c>
      <c r="CD17" s="21">
        <v>11.8120912073983</v>
      </c>
      <c r="CE17" s="21">
        <v>2.7066981957982001</v>
      </c>
      <c r="CF17" s="21">
        <v>-4.9879628796968998</v>
      </c>
      <c r="CG17" s="21">
        <v>0.28521195527690002</v>
      </c>
      <c r="CH17" s="21">
        <v>3.8273479870617</v>
      </c>
      <c r="CI17" s="21">
        <v>-1.83412631454002</v>
      </c>
      <c r="CJ17" s="29">
        <v>205.04166900283192</v>
      </c>
      <c r="CK17" s="29">
        <v>382.09547916486792</v>
      </c>
      <c r="CL17" s="29">
        <v>381.42562385693327</v>
      </c>
      <c r="CM17" s="29">
        <v>276.60831356221343</v>
      </c>
      <c r="CN17" s="21">
        <v>1.8635016044450488</v>
      </c>
      <c r="CO17" s="21">
        <v>0.72519593929002746</v>
      </c>
      <c r="CP17" s="21">
        <f t="shared" si="30"/>
        <v>0.11996428103786269</v>
      </c>
      <c r="CQ17" s="21">
        <f t="shared" si="31"/>
        <v>7.4052025332014011E-3</v>
      </c>
      <c r="CR17" s="21">
        <f t="shared" si="32"/>
        <v>0.73507686029220654</v>
      </c>
      <c r="CS17">
        <f t="shared" si="33"/>
        <v>8.7249687077638902E-2</v>
      </c>
      <c r="CT17">
        <f t="shared" si="34"/>
        <v>8.854630407019741E-2</v>
      </c>
      <c r="CU17">
        <f t="shared" si="35"/>
        <v>5.7730538610018887E-2</v>
      </c>
      <c r="CV17">
        <f t="shared" si="36"/>
        <v>5.1696807206835074E-2</v>
      </c>
      <c r="CW17">
        <f t="shared" si="37"/>
        <v>1189.8108780939651</v>
      </c>
      <c r="CX17">
        <f t="shared" si="38"/>
        <v>1172.3880277709911</v>
      </c>
      <c r="CZ17">
        <f t="shared" si="39"/>
        <v>4.8</v>
      </c>
      <c r="DA17">
        <f>CZ17-((G17/1000000)+(AA17/1000)+(AP17))</f>
        <v>1.8793710791016593</v>
      </c>
    </row>
    <row r="18" spans="1:105" ht="15.75">
      <c r="A18">
        <v>53</v>
      </c>
      <c r="B18" t="s">
        <v>10</v>
      </c>
      <c r="C18" t="s">
        <v>7</v>
      </c>
      <c r="D18">
        <v>40</v>
      </c>
      <c r="E18" t="s">
        <v>224</v>
      </c>
      <c r="F18" t="s">
        <v>224</v>
      </c>
      <c r="G18">
        <v>18985.300301398885</v>
      </c>
      <c r="H18">
        <v>8039.8373717639124</v>
      </c>
      <c r="I18">
        <f t="shared" si="0"/>
        <v>0.42347696608051633</v>
      </c>
      <c r="J18" s="4">
        <v>7.9011701724812378</v>
      </c>
      <c r="K18" s="5">
        <v>1.8870455682401526</v>
      </c>
      <c r="L18">
        <f t="shared" si="1"/>
        <v>0.23883115121510612</v>
      </c>
      <c r="M18" s="6">
        <v>5.2349110511005001</v>
      </c>
      <c r="N18">
        <v>11.204647507086639</v>
      </c>
      <c r="O18">
        <f t="shared" si="2"/>
        <v>2.1403701796864651</v>
      </c>
      <c r="P18">
        <v>53.471253189027685</v>
      </c>
      <c r="Q18">
        <v>102.99586325787071</v>
      </c>
      <c r="R18">
        <f t="shared" si="3"/>
        <v>1.9261913105677031</v>
      </c>
      <c r="S18">
        <v>1171.9321173703011</v>
      </c>
      <c r="T18">
        <v>934.86481067022237</v>
      </c>
      <c r="U18">
        <f t="shared" si="4"/>
        <v>0.7977124244772521</v>
      </c>
      <c r="V18">
        <v>623.27981053645942</v>
      </c>
      <c r="W18">
        <v>5355.0526858253415</v>
      </c>
      <c r="X18">
        <f t="shared" si="5"/>
        <v>8.5917313464978537</v>
      </c>
      <c r="Y18">
        <v>17.5</v>
      </c>
      <c r="Z18">
        <v>17.5</v>
      </c>
      <c r="AA18">
        <f t="shared" si="6"/>
        <v>208.25</v>
      </c>
      <c r="AB18">
        <f t="shared" si="7"/>
        <v>208.25</v>
      </c>
      <c r="AC18">
        <f t="shared" si="8"/>
        <v>1</v>
      </c>
      <c r="AD18">
        <v>6.91</v>
      </c>
      <c r="AE18" s="7">
        <v>7.73</v>
      </c>
      <c r="AF18" s="8">
        <v>142.10806511667946</v>
      </c>
      <c r="AG18" s="8">
        <v>138.00191753858803</v>
      </c>
      <c r="AH18" s="8">
        <v>1.4407060006587777</v>
      </c>
      <c r="AI18" s="8">
        <v>2.6654415774326723</v>
      </c>
      <c r="AJ18" s="30">
        <v>0</v>
      </c>
      <c r="AK18">
        <v>138.00191753858803</v>
      </c>
      <c r="AL18" s="8">
        <f t="shared" si="9"/>
        <v>0</v>
      </c>
      <c r="AM18">
        <v>2.056</v>
      </c>
      <c r="AN18">
        <v>0.90900000000000003</v>
      </c>
      <c r="AO18">
        <f t="shared" si="10"/>
        <v>4.6131400000000003E-2</v>
      </c>
      <c r="AP18">
        <f t="shared" si="11"/>
        <v>3.080506230391435</v>
      </c>
      <c r="AQ18">
        <f t="shared" si="12"/>
        <v>2.9914964110906674</v>
      </c>
      <c r="AR18">
        <f t="shared" ref="AR18:AR33" si="41">(AK18/AO18)/1000</f>
        <v>2.9914964110906674</v>
      </c>
      <c r="AW18" s="9">
        <v>0.36499999999999999</v>
      </c>
      <c r="AX18" s="9">
        <v>2.9000000000000001E-2</v>
      </c>
      <c r="AY18" s="10">
        <v>12.559900000000001</v>
      </c>
      <c r="AZ18">
        <f t="shared" si="17"/>
        <v>389.33716470323139</v>
      </c>
      <c r="BA18" s="5">
        <v>0.14662836322200073</v>
      </c>
      <c r="BB18" s="5">
        <v>0.16774148203112749</v>
      </c>
      <c r="BC18" s="5">
        <f t="shared" si="18"/>
        <v>1.1439906873758163</v>
      </c>
      <c r="BD18" t="s">
        <v>105</v>
      </c>
      <c r="BE18" t="s">
        <v>71</v>
      </c>
      <c r="BF18">
        <f t="shared" si="19"/>
        <v>969.17173454035367</v>
      </c>
      <c r="BG18">
        <v>5.4773717536915699E-2</v>
      </c>
      <c r="BH18">
        <v>0.13836518108695001</v>
      </c>
      <c r="BI18">
        <v>0.65767508086260895</v>
      </c>
      <c r="BJ18">
        <f t="shared" si="20"/>
        <v>4.4853196640193325</v>
      </c>
      <c r="BK18">
        <v>0.60584694045851895</v>
      </c>
      <c r="BL18">
        <f t="shared" si="21"/>
        <v>3.6117896010129029</v>
      </c>
      <c r="BM18">
        <f t="shared" si="22"/>
        <v>941.16796031916454</v>
      </c>
      <c r="BN18">
        <f t="shared" si="23"/>
        <v>941.16796031916454</v>
      </c>
      <c r="BO18">
        <v>0</v>
      </c>
      <c r="BP18">
        <f t="shared" si="25"/>
        <v>0</v>
      </c>
      <c r="BQ18">
        <f t="shared" si="26"/>
        <v>9.8255615012048914</v>
      </c>
      <c r="BR18">
        <f t="shared" si="27"/>
        <v>18.17821271998444</v>
      </c>
      <c r="BS18">
        <v>0</v>
      </c>
      <c r="BT18">
        <v>0</v>
      </c>
      <c r="BU18">
        <v>14.084949184086501</v>
      </c>
      <c r="BV18">
        <v>20.143058148204201</v>
      </c>
      <c r="BW18">
        <v>30.172263984887</v>
      </c>
      <c r="BX18">
        <v>22.142620901512998</v>
      </c>
      <c r="BY18">
        <v>13.452623199861</v>
      </c>
      <c r="BZ18">
        <v>16.714772664797401</v>
      </c>
      <c r="CA18">
        <v>22.695493613356099</v>
      </c>
      <c r="CB18">
        <v>28.657888467388702</v>
      </c>
      <c r="CC18">
        <v>21.215203328018799</v>
      </c>
      <c r="CD18">
        <v>10.7116022504444</v>
      </c>
      <c r="CE18">
        <v>-2.6298234807109</v>
      </c>
      <c r="CF18">
        <v>-2.5524354651519001</v>
      </c>
      <c r="CG18">
        <v>1.5143755174983</v>
      </c>
      <c r="CH18">
        <v>0.92741757349419995</v>
      </c>
      <c r="CI18">
        <v>2.7410209494165998</v>
      </c>
      <c r="CJ18" s="11">
        <v>338.81363472400568</v>
      </c>
      <c r="CK18" s="11">
        <v>365.97457300733328</v>
      </c>
      <c r="CL18" s="11">
        <v>289.28244970340114</v>
      </c>
      <c r="CM18" s="11">
        <v>280.22691503585753</v>
      </c>
      <c r="CN18">
        <v>1.0801648325205466</v>
      </c>
      <c r="CO18">
        <v>0.96869656394009329</v>
      </c>
      <c r="CP18">
        <f t="shared" si="30"/>
        <v>0.82698623936945981</v>
      </c>
      <c r="CQ18">
        <f t="shared" si="31"/>
        <v>5.1048533294411079E-2</v>
      </c>
      <c r="CR18">
        <f t="shared" si="32"/>
        <v>4.8569149451552285</v>
      </c>
      <c r="CS18">
        <f t="shared" si="33"/>
        <v>5.0187966914844256E-2</v>
      </c>
      <c r="CT18">
        <f t="shared" si="34"/>
        <v>5.2192723810720459E-2</v>
      </c>
      <c r="CU18">
        <f t="shared" si="35"/>
        <v>6.6107364727388346E-2</v>
      </c>
      <c r="CV18">
        <f t="shared" si="36"/>
        <v>5.3554496842510853E-2</v>
      </c>
      <c r="CW18">
        <f t="shared" si="37"/>
        <v>2831.5166732655134</v>
      </c>
      <c r="CX18">
        <f t="shared" si="38"/>
        <v>2722.7562529988186</v>
      </c>
      <c r="CZ18">
        <f t="shared" si="39"/>
        <v>4.8</v>
      </c>
      <c r="DA18">
        <f>CZ18-((G18/1000000)+(AA18/1000)+(AP18))</f>
        <v>1.4922584693071661</v>
      </c>
    </row>
    <row r="19" spans="1:105" ht="15.75">
      <c r="A19">
        <v>54</v>
      </c>
      <c r="B19" t="s">
        <v>10</v>
      </c>
      <c r="C19" t="s">
        <v>7</v>
      </c>
      <c r="D19">
        <v>40</v>
      </c>
      <c r="E19" t="s">
        <v>224</v>
      </c>
      <c r="F19" t="s">
        <v>224</v>
      </c>
      <c r="G19">
        <v>52524.000820292305</v>
      </c>
      <c r="H19">
        <v>37053.500071070623</v>
      </c>
      <c r="I19">
        <f t="shared" si="0"/>
        <v>0.70545844742191166</v>
      </c>
      <c r="J19" s="4">
        <v>12.425956869577876</v>
      </c>
      <c r="K19" s="5">
        <v>7.1437701846563924</v>
      </c>
      <c r="L19">
        <f t="shared" si="1"/>
        <v>0.57490704817640936</v>
      </c>
      <c r="M19" s="6">
        <v>5.5573406354178418</v>
      </c>
      <c r="N19">
        <v>7.3507362559408724</v>
      </c>
      <c r="O19">
        <f t="shared" si="2"/>
        <v>1.3227075211286179</v>
      </c>
      <c r="P19">
        <v>56.877514687772745</v>
      </c>
      <c r="Q19">
        <v>78.470360497685874</v>
      </c>
      <c r="R19">
        <f t="shared" si="3"/>
        <v>1.3796376464134614</v>
      </c>
      <c r="S19">
        <v>3242.2222728575498</v>
      </c>
      <c r="T19">
        <v>4308.5465198919328</v>
      </c>
      <c r="U19">
        <f t="shared" si="4"/>
        <v>1.3288868428180196</v>
      </c>
      <c r="V19">
        <v>400.85395247210755</v>
      </c>
      <c r="W19">
        <v>1019.9742768483884</v>
      </c>
      <c r="X19">
        <f t="shared" si="5"/>
        <v>2.544503479529395</v>
      </c>
      <c r="Y19">
        <v>12.2</v>
      </c>
      <c r="Z19">
        <v>38.799999999999997</v>
      </c>
      <c r="AA19">
        <f t="shared" si="6"/>
        <v>145.18</v>
      </c>
      <c r="AB19">
        <f t="shared" si="7"/>
        <v>461.71999999999997</v>
      </c>
      <c r="AC19">
        <f t="shared" si="8"/>
        <v>3.180327868852459</v>
      </c>
      <c r="AD19">
        <v>7.15</v>
      </c>
      <c r="AE19" s="7">
        <v>7.41</v>
      </c>
      <c r="AF19" s="8">
        <v>130.38261623412302</v>
      </c>
      <c r="AG19" s="8">
        <v>126.57083624544509</v>
      </c>
      <c r="AH19" s="8">
        <v>1.2573508156287685</v>
      </c>
      <c r="AI19" s="8">
        <v>2.5544291730491646</v>
      </c>
      <c r="AJ19" s="30">
        <v>0</v>
      </c>
      <c r="AK19">
        <v>126.57083624544509</v>
      </c>
      <c r="AL19" s="8">
        <f t="shared" si="9"/>
        <v>0</v>
      </c>
      <c r="AM19">
        <v>2.0920000000000001</v>
      </c>
      <c r="AN19">
        <v>1.1910000000000001</v>
      </c>
      <c r="AO19">
        <f t="shared" si="10"/>
        <v>6.1528600000000003E-2</v>
      </c>
      <c r="AP19">
        <f t="shared" si="11"/>
        <v>2.1190570927036045</v>
      </c>
      <c r="AQ19">
        <f t="shared" si="12"/>
        <v>2.0571057401833475</v>
      </c>
      <c r="AR19">
        <f t="shared" si="41"/>
        <v>2.0571057401833475</v>
      </c>
      <c r="AW19" s="9">
        <v>0.442</v>
      </c>
      <c r="AX19" s="9">
        <v>3.4000000000000002E-2</v>
      </c>
      <c r="AY19" s="10">
        <v>13.1379</v>
      </c>
      <c r="AZ19">
        <f t="shared" si="17"/>
        <v>294.98329464733717</v>
      </c>
      <c r="BA19" s="5">
        <v>0.26820639876156582</v>
      </c>
      <c r="BB19" s="5">
        <v>0.15294797825452236</v>
      </c>
      <c r="BC19" s="5">
        <f t="shared" si="18"/>
        <v>0.570262227004108</v>
      </c>
      <c r="BD19" t="s">
        <v>106</v>
      </c>
      <c r="BE19" t="s">
        <v>72</v>
      </c>
      <c r="BF19">
        <f t="shared" si="19"/>
        <v>486.12791057991325</v>
      </c>
      <c r="BG19">
        <v>6.8143843460333406E-2</v>
      </c>
      <c r="BH19">
        <v>-1.09383004999619E-2</v>
      </c>
      <c r="BI19">
        <v>0.65000632394146995</v>
      </c>
      <c r="BJ19">
        <f t="shared" si="20"/>
        <v>2.4235302623011705</v>
      </c>
      <c r="BK19">
        <v>0.65279012665532199</v>
      </c>
      <c r="BL19">
        <f t="shared" si="21"/>
        <v>4.2680533218229728</v>
      </c>
      <c r="BM19">
        <f t="shared" si="22"/>
        <v>471.91579630419614</v>
      </c>
      <c r="BN19">
        <f t="shared" si="23"/>
        <v>471.91579630419614</v>
      </c>
      <c r="BO19">
        <v>0</v>
      </c>
      <c r="BP19">
        <f t="shared" si="25"/>
        <v>0</v>
      </c>
      <c r="BQ19">
        <f t="shared" si="26"/>
        <v>4.6879970852095409</v>
      </c>
      <c r="BR19">
        <f t="shared" si="27"/>
        <v>9.5241171905075976</v>
      </c>
      <c r="BS19">
        <v>0</v>
      </c>
      <c r="BT19">
        <v>0</v>
      </c>
      <c r="BU19">
        <v>15.247752568493199</v>
      </c>
      <c r="BV19">
        <v>19.745047867372399</v>
      </c>
      <c r="BW19">
        <v>29.911270236612701</v>
      </c>
      <c r="BX19">
        <v>23.725969022415899</v>
      </c>
      <c r="BY19">
        <v>11.363393135118301</v>
      </c>
      <c r="BZ19">
        <v>11.4319529414536</v>
      </c>
      <c r="CA19">
        <v>23.288445572363099</v>
      </c>
      <c r="CB19">
        <v>35.605984773098001</v>
      </c>
      <c r="CC19">
        <v>19.484664166141599</v>
      </c>
      <c r="CD19">
        <v>10.1883637262926</v>
      </c>
      <c r="CE19">
        <v>3.8157996270396</v>
      </c>
      <c r="CF19">
        <v>-3.5433977049907002</v>
      </c>
      <c r="CG19">
        <v>-5.6947145364853</v>
      </c>
      <c r="CH19">
        <v>4.2413048562742999</v>
      </c>
      <c r="CI19">
        <v>1.1750294088257001</v>
      </c>
      <c r="CJ19" s="11">
        <v>289.46819284268128</v>
      </c>
      <c r="CK19" s="11">
        <v>277.4270741351026</v>
      </c>
      <c r="CL19" s="11">
        <v>313.29701350153084</v>
      </c>
      <c r="CM19" s="11">
        <v>230.14779415817989</v>
      </c>
      <c r="CN19">
        <v>0.95840261899129375</v>
      </c>
      <c r="CO19">
        <v>0.73459938729053775</v>
      </c>
      <c r="CP19">
        <f t="shared" si="30"/>
        <v>0.14993663902982871</v>
      </c>
      <c r="CQ19">
        <f t="shared" si="31"/>
        <v>9.2553480882610322E-3</v>
      </c>
      <c r="CR19">
        <f t="shared" si="32"/>
        <v>0.91704721761371699</v>
      </c>
      <c r="CS19">
        <f t="shared" si="33"/>
        <v>9.3852929874856633E-2</v>
      </c>
      <c r="CT19">
        <f t="shared" si="34"/>
        <v>9.4111914591126153E-2</v>
      </c>
      <c r="CU19">
        <f t="shared" si="35"/>
        <v>5.3104147568795862E-2</v>
      </c>
      <c r="CV19">
        <f t="shared" si="36"/>
        <v>4.5384296248378614E-2</v>
      </c>
      <c r="CW19">
        <f t="shared" si="37"/>
        <v>1389.2226530165337</v>
      </c>
      <c r="CX19">
        <f t="shared" si="38"/>
        <v>1385.399678675933</v>
      </c>
      <c r="CZ19">
        <f t="shared" si="39"/>
        <v>4.8</v>
      </c>
      <c r="DA19">
        <f>CZ19-((G19/1000000)+(AA19/1000)+(AP19))</f>
        <v>2.4832389064761031</v>
      </c>
    </row>
    <row r="20" spans="1:105" ht="15.75">
      <c r="A20">
        <v>55</v>
      </c>
      <c r="B20" t="s">
        <v>10</v>
      </c>
      <c r="C20" t="s">
        <v>7</v>
      </c>
      <c r="D20">
        <v>40</v>
      </c>
      <c r="E20" t="s">
        <v>224</v>
      </c>
      <c r="F20" t="s">
        <v>224</v>
      </c>
      <c r="G20">
        <v>77930.567152771211</v>
      </c>
      <c r="H20">
        <v>17531.754265594413</v>
      </c>
      <c r="I20">
        <f t="shared" si="0"/>
        <v>0.22496633742220859</v>
      </c>
      <c r="J20" s="4">
        <v>12.510081836495562</v>
      </c>
      <c r="K20" s="5">
        <v>3.2453668818739003</v>
      </c>
      <c r="L20">
        <f t="shared" si="1"/>
        <v>0.2594201160544144</v>
      </c>
      <c r="M20" s="6">
        <v>5.0872753372039066</v>
      </c>
      <c r="N20">
        <v>1.2555399431003558</v>
      </c>
      <c r="O20">
        <f t="shared" si="2"/>
        <v>0.24680007663796547</v>
      </c>
      <c r="P20">
        <v>51.694785421106161</v>
      </c>
      <c r="Q20">
        <v>15.154358205698626</v>
      </c>
      <c r="R20">
        <f t="shared" si="3"/>
        <v>0.29315061630009864</v>
      </c>
      <c r="S20">
        <v>4810.5288365908145</v>
      </c>
      <c r="T20">
        <v>2038.576077394699</v>
      </c>
      <c r="U20">
        <f t="shared" si="4"/>
        <v>0.42377379839997437</v>
      </c>
      <c r="V20">
        <v>361.53021259847014</v>
      </c>
      <c r="W20">
        <v>451.79926390522832</v>
      </c>
      <c r="X20">
        <f t="shared" si="5"/>
        <v>1.249686051569401</v>
      </c>
      <c r="Y20">
        <v>12</v>
      </c>
      <c r="Z20">
        <v>19.600000000000001</v>
      </c>
      <c r="AA20">
        <f t="shared" si="6"/>
        <v>142.80000000000001</v>
      </c>
      <c r="AB20">
        <f t="shared" si="7"/>
        <v>233.24000000000004</v>
      </c>
      <c r="AC20">
        <f t="shared" si="8"/>
        <v>1.6333333333333335</v>
      </c>
      <c r="AD20">
        <v>7.48</v>
      </c>
      <c r="AE20" s="7">
        <v>7.53</v>
      </c>
      <c r="AF20" s="8">
        <v>121.68289621610592</v>
      </c>
      <c r="AG20" s="8">
        <v>118.81586879253361</v>
      </c>
      <c r="AH20" s="8">
        <v>0.91199319302926318</v>
      </c>
      <c r="AI20" s="8">
        <v>1.9550342305430461</v>
      </c>
      <c r="AJ20" s="30">
        <v>0</v>
      </c>
      <c r="AK20">
        <v>118.81586879253361</v>
      </c>
      <c r="AL20" s="8">
        <f t="shared" si="9"/>
        <v>0</v>
      </c>
      <c r="AM20">
        <v>2.0680000000000001</v>
      </c>
      <c r="AN20">
        <v>0.81299999999999994</v>
      </c>
      <c r="AO20">
        <f t="shared" si="10"/>
        <v>4.0889799999999997E-2</v>
      </c>
      <c r="AP20">
        <f t="shared" si="11"/>
        <v>2.9758740863517534</v>
      </c>
      <c r="AQ20">
        <f t="shared" si="12"/>
        <v>2.9057581302068884</v>
      </c>
      <c r="AR20">
        <f t="shared" si="41"/>
        <v>2.9057581302068884</v>
      </c>
      <c r="AW20" s="9">
        <v>0.57399999999999995</v>
      </c>
      <c r="AX20" s="9">
        <v>2.5999999999999999E-2</v>
      </c>
      <c r="AY20" s="10">
        <v>22.3169</v>
      </c>
      <c r="AZ20">
        <f t="shared" si="17"/>
        <v>211.99110839042845</v>
      </c>
      <c r="BA20" s="5">
        <v>0.18321080265573256</v>
      </c>
      <c r="BB20" s="5">
        <v>0.11827268894226489</v>
      </c>
      <c r="BC20" s="5">
        <f t="shared" si="18"/>
        <v>0.64555521414590677</v>
      </c>
      <c r="BD20" t="s">
        <v>107</v>
      </c>
      <c r="BE20" t="s">
        <v>73</v>
      </c>
      <c r="BF20">
        <f t="shared" si="19"/>
        <v>664.1687850948266</v>
      </c>
      <c r="BG20">
        <v>0.18229912510996099</v>
      </c>
      <c r="BH20">
        <v>0.18084268290811001</v>
      </c>
      <c r="BI20">
        <v>0.58122037642078095</v>
      </c>
      <c r="BJ20">
        <f t="shared" si="20"/>
        <v>3.1724132419906459</v>
      </c>
      <c r="BK20">
        <v>0.57495532063126598</v>
      </c>
      <c r="BL20">
        <f t="shared" si="21"/>
        <v>4.8612686984053592</v>
      </c>
      <c r="BM20">
        <f t="shared" si="22"/>
        <v>648.51999483784766</v>
      </c>
      <c r="BN20">
        <f t="shared" si="23"/>
        <v>648.51999483784766</v>
      </c>
      <c r="BO20">
        <v>0</v>
      </c>
      <c r="BP20">
        <f t="shared" si="25"/>
        <v>0</v>
      </c>
      <c r="BQ20">
        <f t="shared" si="26"/>
        <v>4.9778352575801428</v>
      </c>
      <c r="BR20">
        <f t="shared" si="27"/>
        <v>10.670954999398745</v>
      </c>
      <c r="BS20">
        <v>0</v>
      </c>
      <c r="BT20">
        <v>0</v>
      </c>
      <c r="BU20">
        <v>17.283143895816998</v>
      </c>
      <c r="BV20">
        <v>24.592057429478601</v>
      </c>
      <c r="BW20">
        <v>27.520592701670399</v>
      </c>
      <c r="BX20">
        <v>20.070866504072502</v>
      </c>
      <c r="BY20">
        <v>10.530578436335199</v>
      </c>
      <c r="BZ20">
        <v>15.9936994517311</v>
      </c>
      <c r="CA20">
        <v>26.506729672149401</v>
      </c>
      <c r="CB20">
        <v>28.025323357465201</v>
      </c>
      <c r="CC20">
        <v>16.5601429739799</v>
      </c>
      <c r="CD20">
        <v>12.910065731681501</v>
      </c>
      <c r="CE20">
        <v>1.2894444440859001</v>
      </c>
      <c r="CF20">
        <v>-1.9146722426708001</v>
      </c>
      <c r="CG20">
        <v>-0.50473065579480203</v>
      </c>
      <c r="CH20">
        <v>3.5107235300926001</v>
      </c>
      <c r="CI20">
        <v>-2.3794872953463</v>
      </c>
      <c r="CJ20" s="11">
        <v>323.36162816708833</v>
      </c>
      <c r="CK20" s="11">
        <v>298.81684449620684</v>
      </c>
      <c r="CL20" s="11">
        <v>275.77722766897966</v>
      </c>
      <c r="CM20" s="11">
        <v>193.2682485839986</v>
      </c>
      <c r="CN20">
        <v>0.92409494036132622</v>
      </c>
      <c r="CO20">
        <v>0.70081293592515892</v>
      </c>
      <c r="CP20">
        <f t="shared" si="30"/>
        <v>0.13806564884153527</v>
      </c>
      <c r="CQ20">
        <f t="shared" si="31"/>
        <v>8.5225709161441503E-3</v>
      </c>
      <c r="CR20">
        <f t="shared" si="32"/>
        <v>0.84505505002255221</v>
      </c>
      <c r="CS20">
        <f t="shared" si="33"/>
        <v>7.671989246177803E-2</v>
      </c>
      <c r="CT20">
        <f t="shared" si="34"/>
        <v>5.6065152899573006E-2</v>
      </c>
      <c r="CU20">
        <f t="shared" si="35"/>
        <v>5.0266400336814947E-2</v>
      </c>
      <c r="CV20">
        <f t="shared" si="36"/>
        <v>3.4855208273083173E-2</v>
      </c>
      <c r="CW20">
        <f t="shared" si="37"/>
        <v>1586.0670852312328</v>
      </c>
      <c r="CX20">
        <f t="shared" si="38"/>
        <v>2170.3837396835611</v>
      </c>
      <c r="CZ20">
        <f t="shared" si="39"/>
        <v>4.8</v>
      </c>
      <c r="DA20">
        <f>CZ20-((G20/1000000)+(AA20/1000)+(AP20))</f>
        <v>1.6033953464954753</v>
      </c>
    </row>
    <row r="21" spans="1:105" s="12" customFormat="1" ht="15.75">
      <c r="A21" s="12">
        <v>56</v>
      </c>
      <c r="B21" s="12" t="s">
        <v>10</v>
      </c>
      <c r="C21" s="12" t="s">
        <v>7</v>
      </c>
      <c r="D21" s="12">
        <v>40</v>
      </c>
      <c r="E21" t="s">
        <v>224</v>
      </c>
      <c r="F21" t="s">
        <v>224</v>
      </c>
      <c r="G21" s="12">
        <v>80317.548540349846</v>
      </c>
      <c r="H21" s="12">
        <v>14974.597262354509</v>
      </c>
      <c r="I21" s="12">
        <f t="shared" si="0"/>
        <v>0.1864424093426057</v>
      </c>
      <c r="J21" s="13">
        <v>1.7993560002214175</v>
      </c>
      <c r="K21" s="14">
        <v>2.6873004923260932</v>
      </c>
      <c r="L21" s="12">
        <f t="shared" si="1"/>
        <v>1.4934790513913927</v>
      </c>
      <c r="M21" s="15">
        <v>1.2451104822541559</v>
      </c>
      <c r="N21" s="12">
        <v>2.2130311015704294</v>
      </c>
      <c r="O21" s="12">
        <f t="shared" si="2"/>
        <v>1.7773772955183413</v>
      </c>
      <c r="P21" s="12">
        <v>14.390065864700535</v>
      </c>
      <c r="Q21" s="12">
        <v>25.409469317830244</v>
      </c>
      <c r="R21" s="12">
        <f t="shared" si="3"/>
        <v>1.765764629344803</v>
      </c>
      <c r="S21" s="12">
        <v>4957.8733666882617</v>
      </c>
      <c r="T21" s="12">
        <v>1741.232239808664</v>
      </c>
      <c r="U21" s="12">
        <f t="shared" si="4"/>
        <v>0.35120546876165265</v>
      </c>
      <c r="V21" s="12">
        <v>785.34416476724687</v>
      </c>
      <c r="W21" s="12">
        <v>920.12934892709666</v>
      </c>
      <c r="X21" s="12">
        <f t="shared" si="5"/>
        <v>1.1716256263262568</v>
      </c>
      <c r="Y21" s="12">
        <v>5.28</v>
      </c>
      <c r="Z21" s="12">
        <v>21.9</v>
      </c>
      <c r="AA21" s="12">
        <f t="shared" si="6"/>
        <v>62.832000000000008</v>
      </c>
      <c r="AB21" s="12">
        <f t="shared" si="7"/>
        <v>260.61</v>
      </c>
      <c r="AC21" s="12">
        <f t="shared" si="8"/>
        <v>4.1477272727272725</v>
      </c>
      <c r="AD21" s="12">
        <v>7.48</v>
      </c>
      <c r="AE21" s="16">
        <v>7.65</v>
      </c>
      <c r="AF21" s="17">
        <v>221.88123271099994</v>
      </c>
      <c r="AG21" s="17">
        <v>217.6443233521602</v>
      </c>
      <c r="AH21" s="17">
        <v>0.93522724378544608</v>
      </c>
      <c r="AI21" s="17">
        <v>3.3016821150542959</v>
      </c>
      <c r="AJ21" s="31">
        <v>0</v>
      </c>
      <c r="AK21" s="12">
        <v>217.6443233521602</v>
      </c>
      <c r="AL21" s="17">
        <f t="shared" si="9"/>
        <v>0</v>
      </c>
      <c r="AM21" s="12">
        <v>2.0249999999999999</v>
      </c>
      <c r="AN21" s="12">
        <v>0.96</v>
      </c>
      <c r="AO21" s="12">
        <f t="shared" si="10"/>
        <v>4.8915999999999994E-2</v>
      </c>
      <c r="AP21" s="12">
        <f t="shared" si="11"/>
        <v>4.5359643615790324</v>
      </c>
      <c r="AQ21" s="12">
        <f t="shared" si="12"/>
        <v>4.4493483390334498</v>
      </c>
      <c r="AR21" s="12">
        <f t="shared" si="41"/>
        <v>4.4493483390334498</v>
      </c>
      <c r="AW21" s="18">
        <v>0.43</v>
      </c>
      <c r="AX21" s="18">
        <v>3.5999999999999997E-2</v>
      </c>
      <c r="AY21" s="19">
        <v>11.8445</v>
      </c>
      <c r="AZ21" s="12">
        <f t="shared" si="17"/>
        <v>516.00286676976725</v>
      </c>
      <c r="BA21" s="14">
        <v>0.2513607078577389</v>
      </c>
      <c r="BB21" s="14">
        <v>0.10643639731294213</v>
      </c>
      <c r="BC21" s="5">
        <f t="shared" si="18"/>
        <v>0.42344087196468788</v>
      </c>
      <c r="BD21" s="12" t="s">
        <v>108</v>
      </c>
      <c r="BE21" s="12" t="s">
        <v>74</v>
      </c>
      <c r="BF21" s="12">
        <f t="shared" si="19"/>
        <v>882.72043233016643</v>
      </c>
      <c r="BG21" s="12">
        <v>0.28302027968997301</v>
      </c>
      <c r="BH21" s="12">
        <v>0.13581028174565199</v>
      </c>
      <c r="BI21" s="12">
        <v>0.52228434119010803</v>
      </c>
      <c r="BJ21" s="12">
        <f t="shared" si="20"/>
        <v>2.0778280966876581</v>
      </c>
      <c r="BK21" s="12">
        <v>0.60232935450225999</v>
      </c>
      <c r="BL21" s="12">
        <f t="shared" si="21"/>
        <v>5.6590543245399738</v>
      </c>
      <c r="BM21" s="12">
        <f t="shared" si="22"/>
        <v>865.86453868254955</v>
      </c>
      <c r="BN21" s="12">
        <f t="shared" si="23"/>
        <v>865.86453868254955</v>
      </c>
      <c r="BO21" s="12">
        <v>0</v>
      </c>
      <c r="BP21" s="12">
        <f t="shared" si="25"/>
        <v>0</v>
      </c>
      <c r="BQ21" s="12">
        <f t="shared" si="26"/>
        <v>3.7206580605062229</v>
      </c>
      <c r="BR21" s="12">
        <f t="shared" si="27"/>
        <v>13.135235587110651</v>
      </c>
      <c r="BS21" s="12">
        <v>0</v>
      </c>
      <c r="BT21" s="12">
        <v>0</v>
      </c>
      <c r="BU21" s="12">
        <v>21.450866982225701</v>
      </c>
      <c r="BV21" s="12">
        <v>26.317680158423499</v>
      </c>
      <c r="BW21" s="12">
        <v>24.895551584234902</v>
      </c>
      <c r="BX21" s="12">
        <v>17.638197932766602</v>
      </c>
      <c r="BY21" s="12">
        <v>9.6946846020092696</v>
      </c>
      <c r="BZ21" s="12">
        <v>14.239772858964001</v>
      </c>
      <c r="CA21" s="12">
        <v>25.527291690810099</v>
      </c>
      <c r="CB21" s="12">
        <v>29.087959207324101</v>
      </c>
      <c r="CC21" s="12">
        <v>17.701935334337701</v>
      </c>
      <c r="CD21" s="12">
        <v>13.4430409085641</v>
      </c>
      <c r="CE21" s="12">
        <v>7.2110941232616996</v>
      </c>
      <c r="CF21" s="12">
        <v>0.79038846761340098</v>
      </c>
      <c r="CG21" s="12">
        <v>-4.1924076230892</v>
      </c>
      <c r="CH21" s="12">
        <v>-6.3737401571099597E-2</v>
      </c>
      <c r="CI21" s="12">
        <v>-3.7483563065548302</v>
      </c>
      <c r="CJ21" s="20">
        <v>276.57888793111351</v>
      </c>
      <c r="CK21" s="20">
        <v>348.27320543019061</v>
      </c>
      <c r="CL21" s="20">
        <v>288.33383692742422</v>
      </c>
      <c r="CM21" s="20">
        <v>206.04200902522868</v>
      </c>
      <c r="CN21" s="12">
        <v>1.2592183302036188</v>
      </c>
      <c r="CO21" s="12">
        <v>0.71459531500318152</v>
      </c>
      <c r="CP21" s="12">
        <f t="shared" si="30"/>
        <v>0.17804416673106802</v>
      </c>
      <c r="CQ21" s="12">
        <f t="shared" si="31"/>
        <v>1.0990380662411606E-2</v>
      </c>
      <c r="CR21" s="12">
        <f t="shared" si="32"/>
        <v>1.0870905275291136</v>
      </c>
      <c r="CS21">
        <f t="shared" si="33"/>
        <v>0.12007135822609354</v>
      </c>
      <c r="CT21">
        <f t="shared" si="34"/>
        <v>6.8704127017336913E-2</v>
      </c>
      <c r="CU21">
        <f t="shared" si="35"/>
        <v>4.2326630823891723E-2</v>
      </c>
      <c r="CV21">
        <f t="shared" si="36"/>
        <v>3.3149590656916396E-2</v>
      </c>
      <c r="CW21">
        <f t="shared" si="37"/>
        <v>1847.9114085908741</v>
      </c>
      <c r="CX21">
        <f t="shared" si="38"/>
        <v>3229.5182595800984</v>
      </c>
      <c r="CZ21">
        <f t="shared" si="39"/>
        <v>4.8</v>
      </c>
      <c r="DA21">
        <f>CZ21-((G21/1000000)+(AA21/1000)+(AP21))</f>
        <v>0.12088608988061722</v>
      </c>
    </row>
    <row r="22" spans="1:105" ht="15.75">
      <c r="A22">
        <v>57</v>
      </c>
      <c r="B22" t="s">
        <v>10</v>
      </c>
      <c r="C22" t="s">
        <v>8</v>
      </c>
      <c r="D22">
        <v>80</v>
      </c>
      <c r="E22" t="s">
        <v>225</v>
      </c>
      <c r="F22" t="s">
        <v>225</v>
      </c>
      <c r="G22">
        <v>23865.444751384261</v>
      </c>
      <c r="H22">
        <v>29698.966119465989</v>
      </c>
      <c r="I22">
        <f t="shared" si="0"/>
        <v>1.2444338007882032</v>
      </c>
      <c r="J22" s="4">
        <v>1.9209760511763481</v>
      </c>
      <c r="K22" s="5">
        <v>2.0112851896503172</v>
      </c>
      <c r="L22">
        <f t="shared" si="1"/>
        <v>1.0470121105459209</v>
      </c>
      <c r="M22" s="6">
        <v>21.190293659938536</v>
      </c>
      <c r="N22">
        <v>1.5240226565797879</v>
      </c>
      <c r="O22">
        <f t="shared" si="2"/>
        <v>7.1920789821853195E-2</v>
      </c>
      <c r="P22">
        <v>174.42907689953074</v>
      </c>
      <c r="Q22">
        <v>17.539396156987404</v>
      </c>
      <c r="R22">
        <f t="shared" si="3"/>
        <v>0.1005531673316709</v>
      </c>
      <c r="S22">
        <v>1473.1756019372999</v>
      </c>
      <c r="T22">
        <v>3453.3681534262773</v>
      </c>
      <c r="U22">
        <f t="shared" si="4"/>
        <v>2.3441659968335919</v>
      </c>
      <c r="V22">
        <v>8905.80265179462</v>
      </c>
      <c r="W22">
        <v>854.50979145905671</v>
      </c>
      <c r="X22">
        <f t="shared" si="5"/>
        <v>9.5949778461221949E-2</v>
      </c>
      <c r="Y22">
        <v>14.5</v>
      </c>
      <c r="Z22">
        <v>11.8</v>
      </c>
      <c r="AA22">
        <f t="shared" si="6"/>
        <v>172.55</v>
      </c>
      <c r="AB22">
        <f t="shared" si="7"/>
        <v>140.42000000000002</v>
      </c>
      <c r="AC22">
        <f t="shared" si="8"/>
        <v>0.81379310344827593</v>
      </c>
      <c r="AD22">
        <v>7.05</v>
      </c>
      <c r="AE22" s="7">
        <v>8.0299999999999994</v>
      </c>
      <c r="AF22" s="8">
        <v>260.07214268517669</v>
      </c>
      <c r="AG22" s="8">
        <v>254.57831095357511</v>
      </c>
      <c r="AH22" s="8">
        <v>3.9881411222457008</v>
      </c>
      <c r="AI22" s="8">
        <v>1.5056906093558866</v>
      </c>
      <c r="AJ22" s="30">
        <v>0</v>
      </c>
      <c r="AK22">
        <v>254.57831095357511</v>
      </c>
      <c r="AL22" s="8">
        <f t="shared" si="9"/>
        <v>0</v>
      </c>
      <c r="AM22">
        <v>2.0099999999999998</v>
      </c>
      <c r="AN22">
        <v>0.92300000000000004</v>
      </c>
      <c r="AO22">
        <f t="shared" si="10"/>
        <v>4.6895800000000001E-2</v>
      </c>
      <c r="AP22">
        <f t="shared" si="11"/>
        <v>5.5457448787562349</v>
      </c>
      <c r="AQ22">
        <f t="shared" si="12"/>
        <v>5.4285951184023959</v>
      </c>
      <c r="AR22">
        <f t="shared" si="41"/>
        <v>5.4285951184023959</v>
      </c>
      <c r="AW22" s="9">
        <v>0.433</v>
      </c>
      <c r="AX22" s="9">
        <v>4.1000000000000002E-2</v>
      </c>
      <c r="AY22" s="10">
        <v>10.5425</v>
      </c>
      <c r="AZ22">
        <f t="shared" si="17"/>
        <v>600.62850504659741</v>
      </c>
      <c r="BA22" s="5">
        <v>0.12444805870352382</v>
      </c>
      <c r="BB22" s="5">
        <v>8.2957108861888368E-2</v>
      </c>
      <c r="BC22" s="5">
        <f t="shared" si="18"/>
        <v>0.66660026460934574</v>
      </c>
      <c r="BD22" t="s">
        <v>109</v>
      </c>
      <c r="BE22" t="s">
        <v>75</v>
      </c>
      <c r="BF22">
        <f t="shared" si="19"/>
        <v>2089.8047377721978</v>
      </c>
      <c r="BG22">
        <v>4.9297819926833401E-2</v>
      </c>
      <c r="BH22">
        <v>0.30700077524062802</v>
      </c>
      <c r="BI22">
        <v>0.66352673492605196</v>
      </c>
      <c r="BJ22">
        <f t="shared" si="20"/>
        <v>5.3317564117797183</v>
      </c>
      <c r="BK22">
        <v>0.56057536986231105</v>
      </c>
      <c r="BL22">
        <f t="shared" si="21"/>
        <v>6.7574120838225964</v>
      </c>
      <c r="BM22">
        <f t="shared" si="22"/>
        <v>2045.6591577701049</v>
      </c>
      <c r="BN22">
        <f t="shared" si="23"/>
        <v>2045.6591577701049</v>
      </c>
      <c r="BO22">
        <v>0</v>
      </c>
      <c r="BP22">
        <f t="shared" si="25"/>
        <v>0</v>
      </c>
      <c r="BQ22">
        <f t="shared" si="26"/>
        <v>32.046631854232167</v>
      </c>
      <c r="BR22">
        <f t="shared" si="27"/>
        <v>12.09894814786092</v>
      </c>
      <c r="BS22">
        <v>0</v>
      </c>
      <c r="BT22">
        <v>0</v>
      </c>
      <c r="BU22">
        <v>12.0384275060043</v>
      </c>
      <c r="BV22">
        <v>21.647326507394801</v>
      </c>
      <c r="BW22">
        <v>30.071040323600101</v>
      </c>
      <c r="BX22">
        <v>23.320439893818701</v>
      </c>
      <c r="BY22">
        <v>12.9611932751864</v>
      </c>
      <c r="BZ22">
        <v>20.782800441014299</v>
      </c>
      <c r="CA22">
        <v>23.440424604497299</v>
      </c>
      <c r="CB22">
        <v>21.809697187251601</v>
      </c>
      <c r="CC22">
        <v>15.2124304505013</v>
      </c>
      <c r="CD22">
        <v>19.035409348478201</v>
      </c>
      <c r="CE22">
        <v>-8.7443729350100003</v>
      </c>
      <c r="CF22">
        <v>-1.7930980971024999</v>
      </c>
      <c r="CG22">
        <v>8.2613431363485006</v>
      </c>
      <c r="CH22">
        <v>8.1080094433173997</v>
      </c>
      <c r="CI22">
        <v>-6.0742160732918</v>
      </c>
      <c r="CJ22" s="11">
        <v>350.26296160706238</v>
      </c>
      <c r="CK22" s="11">
        <v>467.790024067807</v>
      </c>
      <c r="CL22" s="11">
        <v>335.78412058558581</v>
      </c>
      <c r="CM22" s="11">
        <v>218.62605840520925</v>
      </c>
      <c r="CN22">
        <v>1.335539509862852</v>
      </c>
      <c r="CO22">
        <v>0.65109111778108963</v>
      </c>
      <c r="CP22">
        <f t="shared" si="30"/>
        <v>1.4185713739923467</v>
      </c>
      <c r="CQ22">
        <f t="shared" si="31"/>
        <v>8.7566134197058429E-2</v>
      </c>
      <c r="CR22">
        <f t="shared" si="32"/>
        <v>8.0515686764840133</v>
      </c>
      <c r="CS22">
        <f t="shared" si="33"/>
        <v>4.1921266929319551E-2</v>
      </c>
      <c r="CT22">
        <f t="shared" si="34"/>
        <v>4.5151788144760639E-2</v>
      </c>
      <c r="CU22">
        <f t="shared" si="35"/>
        <v>3.6686308943242936E-2</v>
      </c>
      <c r="CV22">
        <f t="shared" si="36"/>
        <v>2.8411017744884554E-2</v>
      </c>
      <c r="CW22">
        <f t="shared" si="37"/>
        <v>6203.8235419665561</v>
      </c>
      <c r="CX22">
        <f t="shared" si="38"/>
        <v>5759.9522271712103</v>
      </c>
      <c r="CY22">
        <v>5.7</v>
      </c>
      <c r="CZ22">
        <f t="shared" si="39"/>
        <v>4.8</v>
      </c>
      <c r="DA22">
        <f>CZ22-((G22/1000000)+(AA22/1000)+(AP22))</f>
        <v>-0.94216032350761925</v>
      </c>
    </row>
    <row r="23" spans="1:105" ht="15.75">
      <c r="A23">
        <v>58</v>
      </c>
      <c r="B23" t="s">
        <v>10</v>
      </c>
      <c r="C23" t="s">
        <v>8</v>
      </c>
      <c r="D23">
        <v>80</v>
      </c>
      <c r="E23" t="s">
        <v>225</v>
      </c>
      <c r="F23" t="s">
        <v>225</v>
      </c>
      <c r="G23">
        <v>35061.3586456911</v>
      </c>
      <c r="H23">
        <v>16052.708407884511</v>
      </c>
      <c r="I23">
        <f t="shared" si="0"/>
        <v>0.45784615964553688</v>
      </c>
      <c r="J23" s="4">
        <v>3.8957680404107671</v>
      </c>
      <c r="K23" s="5">
        <v>6.5269464673094522</v>
      </c>
      <c r="L23">
        <f t="shared" si="1"/>
        <v>1.6753940172016133</v>
      </c>
      <c r="M23" s="6">
        <v>17.108436792685914</v>
      </c>
      <c r="N23">
        <v>3.7127898229447185</v>
      </c>
      <c r="O23">
        <f t="shared" si="2"/>
        <v>0.21701514100528377</v>
      </c>
      <c r="P23">
        <v>150.12072868891133</v>
      </c>
      <c r="Q23">
        <v>40.102984602061454</v>
      </c>
      <c r="R23">
        <f t="shared" si="3"/>
        <v>0.26713822236478169</v>
      </c>
      <c r="S23">
        <v>2164.2813978821669</v>
      </c>
      <c r="T23">
        <v>1866.5940009168035</v>
      </c>
      <c r="U23">
        <f t="shared" si="4"/>
        <v>0.86245439375089483</v>
      </c>
      <c r="V23">
        <v>3703.3101514792697</v>
      </c>
      <c r="W23">
        <v>574.31885573199543</v>
      </c>
      <c r="X23">
        <f t="shared" si="5"/>
        <v>0.15508256998204337</v>
      </c>
      <c r="Y23">
        <v>14.2</v>
      </c>
      <c r="Z23">
        <v>21.2</v>
      </c>
      <c r="AA23">
        <f t="shared" si="6"/>
        <v>168.98</v>
      </c>
      <c r="AB23">
        <f t="shared" si="7"/>
        <v>252.28</v>
      </c>
      <c r="AC23">
        <f t="shared" si="8"/>
        <v>1.4929577464788732</v>
      </c>
      <c r="AD23">
        <v>6.98</v>
      </c>
      <c r="AE23" s="7">
        <v>7.49</v>
      </c>
      <c r="AF23" s="8">
        <v>198.29963873246615</v>
      </c>
      <c r="AG23" s="8">
        <v>194.54669009270538</v>
      </c>
      <c r="AH23" s="8">
        <v>1.9884421165657664</v>
      </c>
      <c r="AI23" s="8">
        <v>1.7645065231949908</v>
      </c>
      <c r="AJ23" s="30">
        <v>0</v>
      </c>
      <c r="AK23">
        <v>194.54669009270538</v>
      </c>
      <c r="AL23" s="8">
        <f t="shared" si="9"/>
        <v>0</v>
      </c>
      <c r="AM23">
        <v>2.093</v>
      </c>
      <c r="AN23">
        <v>1.218</v>
      </c>
      <c r="AO23">
        <f t="shared" si="10"/>
        <v>6.3002799999999998E-2</v>
      </c>
      <c r="AP23">
        <f t="shared" si="11"/>
        <v>3.1474734255059484</v>
      </c>
      <c r="AQ23">
        <f t="shared" si="12"/>
        <v>3.0879054596415618</v>
      </c>
      <c r="AR23">
        <f t="shared" si="41"/>
        <v>3.0879054596415618</v>
      </c>
      <c r="AW23" s="9">
        <v>0.64400000000000002</v>
      </c>
      <c r="AX23" s="9">
        <v>5.6000000000000001E-2</v>
      </c>
      <c r="AY23" s="10">
        <v>11.6005</v>
      </c>
      <c r="AZ23">
        <f t="shared" si="17"/>
        <v>307.91869368395362</v>
      </c>
      <c r="BA23" s="5">
        <v>0.20715020188254119</v>
      </c>
      <c r="BB23" s="5">
        <v>0.14175296196575549</v>
      </c>
      <c r="BC23" s="5">
        <f t="shared" si="18"/>
        <v>0.68430038048494202</v>
      </c>
      <c r="BD23" t="s">
        <v>110</v>
      </c>
      <c r="BE23" t="s">
        <v>76</v>
      </c>
      <c r="BF23">
        <f t="shared" si="19"/>
        <v>957.27465834142174</v>
      </c>
      <c r="BG23">
        <v>-5.6590595504780197E-2</v>
      </c>
      <c r="BH23">
        <v>7.8370423027649197E-2</v>
      </c>
      <c r="BI23">
        <v>0.69776893487199898</v>
      </c>
      <c r="BJ23">
        <f t="shared" si="20"/>
        <v>3.3684202502860683</v>
      </c>
      <c r="BK23">
        <v>0.61585785202505805</v>
      </c>
      <c r="BL23">
        <f t="shared" si="21"/>
        <v>4.3445854216001232</v>
      </c>
      <c r="BM23">
        <f t="shared" si="22"/>
        <v>939.15761763542821</v>
      </c>
      <c r="BN23">
        <f t="shared" si="23"/>
        <v>939.15761763542821</v>
      </c>
      <c r="BO23">
        <v>0</v>
      </c>
      <c r="BP23">
        <f t="shared" si="25"/>
        <v>0</v>
      </c>
      <c r="BQ23">
        <f t="shared" si="26"/>
        <v>9.5990353786536868</v>
      </c>
      <c r="BR23">
        <f t="shared" si="27"/>
        <v>8.5180053273397505</v>
      </c>
      <c r="BS23">
        <v>0</v>
      </c>
      <c r="BT23">
        <v>0</v>
      </c>
      <c r="BU23">
        <v>10.3812176681257</v>
      </c>
      <c r="BV23">
        <v>19.8405624088075</v>
      </c>
      <c r="BW23">
        <v>34.427908210638002</v>
      </c>
      <c r="BX23">
        <v>24.930627404165001</v>
      </c>
      <c r="BY23">
        <v>10.4183578723969</v>
      </c>
      <c r="BZ23">
        <v>14.442999512335399</v>
      </c>
      <c r="CA23">
        <v>23.964963175071599</v>
      </c>
      <c r="CB23">
        <v>32.066447426006299</v>
      </c>
      <c r="CC23">
        <v>19.255873857426899</v>
      </c>
      <c r="CD23">
        <v>10.2634639190727</v>
      </c>
      <c r="CE23">
        <v>-4.0617818442097002</v>
      </c>
      <c r="CF23">
        <v>-4.1244007662640998</v>
      </c>
      <c r="CG23">
        <v>2.3614607846317002</v>
      </c>
      <c r="CH23">
        <v>5.6747535467381001</v>
      </c>
      <c r="CI23">
        <v>0.1548939533242</v>
      </c>
      <c r="CJ23" s="11">
        <v>317.46011372442837</v>
      </c>
      <c r="CK23" s="11">
        <v>274.64948049918507</v>
      </c>
      <c r="CL23" s="11">
        <v>418.75475152269343</v>
      </c>
      <c r="CM23" s="11">
        <v>256.17495829055122</v>
      </c>
      <c r="CN23">
        <v>0.86514641879576371</v>
      </c>
      <c r="CO23">
        <v>0.61175415289984691</v>
      </c>
      <c r="CP23">
        <f t="shared" si="30"/>
        <v>0.44230600479131416</v>
      </c>
      <c r="CQ23">
        <f t="shared" si="31"/>
        <v>2.7302839801932974E-2</v>
      </c>
      <c r="CR23">
        <f t="shared" si="32"/>
        <v>2.6577206588075861</v>
      </c>
      <c r="CS23">
        <f t="shared" si="33"/>
        <v>6.260447844186473E-2</v>
      </c>
      <c r="CT23">
        <f t="shared" si="34"/>
        <v>7.3225494363827748E-2</v>
      </c>
      <c r="CU23">
        <f t="shared" si="35"/>
        <v>5.4444424740101603E-2</v>
      </c>
      <c r="CV23">
        <f t="shared" si="36"/>
        <v>4.1844535650864365E-2</v>
      </c>
      <c r="CW23">
        <f t="shared" si="37"/>
        <v>3167.4992535335882</v>
      </c>
      <c r="CX23">
        <f t="shared" si="38"/>
        <v>2708.0682821640748</v>
      </c>
      <c r="CY23">
        <v>5.2</v>
      </c>
      <c r="CZ23">
        <f t="shared" si="39"/>
        <v>4.8</v>
      </c>
      <c r="DA23">
        <f>CZ23-((G23/1000000)+(AA23/1000)+(AP23))</f>
        <v>1.4484852158483603</v>
      </c>
    </row>
    <row r="24" spans="1:105" ht="15.75">
      <c r="A24">
        <v>59</v>
      </c>
      <c r="B24" t="s">
        <v>10</v>
      </c>
      <c r="C24" t="s">
        <v>8</v>
      </c>
      <c r="D24">
        <v>80</v>
      </c>
      <c r="E24" t="s">
        <v>225</v>
      </c>
      <c r="F24" t="s">
        <v>225</v>
      </c>
      <c r="G24">
        <v>83626.610726355575</v>
      </c>
      <c r="H24">
        <v>14405.30386098599</v>
      </c>
      <c r="I24">
        <f t="shared" si="0"/>
        <v>0.17225741586160023</v>
      </c>
      <c r="J24" s="4">
        <v>27.299182522781408</v>
      </c>
      <c r="K24" s="5">
        <v>4.825452639341016</v>
      </c>
      <c r="L24">
        <f t="shared" si="1"/>
        <v>0.17676179992987459</v>
      </c>
      <c r="M24" s="6">
        <v>14.562075082207651</v>
      </c>
      <c r="N24">
        <v>0.79551264072319916</v>
      </c>
      <c r="O24">
        <f t="shared" si="2"/>
        <v>5.4629071490997785E-2</v>
      </c>
      <c r="P24">
        <v>131.88895961648646</v>
      </c>
      <c r="Q24">
        <v>9.8724520211264473</v>
      </c>
      <c r="R24">
        <f t="shared" si="3"/>
        <v>7.485427172853644E-2</v>
      </c>
      <c r="S24">
        <v>5162.1364645898493</v>
      </c>
      <c r="T24">
        <v>1675.0353326727895</v>
      </c>
      <c r="U24">
        <f t="shared" si="4"/>
        <v>0.32448489964627025</v>
      </c>
      <c r="V24">
        <v>351.23524934626903</v>
      </c>
      <c r="W24">
        <v>194.71875960196954</v>
      </c>
      <c r="X24">
        <f t="shared" si="5"/>
        <v>0.55438273910260061</v>
      </c>
      <c r="Y24">
        <v>13.6</v>
      </c>
      <c r="Z24">
        <v>13.7</v>
      </c>
      <c r="AA24">
        <f t="shared" si="6"/>
        <v>161.84</v>
      </c>
      <c r="AB24">
        <f t="shared" si="7"/>
        <v>163.03</v>
      </c>
      <c r="AC24">
        <f t="shared" si="8"/>
        <v>1.0073529411764706</v>
      </c>
      <c r="AD24">
        <v>7.38</v>
      </c>
      <c r="AE24" s="7">
        <v>7.56</v>
      </c>
      <c r="AF24" s="8">
        <v>278.06545334284033</v>
      </c>
      <c r="AG24" s="8">
        <v>274.3178996008221</v>
      </c>
      <c r="AH24" s="8">
        <v>1.7681910278889144</v>
      </c>
      <c r="AI24" s="8">
        <v>1.9793627141292993</v>
      </c>
      <c r="AJ24" s="30">
        <v>0</v>
      </c>
      <c r="AK24">
        <v>274.3178996008221</v>
      </c>
      <c r="AL24" s="8">
        <f t="shared" si="9"/>
        <v>0</v>
      </c>
      <c r="AM24">
        <v>2.0150000000000001</v>
      </c>
      <c r="AN24">
        <v>0.80900000000000005</v>
      </c>
      <c r="AO24">
        <f t="shared" si="10"/>
        <v>4.0671400000000003E-2</v>
      </c>
      <c r="AP24">
        <f t="shared" si="11"/>
        <v>6.8368793142808046</v>
      </c>
      <c r="AQ24">
        <f t="shared" si="12"/>
        <v>6.7447370781635767</v>
      </c>
      <c r="AR24">
        <f t="shared" si="41"/>
        <v>6.7447370781635767</v>
      </c>
      <c r="AW24" s="9">
        <v>0.51300000000000001</v>
      </c>
      <c r="AX24" s="9">
        <v>5.3999999999999999E-2</v>
      </c>
      <c r="AY24" s="10">
        <v>9.5408000000000008</v>
      </c>
      <c r="AZ24">
        <f t="shared" si="17"/>
        <v>542.03792074627745</v>
      </c>
      <c r="BA24" s="5">
        <v>0.16488527500666</v>
      </c>
      <c r="BB24" s="5">
        <v>0.11197088604891403</v>
      </c>
      <c r="BC24" s="5">
        <f t="shared" si="18"/>
        <v>0.67908359945659991</v>
      </c>
      <c r="BD24" t="s">
        <v>111</v>
      </c>
      <c r="BE24" t="s">
        <v>77</v>
      </c>
      <c r="BF24">
        <f t="shared" si="19"/>
        <v>1686.4177430738359</v>
      </c>
      <c r="BG24">
        <v>0.16742743490196199</v>
      </c>
      <c r="BH24">
        <v>0.24351625884498501</v>
      </c>
      <c r="BI24">
        <v>0.59406491357116598</v>
      </c>
      <c r="BJ24">
        <f t="shared" si="20"/>
        <v>3.6028985216974085</v>
      </c>
      <c r="BK24">
        <v>0.55469021128916995</v>
      </c>
      <c r="BL24">
        <f t="shared" si="21"/>
        <v>4.9538789131922716</v>
      </c>
      <c r="BM24">
        <f t="shared" si="22"/>
        <v>1663.6894931323729</v>
      </c>
      <c r="BN24">
        <f t="shared" si="23"/>
        <v>1663.6894931323729</v>
      </c>
      <c r="BO24">
        <v>0</v>
      </c>
      <c r="BP24">
        <f t="shared" si="25"/>
        <v>0</v>
      </c>
      <c r="BQ24">
        <f t="shared" si="26"/>
        <v>10.723765526166567</v>
      </c>
      <c r="BR24">
        <f t="shared" si="27"/>
        <v>12.004484415296329</v>
      </c>
      <c r="BS24">
        <v>0</v>
      </c>
      <c r="BT24">
        <v>0</v>
      </c>
      <c r="BU24">
        <v>16.215980139757299</v>
      </c>
      <c r="BV24">
        <v>24.3733909525561</v>
      </c>
      <c r="BW24">
        <v>27.604817947774901</v>
      </c>
      <c r="BX24">
        <v>19.355001838911399</v>
      </c>
      <c r="BY24">
        <v>12.446671570430301</v>
      </c>
      <c r="BZ24">
        <v>19.145656833724601</v>
      </c>
      <c r="CA24">
        <v>25.374094110442002</v>
      </c>
      <c r="CB24">
        <v>25.411860773706199</v>
      </c>
      <c r="CC24">
        <v>15.353679697866699</v>
      </c>
      <c r="CD24">
        <v>14.7034806573441</v>
      </c>
      <c r="CE24">
        <v>-2.9296766939672998</v>
      </c>
      <c r="CF24">
        <v>-1.0007031578859</v>
      </c>
      <c r="CG24">
        <v>2.1929571740687002</v>
      </c>
      <c r="CH24">
        <v>4.0013221410447004</v>
      </c>
      <c r="CI24">
        <v>-2.2568090869138002</v>
      </c>
      <c r="CJ24" s="11">
        <v>280.46691646070758</v>
      </c>
      <c r="CK24" s="11">
        <v>385.16096165124912</v>
      </c>
      <c r="CL24" s="11">
        <v>270.85937431631612</v>
      </c>
      <c r="CM24" s="11">
        <v>205.05676299160532</v>
      </c>
      <c r="CN24">
        <v>1.3732848298533948</v>
      </c>
      <c r="CO24">
        <v>0.75705987104634997</v>
      </c>
      <c r="CP24">
        <f t="shared" si="30"/>
        <v>0.32668988017693329</v>
      </c>
      <c r="CQ24">
        <f t="shared" si="31"/>
        <v>2.0166041986230447E-2</v>
      </c>
      <c r="CR24">
        <f t="shared" si="32"/>
        <v>1.9767411535251471</v>
      </c>
      <c r="CS24">
        <f t="shared" si="33"/>
        <v>6.69258961490347E-2</v>
      </c>
      <c r="CT24">
        <f t="shared" si="34"/>
        <v>5.243627665771293E-2</v>
      </c>
      <c r="CU24">
        <f t="shared" si="35"/>
        <v>4.9849159598953113E-2</v>
      </c>
      <c r="CV24">
        <f t="shared" si="36"/>
        <v>3.3655268770872444E-2</v>
      </c>
      <c r="CW24">
        <f t="shared" si="37"/>
        <v>4154.8259992458989</v>
      </c>
      <c r="CX24">
        <f t="shared" si="38"/>
        <v>5302.9213946284126</v>
      </c>
      <c r="CY24">
        <v>6</v>
      </c>
      <c r="CZ24">
        <f t="shared" si="39"/>
        <v>4.8</v>
      </c>
      <c r="DA24">
        <f>CZ24-((G24/1000000)+(AA24/1000)+(AP24))</f>
        <v>-2.28234592500716</v>
      </c>
    </row>
    <row r="25" spans="1:105" s="21" customFormat="1" ht="16.5" thickBot="1">
      <c r="A25" s="21">
        <v>60</v>
      </c>
      <c r="B25" s="21" t="s">
        <v>10</v>
      </c>
      <c r="C25" s="21" t="s">
        <v>8</v>
      </c>
      <c r="D25" s="21">
        <v>80</v>
      </c>
      <c r="E25" t="s">
        <v>225</v>
      </c>
      <c r="F25" t="s">
        <v>225</v>
      </c>
      <c r="G25" s="21">
        <v>75854.599878094654</v>
      </c>
      <c r="H25" s="21">
        <v>14019.829696883731</v>
      </c>
      <c r="I25" s="21">
        <f t="shared" si="0"/>
        <v>0.18482504316699175</v>
      </c>
      <c r="J25" s="22">
        <v>9.1829663610341363</v>
      </c>
      <c r="K25" s="23">
        <v>3.1778949439290107</v>
      </c>
      <c r="L25" s="21">
        <f t="shared" si="1"/>
        <v>0.34606409508518915</v>
      </c>
      <c r="M25" s="24">
        <v>12.121950935976125</v>
      </c>
      <c r="N25" s="21">
        <v>1.761491461647271</v>
      </c>
      <c r="O25" s="21">
        <f t="shared" si="2"/>
        <v>0.1453141883638078</v>
      </c>
      <c r="P25" s="21">
        <v>113.91368639787113</v>
      </c>
      <c r="Q25" s="21">
        <v>20.927308607154192</v>
      </c>
      <c r="R25" s="21">
        <f t="shared" si="3"/>
        <v>0.18371197762892599</v>
      </c>
      <c r="S25" s="21">
        <v>4682.3827085243611</v>
      </c>
      <c r="T25" s="21">
        <v>1630.2127554515964</v>
      </c>
      <c r="U25" s="21">
        <f t="shared" si="4"/>
        <v>0.34815880224479839</v>
      </c>
      <c r="V25" s="21">
        <v>1126.5753007037083</v>
      </c>
      <c r="W25" s="21">
        <v>637.6000806362606</v>
      </c>
      <c r="X25" s="21">
        <f t="shared" si="5"/>
        <v>0.56596312757610401</v>
      </c>
      <c r="Y25" s="21">
        <v>14.2</v>
      </c>
      <c r="Z25" s="21">
        <v>24.5</v>
      </c>
      <c r="AA25" s="21">
        <f t="shared" si="6"/>
        <v>168.98</v>
      </c>
      <c r="AB25" s="21">
        <f t="shared" si="7"/>
        <v>291.55</v>
      </c>
      <c r="AC25" s="21">
        <f t="shared" si="8"/>
        <v>1.7253521126760565</v>
      </c>
      <c r="AD25" s="21">
        <v>7.5</v>
      </c>
      <c r="AE25" s="25">
        <v>7.44</v>
      </c>
      <c r="AF25" s="26">
        <v>146.2335146968702</v>
      </c>
      <c r="AG25" s="26">
        <v>143.01611989494592</v>
      </c>
      <c r="AH25" s="26">
        <v>1.1511055331090603</v>
      </c>
      <c r="AI25" s="26">
        <v>2.0662892688152428</v>
      </c>
      <c r="AJ25" s="32">
        <v>0</v>
      </c>
      <c r="AK25" s="21">
        <v>143.01611989494592</v>
      </c>
      <c r="AL25" s="26">
        <f t="shared" si="9"/>
        <v>0</v>
      </c>
      <c r="AM25" s="21">
        <v>2.0030000000000001</v>
      </c>
      <c r="AN25" s="21">
        <v>0.95899999999999996</v>
      </c>
      <c r="AO25" s="21">
        <f t="shared" si="10"/>
        <v>4.8861399999999999E-2</v>
      </c>
      <c r="AP25" s="21">
        <f t="shared" si="11"/>
        <v>2.9928228560145675</v>
      </c>
      <c r="AQ25" s="21">
        <f t="shared" si="12"/>
        <v>2.9269754836117245</v>
      </c>
      <c r="AR25" s="21">
        <f t="shared" si="41"/>
        <v>2.9269754836117245</v>
      </c>
      <c r="AW25" s="27">
        <v>0.47299999999999998</v>
      </c>
      <c r="AX25" s="27">
        <v>4.2999999999999997E-2</v>
      </c>
      <c r="AY25" s="28">
        <v>11.1351</v>
      </c>
      <c r="AZ25" s="21">
        <f t="shared" si="17"/>
        <v>309.1617646868292</v>
      </c>
      <c r="BA25" s="23">
        <v>0.21298485324286087</v>
      </c>
      <c r="BB25" s="23">
        <v>0.10432221798827834</v>
      </c>
      <c r="BC25" s="5">
        <f t="shared" si="18"/>
        <v>0.48981050248358526</v>
      </c>
      <c r="BD25" s="21" t="s">
        <v>112</v>
      </c>
      <c r="BE25" s="21" t="s">
        <v>78</v>
      </c>
      <c r="BF25" s="21">
        <f t="shared" si="19"/>
        <v>686.59114707149661</v>
      </c>
      <c r="BG25" s="21">
        <v>0.18150787956380901</v>
      </c>
      <c r="BH25" s="21">
        <v>0.134691953215924</v>
      </c>
      <c r="BI25" s="21">
        <v>0.58429718074631698</v>
      </c>
      <c r="BJ25" s="21">
        <f t="shared" si="20"/>
        <v>2.7433743378927455</v>
      </c>
      <c r="BK25" s="21">
        <v>0.60636261632895505</v>
      </c>
      <c r="BL25" s="21">
        <f t="shared" si="21"/>
        <v>5.8124015001012159</v>
      </c>
      <c r="BM25" s="21">
        <f t="shared" si="22"/>
        <v>671.48493293027036</v>
      </c>
      <c r="BN25" s="21">
        <f t="shared" si="23"/>
        <v>671.48493293027036</v>
      </c>
      <c r="BO25" s="21">
        <v>0</v>
      </c>
      <c r="BP25" s="21">
        <f t="shared" si="25"/>
        <v>0</v>
      </c>
      <c r="BQ25" s="21">
        <f t="shared" si="26"/>
        <v>5.4046356610931658</v>
      </c>
      <c r="BR25" s="21">
        <f t="shared" si="27"/>
        <v>9.7015784801330867</v>
      </c>
      <c r="BS25" s="21">
        <v>0</v>
      </c>
      <c r="BT25" s="21">
        <v>0</v>
      </c>
      <c r="BU25" s="21">
        <v>16.922065458533801</v>
      </c>
      <c r="BV25" s="21">
        <v>24.6447889921978</v>
      </c>
      <c r="BW25" s="21">
        <v>27.367761796744499</v>
      </c>
      <c r="BX25" s="21">
        <v>19.9634818156891</v>
      </c>
      <c r="BY25" s="21">
        <v>11.0984744621981</v>
      </c>
      <c r="BZ25" s="21">
        <v>14.411118549459299</v>
      </c>
      <c r="CA25" s="21">
        <v>24.947905371639798</v>
      </c>
      <c r="CB25" s="21">
        <v>28.8637242237665</v>
      </c>
      <c r="CC25" s="21">
        <v>17.4736226745995</v>
      </c>
      <c r="CD25" s="21">
        <v>14.2989147345295</v>
      </c>
      <c r="CE25" s="21">
        <v>2.5109469090744998</v>
      </c>
      <c r="CF25" s="21">
        <v>-0.30311637944199898</v>
      </c>
      <c r="CG25" s="21">
        <v>-1.495962427022</v>
      </c>
      <c r="CH25" s="21">
        <v>2.4898591410896</v>
      </c>
      <c r="CI25" s="21">
        <v>-3.2004402723314</v>
      </c>
      <c r="CJ25" s="29">
        <v>267.73981038805044</v>
      </c>
      <c r="CK25" s="29">
        <v>383.43176278655193</v>
      </c>
      <c r="CL25" s="29">
        <v>273.23563582116321</v>
      </c>
      <c r="CM25" s="29">
        <v>229.51621952090684</v>
      </c>
      <c r="CN25" s="21">
        <v>1.4321059024835441</v>
      </c>
      <c r="CO25" s="21">
        <v>0.83999372494416735</v>
      </c>
      <c r="CP25" s="21">
        <f t="shared" si="30"/>
        <v>0.14663285549503358</v>
      </c>
      <c r="CQ25" s="21">
        <f t="shared" si="31"/>
        <v>9.0514108330267649E-3</v>
      </c>
      <c r="CR25" s="21">
        <f t="shared" si="32"/>
        <v>0.89702177072963329</v>
      </c>
      <c r="CS25">
        <f t="shared" si="33"/>
        <v>8.8531103949564274E-2</v>
      </c>
      <c r="CT25">
        <f t="shared" si="34"/>
        <v>6.6157261992819655E-2</v>
      </c>
      <c r="CU25">
        <f t="shared" si="35"/>
        <v>4.1060206733027613E-2</v>
      </c>
      <c r="CV25">
        <f t="shared" si="36"/>
        <v>3.3145815736358844E-2</v>
      </c>
      <c r="CW25">
        <f t="shared" si="37"/>
        <v>1651.7755700886628</v>
      </c>
      <c r="CX25">
        <f t="shared" si="38"/>
        <v>2210.3924843918358</v>
      </c>
      <c r="CZ25">
        <f t="shared" si="39"/>
        <v>4.8</v>
      </c>
      <c r="DA25">
        <f>CZ25-((G25/1000000)+(AA25/1000)+(AP25))</f>
        <v>1.5623425441073375</v>
      </c>
    </row>
    <row r="26" spans="1:105" ht="15.75">
      <c r="A26">
        <v>64</v>
      </c>
      <c r="B26" t="s">
        <v>14</v>
      </c>
      <c r="C26" t="s">
        <v>7</v>
      </c>
      <c r="D26">
        <v>40</v>
      </c>
      <c r="E26" t="s">
        <v>224</v>
      </c>
      <c r="F26" t="s">
        <v>224</v>
      </c>
      <c r="G26">
        <v>58040.225168990357</v>
      </c>
      <c r="H26">
        <v>15850.230125672897</v>
      </c>
      <c r="I26">
        <f t="shared" si="0"/>
        <v>0.27309043132626121</v>
      </c>
      <c r="J26" s="4">
        <v>3.7613538574587784</v>
      </c>
      <c r="K26" s="5">
        <v>3.1467505136321758</v>
      </c>
      <c r="L26">
        <f t="shared" si="1"/>
        <v>0.83660049888477206</v>
      </c>
      <c r="M26" s="6">
        <v>2.0564470188550747</v>
      </c>
      <c r="N26">
        <v>22.712755527886788</v>
      </c>
      <c r="O26">
        <f t="shared" si="2"/>
        <v>11.044658734039302</v>
      </c>
      <c r="P26">
        <v>25.706594163064516</v>
      </c>
      <c r="Q26">
        <v>206.45652457978727</v>
      </c>
      <c r="R26">
        <f t="shared" si="3"/>
        <v>8.0312671243095295</v>
      </c>
      <c r="S26">
        <v>4030.5711922909968</v>
      </c>
      <c r="T26">
        <v>1843.0500146131271</v>
      </c>
      <c r="U26">
        <f t="shared" si="4"/>
        <v>0.45726769896490238</v>
      </c>
      <c r="V26">
        <v>657.73333564008988</v>
      </c>
      <c r="W26">
        <v>6354.4870165553575</v>
      </c>
      <c r="X26">
        <f t="shared" si="5"/>
        <v>9.6611904433448359</v>
      </c>
      <c r="Y26">
        <v>46.1</v>
      </c>
      <c r="Z26">
        <v>44.5</v>
      </c>
      <c r="AA26">
        <f t="shared" si="6"/>
        <v>548.59</v>
      </c>
      <c r="AB26">
        <f t="shared" si="7"/>
        <v>529.55000000000007</v>
      </c>
      <c r="AC26">
        <f t="shared" si="8"/>
        <v>0.96529284164858997</v>
      </c>
      <c r="AD26">
        <v>7.11</v>
      </c>
      <c r="AE26" s="7">
        <v>7.62</v>
      </c>
      <c r="AF26" s="8">
        <v>192.01020171017871</v>
      </c>
      <c r="AG26" s="8">
        <v>133.73338691663395</v>
      </c>
      <c r="AH26" s="8">
        <v>3.155900003624605</v>
      </c>
      <c r="AI26" s="8">
        <v>36.816325257457414</v>
      </c>
      <c r="AJ26" s="8">
        <v>18.304589532462749</v>
      </c>
      <c r="AK26">
        <v>107.83097956733607</v>
      </c>
      <c r="AL26" s="8">
        <f t="shared" si="9"/>
        <v>25.902407349297874</v>
      </c>
      <c r="AM26">
        <v>2.0129999999999999</v>
      </c>
      <c r="AN26">
        <v>1.196</v>
      </c>
      <c r="AO26">
        <f t="shared" si="10"/>
        <v>6.1801599999999998E-2</v>
      </c>
      <c r="AP26">
        <f t="shared" si="11"/>
        <v>3.1068807556791205</v>
      </c>
      <c r="AQ26">
        <f t="shared" si="12"/>
        <v>2.1639146384014971</v>
      </c>
      <c r="AR26">
        <f t="shared" si="41"/>
        <v>1.7447926844505008</v>
      </c>
      <c r="AS26">
        <f t="shared" si="14"/>
        <v>0.419121953950996</v>
      </c>
      <c r="AT26">
        <f t="shared" ref="AT26:AT33" si="42">(AJ26/AO26)/1000</f>
        <v>0.29618310096280276</v>
      </c>
      <c r="AU26">
        <f t="shared" ref="AU26:AU33" si="43">AT26/AR26</f>
        <v>0.16975260362011529</v>
      </c>
      <c r="AV26">
        <f>AS26/AR26</f>
        <v>0.24021303945516762</v>
      </c>
      <c r="AW26" s="9">
        <v>0.253</v>
      </c>
      <c r="AX26" s="9">
        <v>3.1E-2</v>
      </c>
      <c r="AY26" s="10">
        <v>8.1707000000000001</v>
      </c>
      <c r="AZ26">
        <f t="shared" si="17"/>
        <v>758.93360359754433</v>
      </c>
      <c r="BA26" s="5">
        <v>0.30116971774668355</v>
      </c>
      <c r="BB26" s="5">
        <v>0.20597820977807541</v>
      </c>
      <c r="BC26" s="5">
        <f t="shared" si="18"/>
        <v>0.68392735936129356</v>
      </c>
      <c r="BD26" t="s">
        <v>113</v>
      </c>
      <c r="BE26" t="s">
        <v>79</v>
      </c>
      <c r="BF26">
        <f t="shared" si="19"/>
        <v>637.54816768025842</v>
      </c>
      <c r="BG26">
        <v>0.33405579338970898</v>
      </c>
      <c r="BH26">
        <v>0.110051716463408</v>
      </c>
      <c r="BI26">
        <v>0.47504943139322398</v>
      </c>
      <c r="BJ26">
        <f t="shared" si="20"/>
        <v>1.5773479317492078</v>
      </c>
      <c r="BK26">
        <v>0.60272512367027098</v>
      </c>
      <c r="BL26">
        <f t="shared" si="21"/>
        <v>2.926159637563885</v>
      </c>
      <c r="BM26">
        <f t="shared" si="22"/>
        <v>444.04659245694234</v>
      </c>
      <c r="BN26">
        <f t="shared" si="23"/>
        <v>358.04057716730222</v>
      </c>
      <c r="BO26">
        <f t="shared" si="24"/>
        <v>86.006015289640146</v>
      </c>
      <c r="BP26">
        <f t="shared" si="25"/>
        <v>0.98344250271511335</v>
      </c>
      <c r="BQ26">
        <f t="shared" si="26"/>
        <v>10.478809181868211</v>
      </c>
      <c r="BR26">
        <f t="shared" si="27"/>
        <v>122.24444586564955</v>
      </c>
      <c r="BS26">
        <f t="shared" si="28"/>
        <v>2.746734770946307E-3</v>
      </c>
      <c r="BT26">
        <f t="shared" si="29"/>
        <v>0.24021303945516759</v>
      </c>
      <c r="BU26">
        <v>32.9760280647047</v>
      </c>
      <c r="BV26">
        <v>19.506868756527702</v>
      </c>
      <c r="BW26">
        <v>24.319912314455301</v>
      </c>
      <c r="BX26">
        <v>15.640142788846701</v>
      </c>
      <c r="BY26">
        <v>7.5448880360203701</v>
      </c>
      <c r="BZ26">
        <v>18.075559252287398</v>
      </c>
      <c r="CA26">
        <v>21.6473317865429</v>
      </c>
      <c r="CB26">
        <v>30.831107998073801</v>
      </c>
      <c r="CC26">
        <v>21.253556888324699</v>
      </c>
      <c r="CD26">
        <v>8.1878474806286405</v>
      </c>
      <c r="CE26">
        <v>14.9004688124173</v>
      </c>
      <c r="CF26">
        <v>-2.1404630300152001</v>
      </c>
      <c r="CG26">
        <v>-6.5111956836185003</v>
      </c>
      <c r="CH26">
        <v>-5.6134140994779997</v>
      </c>
      <c r="CI26">
        <v>-0.64295944460827004</v>
      </c>
      <c r="CJ26" s="11">
        <v>287.5160578487646</v>
      </c>
      <c r="CK26" s="11">
        <v>197.31655325098797</v>
      </c>
      <c r="CL26" s="11">
        <v>431.11662356807869</v>
      </c>
      <c r="CM26" s="11">
        <v>453.52759232266175</v>
      </c>
      <c r="CN26">
        <v>0.68628011502153319</v>
      </c>
      <c r="CO26">
        <v>1.0519835411798824</v>
      </c>
      <c r="CP26">
        <f t="shared" si="30"/>
        <v>0.15817811850083532</v>
      </c>
      <c r="CQ26">
        <f t="shared" si="31"/>
        <v>1.0984591562558007E-2</v>
      </c>
      <c r="CR26">
        <f t="shared" si="32"/>
        <v>1.0865241324381054</v>
      </c>
      <c r="CS26">
        <f t="shared" si="33"/>
        <v>0.15806259222178876</v>
      </c>
      <c r="CT26">
        <f t="shared" si="34"/>
        <v>6.982629189473373E-2</v>
      </c>
      <c r="CU26">
        <f t="shared" si="35"/>
        <v>8.182049983387818E-2</v>
      </c>
      <c r="CV26">
        <f t="shared" si="36"/>
        <v>6.0642877652694167E-2</v>
      </c>
      <c r="CW26">
        <f t="shared" si="37"/>
        <v>1214.7732047868458</v>
      </c>
      <c r="CX26">
        <f t="shared" si="38"/>
        <v>2749.8266985112527</v>
      </c>
      <c r="CZ26">
        <f t="shared" si="39"/>
        <v>4.8</v>
      </c>
      <c r="DA26">
        <f>CZ26-((G26/1000000)+(AA26/1000)+(AP26))</f>
        <v>1.0864890191518892</v>
      </c>
    </row>
    <row r="27" spans="1:105" ht="15.75">
      <c r="A27">
        <v>65</v>
      </c>
      <c r="B27" t="s">
        <v>14</v>
      </c>
      <c r="C27" t="s">
        <v>7</v>
      </c>
      <c r="D27">
        <v>40</v>
      </c>
      <c r="E27" t="s">
        <v>224</v>
      </c>
      <c r="F27" t="s">
        <v>224</v>
      </c>
      <c r="G27">
        <v>103945.3210728686</v>
      </c>
      <c r="H27">
        <v>12451.062926859129</v>
      </c>
      <c r="I27">
        <f t="shared" si="0"/>
        <v>0.1197847368053304</v>
      </c>
      <c r="J27" s="4">
        <v>0.58578464435747202</v>
      </c>
      <c r="K27" s="5">
        <v>1.8043533586334921</v>
      </c>
      <c r="L27">
        <f t="shared" si="1"/>
        <v>3.08023328370553</v>
      </c>
      <c r="M27" s="6">
        <v>0.31899005094839755</v>
      </c>
      <c r="N27">
        <v>0.93223769614590302</v>
      </c>
      <c r="O27">
        <f t="shared" si="2"/>
        <v>2.9224663696383102</v>
      </c>
      <c r="P27">
        <v>6.6410495774917377</v>
      </c>
      <c r="Q27">
        <v>11.236738318560503</v>
      </c>
      <c r="R27">
        <f t="shared" si="3"/>
        <v>1.69201241271331</v>
      </c>
      <c r="S27">
        <v>7218.425074504763</v>
      </c>
      <c r="T27">
        <v>1447.7980147510614</v>
      </c>
      <c r="U27">
        <f t="shared" si="4"/>
        <v>0.20056979186008811</v>
      </c>
      <c r="V27">
        <v>1127.0604978190072</v>
      </c>
      <c r="W27">
        <v>611.52034331374944</v>
      </c>
      <c r="X27">
        <f t="shared" si="5"/>
        <v>0.54257987436975408</v>
      </c>
      <c r="Y27">
        <v>51.3</v>
      </c>
      <c r="Z27">
        <v>10.1</v>
      </c>
      <c r="AA27">
        <f t="shared" si="6"/>
        <v>610.47</v>
      </c>
      <c r="AB27">
        <f t="shared" si="7"/>
        <v>120.19</v>
      </c>
      <c r="AC27">
        <f t="shared" si="8"/>
        <v>0.19688109161793374</v>
      </c>
      <c r="AD27">
        <v>7.54</v>
      </c>
      <c r="AE27" s="7">
        <v>7.95</v>
      </c>
      <c r="AF27" s="8">
        <v>151.43300078752975</v>
      </c>
      <c r="AG27" s="8">
        <v>97.534147074772278</v>
      </c>
      <c r="AH27" s="8">
        <v>2.2611759569835836</v>
      </c>
      <c r="AI27" s="8">
        <v>28.213979508093448</v>
      </c>
      <c r="AJ27" s="8">
        <v>23.423698247680449</v>
      </c>
      <c r="AK27">
        <v>64.387805685229921</v>
      </c>
      <c r="AL27" s="8">
        <f t="shared" si="9"/>
        <v>33.146341389542357</v>
      </c>
      <c r="AM27">
        <v>2.0390000000000001</v>
      </c>
      <c r="AN27">
        <v>1.1200000000000001</v>
      </c>
      <c r="AO27">
        <f t="shared" si="10"/>
        <v>5.7652000000000009E-2</v>
      </c>
      <c r="AP27">
        <f t="shared" si="11"/>
        <v>2.6266738497802287</v>
      </c>
      <c r="AQ27">
        <f t="shared" si="12"/>
        <v>1.6917738686389416</v>
      </c>
      <c r="AR27">
        <f t="shared" si="41"/>
        <v>1.1168355943459014</v>
      </c>
      <c r="AS27">
        <f t="shared" si="14"/>
        <v>0.57493827429304023</v>
      </c>
      <c r="AT27">
        <f t="shared" si="42"/>
        <v>0.40629463414418315</v>
      </c>
      <c r="AU27">
        <f t="shared" si="43"/>
        <v>0.36379090727506608</v>
      </c>
      <c r="AV27">
        <f>AS27/AR27</f>
        <v>0.51479221937743225</v>
      </c>
      <c r="AW27" s="9">
        <v>0.23699999999999999</v>
      </c>
      <c r="AX27" s="9">
        <v>3.2000000000000001E-2</v>
      </c>
      <c r="AY27" s="10">
        <v>7.2949999999999999</v>
      </c>
      <c r="AZ27">
        <f t="shared" si="17"/>
        <v>638.9578092300834</v>
      </c>
      <c r="BA27" s="5">
        <v>0.12448199733184179</v>
      </c>
      <c r="BB27" s="5">
        <v>7.5801095567115118E-2</v>
      </c>
      <c r="BC27" s="5">
        <f t="shared" si="18"/>
        <v>0.6089321925406288</v>
      </c>
      <c r="BD27" t="s">
        <v>114</v>
      </c>
      <c r="BE27" t="s">
        <v>80</v>
      </c>
      <c r="BF27">
        <f t="shared" si="19"/>
        <v>1216.5052299397357</v>
      </c>
      <c r="BG27">
        <v>0.213032001251697</v>
      </c>
      <c r="BH27">
        <v>0.27402793272166498</v>
      </c>
      <c r="BI27">
        <v>0.56428363912664503</v>
      </c>
      <c r="BJ27">
        <f t="shared" si="20"/>
        <v>4.5330541863205189</v>
      </c>
      <c r="BK27">
        <v>0.54611346803767902</v>
      </c>
      <c r="BL27">
        <f t="shared" si="21"/>
        <v>7.2045590364079128</v>
      </c>
      <c r="BM27">
        <f t="shared" si="22"/>
        <v>783.52010061959049</v>
      </c>
      <c r="BN27">
        <f t="shared" si="23"/>
        <v>517.24592363011425</v>
      </c>
      <c r="BO27">
        <f t="shared" si="24"/>
        <v>266.2741769894763</v>
      </c>
      <c r="BP27">
        <f t="shared" si="25"/>
        <v>3.2638826726172341</v>
      </c>
      <c r="BQ27">
        <f t="shared" si="26"/>
        <v>18.164682487828202</v>
      </c>
      <c r="BR27">
        <f t="shared" si="27"/>
        <v>226.65108299058818</v>
      </c>
      <c r="BS27">
        <f t="shared" si="28"/>
        <v>6.3101177283540208E-3</v>
      </c>
      <c r="BT27">
        <f t="shared" si="29"/>
        <v>0.51479221937743214</v>
      </c>
      <c r="BU27">
        <v>18.4541235539068</v>
      </c>
      <c r="BV27">
        <v>25.108573386670201</v>
      </c>
      <c r="BW27">
        <v>26.673668998294101</v>
      </c>
      <c r="BX27">
        <v>15.8505970605106</v>
      </c>
      <c r="BY27">
        <v>13.904097853859801</v>
      </c>
      <c r="BZ27">
        <v>17.877327964334501</v>
      </c>
      <c r="CA27">
        <v>27.498382109728901</v>
      </c>
      <c r="CB27">
        <v>24.143237218666901</v>
      </c>
      <c r="CC27">
        <v>13.5370676637664</v>
      </c>
      <c r="CD27">
        <v>16.9310419213346</v>
      </c>
      <c r="CE27">
        <v>0.57679558957229904</v>
      </c>
      <c r="CF27">
        <v>-2.3898087230587</v>
      </c>
      <c r="CG27">
        <v>2.5304317796271998</v>
      </c>
      <c r="CH27">
        <v>2.3135293967442001</v>
      </c>
      <c r="CI27">
        <v>-3.0269440674747998</v>
      </c>
      <c r="CJ27" s="11">
        <v>280.20647255062295</v>
      </c>
      <c r="CK27" s="11">
        <v>450.05743507016416</v>
      </c>
      <c r="CL27" s="11">
        <v>272.16282246321066</v>
      </c>
      <c r="CM27" s="11">
        <v>228.94402047706046</v>
      </c>
      <c r="CN27">
        <v>1.6061635942005423</v>
      </c>
      <c r="CO27">
        <v>0.84120240378535804</v>
      </c>
      <c r="CP27">
        <f t="shared" si="30"/>
        <v>0.16852779067228829</v>
      </c>
      <c r="CQ27">
        <f t="shared" si="31"/>
        <v>1.1703318796686686E-2</v>
      </c>
      <c r="CR27">
        <f t="shared" si="32"/>
        <v>1.1567935559019948</v>
      </c>
      <c r="CS27">
        <f t="shared" si="33"/>
        <v>5.4227715243247383E-2</v>
      </c>
      <c r="CT27">
        <f t="shared" si="34"/>
        <v>3.7039238529404224E-2</v>
      </c>
      <c r="CU27">
        <f t="shared" si="35"/>
        <v>3.4395285357497883E-2</v>
      </c>
      <c r="CV27">
        <f t="shared" si="36"/>
        <v>2.3095160864095771E-2</v>
      </c>
      <c r="CW27">
        <f t="shared" si="37"/>
        <v>2792.5388356904209</v>
      </c>
      <c r="CX27">
        <f t="shared" si="38"/>
        <v>4088.4480027123695</v>
      </c>
      <c r="CZ27">
        <f t="shared" si="39"/>
        <v>4.8</v>
      </c>
      <c r="DA27">
        <f>CZ27-((G27/1000000)+(AA27/1000)+(AP27))</f>
        <v>1.4589108291469026</v>
      </c>
    </row>
    <row r="28" spans="1:105" ht="15.75">
      <c r="A28">
        <v>66</v>
      </c>
      <c r="B28" t="s">
        <v>14</v>
      </c>
      <c r="C28" t="s">
        <v>7</v>
      </c>
      <c r="D28">
        <v>40</v>
      </c>
      <c r="E28" t="s">
        <v>224</v>
      </c>
      <c r="F28" t="s">
        <v>224</v>
      </c>
      <c r="G28">
        <v>56731.404424597298</v>
      </c>
      <c r="H28">
        <v>36501.372687873249</v>
      </c>
      <c r="I28">
        <f t="shared" si="0"/>
        <v>0.64340682304785635</v>
      </c>
      <c r="J28" s="4">
        <v>0.2068234777923009</v>
      </c>
      <c r="K28" s="5">
        <v>0.75842867305819495</v>
      </c>
      <c r="L28">
        <f t="shared" si="1"/>
        <v>3.6670337485565083</v>
      </c>
      <c r="M28" s="6">
        <v>0.16131099001746488</v>
      </c>
      <c r="N28">
        <v>1.5674462119911288</v>
      </c>
      <c r="O28">
        <f t="shared" si="2"/>
        <v>9.7169214064176526</v>
      </c>
      <c r="P28">
        <v>4.8450338168943228</v>
      </c>
      <c r="Q28">
        <v>17.956592978543675</v>
      </c>
      <c r="R28">
        <f t="shared" si="3"/>
        <v>3.7061852728313651</v>
      </c>
      <c r="S28">
        <v>3939.6808628192566</v>
      </c>
      <c r="T28">
        <v>4244.3456613806102</v>
      </c>
      <c r="U28">
        <f t="shared" si="4"/>
        <v>1.0773323548708293</v>
      </c>
      <c r="V28">
        <v>2337.7486932646457</v>
      </c>
      <c r="W28">
        <v>2349.6481161284723</v>
      </c>
      <c r="X28">
        <f t="shared" si="5"/>
        <v>1.0050901206353404</v>
      </c>
      <c r="Y28">
        <v>51.5</v>
      </c>
      <c r="Z28">
        <v>11.1</v>
      </c>
      <c r="AA28">
        <f t="shared" si="6"/>
        <v>612.85</v>
      </c>
      <c r="AB28">
        <f t="shared" si="7"/>
        <v>132.09</v>
      </c>
      <c r="AC28">
        <f t="shared" si="8"/>
        <v>0.21553398058252426</v>
      </c>
      <c r="AD28">
        <v>7.48</v>
      </c>
      <c r="AE28" s="7">
        <v>7.41</v>
      </c>
      <c r="AF28" s="8">
        <v>146.46557424768099</v>
      </c>
      <c r="AG28" s="8">
        <v>93.281875633211058</v>
      </c>
      <c r="AH28" s="8">
        <v>3.3035599864930512</v>
      </c>
      <c r="AI28" s="8">
        <v>29.440536659505796</v>
      </c>
      <c r="AJ28" s="8">
        <v>20.439601968471084</v>
      </c>
      <c r="AK28">
        <v>64.358260858571697</v>
      </c>
      <c r="AL28" s="8">
        <f t="shared" si="9"/>
        <v>28.923614774639361</v>
      </c>
      <c r="AM28">
        <v>2.0110000000000001</v>
      </c>
      <c r="AN28">
        <v>1.1240000000000001</v>
      </c>
      <c r="AO28">
        <f t="shared" si="10"/>
        <v>5.7870400000000009E-2</v>
      </c>
      <c r="AP28">
        <f t="shared" si="11"/>
        <v>2.5309238271669279</v>
      </c>
      <c r="AQ28">
        <f t="shared" si="12"/>
        <v>1.611909985643974</v>
      </c>
      <c r="AR28">
        <f t="shared" si="41"/>
        <v>1.1121101782357075</v>
      </c>
      <c r="AS28">
        <f t="shared" si="14"/>
        <v>0.49979980740826668</v>
      </c>
      <c r="AT28">
        <f t="shared" si="42"/>
        <v>0.35319614117875603</v>
      </c>
      <c r="AU28">
        <f t="shared" si="43"/>
        <v>0.31759096184074082</v>
      </c>
      <c r="AV28">
        <f t="shared" ref="AV28:AV33" si="44">AS28/AR28</f>
        <v>0.44941572983458122</v>
      </c>
      <c r="AW28" s="9">
        <v>0.35099999999999998</v>
      </c>
      <c r="AX28" s="9">
        <v>3.5000000000000003E-2</v>
      </c>
      <c r="AY28" s="10">
        <v>10.0723</v>
      </c>
      <c r="AZ28">
        <f t="shared" si="17"/>
        <v>417.28083831248148</v>
      </c>
      <c r="BA28" s="5">
        <v>0.25286149829080123</v>
      </c>
      <c r="BB28" s="5">
        <v>0.14418418046353795</v>
      </c>
      <c r="BC28" s="5">
        <f t="shared" si="18"/>
        <v>0.57021010093723379</v>
      </c>
      <c r="BD28" t="s">
        <v>115</v>
      </c>
      <c r="BE28" t="s">
        <v>81</v>
      </c>
      <c r="BF28">
        <f t="shared" si="19"/>
        <v>579.23240682232881</v>
      </c>
      <c r="BG28">
        <v>0.262967358650741</v>
      </c>
      <c r="BH28">
        <v>0.18984987364535699</v>
      </c>
      <c r="BI28">
        <v>0.52233545601668596</v>
      </c>
      <c r="BJ28">
        <f t="shared" si="20"/>
        <v>2.0656978604784602</v>
      </c>
      <c r="BK28">
        <v>0.55846570338236701</v>
      </c>
      <c r="BL28">
        <f t="shared" si="21"/>
        <v>3.8732800060794097</v>
      </c>
      <c r="BM28">
        <f t="shared" si="22"/>
        <v>368.90501821646654</v>
      </c>
      <c r="BN28">
        <f t="shared" si="23"/>
        <v>254.51981141295391</v>
      </c>
      <c r="BO28">
        <f t="shared" si="24"/>
        <v>114.38520680351266</v>
      </c>
      <c r="BP28">
        <f t="shared" si="25"/>
        <v>1.3967968376607727</v>
      </c>
      <c r="BQ28">
        <f t="shared" si="26"/>
        <v>13.064701462354778</v>
      </c>
      <c r="BR28">
        <f t="shared" si="27"/>
        <v>116.42949542934352</v>
      </c>
      <c r="BS28">
        <f t="shared" si="28"/>
        <v>5.4879690107678663E-3</v>
      </c>
      <c r="BT28">
        <f t="shared" si="29"/>
        <v>0.44941572983458122</v>
      </c>
      <c r="BU28">
        <v>28.130192446417301</v>
      </c>
      <c r="BV28">
        <v>19.6251847328904</v>
      </c>
      <c r="BW28">
        <v>26.064831450656399</v>
      </c>
      <c r="BX28">
        <v>18.578657711230399</v>
      </c>
      <c r="BY28">
        <v>7.5900564397818098</v>
      </c>
      <c r="BZ28">
        <v>18.919947378148901</v>
      </c>
      <c r="CA28">
        <v>25.228046141970299</v>
      </c>
      <c r="CB28">
        <v>28.5141937658328</v>
      </c>
      <c r="CC28">
        <v>16.308424932320001</v>
      </c>
      <c r="CD28">
        <v>11.023951640083901</v>
      </c>
      <c r="CE28">
        <v>9.2102450682683994</v>
      </c>
      <c r="CF28">
        <v>-5.6028614090798996</v>
      </c>
      <c r="CG28">
        <v>-2.4493623151763999</v>
      </c>
      <c r="CH28">
        <v>2.2702327789104002</v>
      </c>
      <c r="CI28">
        <v>-3.4338952003020902</v>
      </c>
      <c r="CJ28" s="11">
        <v>279.95058535510356</v>
      </c>
      <c r="CK28" s="11">
        <v>364.71114618457341</v>
      </c>
      <c r="CL28" s="11">
        <v>550.69696858686177</v>
      </c>
      <c r="CM28" s="11">
        <v>301.23517224577813</v>
      </c>
      <c r="CN28">
        <v>1.3027697217419827</v>
      </c>
      <c r="CO28">
        <v>0.54700713718975946</v>
      </c>
      <c r="CP28">
        <f t="shared" si="30"/>
        <v>0.14702521016076084</v>
      </c>
      <c r="CQ28">
        <f t="shared" si="31"/>
        <v>1.0210084038941724E-2</v>
      </c>
      <c r="CR28">
        <f t="shared" si="32"/>
        <v>1.0106891824045723</v>
      </c>
      <c r="CS28">
        <f t="shared" si="33"/>
        <v>0.12075496225002082</v>
      </c>
      <c r="CT28">
        <f t="shared" si="34"/>
        <v>6.6170602685686392E-2</v>
      </c>
      <c r="CU28">
        <f t="shared" si="35"/>
        <v>6.3654422648079703E-2</v>
      </c>
      <c r="CV28">
        <f t="shared" si="36"/>
        <v>3.9408963162128614E-2</v>
      </c>
      <c r="CW28">
        <f t="shared" si="37"/>
        <v>1212.9155731457797</v>
      </c>
      <c r="CX28">
        <f t="shared" si="38"/>
        <v>2213.4538345282972</v>
      </c>
      <c r="CZ28">
        <f t="shared" si="39"/>
        <v>4.8</v>
      </c>
      <c r="DA28">
        <f>CZ28-((G28/1000000)+(AA28/1000)+(AP28))</f>
        <v>1.5994947684084746</v>
      </c>
    </row>
    <row r="29" spans="1:105" s="12" customFormat="1" ht="15.75">
      <c r="A29" s="12">
        <v>67</v>
      </c>
      <c r="B29" s="12" t="s">
        <v>14</v>
      </c>
      <c r="C29" s="12" t="s">
        <v>7</v>
      </c>
      <c r="D29" s="12">
        <v>40</v>
      </c>
      <c r="E29" t="s">
        <v>224</v>
      </c>
      <c r="F29" t="s">
        <v>224</v>
      </c>
      <c r="G29" s="12">
        <v>111492.95589034856</v>
      </c>
      <c r="H29" s="12">
        <v>9734.8084869089726</v>
      </c>
      <c r="I29" s="12">
        <f t="shared" si="0"/>
        <v>8.7313215522629009E-2</v>
      </c>
      <c r="J29" s="13">
        <v>0.35117007345075435</v>
      </c>
      <c r="K29" s="14">
        <v>1.3844383460885243</v>
      </c>
      <c r="L29" s="12">
        <f t="shared" si="1"/>
        <v>3.9423585628593387</v>
      </c>
      <c r="M29" s="15">
        <v>0.69786506117024205</v>
      </c>
      <c r="N29" s="12">
        <v>0.50534397810382969</v>
      </c>
      <c r="O29" s="12">
        <f t="shared" si="2"/>
        <v>0.72412849735796214</v>
      </c>
      <c r="P29" s="12">
        <v>11.05407523231151</v>
      </c>
      <c r="Q29" s="12">
        <v>6.5393018827657601</v>
      </c>
      <c r="R29" s="12">
        <f t="shared" si="3"/>
        <v>0.59157385356407888</v>
      </c>
      <c r="S29" s="12">
        <v>7742.566381274205</v>
      </c>
      <c r="T29" s="12">
        <v>1131.9544752219738</v>
      </c>
      <c r="U29" s="12">
        <f t="shared" si="4"/>
        <v>0.14619887250300675</v>
      </c>
      <c r="V29" s="12">
        <v>3136.7298813244697</v>
      </c>
      <c r="W29" s="12">
        <v>465.80400623502464</v>
      </c>
      <c r="X29" s="12">
        <f t="shared" si="5"/>
        <v>0.14849987849076154</v>
      </c>
      <c r="Y29" s="12">
        <v>53.4</v>
      </c>
      <c r="Z29" s="12">
        <v>7.85</v>
      </c>
      <c r="AA29" s="12">
        <f t="shared" si="6"/>
        <v>635.46</v>
      </c>
      <c r="AB29" s="12">
        <f t="shared" si="7"/>
        <v>93.414999999999992</v>
      </c>
      <c r="AC29" s="12">
        <f t="shared" si="8"/>
        <v>0.14700374531835206</v>
      </c>
      <c r="AD29" s="12">
        <v>7.64</v>
      </c>
      <c r="AE29" s="16">
        <v>7.75</v>
      </c>
      <c r="AF29" s="17">
        <v>183.03742212185236</v>
      </c>
      <c r="AG29" s="17">
        <v>108.70467149249696</v>
      </c>
      <c r="AH29" s="17">
        <v>1.460914396398846</v>
      </c>
      <c r="AI29" s="17">
        <v>52.685243355653213</v>
      </c>
      <c r="AJ29" s="17">
        <v>20.186592877303351</v>
      </c>
      <c r="AK29" s="12">
        <v>80.1390841148052</v>
      </c>
      <c r="AL29" s="17">
        <f t="shared" si="9"/>
        <v>28.565587377691756</v>
      </c>
      <c r="AM29" s="12">
        <v>2.0059999999999998</v>
      </c>
      <c r="AN29" s="12">
        <v>1.2270000000000001</v>
      </c>
      <c r="AO29" s="12">
        <f t="shared" si="10"/>
        <v>6.3494200000000001E-2</v>
      </c>
      <c r="AP29" s="12">
        <f t="shared" si="11"/>
        <v>2.8827423941376118</v>
      </c>
      <c r="AQ29" s="12">
        <f t="shared" si="12"/>
        <v>1.7120409658283271</v>
      </c>
      <c r="AR29" s="12">
        <f t="shared" si="41"/>
        <v>1.2621481035244984</v>
      </c>
      <c r="AS29" s="12">
        <f t="shared" si="14"/>
        <v>0.44989286230382863</v>
      </c>
      <c r="AT29" s="12">
        <f t="shared" si="42"/>
        <v>0.31792813953563237</v>
      </c>
      <c r="AU29" s="12">
        <f t="shared" si="43"/>
        <v>0.25189447945754601</v>
      </c>
      <c r="AV29" s="12">
        <f t="shared" si="44"/>
        <v>0.35645013532684533</v>
      </c>
      <c r="AW29" s="18">
        <v>0.27200000000000002</v>
      </c>
      <c r="AX29" s="18">
        <v>3.4000000000000002E-2</v>
      </c>
      <c r="AY29" s="19">
        <v>7.9501999999999997</v>
      </c>
      <c r="AZ29" s="12">
        <f t="shared" si="17"/>
        <v>672.93169897739836</v>
      </c>
      <c r="BA29" s="14">
        <v>0.1252855933726873</v>
      </c>
      <c r="BB29" s="14">
        <v>0.1034096521069735</v>
      </c>
      <c r="BC29" s="5">
        <f t="shared" si="18"/>
        <v>0.82539140633161712</v>
      </c>
      <c r="BD29" s="12" t="s">
        <v>116</v>
      </c>
      <c r="BE29" s="12" t="s">
        <v>82</v>
      </c>
      <c r="BF29" s="12">
        <f t="shared" si="19"/>
        <v>1460.9614497125028</v>
      </c>
      <c r="BG29" s="12">
        <v>0.19357493749514901</v>
      </c>
      <c r="BH29" s="12">
        <v>0.29703599060041502</v>
      </c>
      <c r="BI29" s="12">
        <v>0.55639248925047202</v>
      </c>
      <c r="BJ29" s="12">
        <f t="shared" si="20"/>
        <v>4.4409933678118136</v>
      </c>
      <c r="BK29" s="12">
        <v>0.57795034353055397</v>
      </c>
      <c r="BL29" s="12">
        <f t="shared" si="21"/>
        <v>5.5889400240190872</v>
      </c>
      <c r="BM29" s="12">
        <f t="shared" si="22"/>
        <v>867.6549997982047</v>
      </c>
      <c r="BN29" s="12">
        <f t="shared" si="23"/>
        <v>639.65123169760875</v>
      </c>
      <c r="BO29" s="12">
        <f t="shared" si="24"/>
        <v>228.00376810059595</v>
      </c>
      <c r="BP29" s="12">
        <f t="shared" si="25"/>
        <v>2.5376272800168724</v>
      </c>
      <c r="BQ29" s="12">
        <f t="shared" si="26"/>
        <v>11.660673482649047</v>
      </c>
      <c r="BR29" s="12">
        <f t="shared" si="27"/>
        <v>420.52116238880171</v>
      </c>
      <c r="BS29" s="12">
        <f t="shared" si="28"/>
        <v>3.9672045550230729E-3</v>
      </c>
      <c r="BT29" s="12">
        <f t="shared" si="29"/>
        <v>0.35645013532684533</v>
      </c>
      <c r="BU29" s="12">
        <v>18.536362792712001</v>
      </c>
      <c r="BV29" s="12">
        <v>25.816654808673899</v>
      </c>
      <c r="BW29" s="12">
        <v>28.401955022117701</v>
      </c>
      <c r="BX29" s="12">
        <v>15.606149658180501</v>
      </c>
      <c r="BY29" s="12">
        <v>11.631144244749001</v>
      </c>
      <c r="BZ29" s="12">
        <v>18.3474132831814</v>
      </c>
      <c r="CA29" s="12">
        <v>23.8423854518981</v>
      </c>
      <c r="CB29" s="12">
        <v>21.289794185005999</v>
      </c>
      <c r="CC29" s="12">
        <v>12.5946036127584</v>
      </c>
      <c r="CD29" s="12">
        <v>23.910636555290999</v>
      </c>
      <c r="CE29" s="12">
        <v>0.18894950953060199</v>
      </c>
      <c r="CF29" s="12">
        <v>1.9742693567758001</v>
      </c>
      <c r="CG29" s="12">
        <v>7.1121608371117002</v>
      </c>
      <c r="CH29" s="12">
        <v>3.0115460454220999</v>
      </c>
      <c r="CI29" s="12">
        <v>-12.279492310542</v>
      </c>
      <c r="CJ29" s="20">
        <v>300.95427012592131</v>
      </c>
      <c r="CK29" s="20">
        <v>283.39704298505217</v>
      </c>
      <c r="CL29" s="20">
        <v>246.74417377964389</v>
      </c>
      <c r="CM29" s="20">
        <v>177.53389078817136</v>
      </c>
      <c r="CN29" s="12">
        <v>0.9416614785577786</v>
      </c>
      <c r="CO29" s="12">
        <v>0.71950590795598235</v>
      </c>
      <c r="CP29" s="12">
        <f t="shared" si="30"/>
        <v>0.18869214389248418</v>
      </c>
      <c r="CQ29" s="12">
        <f t="shared" si="31"/>
        <v>1.3103621103644734E-2</v>
      </c>
      <c r="CR29" s="12">
        <f t="shared" si="32"/>
        <v>1.2934137072148693</v>
      </c>
      <c r="CS29">
        <f t="shared" si="33"/>
        <v>5.5567941280588763E-2</v>
      </c>
      <c r="CT29">
        <f t="shared" si="34"/>
        <v>3.4124405284948006E-2</v>
      </c>
      <c r="CU29">
        <f t="shared" si="35"/>
        <v>4.3628324096578019E-2</v>
      </c>
      <c r="CV29">
        <f t="shared" si="36"/>
        <v>3.7749941858595031E-2</v>
      </c>
      <c r="CW29">
        <f t="shared" si="37"/>
        <v>3293.939237331288</v>
      </c>
      <c r="CX29">
        <f t="shared" si="38"/>
        <v>5363.8274599495708</v>
      </c>
      <c r="CZ29">
        <f t="shared" si="39"/>
        <v>4.8</v>
      </c>
      <c r="DA29">
        <f>CZ29-((G29/1000000)+(AA29/1000)+(AP29))</f>
        <v>1.1703046499720395</v>
      </c>
    </row>
    <row r="30" spans="1:105" ht="15.75">
      <c r="A30">
        <v>68</v>
      </c>
      <c r="B30" t="s">
        <v>14</v>
      </c>
      <c r="C30" t="s">
        <v>8</v>
      </c>
      <c r="D30">
        <v>80</v>
      </c>
      <c r="E30" t="s">
        <v>225</v>
      </c>
      <c r="F30" t="s">
        <v>225</v>
      </c>
      <c r="G30">
        <v>144438.95290481971</v>
      </c>
      <c r="H30">
        <v>4472.7658031081846</v>
      </c>
      <c r="I30">
        <f t="shared" si="0"/>
        <v>3.096647900830175E-2</v>
      </c>
      <c r="J30" s="4">
        <v>2.7482401765404507</v>
      </c>
      <c r="K30" s="5">
        <v>1.0739689571690674</v>
      </c>
      <c r="L30">
        <f t="shared" si="1"/>
        <v>0.39078424307187182</v>
      </c>
      <c r="M30" s="6">
        <v>1.4770452667264335</v>
      </c>
      <c r="N30">
        <v>0.77110800680686309</v>
      </c>
      <c r="O30">
        <f t="shared" si="2"/>
        <v>0.52206118808793522</v>
      </c>
      <c r="P30">
        <v>19.400121591141044</v>
      </c>
      <c r="Q30">
        <v>9.3833376510716651</v>
      </c>
      <c r="R30">
        <f t="shared" si="3"/>
        <v>0.48367416704009286</v>
      </c>
      <c r="S30">
        <v>10030.48284061248</v>
      </c>
      <c r="T30">
        <v>520.08904687304482</v>
      </c>
      <c r="U30">
        <f t="shared" si="4"/>
        <v>5.1850848572040149E-2</v>
      </c>
      <c r="V30">
        <v>686.51058289329637</v>
      </c>
      <c r="W30">
        <v>864.32326144893489</v>
      </c>
      <c r="X30">
        <f t="shared" si="5"/>
        <v>1.259009377257154</v>
      </c>
      <c r="Y30">
        <v>42.7</v>
      </c>
      <c r="Z30">
        <v>7.63</v>
      </c>
      <c r="AA30">
        <f t="shared" si="6"/>
        <v>508.13000000000005</v>
      </c>
      <c r="AB30">
        <f t="shared" si="7"/>
        <v>90.796999999999997</v>
      </c>
      <c r="AC30">
        <f t="shared" si="8"/>
        <v>0.17868852459016393</v>
      </c>
      <c r="AD30">
        <v>7.31</v>
      </c>
      <c r="AE30" s="7">
        <v>8.18</v>
      </c>
      <c r="AF30" s="8">
        <v>155.20165385070425</v>
      </c>
      <c r="AG30" s="8">
        <v>90.212485304705368</v>
      </c>
      <c r="AH30" s="8">
        <v>5.268233121284366</v>
      </c>
      <c r="AI30" s="8">
        <v>48.878951056055826</v>
      </c>
      <c r="AJ30" s="8">
        <v>10.841984368658695</v>
      </c>
      <c r="AK30">
        <v>74.870240394287336</v>
      </c>
      <c r="AL30" s="8">
        <f t="shared" si="9"/>
        <v>15.342244910418032</v>
      </c>
      <c r="AM30">
        <v>2.0089999999999999</v>
      </c>
      <c r="AN30">
        <v>1.32</v>
      </c>
      <c r="AO30">
        <f t="shared" si="10"/>
        <v>6.8572000000000008E-2</v>
      </c>
      <c r="AP30">
        <f t="shared" si="11"/>
        <v>2.2633385908345129</v>
      </c>
      <c r="AQ30">
        <f t="shared" si="12"/>
        <v>1.3155877807954464</v>
      </c>
      <c r="AR30">
        <f t="shared" si="41"/>
        <v>1.0918485736785764</v>
      </c>
      <c r="AS30">
        <f t="shared" si="14"/>
        <v>0.22373920711687029</v>
      </c>
      <c r="AT30">
        <f t="shared" si="42"/>
        <v>0.15811095445165219</v>
      </c>
      <c r="AU30">
        <f t="shared" si="43"/>
        <v>0.14481033200323404</v>
      </c>
      <c r="AV30">
        <f t="shared" si="44"/>
        <v>0.2049177995104802</v>
      </c>
      <c r="AW30" s="9">
        <v>0.312</v>
      </c>
      <c r="AX30" s="9">
        <v>3.2000000000000001E-2</v>
      </c>
      <c r="AY30" s="10">
        <v>9.7812999999999999</v>
      </c>
      <c r="AZ30">
        <f t="shared" si="17"/>
        <v>497.44119823943669</v>
      </c>
      <c r="BA30" s="5">
        <v>0.13155899300093765</v>
      </c>
      <c r="BB30" s="5">
        <v>0.11667587456821468</v>
      </c>
      <c r="BC30" s="5">
        <f t="shared" si="18"/>
        <v>0.88687114355901997</v>
      </c>
      <c r="BD30" t="s">
        <v>117</v>
      </c>
      <c r="BE30" t="s">
        <v>83</v>
      </c>
      <c r="BF30">
        <f t="shared" si="19"/>
        <v>1179.7114762773997</v>
      </c>
      <c r="BG30">
        <v>8.2867268311078601E-2</v>
      </c>
      <c r="BH30">
        <v>0.189566016490157</v>
      </c>
      <c r="BI30">
        <v>0.63258143944754197</v>
      </c>
      <c r="BJ30">
        <f t="shared" si="20"/>
        <v>4.8083481411493736</v>
      </c>
      <c r="BK30">
        <v>0.57611975307325702</v>
      </c>
      <c r="BL30">
        <f t="shared" si="21"/>
        <v>4.9377795984415611</v>
      </c>
      <c r="BM30">
        <f t="shared" si="22"/>
        <v>685.71887977329231</v>
      </c>
      <c r="BN30">
        <f t="shared" si="23"/>
        <v>569.10013284879517</v>
      </c>
      <c r="BO30">
        <f t="shared" si="24"/>
        <v>116.61874692449709</v>
      </c>
      <c r="BP30">
        <f t="shared" si="25"/>
        <v>1.2018255145091092</v>
      </c>
      <c r="BQ30">
        <f t="shared" si="26"/>
        <v>40.044644619975301</v>
      </c>
      <c r="BR30">
        <f t="shared" si="27"/>
        <v>371.53637270321349</v>
      </c>
      <c r="BS30">
        <f t="shared" si="28"/>
        <v>2.1117997433826351E-3</v>
      </c>
      <c r="BT30">
        <f t="shared" si="29"/>
        <v>0.20491779951048025</v>
      </c>
      <c r="BU30">
        <v>13.496589590467799</v>
      </c>
      <c r="BV30">
        <v>23.2396060340192</v>
      </c>
      <c r="BW30">
        <v>30.354767497806598</v>
      </c>
      <c r="BX30">
        <v>18.8124416268078</v>
      </c>
      <c r="BY30">
        <v>14.0909348201398</v>
      </c>
      <c r="BZ30">
        <v>15.6269657650358</v>
      </c>
      <c r="CA30">
        <v>26.757860394699001</v>
      </c>
      <c r="CB30">
        <v>27.393302272024599</v>
      </c>
      <c r="CC30">
        <v>15.8796498672609</v>
      </c>
      <c r="CD30">
        <v>14.339023168040301</v>
      </c>
      <c r="CE30">
        <v>-2.1303761745680001</v>
      </c>
      <c r="CF30">
        <v>-3.5182543606798</v>
      </c>
      <c r="CG30">
        <v>2.9614652257820002</v>
      </c>
      <c r="CH30">
        <v>2.9327917595469</v>
      </c>
      <c r="CI30">
        <v>-0.24808834790049999</v>
      </c>
      <c r="CJ30" s="11">
        <v>307.65087657206084</v>
      </c>
      <c r="CK30" s="11">
        <v>446.33090473203663</v>
      </c>
      <c r="CL30" s="11">
        <v>264.08561714032498</v>
      </c>
      <c r="CM30" s="11">
        <v>198.97401683645236</v>
      </c>
      <c r="CN30">
        <v>1.450770788320809</v>
      </c>
      <c r="CO30">
        <v>0.75344510992707792</v>
      </c>
      <c r="CP30">
        <f t="shared" si="30"/>
        <v>0.11761263091950659</v>
      </c>
      <c r="CQ30">
        <f t="shared" si="31"/>
        <v>8.1675438138546236E-3</v>
      </c>
      <c r="CR30">
        <f t="shared" si="32"/>
        <v>0.81013754747124245</v>
      </c>
      <c r="CS30">
        <f t="shared" si="33"/>
        <v>4.8329769030429605E-2</v>
      </c>
      <c r="CT30">
        <f t="shared" si="34"/>
        <v>4.328735071691197E-2</v>
      </c>
      <c r="CU30">
        <f t="shared" si="35"/>
        <v>4.9452866606088018E-2</v>
      </c>
      <c r="CV30">
        <f t="shared" si="36"/>
        <v>3.5257901046846937E-2</v>
      </c>
      <c r="CW30">
        <f t="shared" si="37"/>
        <v>3211.3055155091988</v>
      </c>
      <c r="CX30">
        <f t="shared" si="38"/>
        <v>3585.3812090668875</v>
      </c>
      <c r="CZ30">
        <f t="shared" si="39"/>
        <v>4.8</v>
      </c>
      <c r="DA30">
        <f>CZ30-((G30/1000000)+(AA30/1000)+(AP30))</f>
        <v>1.8840924562606673</v>
      </c>
    </row>
    <row r="31" spans="1:105" ht="15.75">
      <c r="A31">
        <v>69</v>
      </c>
      <c r="B31" t="s">
        <v>14</v>
      </c>
      <c r="C31" t="s">
        <v>8</v>
      </c>
      <c r="D31">
        <v>80</v>
      </c>
      <c r="E31" t="s">
        <v>225</v>
      </c>
      <c r="F31" t="s">
        <v>225</v>
      </c>
      <c r="G31">
        <v>97308.087318453647</v>
      </c>
      <c r="H31">
        <v>35313.683011996523</v>
      </c>
      <c r="I31">
        <f t="shared" si="0"/>
        <v>0.36290594117247216</v>
      </c>
      <c r="J31" s="4">
        <v>3.2526038791222107</v>
      </c>
      <c r="K31" s="5">
        <v>1.9432258287084958</v>
      </c>
      <c r="L31">
        <f t="shared" si="1"/>
        <v>0.59743697693459052</v>
      </c>
      <c r="M31" s="6">
        <v>1.6416342598833304</v>
      </c>
      <c r="N31">
        <v>1.9033654020842132</v>
      </c>
      <c r="O31">
        <f t="shared" si="2"/>
        <v>1.1594332846218036</v>
      </c>
      <c r="P31">
        <v>22.863344604558204</v>
      </c>
      <c r="Q31">
        <v>21.882220939569752</v>
      </c>
      <c r="R31">
        <f t="shared" si="3"/>
        <v>0.95708748295764001</v>
      </c>
      <c r="S31">
        <v>6757.5060637815022</v>
      </c>
      <c r="T31">
        <v>4106.242210697269</v>
      </c>
      <c r="U31">
        <f t="shared" si="4"/>
        <v>0.60765645963762771</v>
      </c>
      <c r="V31">
        <v>680.06100321760573</v>
      </c>
      <c r="W31">
        <v>1104.1948729467895</v>
      </c>
      <c r="X31">
        <f t="shared" si="5"/>
        <v>1.6236703291652639</v>
      </c>
      <c r="Y31">
        <v>65.900000000000006</v>
      </c>
      <c r="Z31">
        <v>17.899999999999999</v>
      </c>
      <c r="AA31">
        <f t="shared" si="6"/>
        <v>784.21</v>
      </c>
      <c r="AB31">
        <f t="shared" si="7"/>
        <v>213.01</v>
      </c>
      <c r="AC31">
        <f t="shared" si="8"/>
        <v>0.27162367223065248</v>
      </c>
      <c r="AD31">
        <v>7.13</v>
      </c>
      <c r="AE31" s="7">
        <v>7.77</v>
      </c>
      <c r="AF31" s="8">
        <v>193.08346118569381</v>
      </c>
      <c r="AG31" s="8">
        <v>105.36491365829306</v>
      </c>
      <c r="AH31" s="8">
        <v>5.2576393011789602</v>
      </c>
      <c r="AI31" s="8">
        <v>65.853325230449443</v>
      </c>
      <c r="AJ31" s="8">
        <v>16.607582995772365</v>
      </c>
      <c r="AK31">
        <v>81.863901571632439</v>
      </c>
      <c r="AL31" s="8">
        <f t="shared" si="9"/>
        <v>23.501012086660623</v>
      </c>
      <c r="AM31">
        <v>2.0270000000000001</v>
      </c>
      <c r="AN31">
        <v>1.288</v>
      </c>
      <c r="AO31">
        <f t="shared" si="10"/>
        <v>6.6824800000000004E-2</v>
      </c>
      <c r="AP31">
        <f t="shared" si="11"/>
        <v>2.8893982651005885</v>
      </c>
      <c r="AQ31">
        <f t="shared" si="12"/>
        <v>1.5767336925556537</v>
      </c>
      <c r="AR31">
        <f t="shared" si="41"/>
        <v>1.2250526985734702</v>
      </c>
      <c r="AS31">
        <f t="shared" si="14"/>
        <v>0.35168099398218355</v>
      </c>
      <c r="AT31">
        <f t="shared" si="42"/>
        <v>0.24852424542643398</v>
      </c>
      <c r="AU31">
        <f t="shared" si="43"/>
        <v>0.20286820780512668</v>
      </c>
      <c r="AV31">
        <f t="shared" si="44"/>
        <v>0.28707417598581958</v>
      </c>
      <c r="AW31" s="9">
        <v>0.314</v>
      </c>
      <c r="AX31" s="9">
        <v>3.5000000000000003E-2</v>
      </c>
      <c r="AY31" s="10">
        <v>9.0333000000000006</v>
      </c>
      <c r="AZ31">
        <f t="shared" si="17"/>
        <v>614.9154814831013</v>
      </c>
      <c r="BA31" s="5">
        <v>0.22122904994189754</v>
      </c>
      <c r="BB31" s="5">
        <v>0.14201071473817339</v>
      </c>
      <c r="BC31" s="5">
        <f t="shared" si="18"/>
        <v>0.64191712062891537</v>
      </c>
      <c r="BD31" t="s">
        <v>118</v>
      </c>
      <c r="BE31" t="s">
        <v>84</v>
      </c>
      <c r="BF31">
        <f t="shared" si="19"/>
        <v>872.77625265038319</v>
      </c>
      <c r="BG31">
        <v>0.15968286150097999</v>
      </c>
      <c r="BH31">
        <v>0.15755659296244701</v>
      </c>
      <c r="BI31">
        <v>0.58344684770421895</v>
      </c>
      <c r="BJ31">
        <f t="shared" si="20"/>
        <v>2.6372976236956784</v>
      </c>
      <c r="BK31">
        <v>0.59281932112467595</v>
      </c>
      <c r="BL31">
        <f t="shared" si="21"/>
        <v>4.1744689632586036</v>
      </c>
      <c r="BM31">
        <f t="shared" si="22"/>
        <v>476.27069630306488</v>
      </c>
      <c r="BN31">
        <f t="shared" si="23"/>
        <v>370.04137383012198</v>
      </c>
      <c r="BO31">
        <f t="shared" si="24"/>
        <v>106.2293224729429</v>
      </c>
      <c r="BP31">
        <f t="shared" si="25"/>
        <v>1.1233797979591971</v>
      </c>
      <c r="BQ31">
        <f t="shared" si="26"/>
        <v>23.765591826931406</v>
      </c>
      <c r="BR31">
        <f t="shared" si="27"/>
        <v>297.67033419772321</v>
      </c>
      <c r="BS31">
        <f t="shared" si="28"/>
        <v>3.0358221469443483E-3</v>
      </c>
      <c r="BT31">
        <f t="shared" si="29"/>
        <v>0.28707417598581958</v>
      </c>
      <c r="BU31">
        <v>19.833190036331398</v>
      </c>
      <c r="BV31">
        <v>21.8182449418881</v>
      </c>
      <c r="BW31">
        <v>28.836802754570002</v>
      </c>
      <c r="BX31">
        <v>20.483234250774501</v>
      </c>
      <c r="BY31">
        <v>9.0246477650773294</v>
      </c>
      <c r="BZ31">
        <v>16.498450795412499</v>
      </c>
      <c r="CA31">
        <v>24.2097900480947</v>
      </c>
      <c r="CB31">
        <v>28.322118941916401</v>
      </c>
      <c r="CC31">
        <v>16.971883092859802</v>
      </c>
      <c r="CD31">
        <v>13.9879300776915</v>
      </c>
      <c r="CE31">
        <v>3.3347392409188998</v>
      </c>
      <c r="CF31">
        <v>-2.3915451062066002</v>
      </c>
      <c r="CG31">
        <v>0.51468381265360097</v>
      </c>
      <c r="CH31">
        <v>3.5113511579146999</v>
      </c>
      <c r="CI31">
        <v>-4.9632823126141696</v>
      </c>
      <c r="CJ31" s="11">
        <v>256.6119557908317</v>
      </c>
      <c r="CK31" s="11">
        <v>361.91685625256179</v>
      </c>
      <c r="CL31" s="11">
        <v>414.00780549615257</v>
      </c>
      <c r="CM31" s="11">
        <v>252.30375881598258</v>
      </c>
      <c r="CN31">
        <v>1.4103663063445326</v>
      </c>
      <c r="CO31">
        <v>0.60941787924413249</v>
      </c>
      <c r="CP31">
        <f t="shared" si="30"/>
        <v>0.12915656226018646</v>
      </c>
      <c r="CQ31">
        <f t="shared" si="31"/>
        <v>8.9692057125129471E-3</v>
      </c>
      <c r="CR31">
        <f t="shared" si="32"/>
        <v>0.88894741898283036</v>
      </c>
      <c r="CS31">
        <f t="shared" si="33"/>
        <v>9.214507388948219E-2</v>
      </c>
      <c r="CT31">
        <f t="shared" si="34"/>
        <v>6.528000704164505E-2</v>
      </c>
      <c r="CU31">
        <f t="shared" si="35"/>
        <v>5.7810063779201594E-2</v>
      </c>
      <c r="CV31">
        <f t="shared" si="36"/>
        <v>4.3966251965103044E-2</v>
      </c>
      <c r="CW31">
        <f t="shared" si="37"/>
        <v>2095.4290124860722</v>
      </c>
      <c r="CX31">
        <f t="shared" si="38"/>
        <v>2957.7732897993897</v>
      </c>
      <c r="CZ31">
        <f t="shared" si="39"/>
        <v>4.8</v>
      </c>
      <c r="DA31">
        <f>CZ31-((G31/1000000)+(AA31/1000)+(AP31))</f>
        <v>1.0290836475809577</v>
      </c>
    </row>
    <row r="32" spans="1:105" ht="15.75">
      <c r="A32">
        <v>70</v>
      </c>
      <c r="B32" t="s">
        <v>14</v>
      </c>
      <c r="C32" t="s">
        <v>8</v>
      </c>
      <c r="D32">
        <v>80</v>
      </c>
      <c r="E32" t="s">
        <v>225</v>
      </c>
      <c r="F32" t="s">
        <v>225</v>
      </c>
      <c r="G32">
        <v>132503.38966205184</v>
      </c>
      <c r="H32">
        <v>14930.433607513492</v>
      </c>
      <c r="I32">
        <f t="shared" si="0"/>
        <v>0.11267963518211396</v>
      </c>
      <c r="J32" s="4">
        <v>2.3858470988333855</v>
      </c>
      <c r="K32" s="5">
        <v>1.6298692779521082</v>
      </c>
      <c r="L32">
        <f t="shared" si="1"/>
        <v>0.68314070870219223</v>
      </c>
      <c r="M32" s="6">
        <v>1.4309226419755752</v>
      </c>
      <c r="N32">
        <v>0.82520852858021543</v>
      </c>
      <c r="O32">
        <f t="shared" si="2"/>
        <v>0.5766968139108537</v>
      </c>
      <c r="P32">
        <v>19.079539380407443</v>
      </c>
      <c r="Q32">
        <v>10.81892050474077</v>
      </c>
      <c r="R32">
        <f t="shared" si="3"/>
        <v>0.56704306582215469</v>
      </c>
      <c r="S32">
        <v>9201.624282086932</v>
      </c>
      <c r="T32">
        <v>1736.0969311062202</v>
      </c>
      <c r="U32">
        <f t="shared" si="4"/>
        <v>0.18867287751423736</v>
      </c>
      <c r="V32">
        <v>780.61711300510456</v>
      </c>
      <c r="W32">
        <v>652.97176817763534</v>
      </c>
      <c r="X32">
        <f t="shared" si="5"/>
        <v>0.8364814930381439</v>
      </c>
      <c r="Y32">
        <v>45.4</v>
      </c>
      <c r="Z32">
        <v>25.6</v>
      </c>
      <c r="AA32">
        <f t="shared" si="6"/>
        <v>540.26</v>
      </c>
      <c r="AB32">
        <f t="shared" si="7"/>
        <v>304.64000000000004</v>
      </c>
      <c r="AC32">
        <f t="shared" si="8"/>
        <v>0.56387665198237891</v>
      </c>
      <c r="AD32">
        <v>7.27</v>
      </c>
      <c r="AE32" s="7">
        <v>7.76</v>
      </c>
      <c r="AF32" s="8">
        <v>161.1530733608123</v>
      </c>
      <c r="AG32" s="8">
        <v>88.97978111096063</v>
      </c>
      <c r="AH32" s="8">
        <v>4.0408500481600464</v>
      </c>
      <c r="AI32" s="8">
        <v>52.94985122858931</v>
      </c>
      <c r="AJ32" s="8">
        <v>15.182590973102307</v>
      </c>
      <c r="AK32">
        <v>67.49524274938625</v>
      </c>
      <c r="AL32" s="8">
        <f t="shared" si="9"/>
        <v>21.48453836157438</v>
      </c>
      <c r="AM32">
        <v>2.093</v>
      </c>
      <c r="AN32">
        <v>1.29</v>
      </c>
      <c r="AO32">
        <f t="shared" si="10"/>
        <v>6.6934000000000007E-2</v>
      </c>
      <c r="AP32">
        <f t="shared" si="11"/>
        <v>2.4076414581649428</v>
      </c>
      <c r="AQ32">
        <f t="shared" si="12"/>
        <v>1.329365959168145</v>
      </c>
      <c r="AR32">
        <f t="shared" si="41"/>
        <v>1.0083850173213351</v>
      </c>
      <c r="AS32">
        <f t="shared" si="14"/>
        <v>0.32098094184680998</v>
      </c>
      <c r="AT32">
        <f t="shared" si="42"/>
        <v>0.22682927918699475</v>
      </c>
      <c r="AU32">
        <f t="shared" si="43"/>
        <v>0.22494312716936435</v>
      </c>
      <c r="AV32">
        <f t="shared" si="44"/>
        <v>0.31831189112613045</v>
      </c>
      <c r="AW32" s="9">
        <v>0.223</v>
      </c>
      <c r="AX32" s="9">
        <v>3.1E-2</v>
      </c>
      <c r="AY32" s="10">
        <v>7.2933000000000003</v>
      </c>
      <c r="AZ32">
        <f t="shared" si="17"/>
        <v>722.65952179736462</v>
      </c>
      <c r="BA32" s="5">
        <v>0.10075853423667984</v>
      </c>
      <c r="BB32" s="5">
        <v>6.7142049318514835E-2</v>
      </c>
      <c r="BC32" s="5">
        <f t="shared" si="18"/>
        <v>0.66636587984497142</v>
      </c>
      <c r="BD32" t="s">
        <v>119</v>
      </c>
      <c r="BE32" t="s">
        <v>85</v>
      </c>
      <c r="BF32">
        <f t="shared" si="19"/>
        <v>1599.3987465346297</v>
      </c>
      <c r="BG32">
        <v>0.11277759881829</v>
      </c>
      <c r="BH32">
        <v>0.222714654562573</v>
      </c>
      <c r="BI32">
        <v>0.60852057151722905</v>
      </c>
      <c r="BJ32">
        <f t="shared" si="20"/>
        <v>6.0393948376405122</v>
      </c>
      <c r="BK32">
        <v>0.59418532752997699</v>
      </c>
      <c r="BL32">
        <f t="shared" si="21"/>
        <v>8.849675182108669</v>
      </c>
      <c r="BM32">
        <f t="shared" si="22"/>
        <v>883.09920132371963</v>
      </c>
      <c r="BN32">
        <f t="shared" si="23"/>
        <v>669.8712249112441</v>
      </c>
      <c r="BO32">
        <f t="shared" si="24"/>
        <v>213.22797641247556</v>
      </c>
      <c r="BP32">
        <f t="shared" si="25"/>
        <v>2.2512165436446026</v>
      </c>
      <c r="BQ32">
        <f t="shared" si="26"/>
        <v>40.104295668575013</v>
      </c>
      <c r="BR32">
        <f t="shared" si="27"/>
        <v>525.51232141002708</v>
      </c>
      <c r="BS32">
        <f t="shared" si="28"/>
        <v>3.3606706183608379E-3</v>
      </c>
      <c r="BT32">
        <f t="shared" si="29"/>
        <v>0.3183118911261304</v>
      </c>
      <c r="BU32">
        <v>14.429681659825899</v>
      </c>
      <c r="BV32">
        <v>24.716850731322001</v>
      </c>
      <c r="BW32">
        <v>30.1936557638331</v>
      </c>
      <c r="BX32">
        <v>16.621532038533701</v>
      </c>
      <c r="BY32">
        <v>14.036869349356101</v>
      </c>
      <c r="BZ32">
        <v>14.3584583116112</v>
      </c>
      <c r="CA32">
        <v>26.220584134528</v>
      </c>
      <c r="CB32">
        <v>24.2989294504189</v>
      </c>
      <c r="CC32">
        <v>13.113323068343</v>
      </c>
      <c r="CD32">
        <v>22.006280234235799</v>
      </c>
      <c r="CE32">
        <v>7.1223348214699597E-2</v>
      </c>
      <c r="CF32">
        <v>-1.5037334032059999</v>
      </c>
      <c r="CG32">
        <v>5.8947263134141998</v>
      </c>
      <c r="CH32">
        <v>3.5082089701907</v>
      </c>
      <c r="CI32">
        <v>-7.9694108848797001</v>
      </c>
      <c r="CJ32" s="11">
        <v>286.7196251217174</v>
      </c>
      <c r="CK32" s="11">
        <v>553.86984440967012</v>
      </c>
      <c r="CL32" s="11">
        <v>305.88562453509121</v>
      </c>
      <c r="CM32" s="11">
        <v>332.08766853544785</v>
      </c>
      <c r="CN32">
        <v>1.9317472397452489</v>
      </c>
      <c r="CO32">
        <v>1.0856596122821416</v>
      </c>
      <c r="CP32">
        <f t="shared" si="30"/>
        <v>0.17381700203172015</v>
      </c>
      <c r="CQ32">
        <f t="shared" si="31"/>
        <v>1.2070625141091676E-2</v>
      </c>
      <c r="CR32">
        <f t="shared" si="32"/>
        <v>1.1926662864470474</v>
      </c>
      <c r="CS32">
        <f t="shared" si="33"/>
        <v>3.944347224180772E-2</v>
      </c>
      <c r="CT32">
        <f t="shared" si="34"/>
        <v>3.0890955858835674E-2</v>
      </c>
      <c r="CU32">
        <f t="shared" si="35"/>
        <v>2.7245600692167849E-2</v>
      </c>
      <c r="CV32">
        <f t="shared" si="36"/>
        <v>2.358002136988422E-2</v>
      </c>
      <c r="CW32">
        <f t="shared" si="37"/>
        <v>4085.6715750800381</v>
      </c>
      <c r="CX32">
        <f t="shared" si="38"/>
        <v>5216.8367368508616</v>
      </c>
      <c r="CZ32">
        <f t="shared" si="39"/>
        <v>4.8</v>
      </c>
      <c r="DA32">
        <f>CZ32-((G32/1000000)+(AA32/1000)+(AP32))</f>
        <v>1.7195951521730053</v>
      </c>
    </row>
    <row r="33" spans="1:105" s="21" customFormat="1" ht="16.5" thickBot="1">
      <c r="A33" s="21">
        <v>71</v>
      </c>
      <c r="B33" s="21" t="s">
        <v>14</v>
      </c>
      <c r="C33" s="21" t="s">
        <v>8</v>
      </c>
      <c r="D33" s="21">
        <v>80</v>
      </c>
      <c r="E33" t="s">
        <v>225</v>
      </c>
      <c r="F33" t="s">
        <v>225</v>
      </c>
      <c r="G33" s="21">
        <v>55803.33669787331</v>
      </c>
      <c r="H33" s="21">
        <v>37447.206855438169</v>
      </c>
      <c r="I33" s="21">
        <f t="shared" si="0"/>
        <v>0.67105676956527405</v>
      </c>
      <c r="J33" s="22">
        <v>2.6819932786962957</v>
      </c>
      <c r="K33" s="23">
        <v>6.2486647840235161</v>
      </c>
      <c r="L33" s="21">
        <f t="shared" si="1"/>
        <v>2.3298584801304805</v>
      </c>
      <c r="M33" s="24">
        <v>2.1424138345150943</v>
      </c>
      <c r="N33" s="21">
        <v>9.2261961513315125</v>
      </c>
      <c r="O33" s="21">
        <f t="shared" si="2"/>
        <v>4.3064491102017808</v>
      </c>
      <c r="P33" s="21">
        <v>26.752602272807703</v>
      </c>
      <c r="Q33" s="21">
        <v>101.06650728200317</v>
      </c>
      <c r="R33" s="21">
        <f t="shared" si="3"/>
        <v>3.7778196771807417</v>
      </c>
      <c r="S33" s="21">
        <v>3875.2317151300899</v>
      </c>
      <c r="T33" s="21">
        <v>4354.326378539321</v>
      </c>
      <c r="U33" s="21">
        <f t="shared" si="4"/>
        <v>1.1236299397372032</v>
      </c>
      <c r="V33" s="21">
        <v>970.73693229500509</v>
      </c>
      <c r="W33" s="21">
        <v>1516.3431438231155</v>
      </c>
      <c r="X33" s="21">
        <f t="shared" si="5"/>
        <v>1.5620536248046053</v>
      </c>
      <c r="Y33" s="21">
        <v>43.2</v>
      </c>
      <c r="Z33" s="21">
        <v>61.1</v>
      </c>
      <c r="AA33" s="21">
        <f t="shared" si="6"/>
        <v>514.08000000000004</v>
      </c>
      <c r="AB33" s="21">
        <f t="shared" si="7"/>
        <v>727.09</v>
      </c>
      <c r="AC33" s="21">
        <f t="shared" si="8"/>
        <v>1.4143518518518519</v>
      </c>
      <c r="AD33" s="21">
        <v>6.27</v>
      </c>
      <c r="AE33" s="25">
        <v>7.86</v>
      </c>
      <c r="AF33" s="26">
        <v>169.01786773213792</v>
      </c>
      <c r="AG33" s="26">
        <v>92.070771641856751</v>
      </c>
      <c r="AH33" s="26">
        <v>4.6771635749119236</v>
      </c>
      <c r="AI33" s="26">
        <v>54.901756426066413</v>
      </c>
      <c r="AJ33" s="26">
        <v>17.368176089302846</v>
      </c>
      <c r="AK33" s="21">
        <v>67.49346160812938</v>
      </c>
      <c r="AL33" s="26">
        <f t="shared" si="9"/>
        <v>24.577310033727372</v>
      </c>
      <c r="AM33" s="21">
        <v>2.012</v>
      </c>
      <c r="AN33" s="21">
        <v>1.0209999999999999</v>
      </c>
      <c r="AO33" s="21">
        <f t="shared" si="10"/>
        <v>5.2246599999999997E-2</v>
      </c>
      <c r="AP33" s="21">
        <f t="shared" si="11"/>
        <v>3.2350022342532898</v>
      </c>
      <c r="AQ33" s="21">
        <f t="shared" si="12"/>
        <v>1.7622347031549757</v>
      </c>
      <c r="AR33" s="21">
        <f t="shared" si="41"/>
        <v>1.2918249533582928</v>
      </c>
      <c r="AS33" s="21">
        <f t="shared" si="14"/>
        <v>0.47040974979668287</v>
      </c>
      <c r="AT33" s="21">
        <f t="shared" si="42"/>
        <v>0.33242691561370208</v>
      </c>
      <c r="AU33" s="21">
        <f t="shared" si="43"/>
        <v>0.25733123884122877</v>
      </c>
      <c r="AV33" s="21">
        <f t="shared" si="44"/>
        <v>0.36414356958640731</v>
      </c>
      <c r="AW33" s="27">
        <v>0.40100000000000002</v>
      </c>
      <c r="AX33" s="27">
        <v>5.6000000000000001E-2</v>
      </c>
      <c r="AY33" s="28">
        <v>7.1067999999999998</v>
      </c>
      <c r="AZ33" s="21">
        <f t="shared" si="17"/>
        <v>421.49094197540626</v>
      </c>
      <c r="BA33" s="23">
        <v>0.27181436244644491</v>
      </c>
      <c r="BB33" s="23">
        <v>0.16171194582720869</v>
      </c>
      <c r="BC33" s="5">
        <f t="shared" si="18"/>
        <v>0.59493525055752161</v>
      </c>
      <c r="BD33" s="21" t="s">
        <v>120</v>
      </c>
      <c r="BE33" s="21" t="s">
        <v>86</v>
      </c>
      <c r="BF33" s="21">
        <f t="shared" si="19"/>
        <v>621.81360179390515</v>
      </c>
      <c r="BG33" s="21">
        <v>6.3513929412711903E-2</v>
      </c>
      <c r="BH33" s="21">
        <v>9.7225307672931499E-2</v>
      </c>
      <c r="BI33" s="21">
        <v>0.64676303414508696</v>
      </c>
      <c r="BJ33" s="21">
        <f t="shared" si="20"/>
        <v>2.3794292116279085</v>
      </c>
      <c r="BK33" s="21">
        <v>0.611847097352749</v>
      </c>
      <c r="BL33" s="21">
        <f t="shared" si="21"/>
        <v>3.7835615311098634</v>
      </c>
      <c r="BM33" s="21">
        <f t="shared" si="22"/>
        <v>338.7266618775426</v>
      </c>
      <c r="BN33" s="21">
        <f t="shared" si="23"/>
        <v>248.30719392698572</v>
      </c>
      <c r="BO33" s="21">
        <f t="shared" si="24"/>
        <v>90.419467950556864</v>
      </c>
      <c r="BP33" s="21">
        <f t="shared" si="25"/>
        <v>1.2229924593451147</v>
      </c>
      <c r="BQ33" s="21">
        <f t="shared" si="26"/>
        <v>17.207198077450585</v>
      </c>
      <c r="BR33" s="21">
        <f t="shared" si="27"/>
        <v>201.98254401249164</v>
      </c>
      <c r="BS33" s="21">
        <f t="shared" si="28"/>
        <v>4.9253202857454598E-3</v>
      </c>
      <c r="BT33" s="21">
        <f t="shared" si="29"/>
        <v>0.36414356958640731</v>
      </c>
      <c r="BU33" s="21">
        <v>16.5028854110647</v>
      </c>
      <c r="BV33" s="21">
        <v>18.810852115213599</v>
      </c>
      <c r="BW33" s="21">
        <v>30.509125214346099</v>
      </c>
      <c r="BX33" s="21">
        <v>23.494326052355699</v>
      </c>
      <c r="BY33" s="21">
        <v>10.6728521478069</v>
      </c>
      <c r="BZ33" s="21">
        <v>14.5567603612008</v>
      </c>
      <c r="CA33" s="21">
        <v>24.255902032986299</v>
      </c>
      <c r="CB33" s="21">
        <v>31.0275959254867</v>
      </c>
      <c r="CC33" s="21">
        <v>20.640937624207901</v>
      </c>
      <c r="CD33" s="21">
        <v>9.5161761855802194</v>
      </c>
      <c r="CE33" s="21">
        <v>1.9461250498639</v>
      </c>
      <c r="CF33" s="21">
        <v>-5.4450499177726996</v>
      </c>
      <c r="CG33" s="21">
        <v>-0.51847071114060095</v>
      </c>
      <c r="CH33" s="21">
        <v>2.8533884281478001</v>
      </c>
      <c r="CI33" s="21">
        <v>1.15667596222668</v>
      </c>
      <c r="CJ33" s="29">
        <v>319.4459568103789</v>
      </c>
      <c r="CK33" s="29">
        <v>325.0458236657667</v>
      </c>
      <c r="CL33" s="29">
        <v>392.92071117830216</v>
      </c>
      <c r="CM33" s="29">
        <v>396.09304122340035</v>
      </c>
      <c r="CN33" s="21">
        <v>1.0175299349890092</v>
      </c>
      <c r="CO33" s="21">
        <v>1.0080737155228721</v>
      </c>
      <c r="CP33" s="21">
        <f t="shared" si="30"/>
        <v>0.16045843126390472</v>
      </c>
      <c r="CQ33" s="21">
        <f t="shared" si="31"/>
        <v>1.1142946615548936E-2</v>
      </c>
      <c r="CR33" s="21">
        <f t="shared" si="32"/>
        <v>1.1020149676013757</v>
      </c>
      <c r="CS33">
        <f t="shared" si="33"/>
        <v>9.5987810513064334E-2</v>
      </c>
      <c r="CT33">
        <f t="shared" si="34"/>
        <v>9.2871297590712665E-2</v>
      </c>
      <c r="CU33">
        <f t="shared" si="35"/>
        <v>6.2764711584985242E-2</v>
      </c>
      <c r="CV33">
        <f t="shared" si="36"/>
        <v>4.8767655547134234E-2</v>
      </c>
      <c r="CW33">
        <f t="shared" si="37"/>
        <v>1760.8263677306597</v>
      </c>
      <c r="CX33">
        <f t="shared" si="38"/>
        <v>1819.915001909482</v>
      </c>
      <c r="CZ33">
        <f t="shared" si="39"/>
        <v>4.8</v>
      </c>
      <c r="DA33">
        <f>CZ33-((G33/1000000)+(AA33/1000)+(AP33))</f>
        <v>0.99511442904883651</v>
      </c>
    </row>
    <row r="34" spans="1:105">
      <c r="AL34" s="8"/>
      <c r="AW34" s="9"/>
      <c r="AX34" s="9"/>
      <c r="AY34" s="10"/>
      <c r="BA34" s="33"/>
      <c r="BC34" s="5"/>
      <c r="BD34" s="34"/>
    </row>
    <row r="35" spans="1:105">
      <c r="K35" s="5"/>
      <c r="AL35" s="8"/>
      <c r="AW35" s="9"/>
      <c r="AX35" s="9"/>
      <c r="AY35" s="10"/>
      <c r="BA35" s="33"/>
      <c r="BC35" s="5"/>
      <c r="BD35" s="34"/>
    </row>
    <row r="36" spans="1:105">
      <c r="K36" s="5"/>
      <c r="AL36" s="8"/>
      <c r="AW36" s="9"/>
      <c r="AX36" s="9"/>
      <c r="AY36" s="10"/>
      <c r="BC36" s="5"/>
    </row>
    <row r="37" spans="1:105">
      <c r="K37" s="5"/>
      <c r="AL37" s="8"/>
      <c r="AW37" s="9"/>
      <c r="AX37" s="9"/>
      <c r="AY37" s="10"/>
      <c r="BC37" s="5"/>
    </row>
    <row r="38" spans="1:105">
      <c r="K38" s="5"/>
    </row>
    <row r="39" spans="1:105">
      <c r="K39" s="5"/>
    </row>
    <row r="40" spans="1:105">
      <c r="K40" s="5"/>
    </row>
    <row r="41" spans="1:105">
      <c r="K41" s="5"/>
      <c r="BB41" s="5"/>
      <c r="BC41" s="5"/>
      <c r="BE41" s="35"/>
    </row>
    <row r="42" spans="1:105">
      <c r="K42" s="5"/>
      <c r="BB42" s="5"/>
      <c r="BC42" s="5"/>
      <c r="BE42" s="35"/>
    </row>
    <row r="43" spans="1:105">
      <c r="K43" s="5"/>
      <c r="BB43" s="5"/>
      <c r="BC43" s="5"/>
      <c r="BE43" s="35"/>
    </row>
    <row r="44" spans="1:105" ht="15.75" thickBot="1">
      <c r="K44" s="5"/>
      <c r="BB44" s="23"/>
      <c r="BC44" s="23"/>
      <c r="BD44" s="21"/>
      <c r="BE44" s="36"/>
    </row>
    <row r="45" spans="1:105">
      <c r="K45" s="5"/>
    </row>
    <row r="46" spans="1:105">
      <c r="K46" s="5"/>
    </row>
    <row r="47" spans="1:105">
      <c r="K47" s="5"/>
    </row>
    <row r="48" spans="1:105">
      <c r="K48" s="5"/>
    </row>
    <row r="49" spans="11:11">
      <c r="K4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A561-0151-DF4E-9525-BACD5FCA78E6}">
  <dimension ref="A1:C16384"/>
  <sheetViews>
    <sheetView workbookViewId="0">
      <selection activeCell="B36" sqref="B36"/>
    </sheetView>
  </sheetViews>
  <sheetFormatPr defaultColWidth="10.7109375" defaultRowHeight="15"/>
  <cols>
    <col min="1" max="1" width="13.85546875" bestFit="1" customWidth="1"/>
    <col min="2" max="2" width="47.28515625" bestFit="1" customWidth="1"/>
  </cols>
  <sheetData>
    <row r="1" spans="1:3" s="1" customFormat="1">
      <c r="A1" s="1" t="s">
        <v>1</v>
      </c>
      <c r="B1" t="s">
        <v>122</v>
      </c>
    </row>
    <row r="2" spans="1:3">
      <c r="A2" s="1" t="s">
        <v>0</v>
      </c>
      <c r="B2" t="s">
        <v>123</v>
      </c>
    </row>
    <row r="3" spans="1:3">
      <c r="A3" s="1" t="s">
        <v>2</v>
      </c>
      <c r="B3" t="s">
        <v>124</v>
      </c>
    </row>
    <row r="4" spans="1:3">
      <c r="A4" s="1" t="s">
        <v>3</v>
      </c>
      <c r="B4" t="s">
        <v>125</v>
      </c>
    </row>
    <row r="5" spans="1:3">
      <c r="A5" s="1" t="s">
        <v>4</v>
      </c>
      <c r="B5" t="s">
        <v>126</v>
      </c>
    </row>
    <row r="6" spans="1:3">
      <c r="A6" s="1" t="s">
        <v>11</v>
      </c>
      <c r="B6" t="s">
        <v>127</v>
      </c>
    </row>
    <row r="7" spans="1:3">
      <c r="A7" s="1" t="s">
        <v>5</v>
      </c>
      <c r="B7" t="s">
        <v>128</v>
      </c>
    </row>
    <row r="8" spans="1:3">
      <c r="A8" s="1" t="s">
        <v>6</v>
      </c>
      <c r="B8" t="s">
        <v>129</v>
      </c>
    </row>
    <row r="9" spans="1:3">
      <c r="A9" s="1" t="s">
        <v>12</v>
      </c>
      <c r="B9" t="s">
        <v>130</v>
      </c>
    </row>
    <row r="10" spans="1:3">
      <c r="A10" s="1" t="s">
        <v>15</v>
      </c>
      <c r="B10" t="s">
        <v>131</v>
      </c>
    </row>
    <row r="11" spans="1:3">
      <c r="A11" s="1" t="s">
        <v>16</v>
      </c>
      <c r="B11" t="s">
        <v>132</v>
      </c>
    </row>
    <row r="12" spans="1:3">
      <c r="A12" s="1" t="s">
        <v>17</v>
      </c>
      <c r="B12" t="s">
        <v>133</v>
      </c>
    </row>
    <row r="13" spans="1:3">
      <c r="A13" s="1" t="s">
        <v>18</v>
      </c>
    </row>
    <row r="14" spans="1:3">
      <c r="A14" s="1" t="s">
        <v>19</v>
      </c>
    </row>
    <row r="15" spans="1:3">
      <c r="A15" s="1" t="s">
        <v>20</v>
      </c>
    </row>
    <row r="16" spans="1:3">
      <c r="A16" s="1" t="s">
        <v>22</v>
      </c>
      <c r="B16" t="s">
        <v>134</v>
      </c>
      <c r="C16" t="s">
        <v>136</v>
      </c>
    </row>
    <row r="17" spans="1:3">
      <c r="A17" s="1" t="s">
        <v>21</v>
      </c>
      <c r="B17" t="s">
        <v>135</v>
      </c>
    </row>
    <row r="18" spans="1:3">
      <c r="A18" s="1" t="s">
        <v>23</v>
      </c>
    </row>
    <row r="19" spans="1:3">
      <c r="A19" s="1" t="s">
        <v>24</v>
      </c>
      <c r="B19" t="s">
        <v>137</v>
      </c>
    </row>
    <row r="20" spans="1:3">
      <c r="A20" s="1" t="s">
        <v>25</v>
      </c>
      <c r="B20" t="s">
        <v>138</v>
      </c>
    </row>
    <row r="21" spans="1:3">
      <c r="A21" s="1" t="s">
        <v>26</v>
      </c>
    </row>
    <row r="22" spans="1:3">
      <c r="A22" s="1" t="s">
        <v>27</v>
      </c>
      <c r="B22" t="s">
        <v>139</v>
      </c>
    </row>
    <row r="23" spans="1:3">
      <c r="A23" s="1" t="s">
        <v>28</v>
      </c>
      <c r="B23" t="s">
        <v>140</v>
      </c>
    </row>
    <row r="24" spans="1:3">
      <c r="A24" s="1" t="s">
        <v>29</v>
      </c>
    </row>
    <row r="25" spans="1:3">
      <c r="A25" s="1" t="s">
        <v>30</v>
      </c>
      <c r="B25" t="s">
        <v>141</v>
      </c>
    </row>
    <row r="26" spans="1:3">
      <c r="A26" s="1" t="s">
        <v>31</v>
      </c>
      <c r="B26" t="s">
        <v>142</v>
      </c>
    </row>
    <row r="27" spans="1:3">
      <c r="A27" s="1" t="s">
        <v>40</v>
      </c>
      <c r="B27" t="s">
        <v>143</v>
      </c>
    </row>
    <row r="28" spans="1:3">
      <c r="A28" s="1" t="s">
        <v>32</v>
      </c>
      <c r="B28" t="s">
        <v>144</v>
      </c>
    </row>
    <row r="29" spans="1:3">
      <c r="A29" s="1" t="s">
        <v>33</v>
      </c>
      <c r="B29" t="s">
        <v>147</v>
      </c>
    </row>
    <row r="30" spans="1:3">
      <c r="A30" s="1" t="s">
        <v>34</v>
      </c>
      <c r="B30" t="s">
        <v>145</v>
      </c>
    </row>
    <row r="31" spans="1:3">
      <c r="A31" s="1" t="s">
        <v>35</v>
      </c>
      <c r="B31" t="s">
        <v>146</v>
      </c>
    </row>
    <row r="32" spans="1:3">
      <c r="A32" s="1" t="s">
        <v>36</v>
      </c>
      <c r="B32" t="s">
        <v>148</v>
      </c>
      <c r="C32" t="s">
        <v>149</v>
      </c>
    </row>
    <row r="33" spans="1:3">
      <c r="A33" s="1" t="s">
        <v>46</v>
      </c>
      <c r="B33" t="s">
        <v>150</v>
      </c>
      <c r="C33" t="s">
        <v>151</v>
      </c>
    </row>
    <row r="34" spans="1:3">
      <c r="A34" s="1" t="s">
        <v>38</v>
      </c>
      <c r="B34" t="s">
        <v>153</v>
      </c>
    </row>
    <row r="35" spans="1:3">
      <c r="A35" s="1" t="s">
        <v>39</v>
      </c>
      <c r="B35" t="s">
        <v>152</v>
      </c>
    </row>
    <row r="36" spans="1:3">
      <c r="A36" s="1" t="s">
        <v>42</v>
      </c>
      <c r="B36" t="s">
        <v>154</v>
      </c>
    </row>
    <row r="37" spans="1:3">
      <c r="A37" s="1" t="s">
        <v>41</v>
      </c>
      <c r="B37" t="s">
        <v>155</v>
      </c>
    </row>
    <row r="38" spans="1:3">
      <c r="A38" s="1" t="s">
        <v>45</v>
      </c>
      <c r="B38" t="s">
        <v>156</v>
      </c>
    </row>
    <row r="39" spans="1:3">
      <c r="A39" s="1" t="s">
        <v>37</v>
      </c>
      <c r="B39" t="s">
        <v>157</v>
      </c>
    </row>
    <row r="40" spans="1:3">
      <c r="A40" s="1" t="s">
        <v>47</v>
      </c>
      <c r="B40" t="s">
        <v>158</v>
      </c>
    </row>
    <row r="41" spans="1:3">
      <c r="A41" s="1" t="s">
        <v>43</v>
      </c>
      <c r="B41" t="s">
        <v>159</v>
      </c>
    </row>
    <row r="42" spans="1:3">
      <c r="A42" s="1" t="s">
        <v>44</v>
      </c>
      <c r="B42" t="s">
        <v>160</v>
      </c>
    </row>
    <row r="43" spans="1:3">
      <c r="A43" s="1" t="s">
        <v>48</v>
      </c>
      <c r="B43" t="s">
        <v>161</v>
      </c>
    </row>
    <row r="44" spans="1:3">
      <c r="A44" s="1" t="s">
        <v>49</v>
      </c>
      <c r="B44" t="s">
        <v>162</v>
      </c>
    </row>
    <row r="45" spans="1:3">
      <c r="A45" s="1" t="s">
        <v>50</v>
      </c>
      <c r="B45" t="s">
        <v>163</v>
      </c>
    </row>
    <row r="46" spans="1:3">
      <c r="A46" s="1" t="s">
        <v>51</v>
      </c>
      <c r="B46" t="s">
        <v>170</v>
      </c>
    </row>
    <row r="47" spans="1:3">
      <c r="A47" s="1" t="s">
        <v>52</v>
      </c>
      <c r="B47" t="s">
        <v>164</v>
      </c>
    </row>
    <row r="48" spans="1:3">
      <c r="A48" s="1" t="s">
        <v>53</v>
      </c>
      <c r="B48" t="s">
        <v>165</v>
      </c>
    </row>
    <row r="49" spans="1:2">
      <c r="A49" s="1" t="s">
        <v>54</v>
      </c>
      <c r="B49" t="s">
        <v>166</v>
      </c>
    </row>
    <row r="50" spans="1:2">
      <c r="A50" s="1" t="s">
        <v>88</v>
      </c>
      <c r="B50" t="s">
        <v>167</v>
      </c>
    </row>
    <row r="51" spans="1:2">
      <c r="A51" s="1" t="s">
        <v>87</v>
      </c>
      <c r="B51" t="s">
        <v>168</v>
      </c>
    </row>
    <row r="52" spans="1:2">
      <c r="A52" s="1" t="s">
        <v>121</v>
      </c>
      <c r="B52" t="s">
        <v>169</v>
      </c>
    </row>
    <row r="53" spans="1:2">
      <c r="A53" s="1" t="s">
        <v>261</v>
      </c>
      <c r="B53" t="s">
        <v>262</v>
      </c>
    </row>
    <row r="54" spans="1:2">
      <c r="A54" s="1" t="s">
        <v>259</v>
      </c>
      <c r="B54" t="s">
        <v>263</v>
      </c>
    </row>
    <row r="55" spans="1:2">
      <c r="A55" s="1"/>
    </row>
    <row r="56" spans="1:2">
      <c r="A56" s="1"/>
    </row>
    <row r="57" spans="1:2">
      <c r="A57" s="1"/>
    </row>
    <row r="58" spans="1:2">
      <c r="A58" s="1"/>
    </row>
    <row r="59" spans="1:2">
      <c r="A59" s="1"/>
    </row>
    <row r="60" spans="1:2">
      <c r="A60" s="1"/>
    </row>
    <row r="61" spans="1:2">
      <c r="A61" s="1"/>
    </row>
    <row r="62" spans="1:2">
      <c r="A62" s="1"/>
    </row>
    <row r="63" spans="1:2">
      <c r="A63" s="1"/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79D7-D877-5F40-89C9-1131576B7EB6}">
  <dimension ref="A3:J32"/>
  <sheetViews>
    <sheetView workbookViewId="0">
      <selection activeCell="D26" sqref="D26"/>
    </sheetView>
  </sheetViews>
  <sheetFormatPr defaultColWidth="10.7109375" defaultRowHeight="15"/>
  <cols>
    <col min="1" max="1" width="22.42578125" bestFit="1" customWidth="1"/>
    <col min="2" max="2" width="12.28515625" bestFit="1" customWidth="1"/>
    <col min="3" max="3" width="22" bestFit="1" customWidth="1"/>
    <col min="4" max="4" width="21" bestFit="1" customWidth="1"/>
    <col min="5" max="5" width="15.85546875" bestFit="1" customWidth="1"/>
    <col min="6" max="6" width="17" bestFit="1" customWidth="1"/>
    <col min="7" max="7" width="16.28515625" bestFit="1" customWidth="1"/>
    <col min="8" max="8" width="17.28515625" bestFit="1" customWidth="1"/>
    <col min="9" max="9" width="13.7109375" bestFit="1" customWidth="1"/>
    <col min="10" max="10" width="12.85546875" bestFit="1" customWidth="1"/>
  </cols>
  <sheetData>
    <row r="3" spans="1:10">
      <c r="A3" s="2" t="s">
        <v>227</v>
      </c>
      <c r="B3" t="s">
        <v>229</v>
      </c>
      <c r="C3" t="s">
        <v>230</v>
      </c>
      <c r="D3" t="s">
        <v>231</v>
      </c>
      <c r="E3" t="s">
        <v>235</v>
      </c>
      <c r="F3" t="s">
        <v>240</v>
      </c>
      <c r="G3" t="s">
        <v>236</v>
      </c>
      <c r="H3" t="s">
        <v>239</v>
      </c>
      <c r="I3" t="s">
        <v>237</v>
      </c>
      <c r="J3" t="s">
        <v>238</v>
      </c>
    </row>
    <row r="4" spans="1:10">
      <c r="A4" s="3" t="s">
        <v>13</v>
      </c>
      <c r="B4">
        <v>8</v>
      </c>
      <c r="C4">
        <v>0.59611924050939347</v>
      </c>
      <c r="D4">
        <v>0.22413731464621589</v>
      </c>
      <c r="E4">
        <v>795.86982814814246</v>
      </c>
      <c r="F4">
        <v>888.5526270579328</v>
      </c>
      <c r="G4">
        <v>80.958009329271718</v>
      </c>
      <c r="H4">
        <v>81.495130005971902</v>
      </c>
      <c r="I4">
        <v>12.868630297407837</v>
      </c>
      <c r="J4">
        <v>10.968431310856401</v>
      </c>
    </row>
    <row r="5" spans="1:10">
      <c r="A5" s="3" t="s">
        <v>14</v>
      </c>
      <c r="B5">
        <v>8</v>
      </c>
      <c r="C5">
        <v>1.0676483498077547</v>
      </c>
      <c r="D5">
        <v>0.15927240420725999</v>
      </c>
      <c r="E5">
        <v>1297.1497549324031</v>
      </c>
      <c r="F5">
        <v>928.26373495289397</v>
      </c>
      <c r="G5">
        <v>17.042795079834558</v>
      </c>
      <c r="H5">
        <v>8.5001877072651055</v>
      </c>
      <c r="I5">
        <v>1.9967270607814562</v>
      </c>
      <c r="J5">
        <v>1.4030213117411325</v>
      </c>
    </row>
    <row r="6" spans="1:10">
      <c r="A6" s="3" t="s">
        <v>9</v>
      </c>
      <c r="B6">
        <v>8</v>
      </c>
      <c r="C6">
        <v>0.98336500610267263</v>
      </c>
      <c r="D6">
        <v>0.28099757765551364</v>
      </c>
      <c r="E6">
        <v>8140.6684771377722</v>
      </c>
      <c r="F6">
        <v>6989.8582508480649</v>
      </c>
      <c r="G6">
        <v>104.75637761006448</v>
      </c>
      <c r="H6">
        <v>94.140665428529516</v>
      </c>
      <c r="I6">
        <v>2.4613628891637376</v>
      </c>
      <c r="J6">
        <v>2.1858946427727539</v>
      </c>
    </row>
    <row r="7" spans="1:10">
      <c r="A7" s="3" t="s">
        <v>10</v>
      </c>
      <c r="B7">
        <v>8</v>
      </c>
      <c r="C7">
        <v>2.6611449999833741</v>
      </c>
      <c r="D7">
        <v>2.5711679237964806</v>
      </c>
      <c r="E7">
        <v>2032.2414367122688</v>
      </c>
      <c r="F7">
        <v>2992.2985471699567</v>
      </c>
      <c r="G7">
        <v>93.348258845675844</v>
      </c>
      <c r="H7">
        <v>56.814527394492799</v>
      </c>
      <c r="I7">
        <v>9.6169322317723438</v>
      </c>
      <c r="J7">
        <v>8.3249112788095125</v>
      </c>
    </row>
    <row r="8" spans="1:10">
      <c r="A8" s="3" t="s">
        <v>228</v>
      </c>
      <c r="B8">
        <v>32</v>
      </c>
      <c r="C8">
        <v>1.3270693991007987</v>
      </c>
      <c r="D8">
        <v>1.474012608049426</v>
      </c>
      <c r="E8">
        <v>3066.4823742326466</v>
      </c>
      <c r="F8">
        <v>4741.9476176767257</v>
      </c>
      <c r="G8">
        <v>74.026360216211629</v>
      </c>
      <c r="H8">
        <v>73.732561030358411</v>
      </c>
      <c r="I8">
        <v>6.7359131197813431</v>
      </c>
      <c r="J8">
        <v>8.1668841614900867</v>
      </c>
    </row>
    <row r="10" spans="1:10">
      <c r="C10" t="s">
        <v>232</v>
      </c>
      <c r="D10" t="s">
        <v>241</v>
      </c>
      <c r="E10" t="s">
        <v>242</v>
      </c>
      <c r="F10" t="s">
        <v>243</v>
      </c>
    </row>
    <row r="11" spans="1:10">
      <c r="B11" t="s">
        <v>13</v>
      </c>
      <c r="C11">
        <f>1.96*D4/SQRT(8)</f>
        <v>0.15531923480121648</v>
      </c>
      <c r="D11">
        <f>1.96*F4/SQRT(8)</f>
        <v>615.73555627310986</v>
      </c>
      <c r="E11">
        <f>1.96*H4/SQRT(8)</f>
        <v>56.473243879683977</v>
      </c>
      <c r="F11">
        <f>1.96*J4/SQRT(8)</f>
        <v>7.6007351157077041</v>
      </c>
    </row>
    <row r="12" spans="1:10">
      <c r="B12" t="s">
        <v>14</v>
      </c>
      <c r="C12">
        <f>1.96*D5/SQRT(8)</f>
        <v>0.11037014512942157</v>
      </c>
      <c r="D12">
        <f t="shared" ref="D12:D13" si="0">1.96*F5/SQRT(8)</f>
        <v>643.25395008044836</v>
      </c>
      <c r="E12">
        <f t="shared" ref="E12:E14" si="1">1.96*H5/SQRT(8)</f>
        <v>5.8903295617823739</v>
      </c>
      <c r="F12">
        <f t="shared" ref="F12:F14" si="2">1.96*J5/SQRT(8)</f>
        <v>0.97224416600777175</v>
      </c>
    </row>
    <row r="13" spans="1:10">
      <c r="B13" t="s">
        <v>9</v>
      </c>
      <c r="C13">
        <f>1.96*D6/SQRT(8)</f>
        <v>0.19472138680406301</v>
      </c>
      <c r="D13">
        <f t="shared" si="0"/>
        <v>4843.7246453332582</v>
      </c>
      <c r="E13">
        <f t="shared" si="1"/>
        <v>65.236152851728647</v>
      </c>
      <c r="F13">
        <f t="shared" si="2"/>
        <v>1.514747706366681</v>
      </c>
    </row>
    <row r="14" spans="1:10">
      <c r="B14" t="s">
        <v>10</v>
      </c>
      <c r="C14">
        <f>1.96*D7/SQRT(8)</f>
        <v>1.781728468996111</v>
      </c>
      <c r="D14">
        <f>1.96*F7/SQRT(8)</f>
        <v>2073.5571021577598</v>
      </c>
      <c r="E14">
        <f t="shared" si="1"/>
        <v>39.37045883874363</v>
      </c>
      <c r="F14">
        <f t="shared" si="2"/>
        <v>5.7688691936621277</v>
      </c>
    </row>
    <row r="17" spans="1:2">
      <c r="A17" t="s">
        <v>244</v>
      </c>
      <c r="B17">
        <f>GETPIVOTDATA("Average of AAE_total_perc",$A$3,"Community","BFcomplex")-C11</f>
        <v>0.44080000570817701</v>
      </c>
    </row>
    <row r="18" spans="1:2">
      <c r="A18" t="s">
        <v>233</v>
      </c>
      <c r="B18">
        <f>GETPIVOTDATA("Average of AAE_total_perc",$A$3,"Community","BFcomplex")+C11</f>
        <v>0.75143847531060992</v>
      </c>
    </row>
    <row r="19" spans="1:2">
      <c r="A19" t="s">
        <v>234</v>
      </c>
      <c r="B19">
        <f>GETPIVOTDATA("Average of AAE_total_perc",$A$3,"Community","Fonly")-C14</f>
        <v>0.87941653098726302</v>
      </c>
    </row>
    <row r="20" spans="1:2">
      <c r="A20" t="s">
        <v>245</v>
      </c>
      <c r="B20">
        <f>GETPIVOTDATA("Average of AAE_total_perc",$A$3,"Community","Fonly")+C14</f>
        <v>4.4428734689794851</v>
      </c>
    </row>
    <row r="21" spans="1:2">
      <c r="A21" t="s">
        <v>246</v>
      </c>
      <c r="B21">
        <f>GETPIVOTDATA("Average of resp_h1",$A$3,"Community","BFcomplex")-D11</f>
        <v>180.1342718750326</v>
      </c>
    </row>
    <row r="22" spans="1:2">
      <c r="A22" t="s">
        <v>247</v>
      </c>
      <c r="B22">
        <f>GETPIVOTDATA("Average of resp_h1",$A$3,"Community","BFcomplex")+D11</f>
        <v>1411.6053844212524</v>
      </c>
    </row>
    <row r="23" spans="1:2">
      <c r="A23" t="s">
        <v>248</v>
      </c>
      <c r="B23">
        <f>GETPIVOTDATA("Average of resp_h1",$A$3,"Community","Bonly")-D13</f>
        <v>3296.943831804514</v>
      </c>
    </row>
    <row r="24" spans="1:2">
      <c r="A24" t="s">
        <v>249</v>
      </c>
      <c r="B24">
        <f>GETPIVOTDATA("Average of resp_h1",$A$3,"Community","Bonly")+D13</f>
        <v>12984.39312247103</v>
      </c>
    </row>
    <row r="25" spans="1:2">
      <c r="A25" t="s">
        <v>250</v>
      </c>
      <c r="B25">
        <f>GETPIVOTDATA("Average of growth1",$A$3,"Community","BFsimple")-E12</f>
        <v>11.152465518052185</v>
      </c>
    </row>
    <row r="26" spans="1:2">
      <c r="A26" t="s">
        <v>251</v>
      </c>
      <c r="B26">
        <f>GETPIVOTDATA("Average of growth1",$A$3,"Community","BFsimple")+E12</f>
        <v>22.933124641616931</v>
      </c>
    </row>
    <row r="27" spans="1:2">
      <c r="A27" t="s">
        <v>252</v>
      </c>
      <c r="B27">
        <f>GETPIVOTDATA("Average of growth1",$A$3,"Community","Bonly")-E13</f>
        <v>39.520224758335829</v>
      </c>
    </row>
    <row r="28" spans="1:2">
      <c r="A28" t="s">
        <v>253</v>
      </c>
      <c r="B28">
        <f>GETPIVOTDATA("Average of growth1",$A$3,"Community","Bonly")+E13</f>
        <v>169.99253046179314</v>
      </c>
    </row>
    <row r="29" spans="1:2">
      <c r="A29" t="s">
        <v>254</v>
      </c>
      <c r="B29">
        <f>GETPIVOTDATA("Average of CUE1",$A$3,"Community","BFsimple")-F12</f>
        <v>1.0244828947736844</v>
      </c>
    </row>
    <row r="30" spans="1:2">
      <c r="A30" t="s">
        <v>255</v>
      </c>
      <c r="B30">
        <f>GETPIVOTDATA("Average of CUE1",$A$3,"Community","BFsimple")+F12</f>
        <v>2.9689712267892281</v>
      </c>
    </row>
    <row r="31" spans="1:2">
      <c r="A31" t="s">
        <v>256</v>
      </c>
      <c r="B31">
        <f>GETPIVOTDATA("Average of CUE1",$A$3,"Community","BFcomplex")-F11</f>
        <v>5.2678951817001325</v>
      </c>
    </row>
    <row r="32" spans="1:2">
      <c r="A32" t="s">
        <v>257</v>
      </c>
      <c r="B32">
        <f>GETPIVOTDATA("Average of CUE1",$A$3,"Community","BFcomplex")+F11</f>
        <v>20.46936541311554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4AB723F1E74745820A8B32F42B206E" ma:contentTypeVersion="10" ma:contentTypeDescription="Create a new document." ma:contentTypeScope="" ma:versionID="59310c2750008cf99184d4e27548ff0e">
  <xsd:schema xmlns:xsd="http://www.w3.org/2001/XMLSchema" xmlns:xs="http://www.w3.org/2001/XMLSchema" xmlns:p="http://schemas.microsoft.com/office/2006/metadata/properties" xmlns:ns3="9d53bd41-7285-4699-8026-614374d8c450" targetNamespace="http://schemas.microsoft.com/office/2006/metadata/properties" ma:root="true" ma:fieldsID="8ca035dc55ae90266a5d4a0f10ed211d" ns3:_="">
    <xsd:import namespace="9d53bd41-7285-4699-8026-614374d8c4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3bd41-7285-4699-8026-614374d8c4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DB794D-7580-433C-A95C-0D45D243A5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B5091F-4D6F-44BC-8E26-8554765F50EF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9d53bd41-7285-4699-8026-614374d8c450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7986171-5CAF-467D-B3D0-B2017B23CD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53bd41-7285-4699-8026-614374d8c4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</dc:creator>
  <cp:lastModifiedBy>Lepori Selina (leporsel)</cp:lastModifiedBy>
  <dcterms:created xsi:type="dcterms:W3CDTF">2021-10-20T16:02:02Z</dcterms:created>
  <dcterms:modified xsi:type="dcterms:W3CDTF">2024-12-02T09:34:45Z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0x010100794AB723F1E74745820A8B32F42B206E</vt:lpwstr>
  </property>
</Properties>
</file>