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6\"/>
    </mc:Choice>
  </mc:AlternateContent>
  <xr:revisionPtr revIDLastSave="0" documentId="13_ncr:1_{CE386CAC-FEA6-4E08-BAE7-F54B22B83120}" xr6:coauthVersionLast="36" xr6:coauthVersionMax="47" xr10:uidLastSave="{00000000-0000-0000-0000-000000000000}"/>
  <bookViews>
    <workbookView xWindow="15915" yWindow="4575" windowWidth="12480" windowHeight="11025" xr2:uid="{00000000-000D-0000-FFFF-FFFF00000000}"/>
  </bookViews>
  <sheets>
    <sheet name="S16_A_C3" sheetId="1" r:id="rId1"/>
  </sheets>
  <calcPr calcId="191029"/>
</workbook>
</file>

<file path=xl/calcChain.xml><?xml version="1.0" encoding="utf-8"?>
<calcChain xmlns="http://schemas.openxmlformats.org/spreadsheetml/2006/main">
  <c r="Z113" i="1" l="1"/>
  <c r="AA84" i="1" l="1"/>
  <c r="AB84" i="1"/>
  <c r="AC84" i="1"/>
  <c r="AD84" i="1"/>
  <c r="Z84" i="1"/>
  <c r="AA76" i="1"/>
  <c r="AB76" i="1"/>
  <c r="AC76" i="1"/>
  <c r="AD76" i="1"/>
  <c r="AA70" i="1"/>
  <c r="AB70" i="1"/>
  <c r="AC70" i="1"/>
  <c r="AD70" i="1"/>
  <c r="AA64" i="1"/>
  <c r="AB64" i="1"/>
  <c r="AC64" i="1"/>
  <c r="AD64" i="1"/>
  <c r="AA58" i="1"/>
  <c r="AB58" i="1"/>
  <c r="AC58" i="1"/>
  <c r="AD58" i="1"/>
  <c r="AA52" i="1"/>
  <c r="AB52" i="1"/>
  <c r="AC52" i="1"/>
  <c r="AD52" i="1"/>
  <c r="Z76" i="1"/>
  <c r="Z70" i="1"/>
  <c r="Z64" i="1"/>
  <c r="Z58" i="1"/>
  <c r="Z52" i="1"/>
  <c r="Q71" i="1"/>
  <c r="Q70" i="1"/>
  <c r="R71" i="1" l="1"/>
  <c r="Z114" i="1" l="1"/>
  <c r="S103" i="1"/>
  <c r="Z81" i="1" s="1"/>
  <c r="AD114" i="1" l="1"/>
  <c r="S70" i="1"/>
  <c r="Z49" i="1" s="1"/>
  <c r="R70" i="1"/>
  <c r="T103" i="1"/>
  <c r="S102" i="1"/>
  <c r="T102" i="1" s="1"/>
  <c r="S101" i="1"/>
  <c r="T101" i="1" s="1"/>
  <c r="Z80" i="1"/>
  <c r="Z72" i="1"/>
  <c r="R72" i="1"/>
  <c r="S71" i="1"/>
  <c r="S69" i="1"/>
  <c r="T69" i="1" s="1"/>
  <c r="S68" i="1"/>
  <c r="X50" i="1" s="1"/>
  <c r="Z66" i="1"/>
  <c r="Z60" i="1"/>
  <c r="X57" i="1"/>
  <c r="Z54" i="1"/>
  <c r="X49" i="1"/>
  <c r="Z48" i="1"/>
  <c r="X48" i="1"/>
  <c r="X47" i="1"/>
  <c r="X51" i="1" l="1"/>
  <c r="X58" i="1" s="1"/>
  <c r="X59" i="1" s="1"/>
  <c r="Z67" i="1"/>
  <c r="Z68" i="1" s="1"/>
  <c r="Z69" i="1" s="1"/>
  <c r="T68" i="1"/>
  <c r="Z73" i="1"/>
  <c r="Z74" i="1" s="1"/>
  <c r="Z75" i="1" s="1"/>
  <c r="Z55" i="1"/>
  <c r="AC56" i="1" s="1"/>
  <c r="AC57" i="1" s="1"/>
  <c r="AB82" i="1"/>
  <c r="AB83" i="1" s="1"/>
  <c r="AA82" i="1"/>
  <c r="AA83" i="1" s="1"/>
  <c r="Z82" i="1"/>
  <c r="Z83" i="1" s="1"/>
  <c r="AD82" i="1"/>
  <c r="AD83" i="1" s="1"/>
  <c r="AC82" i="1"/>
  <c r="AC83" i="1" s="1"/>
  <c r="Z61" i="1"/>
  <c r="T70" i="1"/>
  <c r="AA114" i="1"/>
  <c r="AB114" i="1"/>
  <c r="AC114" i="1"/>
  <c r="AA50" i="1" l="1"/>
  <c r="AA51" i="1" s="1"/>
  <c r="Z50" i="1"/>
  <c r="Z51" i="1" s="1"/>
  <c r="AC50" i="1"/>
  <c r="AC51" i="1" s="1"/>
  <c r="AD50" i="1"/>
  <c r="AD51" i="1" s="1"/>
  <c r="AB50" i="1"/>
  <c r="AB51" i="1" s="1"/>
  <c r="Z56" i="1"/>
  <c r="Z57" i="1" s="1"/>
  <c r="AD74" i="1"/>
  <c r="AD75" i="1" s="1"/>
  <c r="AA74" i="1"/>
  <c r="AA75" i="1" s="1"/>
  <c r="AB74" i="1"/>
  <c r="AB75" i="1" s="1"/>
  <c r="AD56" i="1"/>
  <c r="AD57" i="1" s="1"/>
  <c r="AC74" i="1"/>
  <c r="AC75" i="1" s="1"/>
  <c r="X54" i="1"/>
  <c r="X55" i="1" s="1"/>
  <c r="AB56" i="1"/>
  <c r="AB57" i="1" s="1"/>
  <c r="AA56" i="1"/>
  <c r="AA57" i="1" s="1"/>
  <c r="AA68" i="1"/>
  <c r="AA69" i="1" s="1"/>
  <c r="AC68" i="1"/>
  <c r="AC69" i="1" s="1"/>
  <c r="AD68" i="1"/>
  <c r="AD69" i="1" s="1"/>
  <c r="AB68" i="1"/>
  <c r="AB69" i="1" s="1"/>
  <c r="AA62" i="1"/>
  <c r="AD62" i="1"/>
  <c r="Z62" i="1"/>
  <c r="Z63" i="1" s="1"/>
  <c r="AC62" i="1"/>
  <c r="AB62" i="1"/>
  <c r="AC63" i="1" l="1"/>
  <c r="AD63" i="1"/>
  <c r="AB63" i="1"/>
  <c r="AA63" i="1"/>
</calcChain>
</file>

<file path=xl/sharedStrings.xml><?xml version="1.0" encoding="utf-8"?>
<sst xmlns="http://schemas.openxmlformats.org/spreadsheetml/2006/main" count="301" uniqueCount="136">
  <si>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</si>
  <si>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</si>
  <si>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</si>
  <si>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</si>
  <si>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</si>
  <si>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</si>
  <si>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</si>
  <si>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</si>
  <si>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</si>
  <si>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2022-06-08</t>
  </si>
  <si>
    <t>Time:</t>
  </si>
  <si>
    <t>14:42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</si>
  <si>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</si>
  <si>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</si>
  <si>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</si>
  <si>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</si>
  <si>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</si>
  <si>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</si>
  <si>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</si>
  <si>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</si>
  <si>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</si>
  <si>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</si>
  <si>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</si>
  <si>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</si>
  <si>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</si>
  <si>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</si>
  <si>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</si>
  <si>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</si>
  <si>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</si>
  <si>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</si>
  <si>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</si>
  <si>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</si>
  <si>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</si>
  <si>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</si>
  <si>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</si>
  <si>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</si>
  <si>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</si>
  <si>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</si>
  <si>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2022-06-08 14:38:35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</si>
  <si>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</si>
  <si>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</si>
  <si>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</si>
  <si>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</si>
  <si>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</si>
  <si>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</si>
  <si>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2022-06-08 14:38:40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</si>
  <si>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</si>
  <si>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</si>
  <si>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</si>
  <si>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</si>
  <si>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</si>
  <si>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</si>
  <si>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</si>
  <si>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</si>
  <si>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</si>
  <si>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</si>
  <si>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</si>
  <si>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</si>
  <si>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</si>
  <si>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</si>
  <si>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</si>
  <si>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</si>
  <si>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</si>
  <si>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</si>
  <si>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</si>
  <si>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</si>
  <si>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</si>
  <si>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</si>
  <si>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</si>
  <si>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</si>
  <si>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</si>
  <si>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</si>
  <si>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</si>
  <si>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</si>
  <si>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</si>
  <si>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</si>
  <si>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</si>
  <si>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</si>
  <si>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</si>
  <si>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</si>
  <si>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</si>
  <si>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</si>
  <si>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</si>
  <si>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</si>
  <si>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</si>
  <si>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</si>
  <si>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</si>
  <si>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2022-06-08 14:40:11</t>
  </si>
  <si>
    <t>2022-06-08 14:40:13</t>
  </si>
  <si>
    <t>2022-06-08 14:41:43</t>
  </si>
  <si>
    <t>Measurement wavelength [nm]</t>
  </si>
  <si>
    <t>2022-06-08 14:41:46</t>
  </si>
  <si>
    <t>2022-06-08 14:42:09</t>
  </si>
  <si>
    <t>2022-06-08 14:42:12</t>
  </si>
  <si>
    <t>Movement</t>
  </si>
  <si>
    <t>Out</t>
  </si>
  <si>
    <t>2022-06-08 14:42:19</t>
  </si>
  <si>
    <t>Glu jove method</t>
  </si>
  <si>
    <t>mean_slurry</t>
  </si>
  <si>
    <t>Glu</t>
  </si>
  <si>
    <t>rep1</t>
  </si>
  <si>
    <t>rep2</t>
  </si>
  <si>
    <t>rep3</t>
  </si>
  <si>
    <t>rep4</t>
  </si>
  <si>
    <t>rep5</t>
  </si>
  <si>
    <t>Mean Sample</t>
  </si>
  <si>
    <t>Median Quench</t>
  </si>
  <si>
    <t>Q factor</t>
  </si>
  <si>
    <t>Fluor per mole (per uM)</t>
  </si>
  <si>
    <t>Q corr</t>
  </si>
  <si>
    <t>Quench per mole</t>
  </si>
  <si>
    <t>abiotic corr</t>
  </si>
  <si>
    <t>Time (min)</t>
  </si>
  <si>
    <t>conc uM</t>
  </si>
  <si>
    <t>Sample volume in black plate (mL)</t>
  </si>
  <si>
    <t>Xyl</t>
  </si>
  <si>
    <t>Glu (uM/min)</t>
  </si>
  <si>
    <t>Glu (um)</t>
  </si>
  <si>
    <t>Selins MUF Curve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</si>
  <si>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</si>
  <si>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</si>
  <si>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</si>
  <si>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</si>
  <si>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</si>
  <si>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</si>
  <si>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</si>
  <si>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</si>
  <si>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Fluor per mole</t>
  </si>
  <si>
    <t>Cbh</t>
  </si>
  <si>
    <t>50um</t>
  </si>
  <si>
    <t>XYL (uM/min)</t>
  </si>
  <si>
    <t>10um</t>
  </si>
  <si>
    <t>5um</t>
  </si>
  <si>
    <t>* concentration if not enhanced by glycine</t>
  </si>
  <si>
    <t>Pep</t>
  </si>
  <si>
    <t>Selins AMC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</si>
</sst>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0" borderId="0" xfId="0" applyNumberFormat="1" applyFont="1" applyAlignme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4" borderId="0" xfId="0" applyNumberFormat="1" applyFont="1" applyFill="1"/>
    <xf numFmtId="1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1" fontId="0" fillId="6" borderId="0" xfId="0" applyNumberFormat="1" applyFill="1"/>
    <xf numFmtId="0" fontId="3" fillId="0" borderId="0" xfId="0" applyNumberFormat="1" applyFont="1"/>
    <xf numFmtId="0" fontId="0" fillId="0" borderId="0" xfId="0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0" fontId="1" fillId="9" borderId="0" xfId="0" applyNumberFormat="1" applyFont="1" applyFill="1"/>
    <xf numFmtId="164" fontId="0" fillId="8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0" fillId="10" borderId="0" xfId="0" applyFill="1"/>
    <xf numFmtId="2" fontId="0" fillId="10" borderId="0" xfId="0" applyNumberFormat="1" applyFill="1"/>
    <xf numFmtId="1" fontId="0" fillId="10" borderId="0" xfId="0" applyNumberFormat="1" applyFill="1"/>
    <xf numFmtId="0" fontId="4" fillId="0" borderId="0" xfId="0" applyNumberFormat="1" applyFont="1"/>
    <xf numFmtId="0" fontId="1" fillId="10" borderId="0" xfId="0" applyNumberFormat="1" applyFont="1" applyFill="1"/>
    <xf numFmtId="0" fontId="0" fillId="5" borderId="0" xfId="0" applyNumberFormat="1" applyFont="1" applyFill="1"/>
    <xf numFmtId="165" fontId="0" fillId="6" borderId="0" xfId="0" applyNumberFormat="1" applyFill="1"/>
    <xf numFmtId="165" fontId="0" fillId="8" borderId="0" xfId="0" applyNumberFormat="1" applyFill="1"/>
    <xf numFmtId="164" fontId="0" fillId="7" borderId="0" xfId="0" applyNumberFormat="1" applyFill="1"/>
    <xf numFmtId="165" fontId="0" fillId="1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11" borderId="0" xfId="0" applyNumberFormat="1" applyFont="1" applyFill="1"/>
    <xf numFmtId="165" fontId="0" fillId="11" borderId="0" xfId="0" applyNumberFormat="1" applyFont="1" applyFill="1"/>
    <xf numFmtId="0" fontId="1" fillId="11" borderId="0" xfId="0" applyNumberFormat="1" applyFont="1" applyFill="1"/>
    <xf numFmtId="0" fontId="0" fillId="12" borderId="0" xfId="0" applyNumberFormat="1" applyFont="1" applyFill="1"/>
    <xf numFmtId="164" fontId="0" fillId="12" borderId="0" xfId="0" applyNumberFormat="1" applyFont="1" applyFill="1"/>
    <xf numFmtId="165" fontId="0" fillId="5" borderId="0" xfId="0" applyNumberFormat="1" applyFill="1"/>
    <xf numFmtId="165" fontId="0" fillId="7" borderId="0" xfId="0" applyNumberFormat="1" applyFill="1"/>
    <xf numFmtId="0" fontId="1" fillId="12" borderId="0" xfId="0" applyNumberFormat="1" applyFont="1" applyFill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34279816212742"/>
                  <c:y val="-0.1883315082229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S16_A_C3!$Q$60:$Q$63</c:f>
              <c:numCache>
                <c:formatCode>General</c:formatCode>
                <c:ptCount val="4"/>
                <c:pt idx="0">
                  <c:v>372</c:v>
                </c:pt>
                <c:pt idx="1">
                  <c:v>176</c:v>
                </c:pt>
                <c:pt idx="2">
                  <c:v>90</c:v>
                </c:pt>
                <c:pt idx="3">
                  <c:v>24</c:v>
                </c:pt>
              </c:numCache>
            </c:numRef>
          </c:xVal>
          <c:yVal>
            <c:numRef>
              <c:f>S16_A_C3!$R$60:$R$63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E-4B2E-8418-7B892A88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80656562978647E-2"/>
          <c:y val="0.15873338428930053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S16_A_C3!$Q$93:$Q$96</c:f>
              <c:numCache>
                <c:formatCode>General</c:formatCode>
                <c:ptCount val="4"/>
                <c:pt idx="0">
                  <c:v>5586</c:v>
                </c:pt>
                <c:pt idx="1">
                  <c:v>2471</c:v>
                </c:pt>
                <c:pt idx="2">
                  <c:v>1117</c:v>
                </c:pt>
                <c:pt idx="3">
                  <c:v>233</c:v>
                </c:pt>
              </c:numCache>
            </c:numRef>
          </c:xVal>
          <c:yVal>
            <c:numRef>
              <c:f>S16_A_C3!$R$93:$R$96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A-4B95-99DC-92F0EFAD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72</xdr:row>
      <xdr:rowOff>147571</xdr:rowOff>
    </xdr:from>
    <xdr:to>
      <xdr:col>22</xdr:col>
      <xdr:colOff>805147</xdr:colOff>
      <xdr:row>87</xdr:row>
      <xdr:rowOff>19093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52F16-21E2-44C9-BAB8-3828DFE1F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24424</xdr:colOff>
      <xdr:row>89</xdr:row>
      <xdr:rowOff>146538</xdr:rowOff>
    </xdr:from>
    <xdr:to>
      <xdr:col>29</xdr:col>
      <xdr:colOff>25488</xdr:colOff>
      <xdr:row>104</xdr:row>
      <xdr:rowOff>141741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A4099-C84F-405A-A600-2A9B9833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82" zoomScale="71" workbookViewId="0">
      <selection activeCell="Z122" sqref="Z122"/>
    </sheetView>
  </sheetViews>
  <sheetFormatPr defaultColWidth="9.140625" defaultRowHeight="15" x14ac:dyDescent="0.25"/>
  <cols>
    <col min="22" max="22" width="13.42578125" customWidth="1"/>
    <col min="23" max="23" width="14.42578125" customWidth="1"/>
    <col min="25" max="25" width="12.5703125" bestFit="1" customWidth="1"/>
    <col min="26" max="26" width="14.5703125" bestFit="1" customWidth="1"/>
    <col min="27" max="27" width="9.140625" bestFit="1" customWidth="1"/>
    <col min="28" max="28" width="8.85546875" bestFit="1" customWidth="1"/>
    <col min="29" max="30" width="9.140625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48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t="s">
        <v>98</v>
      </c>
      <c r="X47">
        <f>AVERAGE(B57:D57)</f>
        <v>45.333333333333336</v>
      </c>
      <c r="Y47" s="30" t="s">
        <v>99</v>
      </c>
      <c r="Z47" s="30" t="s">
        <v>100</v>
      </c>
      <c r="AA47" s="30" t="s">
        <v>101</v>
      </c>
      <c r="AB47" s="30" t="s">
        <v>102</v>
      </c>
      <c r="AC47" s="30" t="s">
        <v>103</v>
      </c>
      <c r="AD47" s="30" t="s">
        <v>104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W48" s="45" t="s">
        <v>105</v>
      </c>
      <c r="X48" s="45">
        <f>AVERAGE(E57:I57)</f>
        <v>25742</v>
      </c>
      <c r="Y48" s="8" t="s">
        <v>98</v>
      </c>
      <c r="Z48" s="42">
        <f>AVERAGE(B56:D56)</f>
        <v>47.666666666666664</v>
      </c>
      <c r="AA48" s="42"/>
      <c r="AB48" s="42"/>
      <c r="AC48" s="42"/>
      <c r="AD48" s="42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U49" s="5"/>
      <c r="V49" s="5" t="s">
        <v>106</v>
      </c>
      <c r="W49" s="6"/>
      <c r="X49" s="7">
        <f>MEDIAN(L56,L58:L60)</f>
        <v>594.5</v>
      </c>
      <c r="Y49" s="8" t="s">
        <v>107</v>
      </c>
      <c r="Z49" s="42">
        <f>(Z48+$S70)/$L$56</f>
        <v>0.24265067650676506</v>
      </c>
      <c r="AA49" s="42"/>
      <c r="AB49" s="42"/>
      <c r="AC49" s="42"/>
      <c r="AD49" s="42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V50" t="s">
        <v>108</v>
      </c>
      <c r="W50" s="9"/>
      <c r="X50" s="7">
        <f>S68/1.2</f>
        <v>89.037162162162161</v>
      </c>
      <c r="Y50" s="8" t="s">
        <v>109</v>
      </c>
      <c r="Z50" s="42">
        <f>$Z$49*E56</f>
        <v>12180.578659286592</v>
      </c>
      <c r="AA50" s="42">
        <f t="shared" ref="AA50:AD50" si="0">$Z$49*F56</f>
        <v>12578.040467404673</v>
      </c>
      <c r="AB50" s="42">
        <f t="shared" si="0"/>
        <v>11490.237484624846</v>
      </c>
      <c r="AC50" s="42">
        <f t="shared" si="0"/>
        <v>12036.201506765066</v>
      </c>
      <c r="AD50" s="42">
        <f t="shared" si="0"/>
        <v>12586.53324108241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45" t="s">
        <v>110</v>
      </c>
      <c r="W51" s="45"/>
      <c r="X51">
        <f>(X49)/S70</f>
        <v>6.7390094951269504</v>
      </c>
      <c r="Y51" s="8" t="s">
        <v>111</v>
      </c>
      <c r="Z51" s="10">
        <f>Z50-($M$56+$Z$48)</f>
        <v>12114.911992619926</v>
      </c>
      <c r="AA51" s="10">
        <f t="shared" ref="AA51:AD51" si="1">AA50-($M$56+$Z$48)</f>
        <v>12512.373800738007</v>
      </c>
      <c r="AB51" s="10">
        <f t="shared" si="1"/>
        <v>11424.57081795818</v>
      </c>
      <c r="AC51" s="10">
        <f t="shared" si="1"/>
        <v>11970.5348400984</v>
      </c>
      <c r="AD51" s="10">
        <f t="shared" si="1"/>
        <v>12520.866574415744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V52" s="45" t="s">
        <v>112</v>
      </c>
      <c r="W52" s="45"/>
      <c r="X52">
        <v>90</v>
      </c>
      <c r="Y52" s="8" t="s">
        <v>113</v>
      </c>
      <c r="Z52" s="10">
        <f>$S$58*Z51+$T$58</f>
        <v>141.45719671586716</v>
      </c>
      <c r="AA52" s="10">
        <f t="shared" ref="AA52:AD52" si="2">$S$58*AA51+$T$58</f>
        <v>145.98826132841327</v>
      </c>
      <c r="AB52" s="10">
        <f t="shared" si="2"/>
        <v>133.58730732472324</v>
      </c>
      <c r="AC52" s="10">
        <f t="shared" si="2"/>
        <v>139.81129717712176</v>
      </c>
      <c r="AD52" s="10">
        <f t="shared" si="2"/>
        <v>146.08507894833949</v>
      </c>
    </row>
    <row r="53" spans="1:30" x14ac:dyDescent="0.25">
      <c r="A53" s="1" t="s">
        <v>65</v>
      </c>
      <c r="B53" s="1"/>
      <c r="C53" s="1"/>
      <c r="D53" s="1"/>
      <c r="E53" s="1">
        <v>25.2</v>
      </c>
      <c r="F53" s="1"/>
      <c r="G53" s="1"/>
      <c r="H53" s="1"/>
      <c r="I53" s="1"/>
      <c r="J53" s="1"/>
      <c r="K53" s="1"/>
      <c r="U53" s="5"/>
      <c r="V53" s="45" t="s">
        <v>114</v>
      </c>
      <c r="W53" s="45"/>
      <c r="X53" s="5">
        <v>0.12</v>
      </c>
      <c r="Y53" s="11" t="s">
        <v>115</v>
      </c>
      <c r="Z53" s="14" t="s">
        <v>100</v>
      </c>
      <c r="AA53" s="14" t="s">
        <v>101</v>
      </c>
      <c r="AB53" s="14" t="s">
        <v>102</v>
      </c>
      <c r="AC53" s="14" t="s">
        <v>103</v>
      </c>
      <c r="AD53" s="14" t="s">
        <v>104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V54" s="45" t="s">
        <v>116</v>
      </c>
      <c r="W54" s="45"/>
      <c r="X54">
        <f>(X48-Z48)/(X50*X51*X52*X53)</f>
        <v>3.9650276542976779</v>
      </c>
      <c r="Y54" s="11" t="s">
        <v>98</v>
      </c>
      <c r="Z54" s="31">
        <f>AVERAGE(B58:D58)</f>
        <v>60.666666666666664</v>
      </c>
      <c r="AA54" s="11"/>
      <c r="AB54" s="11"/>
      <c r="AC54" s="11"/>
      <c r="AD54" s="11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V55" s="45"/>
      <c r="W55" s="45" t="s">
        <v>117</v>
      </c>
      <c r="X55">
        <f>X54*X52</f>
        <v>356.85248888679104</v>
      </c>
      <c r="Y55" s="11" t="s">
        <v>107</v>
      </c>
      <c r="Z55" s="12">
        <f>(Z54+$S$70)/$L$58</f>
        <v>0.23594988723262825</v>
      </c>
      <c r="AA55" s="11"/>
      <c r="AB55" s="11"/>
      <c r="AC55" s="11"/>
      <c r="AD55" s="11"/>
    </row>
    <row r="56" spans="1:30" x14ac:dyDescent="0.25">
      <c r="A56" s="4" t="s">
        <v>79</v>
      </c>
      <c r="B56" s="29">
        <v>44</v>
      </c>
      <c r="C56" s="29">
        <v>50</v>
      </c>
      <c r="D56" s="29">
        <v>49</v>
      </c>
      <c r="E56" s="29">
        <v>50198</v>
      </c>
      <c r="F56" s="29">
        <v>51836</v>
      </c>
      <c r="G56" s="29">
        <v>47353</v>
      </c>
      <c r="H56" s="29">
        <v>49603</v>
      </c>
      <c r="I56" s="29">
        <v>51871</v>
      </c>
      <c r="J56" s="29">
        <v>14966</v>
      </c>
      <c r="K56" s="1">
        <v>36992</v>
      </c>
      <c r="L56" s="29">
        <v>560</v>
      </c>
      <c r="M56" s="29">
        <v>18</v>
      </c>
      <c r="Q56" s="45" t="s">
        <v>118</v>
      </c>
      <c r="R56" s="45"/>
      <c r="S56" s="45"/>
      <c r="T56" s="45"/>
      <c r="W56" s="13"/>
      <c r="Y56" s="11" t="s">
        <v>109</v>
      </c>
      <c r="Z56" s="12">
        <f>$Z$55*E58</f>
        <v>1379.8349405364099</v>
      </c>
      <c r="AA56" s="12">
        <f t="shared" ref="AA56:AD56" si="3">$Z$55*F58</f>
        <v>1496.1582349420958</v>
      </c>
      <c r="AB56" s="12">
        <f t="shared" si="3"/>
        <v>1264.4554456796548</v>
      </c>
      <c r="AC56" s="12">
        <f t="shared" si="3"/>
        <v>1435.5191139233102</v>
      </c>
      <c r="AD56" s="12">
        <f t="shared" si="3"/>
        <v>1354.3523527152861</v>
      </c>
    </row>
    <row r="57" spans="1:30" x14ac:dyDescent="0.25">
      <c r="A57" s="4" t="s">
        <v>80</v>
      </c>
      <c r="B57" s="1">
        <v>45</v>
      </c>
      <c r="C57" s="1">
        <v>45</v>
      </c>
      <c r="D57" s="1">
        <v>46</v>
      </c>
      <c r="E57" s="1">
        <v>26808</v>
      </c>
      <c r="F57" s="1">
        <v>27157</v>
      </c>
      <c r="G57" s="1">
        <v>24759</v>
      </c>
      <c r="H57" s="1">
        <v>26018</v>
      </c>
      <c r="I57" s="1">
        <v>23968</v>
      </c>
      <c r="J57" s="29">
        <v>4093</v>
      </c>
      <c r="K57" s="1">
        <v>20818</v>
      </c>
      <c r="L57" s="1">
        <v>127</v>
      </c>
      <c r="M57" s="1">
        <v>671</v>
      </c>
      <c r="Q57" s="15" t="s">
        <v>119</v>
      </c>
      <c r="R57" s="16" t="s">
        <v>120</v>
      </c>
      <c r="S57" s="15" t="s">
        <v>121</v>
      </c>
      <c r="T57" s="15" t="s">
        <v>122</v>
      </c>
      <c r="W57" t="s">
        <v>105</v>
      </c>
      <c r="X57">
        <f>AVERAGE(E59:I59)</f>
        <v>2113.8000000000002</v>
      </c>
      <c r="Y57" s="11" t="s">
        <v>111</v>
      </c>
      <c r="Z57" s="14">
        <f>Z56-($M$58+$Z$54)</f>
        <v>1301.1682738697432</v>
      </c>
      <c r="AA57" s="14">
        <f t="shared" ref="AA57:AD57" si="4">AA56-($M$58+$Z$54)</f>
        <v>1417.491568275429</v>
      </c>
      <c r="AB57" s="14">
        <f t="shared" si="4"/>
        <v>1185.788779012988</v>
      </c>
      <c r="AC57" s="14">
        <f t="shared" si="4"/>
        <v>1356.8524472566435</v>
      </c>
      <c r="AD57" s="14">
        <f t="shared" si="4"/>
        <v>1275.6856860486193</v>
      </c>
    </row>
    <row r="58" spans="1:30" x14ac:dyDescent="0.25">
      <c r="A58" s="4" t="s">
        <v>81</v>
      </c>
      <c r="B58" s="29">
        <v>64</v>
      </c>
      <c r="C58" s="29">
        <v>59</v>
      </c>
      <c r="D58" s="29">
        <v>59</v>
      </c>
      <c r="E58" s="29">
        <v>5848</v>
      </c>
      <c r="F58" s="29">
        <v>6341</v>
      </c>
      <c r="G58" s="29">
        <v>5359</v>
      </c>
      <c r="H58" s="29">
        <v>6084</v>
      </c>
      <c r="I58" s="29">
        <v>5740</v>
      </c>
      <c r="J58" s="29">
        <v>372</v>
      </c>
      <c r="K58" s="1">
        <v>5346</v>
      </c>
      <c r="L58" s="29">
        <v>631</v>
      </c>
      <c r="M58" s="29">
        <v>18</v>
      </c>
      <c r="Q58" s="29">
        <v>14966</v>
      </c>
      <c r="R58">
        <v>100</v>
      </c>
      <c r="S58">
        <v>1.14E-2</v>
      </c>
      <c r="T58">
        <v>3.3472</v>
      </c>
      <c r="U58" t="s">
        <v>129</v>
      </c>
      <c r="V58" t="s">
        <v>130</v>
      </c>
      <c r="X58">
        <f>(X57-Z54)/($X$50*$X$51*$X$52*$X$53)</f>
        <v>0.31682979819001755</v>
      </c>
      <c r="Y58" s="11" t="s">
        <v>113</v>
      </c>
      <c r="Z58" s="31">
        <f>$S$58*Z57+$T$58</f>
        <v>18.180518322115073</v>
      </c>
      <c r="AA58" s="31">
        <f t="shared" ref="AA58:AD58" si="5">$S$58*AA57+$T$58</f>
        <v>19.506603878339892</v>
      </c>
      <c r="AB58" s="31">
        <f t="shared" si="5"/>
        <v>16.865192080748063</v>
      </c>
      <c r="AC58" s="31">
        <f t="shared" si="5"/>
        <v>18.815317898725738</v>
      </c>
      <c r="AD58" s="31">
        <f t="shared" si="5"/>
        <v>17.890016820954262</v>
      </c>
    </row>
    <row r="59" spans="1:30" x14ac:dyDescent="0.25">
      <c r="A59" s="4" t="s">
        <v>82</v>
      </c>
      <c r="B59" s="29">
        <v>45</v>
      </c>
      <c r="C59" s="29">
        <v>48</v>
      </c>
      <c r="D59" s="29">
        <v>46</v>
      </c>
      <c r="E59" s="29">
        <v>2007</v>
      </c>
      <c r="F59" s="29">
        <v>2118</v>
      </c>
      <c r="G59" s="29">
        <v>2053</v>
      </c>
      <c r="H59" s="29">
        <v>2248</v>
      </c>
      <c r="I59" s="29">
        <v>2143</v>
      </c>
      <c r="J59" s="29">
        <v>176</v>
      </c>
      <c r="K59" s="1">
        <v>2403</v>
      </c>
      <c r="L59" s="29">
        <v>585</v>
      </c>
      <c r="M59" s="29">
        <v>23</v>
      </c>
      <c r="Q59" s="29">
        <v>4093</v>
      </c>
      <c r="R59">
        <v>50</v>
      </c>
      <c r="S59">
        <v>2.7099999999999999E-2</v>
      </c>
      <c r="T59">
        <v>9.2999999999999992E-3</v>
      </c>
      <c r="U59" s="15" t="s">
        <v>131</v>
      </c>
      <c r="W59" t="s">
        <v>117</v>
      </c>
      <c r="X59">
        <f>X58*X52</f>
        <v>28.51468183710158</v>
      </c>
      <c r="Y59" s="17" t="s">
        <v>123</v>
      </c>
      <c r="Z59" s="21" t="s">
        <v>100</v>
      </c>
      <c r="AA59" s="21" t="s">
        <v>101</v>
      </c>
      <c r="AB59" s="21" t="s">
        <v>102</v>
      </c>
      <c r="AC59" s="21" t="s">
        <v>103</v>
      </c>
      <c r="AD59" s="21" t="s">
        <v>104</v>
      </c>
    </row>
    <row r="60" spans="1:30" x14ac:dyDescent="0.25">
      <c r="A60" s="4" t="s">
        <v>83</v>
      </c>
      <c r="B60" s="29">
        <v>45</v>
      </c>
      <c r="C60" s="29">
        <v>48</v>
      </c>
      <c r="D60" s="29">
        <v>46</v>
      </c>
      <c r="E60" s="29">
        <v>44860</v>
      </c>
      <c r="F60" s="29">
        <v>43953</v>
      </c>
      <c r="G60" s="29">
        <v>44275</v>
      </c>
      <c r="H60" s="29">
        <v>47400</v>
      </c>
      <c r="I60" s="29">
        <v>41813</v>
      </c>
      <c r="J60" s="29">
        <v>90</v>
      </c>
      <c r="K60" s="1">
        <v>1079</v>
      </c>
      <c r="L60" s="29">
        <v>604</v>
      </c>
      <c r="M60" s="29">
        <v>32</v>
      </c>
      <c r="Q60" s="29">
        <v>372</v>
      </c>
      <c r="R60">
        <v>10</v>
      </c>
      <c r="S60">
        <v>2.9600000000000001E-2</v>
      </c>
      <c r="T60">
        <v>-1.9625999999999999</v>
      </c>
      <c r="U60" s="15" t="s">
        <v>132</v>
      </c>
      <c r="Y60" s="17" t="s">
        <v>98</v>
      </c>
      <c r="Z60" s="32">
        <f>AVERAGE(B59:D59)</f>
        <v>46.333333333333336</v>
      </c>
      <c r="AA60" s="17"/>
      <c r="AB60" s="17"/>
      <c r="AC60" s="17"/>
      <c r="AD60" s="17"/>
    </row>
    <row r="61" spans="1:30" x14ac:dyDescent="0.25">
      <c r="A61" s="4" t="s">
        <v>84</v>
      </c>
      <c r="B61" s="20">
        <v>49</v>
      </c>
      <c r="C61" s="20">
        <v>47</v>
      </c>
      <c r="D61" s="20">
        <v>48</v>
      </c>
      <c r="E61" s="20">
        <v>4710</v>
      </c>
      <c r="F61" s="20">
        <v>4903</v>
      </c>
      <c r="G61" s="20">
        <v>4600</v>
      </c>
      <c r="H61" s="20">
        <v>4802</v>
      </c>
      <c r="I61" s="20">
        <v>4638</v>
      </c>
      <c r="J61" s="20">
        <v>24</v>
      </c>
      <c r="K61" s="1">
        <v>220</v>
      </c>
      <c r="L61" s="20">
        <v>1455</v>
      </c>
      <c r="M61" s="20">
        <v>57</v>
      </c>
      <c r="Q61" s="29">
        <v>176</v>
      </c>
      <c r="R61">
        <v>5</v>
      </c>
      <c r="Y61" s="17" t="s">
        <v>107</v>
      </c>
      <c r="Z61" s="18">
        <f>(Z60+$S70)/$L$59</f>
        <v>0.23000178719735917</v>
      </c>
      <c r="AA61" s="17"/>
      <c r="AB61" s="17"/>
      <c r="AC61" s="17"/>
      <c r="AD61" s="17"/>
    </row>
    <row r="62" spans="1:30" x14ac:dyDescent="0.25">
      <c r="A62" s="4" t="s">
        <v>85</v>
      </c>
      <c r="B62" s="1">
        <v>16</v>
      </c>
      <c r="C62" s="1">
        <v>15</v>
      </c>
      <c r="D62" s="1">
        <v>15</v>
      </c>
      <c r="E62" s="1">
        <v>15</v>
      </c>
      <c r="F62" s="1">
        <v>15</v>
      </c>
      <c r="G62" s="1">
        <v>15</v>
      </c>
      <c r="H62" s="1">
        <v>15</v>
      </c>
      <c r="I62" s="1">
        <v>13</v>
      </c>
      <c r="J62" s="1">
        <v>17</v>
      </c>
      <c r="K62" s="1">
        <v>117</v>
      </c>
      <c r="L62" s="1">
        <v>16</v>
      </c>
      <c r="M62" s="1">
        <v>11</v>
      </c>
      <c r="Q62" s="29">
        <v>90</v>
      </c>
      <c r="R62">
        <v>2.5</v>
      </c>
      <c r="Y62" s="17" t="s">
        <v>109</v>
      </c>
      <c r="Z62" s="18">
        <f>$Z$61*E59</f>
        <v>461.61358690509985</v>
      </c>
      <c r="AA62" s="18">
        <f t="shared" ref="AA62:AD62" si="6">$Z$61*F59</f>
        <v>487.1437852840067</v>
      </c>
      <c r="AB62" s="18">
        <f t="shared" si="6"/>
        <v>472.1936691161784</v>
      </c>
      <c r="AC62" s="18">
        <f t="shared" si="6"/>
        <v>517.04401761966346</v>
      </c>
      <c r="AD62" s="18">
        <f t="shared" si="6"/>
        <v>492.89382996394068</v>
      </c>
    </row>
    <row r="63" spans="1:30" x14ac:dyDescent="0.25">
      <c r="A63" s="4" t="s">
        <v>86</v>
      </c>
      <c r="B63" s="1">
        <v>7</v>
      </c>
      <c r="C63" s="1">
        <v>7</v>
      </c>
      <c r="D63" s="1">
        <v>7</v>
      </c>
      <c r="E63" s="1">
        <v>7</v>
      </c>
      <c r="F63" s="1">
        <v>6</v>
      </c>
      <c r="G63" s="1">
        <v>7</v>
      </c>
      <c r="H63" s="1">
        <v>7</v>
      </c>
      <c r="I63" s="1">
        <v>7</v>
      </c>
      <c r="J63" s="1">
        <v>13</v>
      </c>
      <c r="K63" s="1">
        <v>36</v>
      </c>
      <c r="L63" s="1">
        <v>6</v>
      </c>
      <c r="M63" s="1">
        <v>7</v>
      </c>
      <c r="Q63" s="20">
        <v>24</v>
      </c>
      <c r="R63">
        <v>0.5</v>
      </c>
      <c r="Y63" s="17" t="s">
        <v>111</v>
      </c>
      <c r="Z63" s="19">
        <f>Z62-($M$59+$Z$60)</f>
        <v>392.28025357176648</v>
      </c>
      <c r="AA63" s="19">
        <f t="shared" ref="AA63:AD63" si="7">AA62-($M$59+$Z$60)</f>
        <v>417.81045195067338</v>
      </c>
      <c r="AB63" s="19">
        <f t="shared" si="7"/>
        <v>402.86033578284503</v>
      </c>
      <c r="AC63" s="19">
        <f t="shared" si="7"/>
        <v>447.71068428633009</v>
      </c>
      <c r="AD63" s="19">
        <f t="shared" si="7"/>
        <v>423.5604966306073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1">
        <v>17</v>
      </c>
      <c r="R64">
        <v>0.25</v>
      </c>
      <c r="Y64" s="17" t="s">
        <v>113</v>
      </c>
      <c r="Z64" s="32">
        <f>$S$58*Z63+$T$58</f>
        <v>7.8191948907181379</v>
      </c>
      <c r="AA64" s="32">
        <f t="shared" ref="AA64:AD64" si="8">$S$58*AA63+$T$58</f>
        <v>8.1102391522376767</v>
      </c>
      <c r="AB64" s="32">
        <f t="shared" si="8"/>
        <v>7.9398078279244331</v>
      </c>
      <c r="AC64" s="32">
        <f t="shared" si="8"/>
        <v>8.4511018008641621</v>
      </c>
      <c r="AD64" s="32">
        <f t="shared" si="8"/>
        <v>8.1757896615889223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1">
        <v>13</v>
      </c>
      <c r="R65">
        <v>0.1</v>
      </c>
      <c r="Y65" s="22" t="s">
        <v>124</v>
      </c>
      <c r="Z65" s="33" t="s">
        <v>100</v>
      </c>
      <c r="AA65" s="33" t="s">
        <v>101</v>
      </c>
      <c r="AB65" s="33" t="s">
        <v>102</v>
      </c>
      <c r="AC65" s="33" t="s">
        <v>103</v>
      </c>
      <c r="AD65" s="33" t="s">
        <v>104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Q66">
        <v>0</v>
      </c>
      <c r="R66">
        <v>0</v>
      </c>
      <c r="Y66" s="22" t="s">
        <v>98</v>
      </c>
      <c r="Z66" s="43">
        <f>AVERAGE(B60:D60)</f>
        <v>46.333333333333336</v>
      </c>
      <c r="AA66" s="22"/>
      <c r="AB66" s="22"/>
      <c r="AC66" s="22"/>
      <c r="AD66" s="22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5" t="s">
        <v>125</v>
      </c>
      <c r="S67" s="15" t="s">
        <v>126</v>
      </c>
      <c r="T67" t="s">
        <v>127</v>
      </c>
      <c r="Y67" s="22" t="s">
        <v>107</v>
      </c>
      <c r="Z67" s="23">
        <f>(Z66+$S70)/$L$60</f>
        <v>0.22276663163982635</v>
      </c>
      <c r="AA67" s="22"/>
      <c r="AB67" s="22"/>
      <c r="AC67" s="22"/>
      <c r="AD67" s="22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 s="15">
        <v>1.2</v>
      </c>
      <c r="S68">
        <f>(R68-$T$60)/$S$60</f>
        <v>106.84459459459458</v>
      </c>
      <c r="T68">
        <f>S68/R68</f>
        <v>89.037162162162161</v>
      </c>
      <c r="Y68" s="22" t="s">
        <v>109</v>
      </c>
      <c r="Z68" s="23">
        <f>$Z$67*E60</f>
        <v>9993.311095362611</v>
      </c>
      <c r="AA68" s="23">
        <f t="shared" ref="AA68:AD68" si="9">$Z$67*F60</f>
        <v>9791.2617604652878</v>
      </c>
      <c r="AB68" s="23">
        <f t="shared" si="9"/>
        <v>9862.9926158533126</v>
      </c>
      <c r="AC68" s="23">
        <f t="shared" si="9"/>
        <v>10559.13833972777</v>
      </c>
      <c r="AD68" s="23">
        <f t="shared" si="9"/>
        <v>9314.5411687560591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>(R69-$T$60)/$S$60</f>
        <v>150.76351351351352</v>
      </c>
      <c r="T69">
        <f t="shared" ref="T69:T70" si="10">S69/R69</f>
        <v>60.305405405405409</v>
      </c>
      <c r="Y69" s="22" t="s">
        <v>111</v>
      </c>
      <c r="Z69" s="24">
        <f>Z68-($Z$66+$M$60)</f>
        <v>9914.9777620292771</v>
      </c>
      <c r="AA69" s="24">
        <f t="shared" ref="AA69:AD69" si="11">AA68-($Z$66+$M$60)</f>
        <v>9712.9284271319539</v>
      </c>
      <c r="AB69" s="24">
        <f t="shared" si="11"/>
        <v>9784.6592825199787</v>
      </c>
      <c r="AC69" s="24">
        <f t="shared" si="11"/>
        <v>10480.805006394436</v>
      </c>
      <c r="AD69" s="24">
        <f t="shared" si="11"/>
        <v>9236.2078354227251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(R70-$T$59)/$S$59</f>
        <v>88.217712177121768</v>
      </c>
      <c r="T70">
        <f t="shared" si="10"/>
        <v>36.757380073800739</v>
      </c>
      <c r="Y70" s="22" t="s">
        <v>113</v>
      </c>
      <c r="Z70" s="24">
        <f>$S$58*Z69+$T$58</f>
        <v>116.37794648713377</v>
      </c>
      <c r="AA70" s="24">
        <f t="shared" ref="AA70:AD70" si="12">$S$58*AA69+$T$58</f>
        <v>114.07458406930428</v>
      </c>
      <c r="AB70" s="24">
        <f t="shared" si="12"/>
        <v>114.89231582072776</v>
      </c>
      <c r="AC70" s="24">
        <f t="shared" si="12"/>
        <v>122.82837707289657</v>
      </c>
      <c r="AD70" s="24">
        <f t="shared" si="12"/>
        <v>108.63996932381907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O71" s="28"/>
      <c r="Q71">
        <f>3.2*2</f>
        <v>6.4</v>
      </c>
      <c r="R71">
        <f>Q71</f>
        <v>6.4</v>
      </c>
      <c r="S71">
        <f>(R71-$T$60)/$S$60</f>
        <v>282.52027027027026</v>
      </c>
      <c r="Y71" s="25" t="s">
        <v>128</v>
      </c>
      <c r="Z71" s="27" t="s">
        <v>100</v>
      </c>
      <c r="AA71" s="27" t="s">
        <v>101</v>
      </c>
      <c r="AB71" s="27" t="s">
        <v>102</v>
      </c>
      <c r="AC71" s="27" t="s">
        <v>103</v>
      </c>
      <c r="AD71" s="27" t="s">
        <v>104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14.747199999999999</v>
      </c>
      <c r="S72">
        <v>1000</v>
      </c>
      <c r="T72" t="s">
        <v>133</v>
      </c>
      <c r="Y72" s="25" t="s">
        <v>98</v>
      </c>
      <c r="Z72" s="34">
        <f>AVERAGE(C61,B61)</f>
        <v>48</v>
      </c>
      <c r="AA72" s="25"/>
      <c r="AB72" s="25"/>
      <c r="AC72" s="25"/>
      <c r="AD72" s="25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5" t="s">
        <v>107</v>
      </c>
      <c r="Z73" s="26">
        <f>(Z72+$S71)/$L$61</f>
        <v>0.22716169778025447</v>
      </c>
      <c r="AA73" s="25"/>
      <c r="AB73" s="25"/>
      <c r="AC73" s="25"/>
      <c r="AD73" s="25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5" t="s">
        <v>109</v>
      </c>
      <c r="Z74" s="26">
        <f>$Z$73*E61</f>
        <v>1069.9315965449985</v>
      </c>
      <c r="AA74" s="26">
        <f t="shared" ref="AA74:AD74" si="13">$Z$73*F61</f>
        <v>1113.7738042165877</v>
      </c>
      <c r="AB74" s="26">
        <f t="shared" si="13"/>
        <v>1044.9438097891705</v>
      </c>
      <c r="AC74" s="26">
        <f t="shared" si="13"/>
        <v>1090.8304727407819</v>
      </c>
      <c r="AD74" s="26">
        <f t="shared" si="13"/>
        <v>1053.5759543048202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5" t="s">
        <v>111</v>
      </c>
      <c r="Z75" s="27">
        <f>Z74-($Z$72+$M$61)</f>
        <v>964.93159654499846</v>
      </c>
      <c r="AA75" s="27">
        <f t="shared" ref="AA75:AD75" si="14">AA74-($Z$72+$M$61)</f>
        <v>1008.7738042165877</v>
      </c>
      <c r="AB75" s="27">
        <f t="shared" si="14"/>
        <v>939.94380978917047</v>
      </c>
      <c r="AC75" s="27">
        <f t="shared" si="14"/>
        <v>985.83047274078194</v>
      </c>
      <c r="AD75" s="27">
        <f t="shared" si="14"/>
        <v>948.57595430482024</v>
      </c>
    </row>
    <row r="76" spans="1:30" x14ac:dyDescent="0.25">
      <c r="A76" s="1" t="s">
        <v>54</v>
      </c>
      <c r="B76" s="1"/>
      <c r="C76" s="1"/>
      <c r="D76" s="1"/>
      <c r="E76" s="1">
        <v>48</v>
      </c>
      <c r="F76" s="1"/>
      <c r="G76" s="1"/>
      <c r="H76" s="1"/>
      <c r="I76" s="1"/>
      <c r="J76" s="1"/>
      <c r="K76" s="1"/>
      <c r="Y76" s="25" t="s">
        <v>113</v>
      </c>
      <c r="Z76" s="34">
        <f>$S$58*Z75+$T$58</f>
        <v>14.347420200612984</v>
      </c>
      <c r="AA76" s="34">
        <f t="shared" ref="AA76:AD76" si="15">$S$58*AA75+$T$58</f>
        <v>14.8472213680691</v>
      </c>
      <c r="AB76" s="34">
        <f t="shared" si="15"/>
        <v>14.062559431596544</v>
      </c>
      <c r="AC76" s="34">
        <f t="shared" si="15"/>
        <v>14.585667389244914</v>
      </c>
      <c r="AD76" s="34">
        <f t="shared" si="15"/>
        <v>14.160965879074951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  <c r="Y77" s="35"/>
      <c r="Z77" s="36"/>
      <c r="AA77" s="36"/>
      <c r="AB77" s="36"/>
      <c r="AC77" s="36"/>
      <c r="AD77" s="36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7" t="s">
        <v>134</v>
      </c>
      <c r="Z79" s="37" t="s">
        <v>100</v>
      </c>
      <c r="AA79" s="37" t="s">
        <v>101</v>
      </c>
      <c r="AB79" s="37" t="s">
        <v>102</v>
      </c>
      <c r="AC79" s="37" t="s">
        <v>103</v>
      </c>
      <c r="AD79" s="37" t="s">
        <v>104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7" t="s">
        <v>98</v>
      </c>
      <c r="Z80" s="38">
        <f>AVERAGE($B$91:$D$91)</f>
        <v>39.333333333333336</v>
      </c>
      <c r="AA80" s="37"/>
      <c r="AB80" s="37"/>
      <c r="AC80" s="37"/>
      <c r="AD80" s="37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7" t="s">
        <v>107</v>
      </c>
      <c r="Z81" s="38">
        <f>(Z80+S103)/L91</f>
        <v>1.0074666666666667</v>
      </c>
      <c r="AA81" s="37"/>
      <c r="AB81" s="37"/>
      <c r="AC81" s="37"/>
      <c r="AD81" s="37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7" t="s">
        <v>109</v>
      </c>
      <c r="Z82" s="38">
        <f>$Z$81*E$91</f>
        <v>28496.19466666667</v>
      </c>
      <c r="AA82" s="38">
        <f t="shared" ref="AA82:AD82" si="16">$Z$81*F$91</f>
        <v>28619.105600000003</v>
      </c>
      <c r="AB82" s="38">
        <f t="shared" si="16"/>
        <v>26799.620800000001</v>
      </c>
      <c r="AC82" s="38">
        <f t="shared" si="16"/>
        <v>27727.497600000002</v>
      </c>
      <c r="AD82" s="38">
        <f t="shared" si="16"/>
        <v>25357.936000000002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37" t="s">
        <v>111</v>
      </c>
      <c r="Z83" s="38">
        <f>Z82-($Z$80+$M$91)</f>
        <v>27287.861333333338</v>
      </c>
      <c r="AA83" s="38">
        <f t="shared" ref="AA83:AD83" si="17">AA82-($Z$80+$M$91)</f>
        <v>27410.77226666667</v>
      </c>
      <c r="AB83" s="38">
        <f t="shared" si="17"/>
        <v>25591.287466666668</v>
      </c>
      <c r="AC83" s="38">
        <f t="shared" si="17"/>
        <v>26519.16426666667</v>
      </c>
      <c r="AD83" s="38">
        <f t="shared" si="17"/>
        <v>24149.602666666669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37" t="s">
        <v>113</v>
      </c>
      <c r="Z84" s="38">
        <f>Z83*$S$91+$T$91</f>
        <v>59.529194933333343</v>
      </c>
      <c r="AA84" s="38">
        <f t="shared" ref="AA84:AD84" si="18">AA83*$S$91+$T$91</f>
        <v>59.79959898666668</v>
      </c>
      <c r="AB84" s="38">
        <f t="shared" si="18"/>
        <v>55.796732426666672</v>
      </c>
      <c r="AC84" s="38">
        <f t="shared" si="18"/>
        <v>57.838061386666681</v>
      </c>
      <c r="AD84" s="38">
        <f t="shared" si="18"/>
        <v>52.625025866666675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25.3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135</v>
      </c>
    </row>
    <row r="90" spans="1:30" x14ac:dyDescent="0.25">
      <c r="A90" s="4" t="s">
        <v>79</v>
      </c>
      <c r="B90" s="1">
        <v>38</v>
      </c>
      <c r="C90" s="1">
        <v>44</v>
      </c>
      <c r="D90" s="1">
        <v>41</v>
      </c>
      <c r="E90" s="1">
        <v>47412</v>
      </c>
      <c r="F90" s="1">
        <v>49608</v>
      </c>
      <c r="G90" s="1">
        <v>46433</v>
      </c>
      <c r="H90" s="1">
        <v>47340</v>
      </c>
      <c r="I90" s="1">
        <v>48105</v>
      </c>
      <c r="J90" s="1">
        <v>15157</v>
      </c>
      <c r="K90" s="39">
        <v>39386</v>
      </c>
      <c r="L90" s="1">
        <v>524</v>
      </c>
      <c r="M90" s="1">
        <v>25</v>
      </c>
      <c r="Q90" t="s">
        <v>119</v>
      </c>
      <c r="R90" t="s">
        <v>120</v>
      </c>
      <c r="S90" t="s">
        <v>121</v>
      </c>
      <c r="T90" t="s">
        <v>122</v>
      </c>
    </row>
    <row r="91" spans="1:30" x14ac:dyDescent="0.25">
      <c r="A91" s="4" t="s">
        <v>80</v>
      </c>
      <c r="B91" s="39">
        <v>39</v>
      </c>
      <c r="C91" s="39">
        <v>39</v>
      </c>
      <c r="D91" s="39">
        <v>40</v>
      </c>
      <c r="E91" s="39">
        <v>28285</v>
      </c>
      <c r="F91" s="39">
        <v>28407</v>
      </c>
      <c r="G91" s="39">
        <v>26601</v>
      </c>
      <c r="H91" s="39">
        <v>27522</v>
      </c>
      <c r="I91" s="39">
        <v>25170</v>
      </c>
      <c r="J91" s="39">
        <v>4524</v>
      </c>
      <c r="K91" s="39">
        <v>22478</v>
      </c>
      <c r="L91" s="39">
        <v>125</v>
      </c>
      <c r="M91" s="39">
        <v>1169</v>
      </c>
      <c r="Q91" s="39">
        <v>39386</v>
      </c>
      <c r="R91">
        <v>100</v>
      </c>
      <c r="S91">
        <v>2.2000000000000001E-3</v>
      </c>
      <c r="T91">
        <v>-0.50409999999999999</v>
      </c>
      <c r="U91" t="s">
        <v>129</v>
      </c>
    </row>
    <row r="92" spans="1:30" x14ac:dyDescent="0.25">
      <c r="A92" s="4" t="s">
        <v>81</v>
      </c>
      <c r="B92" s="1">
        <v>57</v>
      </c>
      <c r="C92" s="1">
        <v>53</v>
      </c>
      <c r="D92" s="1">
        <v>53</v>
      </c>
      <c r="E92" s="1">
        <v>5480</v>
      </c>
      <c r="F92" s="1">
        <v>5893</v>
      </c>
      <c r="G92" s="1">
        <v>4929</v>
      </c>
      <c r="H92" s="1">
        <v>5662</v>
      </c>
      <c r="I92" s="1">
        <v>5225</v>
      </c>
      <c r="J92" s="1">
        <v>413</v>
      </c>
      <c r="K92" s="39">
        <v>5586</v>
      </c>
      <c r="L92" s="1">
        <v>575</v>
      </c>
      <c r="M92" s="1">
        <v>24</v>
      </c>
      <c r="Q92" s="39">
        <v>22478</v>
      </c>
      <c r="R92">
        <v>50</v>
      </c>
      <c r="S92">
        <v>1.6999999999999999E-3</v>
      </c>
      <c r="T92">
        <v>0.39329999999999998</v>
      </c>
      <c r="U92" t="s">
        <v>131</v>
      </c>
    </row>
    <row r="93" spans="1:30" x14ac:dyDescent="0.25">
      <c r="A93" s="4" t="s">
        <v>82</v>
      </c>
      <c r="B93" s="1">
        <v>38</v>
      </c>
      <c r="C93" s="1">
        <v>40</v>
      </c>
      <c r="D93" s="1">
        <v>38</v>
      </c>
      <c r="E93" s="1">
        <v>1859</v>
      </c>
      <c r="F93" s="1">
        <v>1958</v>
      </c>
      <c r="G93" s="1">
        <v>1889</v>
      </c>
      <c r="H93" s="1">
        <v>2047</v>
      </c>
      <c r="I93" s="1">
        <v>1973</v>
      </c>
      <c r="J93" s="1">
        <v>189</v>
      </c>
      <c r="K93" s="39">
        <v>2471</v>
      </c>
      <c r="L93" s="1">
        <v>540</v>
      </c>
      <c r="M93" s="1">
        <v>32</v>
      </c>
      <c r="Q93" s="39">
        <v>5586</v>
      </c>
      <c r="R93">
        <v>10</v>
      </c>
      <c r="S93">
        <v>2E-3</v>
      </c>
      <c r="T93">
        <v>6.6799999999999998E-2</v>
      </c>
      <c r="U93" t="s">
        <v>132</v>
      </c>
    </row>
    <row r="94" spans="1:30" x14ac:dyDescent="0.25">
      <c r="A94" s="4" t="s">
        <v>83</v>
      </c>
      <c r="B94" s="1">
        <v>39</v>
      </c>
      <c r="C94" s="1">
        <v>40</v>
      </c>
      <c r="D94" s="1">
        <v>39</v>
      </c>
      <c r="E94" s="1">
        <v>41580</v>
      </c>
      <c r="F94" s="1">
        <v>40722</v>
      </c>
      <c r="G94" s="1">
        <v>41355</v>
      </c>
      <c r="H94" s="1">
        <v>43964</v>
      </c>
      <c r="I94" s="1">
        <v>38208</v>
      </c>
      <c r="J94" s="1">
        <v>98</v>
      </c>
      <c r="K94" s="39">
        <v>1117</v>
      </c>
      <c r="L94" s="1">
        <v>543</v>
      </c>
      <c r="M94" s="1">
        <v>35</v>
      </c>
      <c r="Q94" s="39">
        <v>2471</v>
      </c>
      <c r="R94">
        <v>5</v>
      </c>
    </row>
    <row r="95" spans="1:30" x14ac:dyDescent="0.25">
      <c r="A95" s="4" t="s">
        <v>84</v>
      </c>
      <c r="B95" s="1">
        <v>42</v>
      </c>
      <c r="C95" s="1">
        <v>40</v>
      </c>
      <c r="D95" s="1">
        <v>41</v>
      </c>
      <c r="E95" s="1">
        <v>4361</v>
      </c>
      <c r="F95" s="1">
        <v>4535</v>
      </c>
      <c r="G95" s="1">
        <v>4208</v>
      </c>
      <c r="H95" s="1">
        <v>4425</v>
      </c>
      <c r="I95" s="1">
        <v>4288</v>
      </c>
      <c r="J95" s="1">
        <v>26</v>
      </c>
      <c r="K95" s="39">
        <v>233</v>
      </c>
      <c r="L95" s="1">
        <v>1339</v>
      </c>
      <c r="M95" s="1">
        <v>78</v>
      </c>
      <c r="Q95" s="39">
        <v>1117</v>
      </c>
      <c r="R95">
        <v>2.5</v>
      </c>
    </row>
    <row r="96" spans="1:30" x14ac:dyDescent="0.25">
      <c r="A96" s="4" t="s">
        <v>85</v>
      </c>
      <c r="B96" s="1">
        <v>14</v>
      </c>
      <c r="C96" s="1">
        <v>14</v>
      </c>
      <c r="D96" s="1">
        <v>14</v>
      </c>
      <c r="E96" s="1">
        <v>14</v>
      </c>
      <c r="F96" s="1">
        <v>14</v>
      </c>
      <c r="G96" s="1">
        <v>14</v>
      </c>
      <c r="H96" s="1">
        <v>14</v>
      </c>
      <c r="I96" s="1">
        <v>13</v>
      </c>
      <c r="J96" s="1">
        <v>18</v>
      </c>
      <c r="K96" s="39">
        <v>121</v>
      </c>
      <c r="L96" s="1">
        <v>16</v>
      </c>
      <c r="M96" s="1">
        <v>12</v>
      </c>
      <c r="Q96" s="39">
        <v>233</v>
      </c>
      <c r="R96">
        <v>0.5</v>
      </c>
    </row>
    <row r="97" spans="1:30" x14ac:dyDescent="0.25">
      <c r="A97" s="4" t="s">
        <v>86</v>
      </c>
      <c r="B97" s="1">
        <v>8</v>
      </c>
      <c r="C97" s="1">
        <v>7</v>
      </c>
      <c r="D97" s="1">
        <v>7</v>
      </c>
      <c r="E97" s="1">
        <v>7</v>
      </c>
      <c r="F97" s="1">
        <v>7</v>
      </c>
      <c r="G97" s="1">
        <v>7</v>
      </c>
      <c r="H97" s="1">
        <v>7</v>
      </c>
      <c r="I97" s="1">
        <v>6</v>
      </c>
      <c r="J97" s="1">
        <v>14</v>
      </c>
      <c r="K97" s="39">
        <v>37</v>
      </c>
      <c r="L97" s="1">
        <v>7</v>
      </c>
      <c r="M97" s="1">
        <v>7</v>
      </c>
      <c r="Q97" s="39">
        <v>121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39">
        <v>37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 s="37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125</v>
      </c>
      <c r="S100" t="s">
        <v>126</v>
      </c>
      <c r="T100" t="s">
        <v>127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566.6</v>
      </c>
      <c r="T101">
        <f>S101/R101</f>
        <v>472.16666666666669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1216.5999999999999</v>
      </c>
      <c r="T102">
        <f t="shared" ref="T102:T103" si="19">S102/R102</f>
        <v>486.64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v>0.24</v>
      </c>
      <c r="S103">
        <f>(R103-$T$93)/$S$93</f>
        <v>86.6</v>
      </c>
      <c r="T103">
        <f t="shared" si="19"/>
        <v>360.83333333333331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25.4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40" t="s">
        <v>30</v>
      </c>
      <c r="Z112" s="40" t="s">
        <v>100</v>
      </c>
      <c r="AA112" s="40" t="s">
        <v>101</v>
      </c>
      <c r="AB112" s="40" t="s">
        <v>102</v>
      </c>
      <c r="AC112" s="40" t="s">
        <v>103</v>
      </c>
      <c r="AD112" s="40" t="s">
        <v>104</v>
      </c>
    </row>
    <row r="113" spans="1:30" x14ac:dyDescent="0.25">
      <c r="A113" s="4" t="s">
        <v>79</v>
      </c>
      <c r="B113" s="1">
        <v>6.83E-2</v>
      </c>
      <c r="C113" s="1">
        <v>6.5600000000000006E-2</v>
      </c>
      <c r="D113" s="1">
        <v>0.15240000000000001</v>
      </c>
      <c r="E113" s="1">
        <v>7.7799999999999994E-2</v>
      </c>
      <c r="F113" s="1">
        <v>7.2999999999999995E-2</v>
      </c>
      <c r="G113" s="1">
        <v>6.3299999999999995E-2</v>
      </c>
      <c r="H113" s="1">
        <v>6.3299999999999995E-2</v>
      </c>
      <c r="I113" s="1">
        <v>6.6400000000000001E-2</v>
      </c>
      <c r="J113" s="1">
        <v>0.05</v>
      </c>
      <c r="K113" s="1">
        <v>5.6000000000000001E-2</v>
      </c>
      <c r="L113" s="1">
        <v>0.1956</v>
      </c>
      <c r="M113" s="1">
        <v>5.79E-2</v>
      </c>
      <c r="Y113" s="40" t="s">
        <v>98</v>
      </c>
      <c r="Z113" s="41">
        <f>AVERAGE(C119:D119)</f>
        <v>7.8649999999999998E-2</v>
      </c>
      <c r="AA113" s="41"/>
      <c r="AB113" s="41"/>
      <c r="AC113" s="41"/>
      <c r="AD113" s="41"/>
    </row>
    <row r="114" spans="1:30" x14ac:dyDescent="0.25">
      <c r="A114" s="4" t="s">
        <v>80</v>
      </c>
      <c r="B114" s="1">
        <v>6.9000000000000006E-2</v>
      </c>
      <c r="C114" s="1">
        <v>6.3E-2</v>
      </c>
      <c r="D114" s="1">
        <v>6.7599999999999993E-2</v>
      </c>
      <c r="E114" s="1">
        <v>6.2E-2</v>
      </c>
      <c r="F114" s="1">
        <v>6.6600000000000006E-2</v>
      </c>
      <c r="G114" s="1">
        <v>7.51E-2</v>
      </c>
      <c r="H114" s="1">
        <v>6.4100000000000004E-2</v>
      </c>
      <c r="I114" s="1">
        <v>6.7199999999999996E-2</v>
      </c>
      <c r="J114" s="1">
        <v>5.4300000000000001E-2</v>
      </c>
      <c r="K114" s="1">
        <v>4.7199999999999999E-2</v>
      </c>
      <c r="L114" s="1">
        <v>7.1800000000000003E-2</v>
      </c>
      <c r="M114" s="1">
        <v>4.9299999999999997E-2</v>
      </c>
      <c r="Y114" s="40" t="s">
        <v>113</v>
      </c>
      <c r="Z114" s="41">
        <f>(E119-$Z$113)/1.66</f>
        <v>-9.0662650602409602E-3</v>
      </c>
      <c r="AA114" s="41">
        <f t="shared" ref="AA114:AD114" si="20">(F119-$Z$113)/1.66</f>
        <v>-1.1777108433734938E-2</v>
      </c>
      <c r="AB114" s="41">
        <f t="shared" si="20"/>
        <v>3.9156626506023964E-4</v>
      </c>
      <c r="AC114" s="41">
        <f t="shared" si="20"/>
        <v>-1.7168674698795131E-3</v>
      </c>
      <c r="AD114" s="41">
        <f t="shared" si="20"/>
        <v>3.9307228915662656E-2</v>
      </c>
    </row>
    <row r="115" spans="1:30" x14ac:dyDescent="0.25">
      <c r="A115" s="4" t="s">
        <v>81</v>
      </c>
      <c r="B115" s="1">
        <v>6.9900000000000004E-2</v>
      </c>
      <c r="C115" s="1">
        <v>7.0499999999999993E-2</v>
      </c>
      <c r="D115" s="1">
        <v>6.6900000000000001E-2</v>
      </c>
      <c r="E115" s="1">
        <v>6.0699999999999997E-2</v>
      </c>
      <c r="F115" s="1">
        <v>6.2E-2</v>
      </c>
      <c r="G115" s="1">
        <v>6.8500000000000005E-2</v>
      </c>
      <c r="H115" s="1">
        <v>5.9900000000000002E-2</v>
      </c>
      <c r="I115" s="1">
        <v>6.25E-2</v>
      </c>
      <c r="J115" s="1">
        <v>4.7199999999999999E-2</v>
      </c>
      <c r="K115" s="1">
        <v>4.7100000000000003E-2</v>
      </c>
      <c r="L115" s="1">
        <v>6.1800000000000001E-2</v>
      </c>
      <c r="M115" s="1">
        <v>4.8500000000000001E-2</v>
      </c>
    </row>
    <row r="116" spans="1:30" x14ac:dyDescent="0.25">
      <c r="A116" s="4" t="s">
        <v>82</v>
      </c>
      <c r="B116" s="1">
        <v>9.3100000000000002E-2</v>
      </c>
      <c r="C116" s="1">
        <v>7.6999999999999999E-2</v>
      </c>
      <c r="D116" s="1">
        <v>8.3000000000000004E-2</v>
      </c>
      <c r="E116" s="1">
        <v>6.2300000000000001E-2</v>
      </c>
      <c r="F116" s="1">
        <v>6.3500000000000001E-2</v>
      </c>
      <c r="G116" s="1">
        <v>5.8900000000000001E-2</v>
      </c>
      <c r="H116" s="1">
        <v>7.9100000000000004E-2</v>
      </c>
      <c r="I116" s="1">
        <v>7.0199999999999999E-2</v>
      </c>
      <c r="J116" s="1">
        <v>4.8500000000000001E-2</v>
      </c>
      <c r="K116" s="1">
        <v>5.1799999999999999E-2</v>
      </c>
      <c r="L116" s="1">
        <v>6.0600000000000001E-2</v>
      </c>
      <c r="M116" s="1">
        <v>4.6699999999999998E-2</v>
      </c>
    </row>
    <row r="117" spans="1:30" x14ac:dyDescent="0.25">
      <c r="A117" s="4" t="s">
        <v>83</v>
      </c>
      <c r="B117" s="1">
        <v>6.8699999999999997E-2</v>
      </c>
      <c r="C117" s="1">
        <v>8.3199999999999996E-2</v>
      </c>
      <c r="D117" s="1">
        <v>6.3500000000000001E-2</v>
      </c>
      <c r="E117" s="1">
        <v>6.0600000000000001E-2</v>
      </c>
      <c r="F117" s="1">
        <v>5.9400000000000001E-2</v>
      </c>
      <c r="G117" s="1">
        <v>6.83E-2</v>
      </c>
      <c r="H117" s="1">
        <v>6.1899999999999997E-2</v>
      </c>
      <c r="I117" s="1">
        <v>6.3E-2</v>
      </c>
      <c r="J117" s="1">
        <v>5.4699999999999999E-2</v>
      </c>
      <c r="K117" s="1">
        <v>5.1400000000000001E-2</v>
      </c>
      <c r="L117" s="1">
        <v>5.9799999999999999E-2</v>
      </c>
      <c r="M117" s="1">
        <v>4.6100000000000002E-2</v>
      </c>
    </row>
    <row r="118" spans="1:30" x14ac:dyDescent="0.25">
      <c r="A118" s="4" t="s">
        <v>84</v>
      </c>
      <c r="B118" s="1">
        <v>6.7599999999999993E-2</v>
      </c>
      <c r="C118" s="1">
        <v>0.18540000000000001</v>
      </c>
      <c r="D118" s="1">
        <v>6.3700000000000007E-2</v>
      </c>
      <c r="E118" s="1">
        <v>6.0499999999999998E-2</v>
      </c>
      <c r="F118" s="1">
        <v>5.91E-2</v>
      </c>
      <c r="G118" s="1">
        <v>6.7599999999999993E-2</v>
      </c>
      <c r="H118" s="1">
        <v>6.2899999999999998E-2</v>
      </c>
      <c r="I118" s="1">
        <v>8.4599999999999995E-2</v>
      </c>
      <c r="J118" s="1">
        <v>4.7399999999999998E-2</v>
      </c>
      <c r="K118" s="1">
        <v>4.9599999999999998E-2</v>
      </c>
      <c r="L118" s="1">
        <v>6.2100000000000002E-2</v>
      </c>
      <c r="M118" s="1">
        <v>4.8099999999999997E-2</v>
      </c>
    </row>
    <row r="119" spans="1:30" x14ac:dyDescent="0.25">
      <c r="A119" s="4" t="s">
        <v>85</v>
      </c>
      <c r="B119" s="44">
        <v>0.2001</v>
      </c>
      <c r="C119" s="44">
        <v>7.9500000000000001E-2</v>
      </c>
      <c r="D119" s="44">
        <v>7.7799999999999994E-2</v>
      </c>
      <c r="E119" s="44">
        <v>6.3600000000000004E-2</v>
      </c>
      <c r="F119" s="44">
        <v>5.91E-2</v>
      </c>
      <c r="G119" s="44">
        <v>7.9299999999999995E-2</v>
      </c>
      <c r="H119" s="44">
        <v>7.5800000000000006E-2</v>
      </c>
      <c r="I119" s="44">
        <v>0.1439</v>
      </c>
      <c r="J119" s="44">
        <v>6.0999999999999999E-2</v>
      </c>
      <c r="K119" s="44">
        <v>4.8800000000000003E-2</v>
      </c>
      <c r="L119" s="44">
        <v>0.13189999999999999</v>
      </c>
      <c r="M119" s="44">
        <v>5.9400000000000001E-2</v>
      </c>
    </row>
    <row r="120" spans="1:30" x14ac:dyDescent="0.25">
      <c r="A120" s="4" t="s">
        <v>86</v>
      </c>
      <c r="B120" s="1">
        <v>6.0299999999999999E-2</v>
      </c>
      <c r="C120" s="1">
        <v>5.8900000000000001E-2</v>
      </c>
      <c r="D120" s="1">
        <v>6.13E-2</v>
      </c>
      <c r="E120" s="1">
        <v>5.9200000000000003E-2</v>
      </c>
      <c r="F120" s="1">
        <v>6.0299999999999999E-2</v>
      </c>
      <c r="G120" s="1">
        <v>5.8500000000000003E-2</v>
      </c>
      <c r="H120" s="1">
        <v>6.0699999999999997E-2</v>
      </c>
      <c r="I120" s="1">
        <v>5.8999999999999997E-2</v>
      </c>
      <c r="J120" s="1">
        <v>4.9099999999999998E-2</v>
      </c>
      <c r="K120" s="1">
        <v>4.8800000000000003E-2</v>
      </c>
      <c r="L120" s="1">
        <v>6.3899999999999998E-2</v>
      </c>
      <c r="M120" s="1">
        <v>6.0900000000000003E-2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V52:W52"/>
    <mergeCell ref="V54:W54"/>
    <mergeCell ref="Q56:T56"/>
    <mergeCell ref="W48:X48"/>
    <mergeCell ref="V51:W51"/>
    <mergeCell ref="V53:W53"/>
    <mergeCell ref="V55:W5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S16_A_C3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2022-06-08T12:42:44Z</dcterms:created>
  <dcterms:modified xsi:type="dcterms:W3CDTF">2023-02-13T23:41:40Z</dcterms:modified>
</cp:coreProperties>
</file>