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9\"/>
    </mc:Choice>
  </mc:AlternateContent>
  <xr:revisionPtr revIDLastSave="0" documentId="13_ncr:1_{49C661AB-F985-41F9-A903-177B14F8A115}" xr6:coauthVersionLast="36" xr6:coauthVersionMax="47" xr10:uidLastSave="{00000000-0000-0000-0000-000000000000}"/>
  <bookViews>
    <workbookView xWindow="-120" yWindow="-120" windowWidth="19290" windowHeight="12495" xr2:uid="{00000000-000D-0000-FFFF-FFFF00000000}"/>
  </bookViews>
  <sheets>
    <sheet name="S19_B_C1" sheetId="1" r:id="rId1"/>
  </sheets>
  <calcPr calcId="191029"/>
</workbook>
</file>

<file path=xl/calcChain.xml><?xml version="1.0" encoding="utf-8"?>
<calcChain xmlns="http://schemas.openxmlformats.org/spreadsheetml/2006/main">
  <c r="Z66" i="1" l="1"/>
  <c r="Z48" i="1"/>
  <c r="Z54" i="1"/>
  <c r="Z60" i="1"/>
  <c r="Z72" i="1"/>
  <c r="Z84" i="1" l="1"/>
  <c r="Z113" i="1"/>
  <c r="Q71" i="1"/>
  <c r="Q70" i="1"/>
  <c r="Z81" i="1" l="1"/>
  <c r="R71" i="1"/>
  <c r="R70" i="1"/>
  <c r="AB114" i="1" l="1"/>
  <c r="AA114" i="1"/>
  <c r="AC114" i="1"/>
  <c r="AD114" i="1"/>
  <c r="Z114" i="1"/>
  <c r="S102" i="1"/>
  <c r="S103" i="1"/>
  <c r="S101" i="1"/>
  <c r="R72" i="1" l="1"/>
  <c r="S71" i="1"/>
  <c r="S70" i="1"/>
  <c r="S69" i="1"/>
  <c r="S68" i="1"/>
  <c r="Z55" i="1" l="1"/>
  <c r="AD56" i="1" s="1"/>
  <c r="Z61" i="1"/>
  <c r="Z62" i="1" s="1"/>
  <c r="Z63" i="1" s="1"/>
  <c r="Z64" i="1" s="1"/>
  <c r="Z73" i="1"/>
  <c r="Z74" i="1" s="1"/>
  <c r="Z67" i="1"/>
  <c r="AD68" i="1" s="1"/>
  <c r="AD69" i="1" s="1"/>
  <c r="AD70" i="1" s="1"/>
  <c r="AC62" i="1" l="1"/>
  <c r="AC63" i="1" s="1"/>
  <c r="AC64" i="1" s="1"/>
  <c r="AC56" i="1"/>
  <c r="Z56" i="1"/>
  <c r="Z57" i="1" s="1"/>
  <c r="Z58" i="1" s="1"/>
  <c r="AA56" i="1"/>
  <c r="AB56" i="1"/>
  <c r="AC68" i="1"/>
  <c r="AC69" i="1" s="1"/>
  <c r="AC70" i="1" s="1"/>
  <c r="AB68" i="1"/>
  <c r="AB69" i="1" s="1"/>
  <c r="AB70" i="1" s="1"/>
  <c r="AA62" i="1"/>
  <c r="AA63" i="1" s="1"/>
  <c r="AA64" i="1" s="1"/>
  <c r="Z68" i="1"/>
  <c r="Z69" i="1" s="1"/>
  <c r="Z70" i="1" s="1"/>
  <c r="AB62" i="1"/>
  <c r="AB63" i="1" s="1"/>
  <c r="AB64" i="1" s="1"/>
  <c r="AA68" i="1"/>
  <c r="AA69" i="1" s="1"/>
  <c r="AA70" i="1" s="1"/>
  <c r="AD62" i="1"/>
  <c r="AD63" i="1" s="1"/>
  <c r="AD64" i="1" s="1"/>
  <c r="Z75" i="1"/>
  <c r="Z76" i="1" s="1"/>
  <c r="Z80" i="1" l="1"/>
  <c r="AB82" i="1" l="1"/>
  <c r="AD82" i="1"/>
  <c r="AA82" i="1"/>
  <c r="AC82" i="1"/>
  <c r="Z82" i="1"/>
  <c r="AC83" i="1" l="1"/>
  <c r="AC84" i="1" s="1"/>
  <c r="Z83" i="1"/>
  <c r="AA83" i="1"/>
  <c r="AA84" i="1" s="1"/>
  <c r="AD83" i="1"/>
  <c r="AD84" i="1" s="1"/>
  <c r="AB83" i="1"/>
  <c r="AB84" i="1" s="1"/>
  <c r="X57" i="1" l="1"/>
  <c r="X47" i="1"/>
  <c r="X49" i="1"/>
  <c r="X51" i="1" s="1"/>
  <c r="X48" i="1"/>
  <c r="T69" i="1"/>
  <c r="T101" i="1"/>
  <c r="T102" i="1"/>
  <c r="Z49" i="1" l="1"/>
  <c r="T68" i="1"/>
  <c r="X50" i="1"/>
  <c r="X54" i="1" s="1"/>
  <c r="X55" i="1" s="1"/>
  <c r="T103" i="1"/>
  <c r="AC57" i="1"/>
  <c r="AC58" i="1" s="1"/>
  <c r="AD57" i="1"/>
  <c r="AD58" i="1" s="1"/>
  <c r="AB57" i="1"/>
  <c r="AB58" i="1" s="1"/>
  <c r="AA57" i="1"/>
  <c r="AA58" i="1" s="1"/>
  <c r="AC74" i="1"/>
  <c r="AC75" i="1" s="1"/>
  <c r="AC76" i="1" s="1"/>
  <c r="AB74" i="1"/>
  <c r="AB75" i="1" s="1"/>
  <c r="AB76" i="1" s="1"/>
  <c r="AA74" i="1"/>
  <c r="AA75" i="1" s="1"/>
  <c r="AA76" i="1" s="1"/>
  <c r="AD74" i="1"/>
  <c r="AD75" i="1" s="1"/>
  <c r="AD76" i="1" s="1"/>
  <c r="L101" i="1"/>
  <c r="AB50" i="1" l="1"/>
  <c r="AB51" i="1" s="1"/>
  <c r="AB52" i="1" s="1"/>
  <c r="AC50" i="1"/>
  <c r="AC51" i="1" s="1"/>
  <c r="AC52" i="1" s="1"/>
  <c r="AD50" i="1"/>
  <c r="AD51" i="1" s="1"/>
  <c r="AD52" i="1" s="1"/>
  <c r="AA50" i="1"/>
  <c r="AA51" i="1" s="1"/>
  <c r="AA52" i="1" s="1"/>
  <c r="Z50" i="1"/>
  <c r="Z51" i="1" s="1"/>
  <c r="Z52" i="1" s="1"/>
  <c r="X58" i="1"/>
  <c r="X59" i="1" s="1"/>
</calcChain>
</file>

<file path=xl/sharedStrings.xml><?xml version="1.0" encoding="utf-8"?>
<sst xmlns="http://schemas.openxmlformats.org/spreadsheetml/2006/main" count="304" uniqueCount="141">
  <si>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</si>
  <si>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</si>
  <si>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</si>
  <si>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</si>
  <si>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</si>
  <si>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</si>
  <si>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</si>
  <si>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</si>
  <si>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</si>
  <si>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2022-06-07</t>
  </si>
  <si>
    <t>Time:</t>
  </si>
  <si>
    <t>16:50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</si>
  <si>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</si>
  <si>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</si>
  <si>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</si>
  <si>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</si>
  <si>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</si>
  <si>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</si>
  <si>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</si>
  <si>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</si>
  <si>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</si>
  <si>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</si>
  <si>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</si>
  <si>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</si>
  <si>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</si>
  <si>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</si>
  <si>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</si>
  <si>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</si>
  <si>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</si>
  <si>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</si>
  <si>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</si>
  <si>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</si>
  <si>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</si>
  <si>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</si>
  <si>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</si>
  <si>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</si>
  <si>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</si>
  <si>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</si>
  <si>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2022-06-07 16:46:51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</si>
  <si>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</si>
  <si>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</si>
  <si>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</si>
  <si>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</si>
  <si>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</si>
  <si>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</si>
  <si>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2022-06-07 16:46:56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</si>
  <si>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</si>
  <si>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</si>
  <si>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</si>
  <si>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</si>
  <si>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</si>
  <si>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</si>
  <si>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</si>
  <si>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</si>
  <si>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</si>
  <si>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</si>
  <si>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</si>
  <si>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</si>
  <si>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</si>
  <si>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</si>
  <si>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</si>
  <si>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</si>
  <si>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</si>
  <si>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</si>
  <si>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</si>
  <si>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</si>
  <si>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</si>
  <si>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</si>
  <si>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</si>
  <si>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</si>
  <si>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</si>
  <si>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</si>
  <si>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</si>
  <si>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</si>
  <si>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</si>
  <si>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</si>
  <si>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</si>
  <si>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</si>
  <si>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</si>
  <si>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</si>
  <si>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</si>
  <si>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</si>
  <si>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</si>
  <si>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</si>
  <si>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</si>
  <si>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</si>
  <si>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</si>
  <si>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2022-06-07 16:48:23</t>
  </si>
  <si>
    <t>2022-06-07 16:48:26</t>
  </si>
  <si>
    <t>2022-06-07 16:49:53</t>
  </si>
  <si>
    <t>Measurement wavelength [nm]</t>
  </si>
  <si>
    <t>2022-06-07 16:49:56</t>
  </si>
  <si>
    <t>2022-06-07 16:50:19</t>
  </si>
  <si>
    <t>2022-06-07 16:50:22</t>
  </si>
  <si>
    <t>Movement</t>
  </si>
  <si>
    <t>Out</t>
  </si>
  <si>
    <t>2022-06-07 16:50:29</t>
  </si>
  <si>
    <t>Glu</t>
  </si>
  <si>
    <t>rep1</t>
  </si>
  <si>
    <t>rep2</t>
  </si>
  <si>
    <t>rep3</t>
  </si>
  <si>
    <t>rep4</t>
  </si>
  <si>
    <t>rep5</t>
  </si>
  <si>
    <t>mean_slurry</t>
  </si>
  <si>
    <t>Q factor</t>
  </si>
  <si>
    <t>Q corr</t>
  </si>
  <si>
    <t>abiotic corr</t>
  </si>
  <si>
    <t>conc uM</t>
  </si>
  <si>
    <t>Xyl</t>
  </si>
  <si>
    <t>NAG</t>
  </si>
  <si>
    <t>Pho</t>
  </si>
  <si>
    <t>Cbh</t>
  </si>
  <si>
    <t>STD curve</t>
  </si>
  <si>
    <t>Abiotic</t>
  </si>
  <si>
    <t>Pep</t>
  </si>
  <si>
    <t>0.3 um STD AMC estimate</t>
  </si>
  <si>
    <t>Glu jove method</t>
  </si>
  <si>
    <t>Mean Sample</t>
  </si>
  <si>
    <t>Fluor per mole (per uM)</t>
  </si>
  <si>
    <t>Quench per mole</t>
  </si>
  <si>
    <t>Time (min)</t>
  </si>
  <si>
    <t>Sample volume in black plate (mL)</t>
  </si>
  <si>
    <t>Glu (uM/min)</t>
  </si>
  <si>
    <t>Selins MUF Curve</t>
  </si>
  <si>
    <t>Glu (um)</t>
  </si>
  <si>
    <t>Fluorsence</t>
  </si>
  <si>
    <t>uM dilution</t>
  </si>
  <si>
    <t>a</t>
  </si>
  <si>
    <t>b</t>
  </si>
  <si>
    <t xml:space="preserve">um </t>
  </si>
  <si>
    <t>Fluor</t>
  </si>
  <si>
    <t>Median Quench</t>
  </si>
  <si>
    <t>Fluor per mole</t>
  </si>
  <si>
    <t>Selins AMC Curve</t>
  </si>
  <si>
    <t>XYL (uM/min)</t>
  </si>
  <si>
    <t>* concentration if not enhanced by glycine</t>
  </si>
  <si>
    <t>Quenching (0.25um)</t>
  </si>
  <si>
    <t>100um</t>
  </si>
  <si>
    <t>10um</t>
  </si>
  <si>
    <t>2.5um</t>
  </si>
  <si>
    <t>50um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</si>
</sst>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10" borderId="0" xfId="0" applyFill="1"/>
    <xf numFmtId="2" fontId="0" fillId="10" borderId="0" xfId="0" applyNumberFormat="1" applyFill="1"/>
    <xf numFmtId="1" fontId="0" fillId="10" borderId="0" xfId="0" applyNumberFormat="1" applyFill="1"/>
    <xf numFmtId="1" fontId="0" fillId="7" borderId="0" xfId="0" applyNumberFormat="1" applyFill="1"/>
    <xf numFmtId="1" fontId="0" fillId="9" borderId="0" xfId="0" applyNumberFormat="1" applyFill="1"/>
    <xf numFmtId="1" fontId="0" fillId="4" borderId="0" xfId="0" applyNumberFormat="1" applyFill="1"/>
    <xf numFmtId="0" fontId="0" fillId="0" borderId="0" xfId="0" applyFill="1"/>
    <xf numFmtId="1" fontId="0" fillId="0" borderId="0" xfId="0" applyNumberFormat="1" applyFill="1"/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6" borderId="0" xfId="0" applyFill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3" fillId="6" borderId="0" xfId="0" applyFont="1" applyFill="1"/>
    <xf numFmtId="0" fontId="3" fillId="0" borderId="0" xfId="0" applyFont="1" applyFill="1" applyBorder="1" applyAlignment="1"/>
    <xf numFmtId="0" fontId="3" fillId="0" borderId="0" xfId="0" applyFont="1"/>
    <xf numFmtId="0" fontId="2" fillId="3" borderId="0" xfId="0" applyFont="1" applyFill="1"/>
    <xf numFmtId="1" fontId="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65" fontId="0" fillId="7" borderId="0" xfId="0" applyNumberFormat="1" applyFill="1"/>
    <xf numFmtId="0" fontId="0" fillId="11" borderId="0" xfId="0" applyFont="1" applyFill="1"/>
    <xf numFmtId="0" fontId="3" fillId="11" borderId="0" xfId="0" applyNumberFormat="1" applyFont="1" applyFill="1"/>
    <xf numFmtId="0" fontId="1" fillId="0" borderId="0" xfId="0" applyFont="1" applyFill="1"/>
    <xf numFmtId="0" fontId="1" fillId="12" borderId="0" xfId="0" applyNumberFormat="1" applyFont="1" applyFill="1"/>
    <xf numFmtId="0" fontId="0" fillId="12" borderId="0" xfId="0" applyFill="1"/>
    <xf numFmtId="2" fontId="0" fillId="12" borderId="0" xfId="0" applyNumberFormat="1" applyFill="1"/>
    <xf numFmtId="164" fontId="0" fillId="12" borderId="0" xfId="0" applyNumberFormat="1" applyFill="1"/>
    <xf numFmtId="165" fontId="3" fillId="0" borderId="0" xfId="0" applyNumberFormat="1" applyFont="1" applyAlignment="1"/>
    <xf numFmtId="165" fontId="0" fillId="6" borderId="0" xfId="0" applyNumberFormat="1" applyFill="1"/>
    <xf numFmtId="165" fontId="0" fillId="0" borderId="0" xfId="0" applyNumberFormat="1" applyFont="1"/>
    <xf numFmtId="165" fontId="0" fillId="0" borderId="0" xfId="0" applyNumberFormat="1" applyFont="1" applyAlignment="1"/>
    <xf numFmtId="165" fontId="0" fillId="4" borderId="0" xfId="0" applyNumberFormat="1" applyFill="1"/>
    <xf numFmtId="165" fontId="0" fillId="11" borderId="0" xfId="0" applyNumberFormat="1" applyFont="1" applyFill="1"/>
    <xf numFmtId="0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S19_B_C1!$Q$59:$Q$63</c:f>
              <c:numCache>
                <c:formatCode>General</c:formatCode>
                <c:ptCount val="5"/>
                <c:pt idx="0">
                  <c:v>5184</c:v>
                </c:pt>
                <c:pt idx="1">
                  <c:v>486</c:v>
                </c:pt>
                <c:pt idx="2">
                  <c:v>251</c:v>
                </c:pt>
                <c:pt idx="3">
                  <c:v>147</c:v>
                </c:pt>
                <c:pt idx="4">
                  <c:v>30</c:v>
                </c:pt>
              </c:numCache>
            </c:numRef>
          </c:xVal>
          <c:yVal>
            <c:numRef>
              <c:f>S19_B_C1!$R$59:$R$63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6-427C-8944-32A91AB6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S19_B_C1!$Q$92:$Q$98</c:f>
              <c:numCache>
                <c:formatCode>General</c:formatCode>
                <c:ptCount val="7"/>
                <c:pt idx="0">
                  <c:v>23489</c:v>
                </c:pt>
                <c:pt idx="1">
                  <c:v>5907</c:v>
                </c:pt>
                <c:pt idx="2">
                  <c:v>2500</c:v>
                </c:pt>
                <c:pt idx="3">
                  <c:v>1359</c:v>
                </c:pt>
                <c:pt idx="4">
                  <c:v>204</c:v>
                </c:pt>
                <c:pt idx="5">
                  <c:v>122</c:v>
                </c:pt>
                <c:pt idx="6">
                  <c:v>48</c:v>
                </c:pt>
              </c:numCache>
            </c:numRef>
          </c:xVal>
          <c:yVal>
            <c:numRef>
              <c:f>S19_B_C1!$R$92:$R$98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6-4914-8179-EE7D67AB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569855</xdr:colOff>
      <xdr:row>72</xdr:row>
      <xdr:rowOff>34518</xdr:rowOff>
    </xdr:from>
    <xdr:to>
      <xdr:col>22</xdr:col>
      <xdr:colOff>219871</xdr:colOff>
      <xdr:row>86</xdr:row>
      <xdr:rowOff>183787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835D3-3A86-4661-ABEC-B9D37E35B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71589</xdr:colOff>
      <xdr:row>104</xdr:row>
      <xdr:rowOff>168212</xdr:rowOff>
    </xdr:from>
    <xdr:to>
      <xdr:col>22</xdr:col>
      <xdr:colOff>707191</xdr:colOff>
      <xdr:row>119</xdr:row>
      <xdr:rowOff>121761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21C49-8A00-43E6-9EE4-CEF185123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0"/>
  <sheetViews>
    <sheetView tabSelected="1" topLeftCell="A75" zoomScale="74" zoomScaleNormal="90" workbookViewId="0">
      <selection activeCell="I86" sqref="I86"/>
    </sheetView>
  </sheetViews>
  <sheetFormatPr defaultColWidth="9.140625" defaultRowHeight="15" x14ac:dyDescent="0.25"/>
  <cols>
    <col min="11" max="11" width="16" customWidth="1"/>
    <col min="12" max="12" width="19.7109375" customWidth="1"/>
    <col min="13" max="13" width="8.7109375" bestFit="1" customWidth="1"/>
    <col min="14" max="14" width="12.140625" customWidth="1"/>
    <col min="15" max="15" width="10.28515625" customWidth="1"/>
    <col min="18" max="18" width="11.28515625" customWidth="1"/>
    <col min="21" max="21" width="6.5703125" customWidth="1"/>
    <col min="22" max="22" width="21.85546875" customWidth="1"/>
    <col min="23" max="23" width="13.85546875" bestFit="1" customWidth="1"/>
    <col min="24" max="24" width="12.85546875" customWidth="1"/>
    <col min="25" max="25" width="12.7109375" bestFit="1" customWidth="1"/>
    <col min="26" max="26" width="11" bestFit="1" customWidth="1"/>
    <col min="27" max="30" width="10.85546875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50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Q46" s="29"/>
      <c r="R46" s="29"/>
      <c r="S46" s="29"/>
      <c r="T46" s="29"/>
      <c r="U46" s="29"/>
      <c r="V46" s="29"/>
      <c r="W46" s="29" t="s">
        <v>116</v>
      </c>
      <c r="X46" s="29"/>
      <c r="Y46" s="29"/>
      <c r="Z46" s="29"/>
      <c r="AA46" s="29"/>
      <c r="AB46" s="29"/>
      <c r="AC46" s="29"/>
      <c r="AD46" s="29"/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Q47" s="29"/>
      <c r="R47" s="29"/>
      <c r="S47" s="29"/>
      <c r="T47" s="29"/>
      <c r="U47" s="29"/>
      <c r="V47" s="29"/>
      <c r="W47" s="37" t="s">
        <v>103</v>
      </c>
      <c r="X47" s="46">
        <f>AVERAGE(B57:D57)</f>
        <v>42.666666666666664</v>
      </c>
      <c r="Y47" s="8" t="s">
        <v>97</v>
      </c>
      <c r="Z47" s="8" t="s">
        <v>98</v>
      </c>
      <c r="AA47" s="8" t="s">
        <v>99</v>
      </c>
      <c r="AB47" s="8" t="s">
        <v>100</v>
      </c>
      <c r="AC47" s="8" t="s">
        <v>101</v>
      </c>
      <c r="AD47" s="8" t="s">
        <v>102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Q48" s="29"/>
      <c r="R48" s="29"/>
      <c r="S48" s="29"/>
      <c r="T48" s="29"/>
      <c r="U48" s="30"/>
      <c r="V48" s="30"/>
      <c r="W48" s="27" t="s">
        <v>117</v>
      </c>
      <c r="X48" s="47">
        <f>AVERAGE(E57:I57)</f>
        <v>26620.2</v>
      </c>
      <c r="Y48" s="8" t="s">
        <v>103</v>
      </c>
      <c r="Z48" s="9">
        <f>AVERAGE(B57:D57)</f>
        <v>42.666666666666664</v>
      </c>
      <c r="AA48" s="8"/>
      <c r="AB48" s="8"/>
      <c r="AC48" s="8"/>
      <c r="AD48" s="8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Q49" s="29"/>
      <c r="R49" s="29"/>
      <c r="S49" s="29"/>
      <c r="T49" s="29"/>
      <c r="U49" s="29"/>
      <c r="V49" s="29" t="s">
        <v>131</v>
      </c>
      <c r="W49" s="31"/>
      <c r="X49" s="47">
        <f>MEDIAN(L57,L59:L61)</f>
        <v>852.5</v>
      </c>
      <c r="Y49" s="8" t="s">
        <v>104</v>
      </c>
      <c r="Z49" s="9">
        <f>(Z48+$S70)/$L$57</f>
        <v>0.32815081461114526</v>
      </c>
      <c r="AA49" s="8"/>
      <c r="AB49" s="8"/>
      <c r="AC49" s="8"/>
      <c r="AD49" s="8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Q50" s="29"/>
      <c r="R50" s="29"/>
      <c r="S50" s="29"/>
      <c r="T50" s="29"/>
      <c r="U50" s="29"/>
      <c r="V50" s="54" t="s">
        <v>118</v>
      </c>
      <c r="W50" s="54"/>
      <c r="X50" s="48">
        <f>S68/1.2</f>
        <v>60.343601895734601</v>
      </c>
      <c r="Y50" s="8" t="s">
        <v>105</v>
      </c>
      <c r="Z50" s="10">
        <f>$Z$49*E57</f>
        <v>9482.2459390036529</v>
      </c>
      <c r="AA50" s="10">
        <f t="shared" ref="AA50:AD50" si="0">$Z$49*F57</f>
        <v>8573.5963333453928</v>
      </c>
      <c r="AB50" s="10">
        <f t="shared" si="0"/>
        <v>8920.4517443893728</v>
      </c>
      <c r="AC50" s="10">
        <f t="shared" si="0"/>
        <v>8406.2394178937084</v>
      </c>
      <c r="AD50" s="10">
        <f t="shared" si="0"/>
        <v>8294.6681409259181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Q51" s="29"/>
      <c r="R51" s="29"/>
      <c r="S51" s="29"/>
      <c r="T51" s="29"/>
      <c r="U51" s="29"/>
      <c r="V51" s="53" t="s">
        <v>119</v>
      </c>
      <c r="W51" s="53"/>
      <c r="X51" s="48">
        <f>(X49)/Q64</f>
        <v>38.75</v>
      </c>
      <c r="Y51" s="8" t="s">
        <v>106</v>
      </c>
      <c r="Z51" s="10">
        <f>Z50-($M$57+$Z$48)</f>
        <v>9414.5792723369868</v>
      </c>
      <c r="AA51" s="10">
        <f t="shared" ref="AA51:AD51" si="1">AA50-($M$57+$Z$48)</f>
        <v>8505.9296666787268</v>
      </c>
      <c r="AB51" s="10">
        <f t="shared" si="1"/>
        <v>8852.7850777227068</v>
      </c>
      <c r="AC51" s="10">
        <f t="shared" si="1"/>
        <v>8338.5727512270423</v>
      </c>
      <c r="AD51" s="10">
        <f t="shared" si="1"/>
        <v>8227.0014742592521</v>
      </c>
    </row>
    <row r="52" spans="1:3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Q52" s="29"/>
      <c r="R52" s="29"/>
      <c r="S52" s="29"/>
      <c r="T52" s="29"/>
      <c r="U52" s="29"/>
      <c r="V52" s="53" t="s">
        <v>120</v>
      </c>
      <c r="W52" s="53"/>
      <c r="X52" s="48">
        <v>90</v>
      </c>
      <c r="Y52" s="8" t="s">
        <v>107</v>
      </c>
      <c r="Z52" s="10">
        <f>$S$58*Z51+$T$58</f>
        <v>88.932929305500267</v>
      </c>
      <c r="AA52" s="10">
        <f t="shared" ref="AA52:AC52" si="2">$S$58*AA51+$T$58</f>
        <v>80.573352933444284</v>
      </c>
      <c r="AB52" s="10">
        <f t="shared" si="2"/>
        <v>83.764422715048894</v>
      </c>
      <c r="AC52" s="10">
        <f t="shared" si="2"/>
        <v>79.03366931128879</v>
      </c>
      <c r="AD52" s="10">
        <f>$S$58*AD51+$T$58</f>
        <v>78.007213563185118</v>
      </c>
    </row>
    <row r="53" spans="1:30" x14ac:dyDescent="0.25">
      <c r="A53" s="1" t="s">
        <v>37</v>
      </c>
      <c r="B53" s="1"/>
      <c r="C53" s="1"/>
      <c r="D53" s="1"/>
      <c r="E53" s="1" t="s">
        <v>45</v>
      </c>
      <c r="F53" s="1"/>
      <c r="G53" s="1"/>
      <c r="H53" s="1"/>
      <c r="I53" s="1"/>
      <c r="J53" s="1"/>
      <c r="K53" s="1"/>
      <c r="Q53" s="29"/>
      <c r="R53" s="29"/>
      <c r="S53" s="29"/>
      <c r="T53" s="29"/>
      <c r="U53" s="30"/>
      <c r="V53" s="53" t="s">
        <v>121</v>
      </c>
      <c r="W53" s="53"/>
      <c r="X53" s="49">
        <v>0.12</v>
      </c>
      <c r="Y53" s="11" t="s">
        <v>108</v>
      </c>
      <c r="Z53" s="11" t="s">
        <v>98</v>
      </c>
      <c r="AA53" s="11" t="s">
        <v>99</v>
      </c>
      <c r="AB53" s="11" t="s">
        <v>100</v>
      </c>
      <c r="AC53" s="11" t="s">
        <v>101</v>
      </c>
      <c r="AD53" s="11" t="s">
        <v>102</v>
      </c>
    </row>
    <row r="54" spans="1:30" x14ac:dyDescent="0.25">
      <c r="A54" s="1" t="s">
        <v>65</v>
      </c>
      <c r="B54" s="1"/>
      <c r="C54" s="1"/>
      <c r="D54" s="1"/>
      <c r="E54" s="1">
        <v>28.1</v>
      </c>
      <c r="F54" s="1"/>
      <c r="G54" s="1"/>
      <c r="H54" s="1"/>
      <c r="I54" s="1"/>
      <c r="J54" s="1"/>
      <c r="K54" s="1"/>
      <c r="Q54" s="29"/>
      <c r="R54" s="29"/>
      <c r="S54" s="29"/>
      <c r="T54" s="29"/>
      <c r="U54" s="29"/>
      <c r="V54" s="53" t="s">
        <v>122</v>
      </c>
      <c r="W54" s="53"/>
      <c r="X54" s="48">
        <f>(X48-X47)/(X50*X51*X52*X53)</f>
        <v>1.0524173026079713</v>
      </c>
      <c r="Y54" s="11" t="s">
        <v>103</v>
      </c>
      <c r="Z54" s="12">
        <f>AVERAGE(B59:D59)</f>
        <v>60</v>
      </c>
      <c r="AA54" s="11"/>
      <c r="AB54" s="11"/>
      <c r="AC54" s="11"/>
      <c r="AD54" s="11"/>
    </row>
    <row r="55" spans="1:3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 t="s">
        <v>112</v>
      </c>
      <c r="L55" t="s">
        <v>136</v>
      </c>
      <c r="M55" t="s">
        <v>113</v>
      </c>
      <c r="Q55" s="29"/>
      <c r="R55" s="29"/>
      <c r="S55" s="29"/>
      <c r="T55" s="29"/>
      <c r="U55" s="29"/>
      <c r="V55" s="36"/>
      <c r="W55" s="36" t="s">
        <v>124</v>
      </c>
      <c r="X55" s="48">
        <f>X54*X52</f>
        <v>94.717557234717418</v>
      </c>
      <c r="Y55" s="11" t="s">
        <v>104</v>
      </c>
      <c r="Z55" s="12">
        <f>(Z54+$S$70)/$L$59</f>
        <v>0.22009809324369006</v>
      </c>
      <c r="AA55" s="11"/>
      <c r="AB55" s="11"/>
      <c r="AC55" s="11"/>
      <c r="AD55" s="11"/>
    </row>
    <row r="56" spans="1:30" x14ac:dyDescent="0.25">
      <c r="A56" s="4" t="s">
        <v>66</v>
      </c>
      <c r="B56" s="4" t="s">
        <v>67</v>
      </c>
      <c r="C56" s="4" t="s">
        <v>68</v>
      </c>
      <c r="D56" s="4" t="s">
        <v>69</v>
      </c>
      <c r="E56" s="4" t="s">
        <v>70</v>
      </c>
      <c r="F56" s="4" t="s">
        <v>71</v>
      </c>
      <c r="G56" s="4" t="s">
        <v>72</v>
      </c>
      <c r="H56" s="4" t="s">
        <v>73</v>
      </c>
      <c r="I56" s="4" t="s">
        <v>74</v>
      </c>
      <c r="J56" s="4" t="s">
        <v>75</v>
      </c>
      <c r="K56" s="4" t="s">
        <v>76</v>
      </c>
      <c r="L56" s="4" t="s">
        <v>77</v>
      </c>
      <c r="M56" s="4" t="s">
        <v>78</v>
      </c>
      <c r="Q56" s="53" t="s">
        <v>123</v>
      </c>
      <c r="R56" s="53"/>
      <c r="S56" s="53"/>
      <c r="T56" s="53"/>
      <c r="U56" s="29"/>
      <c r="V56" s="29"/>
      <c r="W56" s="32"/>
      <c r="X56" s="48"/>
      <c r="Y56" s="11" t="s">
        <v>105</v>
      </c>
      <c r="Z56" s="21">
        <f>$Z$55*E59</f>
        <v>1904.7288989308938</v>
      </c>
      <c r="AA56" s="21">
        <f t="shared" ref="AA56:AD56" si="3">$Z$55*F59</f>
        <v>1842.6612366361733</v>
      </c>
      <c r="AB56" s="21">
        <f t="shared" si="3"/>
        <v>1818.4504463793673</v>
      </c>
      <c r="AC56" s="21">
        <f t="shared" si="3"/>
        <v>1883.3793838862559</v>
      </c>
      <c r="AD56" s="21">
        <f t="shared" si="3"/>
        <v>1735.2533671332524</v>
      </c>
    </row>
    <row r="57" spans="1:30" x14ac:dyDescent="0.25">
      <c r="A57" s="4" t="s">
        <v>79</v>
      </c>
      <c r="B57" s="5">
        <v>40</v>
      </c>
      <c r="C57" s="5">
        <v>44</v>
      </c>
      <c r="D57" s="5">
        <v>44</v>
      </c>
      <c r="E57" s="5">
        <v>28896</v>
      </c>
      <c r="F57" s="5">
        <v>26127</v>
      </c>
      <c r="G57" s="5">
        <v>27184</v>
      </c>
      <c r="H57" s="5">
        <v>25617</v>
      </c>
      <c r="I57" s="5">
        <v>25277</v>
      </c>
      <c r="J57" s="5">
        <v>13492</v>
      </c>
      <c r="K57" s="7">
        <v>38354</v>
      </c>
      <c r="L57" s="5">
        <v>524</v>
      </c>
      <c r="M57" s="5">
        <v>25</v>
      </c>
      <c r="Q57" s="33" t="s">
        <v>125</v>
      </c>
      <c r="R57" s="28" t="s">
        <v>126</v>
      </c>
      <c r="S57" s="33" t="s">
        <v>127</v>
      </c>
      <c r="T57" s="33" t="s">
        <v>128</v>
      </c>
      <c r="U57" s="29"/>
      <c r="V57" s="29"/>
      <c r="W57" s="27" t="s">
        <v>117</v>
      </c>
      <c r="X57" s="47">
        <f>AVERAGE(E59:I59)</f>
        <v>8345.7999999999993</v>
      </c>
      <c r="Y57" s="11" t="s">
        <v>106</v>
      </c>
      <c r="Z57" s="21">
        <f>Z56-($M$59+$Z$54)</f>
        <v>1818.7288989308938</v>
      </c>
      <c r="AA57" s="21">
        <f t="shared" ref="AA57:AD57" si="4">AA56-($M$59+$Z$54)</f>
        <v>1756.6612366361733</v>
      </c>
      <c r="AB57" s="21">
        <f t="shared" si="4"/>
        <v>1732.4504463793673</v>
      </c>
      <c r="AC57" s="21">
        <f t="shared" si="4"/>
        <v>1797.3793838862559</v>
      </c>
      <c r="AD57" s="21">
        <f t="shared" si="4"/>
        <v>1649.2533671332524</v>
      </c>
    </row>
    <row r="58" spans="1:30" x14ac:dyDescent="0.25">
      <c r="A58" s="4" t="s">
        <v>80</v>
      </c>
      <c r="B58" s="1">
        <v>59</v>
      </c>
      <c r="C58" s="1">
        <v>61</v>
      </c>
      <c r="D58" s="1">
        <v>65</v>
      </c>
      <c r="E58" s="1">
        <v>54627</v>
      </c>
      <c r="F58" s="1">
        <v>54894</v>
      </c>
      <c r="G58" s="1">
        <v>51456</v>
      </c>
      <c r="H58" s="1">
        <v>51257</v>
      </c>
      <c r="I58" s="1">
        <v>49558</v>
      </c>
      <c r="J58" s="5">
        <v>5184</v>
      </c>
      <c r="K58" s="7">
        <v>22112</v>
      </c>
      <c r="L58" s="1">
        <v>410</v>
      </c>
      <c r="M58" s="1">
        <v>917</v>
      </c>
      <c r="Q58" s="5">
        <v>13492</v>
      </c>
      <c r="R58" s="29">
        <v>100</v>
      </c>
      <c r="S58">
        <v>9.1999999999999998E-3</v>
      </c>
      <c r="T58">
        <v>2.3188</v>
      </c>
      <c r="U58" s="29" t="s">
        <v>140</v>
      </c>
      <c r="V58" s="53" t="s">
        <v>134</v>
      </c>
      <c r="W58" s="53"/>
      <c r="X58" s="48">
        <f>(X57-X47)/($X$50*$X$51*$X$52*$X$53)</f>
        <v>0.32878751674450601</v>
      </c>
      <c r="Y58" s="11" t="s">
        <v>107</v>
      </c>
      <c r="Z58" s="21">
        <f>$S$58*Z57+$T$58</f>
        <v>19.051105870164221</v>
      </c>
      <c r="AA58" s="21">
        <f t="shared" ref="AA58:AD58" si="5">$S$58*AA57+$T$58</f>
        <v>18.480083377052793</v>
      </c>
      <c r="AB58" s="21">
        <f t="shared" si="5"/>
        <v>18.25734410669018</v>
      </c>
      <c r="AC58" s="21">
        <f t="shared" si="5"/>
        <v>18.854690331753552</v>
      </c>
      <c r="AD58" s="21">
        <f t="shared" si="5"/>
        <v>17.491930977625923</v>
      </c>
    </row>
    <row r="59" spans="1:30" x14ac:dyDescent="0.25">
      <c r="A59" s="4" t="s">
        <v>81</v>
      </c>
      <c r="B59" s="5">
        <v>65</v>
      </c>
      <c r="C59" s="5">
        <v>58</v>
      </c>
      <c r="D59" s="5">
        <v>57</v>
      </c>
      <c r="E59" s="5">
        <v>8654</v>
      </c>
      <c r="F59" s="5">
        <v>8372</v>
      </c>
      <c r="G59" s="5">
        <v>8262</v>
      </c>
      <c r="H59" s="5">
        <v>8557</v>
      </c>
      <c r="I59" s="5">
        <v>7884</v>
      </c>
      <c r="J59" s="5">
        <v>486</v>
      </c>
      <c r="K59" s="7">
        <v>5612</v>
      </c>
      <c r="L59" s="5">
        <v>860</v>
      </c>
      <c r="M59" s="5">
        <v>26</v>
      </c>
      <c r="Q59" s="5">
        <v>5184</v>
      </c>
      <c r="R59" s="29">
        <v>50</v>
      </c>
      <c r="S59" s="29">
        <v>2.1100000000000001E-2</v>
      </c>
      <c r="T59" s="29">
        <v>-0.32790000000000002</v>
      </c>
      <c r="U59" s="29" t="s">
        <v>138</v>
      </c>
      <c r="V59" s="36"/>
      <c r="W59" s="36" t="s">
        <v>124</v>
      </c>
      <c r="X59" s="48">
        <f>X58*X52</f>
        <v>29.59087650700554</v>
      </c>
      <c r="Y59" s="17" t="s">
        <v>109</v>
      </c>
      <c r="Z59" s="17" t="s">
        <v>98</v>
      </c>
      <c r="AA59" s="17" t="s">
        <v>99</v>
      </c>
      <c r="AB59" s="17" t="s">
        <v>100</v>
      </c>
      <c r="AC59" s="17" t="s">
        <v>101</v>
      </c>
      <c r="AD59" s="17" t="s">
        <v>102</v>
      </c>
    </row>
    <row r="60" spans="1:30" x14ac:dyDescent="0.25">
      <c r="A60" s="4" t="s">
        <v>82</v>
      </c>
      <c r="B60" s="5">
        <v>246</v>
      </c>
      <c r="C60" s="5">
        <v>61</v>
      </c>
      <c r="D60" s="5">
        <v>63</v>
      </c>
      <c r="E60" s="5">
        <v>2555</v>
      </c>
      <c r="F60" s="5">
        <v>2504</v>
      </c>
      <c r="G60" s="5">
        <v>2701</v>
      </c>
      <c r="H60" s="5">
        <v>2482</v>
      </c>
      <c r="I60" s="5">
        <v>2577</v>
      </c>
      <c r="J60" s="5">
        <v>251</v>
      </c>
      <c r="K60" s="7">
        <v>2343</v>
      </c>
      <c r="L60" s="5">
        <v>860</v>
      </c>
      <c r="M60" s="5">
        <v>32</v>
      </c>
      <c r="Q60" s="5">
        <v>486</v>
      </c>
      <c r="R60" s="29">
        <v>10</v>
      </c>
      <c r="S60" s="29">
        <v>7.3000000000000001E-3</v>
      </c>
      <c r="T60" s="29">
        <v>4.0324999999999998</v>
      </c>
      <c r="U60" s="29"/>
      <c r="V60" s="29"/>
      <c r="W60" s="29"/>
      <c r="X60" s="29"/>
      <c r="Y60" s="17" t="s">
        <v>103</v>
      </c>
      <c r="Z60" s="18">
        <f>AVERAGE(C60:D60)</f>
        <v>62</v>
      </c>
      <c r="AA60" s="17"/>
      <c r="AB60" s="17"/>
      <c r="AC60" s="17"/>
      <c r="AD60" s="17"/>
    </row>
    <row r="61" spans="1:30" x14ac:dyDescent="0.25">
      <c r="A61" s="4" t="s">
        <v>83</v>
      </c>
      <c r="B61" s="5">
        <v>39</v>
      </c>
      <c r="C61" s="5">
        <v>57</v>
      </c>
      <c r="D61" s="5">
        <v>59</v>
      </c>
      <c r="E61" s="5">
        <v>46803</v>
      </c>
      <c r="F61" s="5">
        <v>46006</v>
      </c>
      <c r="G61" s="5">
        <v>45949</v>
      </c>
      <c r="H61" s="5">
        <v>43554</v>
      </c>
      <c r="I61" s="5">
        <v>46089</v>
      </c>
      <c r="J61" s="5">
        <v>147</v>
      </c>
      <c r="K61" s="7">
        <v>1285</v>
      </c>
      <c r="L61" s="5">
        <v>845</v>
      </c>
      <c r="M61" s="5">
        <v>42</v>
      </c>
      <c r="Q61" s="5">
        <v>251</v>
      </c>
      <c r="R61" s="29">
        <v>5</v>
      </c>
      <c r="S61" s="29"/>
      <c r="T61" s="29"/>
      <c r="U61" s="29"/>
      <c r="V61" s="29"/>
      <c r="W61" s="29"/>
      <c r="X61" s="29"/>
      <c r="Y61" s="17" t="s">
        <v>104</v>
      </c>
      <c r="Z61" s="18">
        <f>(Z60+$S70)/$L$60</f>
        <v>0.22242367463903889</v>
      </c>
      <c r="AA61" s="17"/>
      <c r="AB61" s="17"/>
      <c r="AC61" s="17"/>
      <c r="AD61" s="17"/>
    </row>
    <row r="62" spans="1:30" x14ac:dyDescent="0.25">
      <c r="A62" s="4" t="s">
        <v>84</v>
      </c>
      <c r="B62" s="6">
        <v>57</v>
      </c>
      <c r="C62" s="6">
        <v>60</v>
      </c>
      <c r="D62" s="6">
        <v>62</v>
      </c>
      <c r="E62" s="6">
        <v>3808</v>
      </c>
      <c r="F62" s="6">
        <v>3711</v>
      </c>
      <c r="G62" s="6">
        <v>3376</v>
      </c>
      <c r="H62" s="6">
        <v>3400</v>
      </c>
      <c r="I62" s="6">
        <v>3267</v>
      </c>
      <c r="J62" s="5">
        <v>30</v>
      </c>
      <c r="K62" s="7">
        <v>194</v>
      </c>
      <c r="L62" s="6">
        <v>2255</v>
      </c>
      <c r="M62" s="6">
        <v>76</v>
      </c>
      <c r="Q62" s="5">
        <v>147</v>
      </c>
      <c r="R62" s="29">
        <v>2.5</v>
      </c>
      <c r="S62" s="29"/>
      <c r="T62" s="29"/>
      <c r="U62" s="29"/>
      <c r="V62" s="29"/>
      <c r="W62" s="29"/>
      <c r="X62" s="29"/>
      <c r="Y62" s="17" t="s">
        <v>105</v>
      </c>
      <c r="Z62" s="19">
        <f>$Z$61*E60</f>
        <v>568.29248870274432</v>
      </c>
      <c r="AA62" s="19">
        <f t="shared" ref="AA62:AD62" si="6">$Z$61*F60</f>
        <v>556.94888129615333</v>
      </c>
      <c r="AB62" s="19">
        <f t="shared" si="6"/>
        <v>600.76634520004404</v>
      </c>
      <c r="AC62" s="19">
        <f t="shared" si="6"/>
        <v>552.05556045409458</v>
      </c>
      <c r="AD62" s="19">
        <f t="shared" si="6"/>
        <v>573.18580954480319</v>
      </c>
    </row>
    <row r="63" spans="1:30" x14ac:dyDescent="0.25">
      <c r="A63" s="4" t="s">
        <v>85</v>
      </c>
      <c r="B63" s="7">
        <v>20</v>
      </c>
      <c r="C63" s="7">
        <v>20</v>
      </c>
      <c r="D63" s="7">
        <v>30</v>
      </c>
      <c r="E63" s="7">
        <v>22</v>
      </c>
      <c r="F63" s="7">
        <v>41</v>
      </c>
      <c r="G63" s="7">
        <v>21</v>
      </c>
      <c r="H63" s="7">
        <v>22</v>
      </c>
      <c r="I63" s="7">
        <v>22</v>
      </c>
      <c r="J63" s="5">
        <v>22</v>
      </c>
      <c r="K63" s="7">
        <v>116</v>
      </c>
      <c r="L63" s="7">
        <v>9</v>
      </c>
      <c r="M63" s="7">
        <v>19</v>
      </c>
      <c r="Q63" s="5">
        <v>30</v>
      </c>
      <c r="R63" s="29">
        <v>0.5</v>
      </c>
      <c r="S63" s="29"/>
      <c r="T63" s="29"/>
      <c r="U63" s="29"/>
      <c r="V63" s="29"/>
      <c r="W63" s="29"/>
      <c r="X63" s="29"/>
      <c r="Y63" s="17" t="s">
        <v>106</v>
      </c>
      <c r="Z63" s="19">
        <f>Z62-($M$60+$Z$61)</f>
        <v>536.07006502810532</v>
      </c>
      <c r="AA63" s="19">
        <f t="shared" ref="AA63:AD63" si="7">AA62-($M$60+$Z$61)</f>
        <v>524.72645762151433</v>
      </c>
      <c r="AB63" s="19">
        <f t="shared" si="7"/>
        <v>568.54392152540504</v>
      </c>
      <c r="AC63" s="19">
        <f t="shared" si="7"/>
        <v>519.83313677945557</v>
      </c>
      <c r="AD63" s="19">
        <f t="shared" si="7"/>
        <v>540.96338587016419</v>
      </c>
    </row>
    <row r="64" spans="1:30" x14ac:dyDescent="0.25">
      <c r="A64" s="4" t="s">
        <v>86</v>
      </c>
      <c r="B64" s="7">
        <v>9</v>
      </c>
      <c r="C64" s="7">
        <v>10</v>
      </c>
      <c r="D64" s="7">
        <v>9</v>
      </c>
      <c r="E64" s="7">
        <v>9</v>
      </c>
      <c r="F64" s="7">
        <v>9</v>
      </c>
      <c r="G64" s="7">
        <v>9</v>
      </c>
      <c r="H64" s="7">
        <v>9</v>
      </c>
      <c r="I64" s="7">
        <v>12</v>
      </c>
      <c r="J64" s="5">
        <v>16</v>
      </c>
      <c r="K64" s="7">
        <v>46</v>
      </c>
      <c r="L64" s="7">
        <v>9</v>
      </c>
      <c r="M64" s="7">
        <v>9</v>
      </c>
      <c r="Q64" s="5">
        <v>22</v>
      </c>
      <c r="R64" s="29">
        <v>0.25</v>
      </c>
      <c r="S64" s="29"/>
      <c r="T64" s="29"/>
      <c r="U64" s="29"/>
      <c r="V64" s="29"/>
      <c r="W64" s="29"/>
      <c r="X64" s="29"/>
      <c r="Y64" s="17" t="s">
        <v>107</v>
      </c>
      <c r="Z64" s="19">
        <f>$S$58*Z63+$T$58</f>
        <v>7.2506445982585692</v>
      </c>
      <c r="AA64" s="19">
        <f t="shared" ref="AA64:AD64" si="8">$S$58*AA63+$T$58</f>
        <v>7.1462834101179311</v>
      </c>
      <c r="AB64" s="19">
        <f t="shared" si="8"/>
        <v>7.5494040780337262</v>
      </c>
      <c r="AC64" s="19">
        <f t="shared" si="8"/>
        <v>7.1012648583709908</v>
      </c>
      <c r="AD64" s="19">
        <f t="shared" si="8"/>
        <v>7.2956631500055096</v>
      </c>
    </row>
    <row r="65" spans="1:3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Q65" s="5">
        <v>16</v>
      </c>
      <c r="R65" s="29">
        <v>0.1</v>
      </c>
      <c r="S65" s="29"/>
      <c r="T65" s="29"/>
      <c r="U65" s="29"/>
      <c r="V65" s="29"/>
      <c r="W65" s="29"/>
      <c r="X65" s="29"/>
      <c r="Y65" s="13" t="s">
        <v>110</v>
      </c>
      <c r="Z65" s="13" t="s">
        <v>98</v>
      </c>
      <c r="AA65" s="13" t="s">
        <v>99</v>
      </c>
      <c r="AB65" s="13" t="s">
        <v>100</v>
      </c>
      <c r="AC65" s="13" t="s">
        <v>101</v>
      </c>
      <c r="AD65" s="13" t="s">
        <v>102</v>
      </c>
    </row>
    <row r="66" spans="1:3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Q66" s="29">
        <v>0</v>
      </c>
      <c r="R66" s="29">
        <v>0</v>
      </c>
      <c r="S66" s="29"/>
      <c r="T66" s="29"/>
      <c r="U66" s="29"/>
      <c r="V66" s="29"/>
      <c r="W66" s="29"/>
      <c r="X66" s="29"/>
      <c r="Y66" s="13" t="s">
        <v>103</v>
      </c>
      <c r="Z66" s="14">
        <f>AVERAGE(C61:D61)</f>
        <v>58</v>
      </c>
      <c r="AA66" s="13"/>
      <c r="AB66" s="13"/>
      <c r="AC66" s="13"/>
      <c r="AD66" s="13"/>
    </row>
    <row r="67" spans="1:30" x14ac:dyDescent="0.25">
      <c r="A67" s="1" t="s">
        <v>44</v>
      </c>
      <c r="B67" s="1"/>
      <c r="C67" s="1"/>
      <c r="D67" s="1"/>
      <c r="E67" s="1" t="s">
        <v>87</v>
      </c>
      <c r="F67" s="1"/>
      <c r="G67" s="1"/>
      <c r="H67" s="1"/>
      <c r="I67" s="1"/>
      <c r="J67" s="1"/>
      <c r="K67" s="1"/>
      <c r="Q67" s="29"/>
      <c r="R67" s="33" t="s">
        <v>129</v>
      </c>
      <c r="S67" s="33" t="s">
        <v>130</v>
      </c>
      <c r="T67" s="29" t="s">
        <v>132</v>
      </c>
      <c r="U67" s="29"/>
      <c r="V67" s="29"/>
      <c r="W67" s="29"/>
      <c r="X67" s="29"/>
      <c r="Y67" s="13" t="s">
        <v>104</v>
      </c>
      <c r="Z67" s="14">
        <f>(Z66+$S70)/$L$57</f>
        <v>0.35741290112514018</v>
      </c>
      <c r="AA67" s="13"/>
      <c r="AB67" s="13"/>
      <c r="AC67" s="13"/>
      <c r="AD67" s="13"/>
    </row>
    <row r="68" spans="1:3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Q68" s="29"/>
      <c r="R68" s="33">
        <v>1.2</v>
      </c>
      <c r="S68" s="29">
        <f>(R68-$T$59)/$S$59</f>
        <v>72.412322274881518</v>
      </c>
      <c r="T68" s="29">
        <f>S68/R68</f>
        <v>60.343601895734601</v>
      </c>
      <c r="U68" s="29"/>
      <c r="V68" s="29"/>
      <c r="W68" s="29"/>
      <c r="X68" s="29"/>
      <c r="Y68" s="13" t="s">
        <v>105</v>
      </c>
      <c r="Z68" s="20">
        <f>$Z$67*E61</f>
        <v>16727.996011359937</v>
      </c>
      <c r="AA68" s="20">
        <f t="shared" ref="AA68:AD68" si="9">$Z$67*F61</f>
        <v>16443.1379291632</v>
      </c>
      <c r="AB68" s="20">
        <f t="shared" si="9"/>
        <v>16422.765393799065</v>
      </c>
      <c r="AC68" s="20">
        <f t="shared" si="9"/>
        <v>15566.761495604356</v>
      </c>
      <c r="AD68" s="20">
        <f t="shared" si="9"/>
        <v>16472.803199956586</v>
      </c>
    </row>
    <row r="69" spans="1:30" x14ac:dyDescent="0.25">
      <c r="A69" s="1" t="s">
        <v>46</v>
      </c>
      <c r="B69" s="1" t="s">
        <v>26</v>
      </c>
      <c r="C69" s="1"/>
      <c r="D69" s="1"/>
      <c r="E69" s="1"/>
      <c r="F69" s="1"/>
      <c r="G69" s="1"/>
      <c r="H69" s="1"/>
      <c r="I69" s="1"/>
      <c r="J69" s="52"/>
      <c r="K69" s="52"/>
      <c r="L69" s="52"/>
      <c r="M69" s="52"/>
      <c r="N69" s="52"/>
      <c r="Q69" s="29"/>
      <c r="R69" s="29">
        <v>2.5</v>
      </c>
      <c r="S69" s="29">
        <f>(R69-$T$59)/$S$59</f>
        <v>134.02369668246445</v>
      </c>
      <c r="T69" s="29">
        <f t="shared" ref="T69" si="10">S69/R69</f>
        <v>53.60947867298578</v>
      </c>
      <c r="U69" s="29"/>
      <c r="V69" s="29"/>
      <c r="W69" s="29"/>
      <c r="X69" s="29"/>
      <c r="Y69" s="13" t="s">
        <v>106</v>
      </c>
      <c r="Z69" s="20">
        <f>Z68-($Z$66+$M$61)</f>
        <v>16627.996011359937</v>
      </c>
      <c r="AA69" s="20">
        <f t="shared" ref="AA69:AD69" si="11">AA68-($Z$66+$M$61)</f>
        <v>16343.1379291632</v>
      </c>
      <c r="AB69" s="20">
        <f t="shared" si="11"/>
        <v>16322.765393799065</v>
      </c>
      <c r="AC69" s="20">
        <f t="shared" si="11"/>
        <v>15466.761495604356</v>
      </c>
      <c r="AD69" s="20">
        <f t="shared" si="11"/>
        <v>16372.803199956586</v>
      </c>
    </row>
    <row r="70" spans="1:30" x14ac:dyDescent="0.25">
      <c r="A70" s="1" t="s">
        <v>32</v>
      </c>
      <c r="B70" s="1" t="s">
        <v>28</v>
      </c>
      <c r="C70" s="1"/>
      <c r="D70" s="1"/>
      <c r="E70" s="1"/>
      <c r="F70" s="1"/>
      <c r="G70" s="1"/>
      <c r="H70" s="1"/>
      <c r="I70" s="1"/>
      <c r="J70" s="52"/>
      <c r="K70" s="52"/>
      <c r="L70" s="52"/>
      <c r="M70" s="52"/>
      <c r="N70" s="52"/>
      <c r="Q70" s="29">
        <f>1.2*2</f>
        <v>2.4</v>
      </c>
      <c r="R70">
        <f>Q70</f>
        <v>2.4</v>
      </c>
      <c r="S70" s="29">
        <f>(R70-$T$59)/$S$59</f>
        <v>129.28436018957345</v>
      </c>
      <c r="U70" s="29"/>
      <c r="V70" s="29"/>
      <c r="W70" s="29"/>
      <c r="X70" s="29"/>
      <c r="Y70" s="13" t="s">
        <v>107</v>
      </c>
      <c r="Z70" s="38">
        <f>$S$58*Z69+$T$58</f>
        <v>155.29636330451143</v>
      </c>
      <c r="AA70" s="38">
        <f t="shared" ref="AA70:AD70" si="12">$S$58*AA69+$T$58</f>
        <v>152.67566894830145</v>
      </c>
      <c r="AB70" s="38">
        <f t="shared" si="12"/>
        <v>152.48824162295142</v>
      </c>
      <c r="AC70" s="38">
        <f t="shared" si="12"/>
        <v>144.61300575956008</v>
      </c>
      <c r="AD70" s="38">
        <f t="shared" si="12"/>
        <v>152.9485894396006</v>
      </c>
    </row>
    <row r="71" spans="1:30" x14ac:dyDescent="0.25">
      <c r="A71" s="1" t="s">
        <v>47</v>
      </c>
      <c r="B71" s="1"/>
      <c r="C71" s="1"/>
      <c r="D71" s="1"/>
      <c r="E71" s="1" t="s">
        <v>48</v>
      </c>
      <c r="F71" s="1"/>
      <c r="G71" s="1"/>
      <c r="H71" s="1"/>
      <c r="I71" s="1"/>
      <c r="J71" s="52"/>
      <c r="K71" s="52"/>
      <c r="L71" s="52"/>
      <c r="M71" s="52"/>
      <c r="N71" s="52"/>
      <c r="Q71" s="29">
        <f>3.2*2</f>
        <v>6.4</v>
      </c>
      <c r="R71">
        <f>Q71</f>
        <v>6.4</v>
      </c>
      <c r="S71" s="29">
        <f>(R71-$T$59)/$S$59</f>
        <v>318.85781990521326</v>
      </c>
      <c r="U71" s="29"/>
      <c r="V71" s="29"/>
      <c r="W71" s="29"/>
      <c r="X71" s="29"/>
      <c r="Y71" s="15" t="s">
        <v>111</v>
      </c>
      <c r="Z71" s="15" t="s">
        <v>98</v>
      </c>
      <c r="AA71" s="15" t="s">
        <v>99</v>
      </c>
      <c r="AB71" s="15" t="s">
        <v>100</v>
      </c>
      <c r="AC71" s="15" t="s">
        <v>101</v>
      </c>
      <c r="AD71" s="15" t="s">
        <v>102</v>
      </c>
    </row>
    <row r="72" spans="1:30" x14ac:dyDescent="0.25">
      <c r="A72" s="1" t="s">
        <v>49</v>
      </c>
      <c r="B72" s="1"/>
      <c r="C72" s="1"/>
      <c r="D72" s="1"/>
      <c r="E72" s="1">
        <v>364.00000000000006</v>
      </c>
      <c r="F72" s="1"/>
      <c r="G72" s="1"/>
      <c r="H72" s="1"/>
      <c r="I72" s="1"/>
      <c r="J72" s="52"/>
      <c r="K72" s="52"/>
      <c r="L72" s="52"/>
      <c r="M72" s="52"/>
      <c r="N72" s="52"/>
      <c r="Q72" s="29"/>
      <c r="R72" s="29">
        <f>S72*S60+T60</f>
        <v>31.772500000000001</v>
      </c>
      <c r="S72" s="29">
        <v>3800</v>
      </c>
      <c r="T72" s="29" t="s">
        <v>135</v>
      </c>
      <c r="U72" s="29"/>
      <c r="V72" s="29"/>
      <c r="W72" s="29"/>
      <c r="X72" s="29"/>
      <c r="Y72" s="15" t="s">
        <v>103</v>
      </c>
      <c r="Z72" s="16">
        <f>AVERAGE(B62:D62)</f>
        <v>59.666666666666664</v>
      </c>
      <c r="AA72" s="15"/>
      <c r="AB72" s="15"/>
      <c r="AC72" s="15"/>
      <c r="AD72" s="15"/>
    </row>
    <row r="73" spans="1:30" x14ac:dyDescent="0.25">
      <c r="A73" s="1" t="s">
        <v>50</v>
      </c>
      <c r="B73" s="1"/>
      <c r="C73" s="1"/>
      <c r="D73" s="1"/>
      <c r="E73" s="1">
        <v>20</v>
      </c>
      <c r="F73" s="1"/>
      <c r="G73" s="1"/>
      <c r="H73" s="1"/>
      <c r="I73" s="1"/>
      <c r="J73" s="52"/>
      <c r="K73" s="52"/>
      <c r="L73" s="52"/>
      <c r="M73" s="52"/>
      <c r="N73" s="52"/>
      <c r="Q73" s="29"/>
      <c r="R73" s="29"/>
      <c r="S73" s="29"/>
      <c r="T73" s="29"/>
      <c r="U73" s="29"/>
      <c r="V73" s="29"/>
      <c r="W73" s="29"/>
      <c r="X73" s="29"/>
      <c r="Y73" s="15" t="s">
        <v>104</v>
      </c>
      <c r="Z73" s="16">
        <f>(Z72+$S71)/$L$62</f>
        <v>0.16786008273697559</v>
      </c>
      <c r="AA73" s="15"/>
      <c r="AB73" s="15"/>
      <c r="AC73" s="15"/>
      <c r="AD73" s="15"/>
    </row>
    <row r="74" spans="1:30" x14ac:dyDescent="0.25">
      <c r="A74" s="1" t="s">
        <v>51</v>
      </c>
      <c r="B74" s="1"/>
      <c r="C74" s="1"/>
      <c r="D74" s="1"/>
      <c r="E74" s="1" t="s">
        <v>48</v>
      </c>
      <c r="F74" s="1"/>
      <c r="G74" s="1"/>
      <c r="H74" s="1"/>
      <c r="I74" s="1"/>
      <c r="J74" s="52"/>
      <c r="K74" s="52"/>
      <c r="L74" s="52"/>
      <c r="M74" s="52"/>
      <c r="N74" s="52"/>
      <c r="Q74" s="29"/>
      <c r="R74" s="29"/>
      <c r="S74" s="29"/>
      <c r="T74" s="29"/>
      <c r="U74" s="29"/>
      <c r="V74" s="29"/>
      <c r="W74" s="29"/>
      <c r="X74" s="29"/>
      <c r="Y74" s="15" t="s">
        <v>105</v>
      </c>
      <c r="Z74" s="22">
        <f>$Z$73*E61</f>
        <v>7856.3554523386683</v>
      </c>
      <c r="AA74" s="22">
        <f t="shared" ref="AA74:AD74" si="13">$Z$73*F61</f>
        <v>7722.5709663972984</v>
      </c>
      <c r="AB74" s="22">
        <f t="shared" si="13"/>
        <v>7713.0029416812913</v>
      </c>
      <c r="AC74" s="22">
        <f t="shared" si="13"/>
        <v>7310.9780435262346</v>
      </c>
      <c r="AD74" s="22">
        <f t="shared" si="13"/>
        <v>7736.5033532644675</v>
      </c>
    </row>
    <row r="75" spans="1:30" x14ac:dyDescent="0.25">
      <c r="A75" s="1" t="s">
        <v>52</v>
      </c>
      <c r="B75" s="1"/>
      <c r="C75" s="1"/>
      <c r="D75" s="1"/>
      <c r="E75" s="1">
        <v>445</v>
      </c>
      <c r="F75" s="1"/>
      <c r="G75" s="1"/>
      <c r="H75" s="1"/>
      <c r="I75" s="1"/>
      <c r="J75" s="52"/>
      <c r="K75" s="52"/>
      <c r="L75" s="52"/>
      <c r="M75" s="52"/>
      <c r="N75" s="52"/>
      <c r="Q75" s="29"/>
      <c r="R75" s="29"/>
      <c r="S75" s="29"/>
      <c r="T75" s="29"/>
      <c r="U75" s="29"/>
      <c r="V75" s="29"/>
      <c r="W75" s="29"/>
      <c r="X75" s="29"/>
      <c r="Y75" s="15" t="s">
        <v>106</v>
      </c>
      <c r="Z75" s="22">
        <f>Z74-($Z$72+$M$61)</f>
        <v>7754.6887856720014</v>
      </c>
      <c r="AA75" s="22">
        <f t="shared" ref="AA75:AD75" si="14">AA74-($Z$72+$M$61)</f>
        <v>7620.9042997306315</v>
      </c>
      <c r="AB75" s="22">
        <f t="shared" si="14"/>
        <v>7611.3362750146243</v>
      </c>
      <c r="AC75" s="22">
        <f t="shared" si="14"/>
        <v>7209.3113768595676</v>
      </c>
      <c r="AD75" s="22">
        <f t="shared" si="14"/>
        <v>7634.8366865978005</v>
      </c>
    </row>
    <row r="76" spans="1:30" x14ac:dyDescent="0.25">
      <c r="A76" s="1" t="s">
        <v>53</v>
      </c>
      <c r="B76" s="1"/>
      <c r="C76" s="1"/>
      <c r="D76" s="1"/>
      <c r="E76" s="1">
        <v>20</v>
      </c>
      <c r="F76" s="1"/>
      <c r="G76" s="1"/>
      <c r="H76" s="1"/>
      <c r="I76" s="1"/>
      <c r="J76" s="52"/>
      <c r="K76" s="52"/>
      <c r="L76" s="52"/>
      <c r="M76" s="52"/>
      <c r="N76" s="52"/>
      <c r="Q76" s="29"/>
      <c r="R76" s="29"/>
      <c r="S76" s="29"/>
      <c r="T76" s="29"/>
      <c r="U76" s="29"/>
      <c r="V76" s="29"/>
      <c r="W76" s="29"/>
      <c r="X76" s="29"/>
      <c r="Y76" s="15" t="s">
        <v>107</v>
      </c>
      <c r="Z76" s="50">
        <f>$S$58*Z75+$T$58</f>
        <v>73.661936828182405</v>
      </c>
      <c r="AA76" s="50">
        <f t="shared" ref="AA76:AD76" si="15">$S$58*AA75+$T$58</f>
        <v>72.431119557521811</v>
      </c>
      <c r="AB76" s="50">
        <f t="shared" si="15"/>
        <v>72.343093730134541</v>
      </c>
      <c r="AC76" s="50">
        <f t="shared" si="15"/>
        <v>68.644464667108011</v>
      </c>
      <c r="AD76" s="50">
        <f t="shared" si="15"/>
        <v>72.559297516699758</v>
      </c>
    </row>
    <row r="77" spans="1:30" x14ac:dyDescent="0.25">
      <c r="A77" s="1" t="s">
        <v>54</v>
      </c>
      <c r="B77" s="1"/>
      <c r="C77" s="1"/>
      <c r="D77" s="1"/>
      <c r="E77" s="1">
        <v>50</v>
      </c>
      <c r="F77" s="1"/>
      <c r="G77" s="1"/>
      <c r="H77" s="1"/>
      <c r="I77" s="1"/>
      <c r="J77" s="52"/>
      <c r="K77" s="52"/>
      <c r="L77" s="52"/>
      <c r="M77" s="52"/>
      <c r="N77" s="52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x14ac:dyDescent="0.25">
      <c r="A78" s="1" t="s">
        <v>55</v>
      </c>
      <c r="B78" s="1"/>
      <c r="C78" s="1"/>
      <c r="D78" s="1"/>
      <c r="E78" s="1" t="s">
        <v>56</v>
      </c>
      <c r="F78" s="1"/>
      <c r="G78" s="1"/>
      <c r="H78" s="1"/>
      <c r="I78" s="1"/>
      <c r="J78" s="52"/>
      <c r="K78" s="52"/>
      <c r="L78" s="52"/>
      <c r="M78" s="52"/>
      <c r="N78" s="52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x14ac:dyDescent="0.25">
      <c r="A79" s="1" t="s">
        <v>57</v>
      </c>
      <c r="B79" s="1"/>
      <c r="C79" s="1"/>
      <c r="D79" s="1"/>
      <c r="E79" s="1">
        <v>30</v>
      </c>
      <c r="F79" s="1"/>
      <c r="G79" s="1"/>
      <c r="H79" s="1"/>
      <c r="I79" s="1"/>
      <c r="J79" s="52"/>
      <c r="K79" s="52"/>
      <c r="L79" s="52"/>
      <c r="M79" s="52"/>
      <c r="N79" s="52"/>
      <c r="Q79" s="29"/>
      <c r="R79" s="29"/>
      <c r="S79" s="29"/>
      <c r="T79" s="29"/>
      <c r="U79" s="29"/>
      <c r="V79" s="29"/>
      <c r="W79" s="29"/>
      <c r="X79" s="29"/>
      <c r="Y79" s="39" t="s">
        <v>114</v>
      </c>
      <c r="Z79" s="39" t="s">
        <v>98</v>
      </c>
      <c r="AA79" s="39" t="s">
        <v>99</v>
      </c>
      <c r="AB79" s="39" t="s">
        <v>100</v>
      </c>
      <c r="AC79" s="39" t="s">
        <v>101</v>
      </c>
      <c r="AD79" s="39" t="s">
        <v>102</v>
      </c>
    </row>
    <row r="80" spans="1:30" x14ac:dyDescent="0.25">
      <c r="A80" s="1" t="s">
        <v>58</v>
      </c>
      <c r="B80" s="1"/>
      <c r="C80" s="1"/>
      <c r="D80" s="1"/>
      <c r="E80" s="1">
        <v>40</v>
      </c>
      <c r="F80" s="1"/>
      <c r="G80" s="1"/>
      <c r="H80" s="1"/>
      <c r="I80" s="1"/>
      <c r="J80" s="52"/>
      <c r="K80" s="52"/>
      <c r="L80" s="52"/>
      <c r="M80" s="52"/>
      <c r="N80" s="52"/>
      <c r="Q80" s="29"/>
      <c r="R80" s="29"/>
      <c r="S80" s="29"/>
      <c r="T80" s="29"/>
      <c r="U80" s="29"/>
      <c r="V80" s="29"/>
      <c r="W80" s="29"/>
      <c r="X80" s="29"/>
      <c r="Y80" s="39" t="s">
        <v>103</v>
      </c>
      <c r="Z80" s="51">
        <f>AVERAGE($B$92:$D$92)</f>
        <v>54.333333333333336</v>
      </c>
      <c r="AA80" s="51"/>
      <c r="AB80" s="51"/>
      <c r="AC80" s="51"/>
      <c r="AD80" s="51"/>
    </row>
    <row r="81" spans="1:30" x14ac:dyDescent="0.25">
      <c r="A81" s="1" t="s">
        <v>59</v>
      </c>
      <c r="B81" s="1"/>
      <c r="C81" s="1"/>
      <c r="D81" s="1"/>
      <c r="E81" s="1">
        <v>0</v>
      </c>
      <c r="F81" s="1"/>
      <c r="G81" s="1"/>
      <c r="H81" s="1"/>
      <c r="I81" s="1"/>
      <c r="J81" s="52"/>
      <c r="K81" s="52"/>
      <c r="L81" s="52"/>
      <c r="M81" s="52"/>
      <c r="N81" s="52"/>
      <c r="Q81" s="29"/>
      <c r="R81" s="29"/>
      <c r="S81" s="29"/>
      <c r="T81" s="29"/>
      <c r="U81" s="29"/>
      <c r="V81" s="29"/>
      <c r="W81" s="29"/>
      <c r="X81" s="29"/>
      <c r="Y81" s="39" t="s">
        <v>104</v>
      </c>
      <c r="Z81" s="51">
        <f>(Z80+S103)/L92</f>
        <v>0.36883876357560563</v>
      </c>
      <c r="AA81" s="51"/>
      <c r="AB81" s="51"/>
      <c r="AC81" s="51"/>
      <c r="AD81" s="51"/>
    </row>
    <row r="82" spans="1:30" x14ac:dyDescent="0.25">
      <c r="A82" s="1" t="s">
        <v>60</v>
      </c>
      <c r="B82" s="1"/>
      <c r="C82" s="1"/>
      <c r="D82" s="1"/>
      <c r="E82" s="1">
        <v>0</v>
      </c>
      <c r="F82" s="1"/>
      <c r="G82" s="1"/>
      <c r="H82" s="1"/>
      <c r="I82" s="1"/>
      <c r="J82" s="52"/>
      <c r="K82" s="52"/>
      <c r="L82" s="52"/>
      <c r="M82" s="52"/>
      <c r="N82" s="52"/>
      <c r="Q82" s="29"/>
      <c r="R82" s="29"/>
      <c r="S82" s="29"/>
      <c r="T82" s="29"/>
      <c r="U82" s="29"/>
      <c r="V82" s="29"/>
      <c r="W82" s="29"/>
      <c r="X82" s="29"/>
      <c r="Y82" s="39" t="s">
        <v>105</v>
      </c>
      <c r="Z82" s="51">
        <f>$Z$81*E$92</f>
        <v>20854.512531328317</v>
      </c>
      <c r="AA82" s="51">
        <f t="shared" ref="AA82:AD82" si="16">$Z$81*F$92</f>
        <v>21105.322890559732</v>
      </c>
      <c r="AB82" s="51">
        <f t="shared" si="16"/>
        <v>19683.44945697577</v>
      </c>
      <c r="AC82" s="51">
        <f t="shared" si="16"/>
        <v>19779.716374269003</v>
      </c>
      <c r="AD82" s="51">
        <f t="shared" si="16"/>
        <v>18987.450710108602</v>
      </c>
    </row>
    <row r="83" spans="1:30" x14ac:dyDescent="0.25">
      <c r="A83" s="1" t="s">
        <v>61</v>
      </c>
      <c r="B83" s="1"/>
      <c r="C83" s="1"/>
      <c r="D83" s="1"/>
      <c r="E83" s="1">
        <v>20000</v>
      </c>
      <c r="F83" s="1"/>
      <c r="G83" s="1"/>
      <c r="H83" s="1"/>
      <c r="I83" s="1"/>
      <c r="J83" s="52"/>
      <c r="K83" s="52"/>
      <c r="L83" s="52"/>
      <c r="M83" s="52"/>
      <c r="N83" s="52"/>
      <c r="Q83" s="29"/>
      <c r="R83" s="29"/>
      <c r="S83" s="29"/>
      <c r="T83" s="29"/>
      <c r="U83" s="29"/>
      <c r="V83" s="29"/>
      <c r="W83" s="29"/>
      <c r="X83" s="29"/>
      <c r="Y83" s="39" t="s">
        <v>106</v>
      </c>
      <c r="Z83" s="51">
        <f>Z82-($Z$80+$M$92)</f>
        <v>19206.179197994985</v>
      </c>
      <c r="AA83" s="51">
        <f t="shared" ref="AA83:AD83" si="17">AA82-($Z$80+$M$92)</f>
        <v>19456.989557226399</v>
      </c>
      <c r="AB83" s="51">
        <f t="shared" si="17"/>
        <v>18035.116123642438</v>
      </c>
      <c r="AC83" s="51">
        <f t="shared" si="17"/>
        <v>18131.383040935671</v>
      </c>
      <c r="AD83" s="51">
        <f t="shared" si="17"/>
        <v>17339.11737677527</v>
      </c>
    </row>
    <row r="84" spans="1:30" x14ac:dyDescent="0.25">
      <c r="A84" s="1" t="s">
        <v>62</v>
      </c>
      <c r="B84" s="1"/>
      <c r="C84" s="1"/>
      <c r="D84" s="1"/>
      <c r="E84" s="1" t="s">
        <v>63</v>
      </c>
      <c r="F84" s="1"/>
      <c r="G84" s="1"/>
      <c r="H84" s="1"/>
      <c r="I84" s="1"/>
      <c r="J84" s="52"/>
      <c r="K84" s="52"/>
      <c r="L84" s="52"/>
      <c r="M84" s="52"/>
      <c r="N84" s="52"/>
      <c r="Q84" s="29"/>
      <c r="R84" s="29"/>
      <c r="S84" s="29"/>
      <c r="T84" s="29"/>
      <c r="U84" s="29"/>
      <c r="V84" s="29"/>
      <c r="W84" s="29"/>
      <c r="X84" s="29"/>
      <c r="Y84" s="39" t="s">
        <v>107</v>
      </c>
      <c r="Z84" s="51">
        <f>Z83*$S$91+$T$91</f>
        <v>39.881876315789469</v>
      </c>
      <c r="AA84" s="51">
        <f t="shared" ref="AA84:AD84" si="18">AA83*$S$91+$T$91</f>
        <v>40.408578070175437</v>
      </c>
      <c r="AB84" s="51">
        <f t="shared" si="18"/>
        <v>37.422643859649121</v>
      </c>
      <c r="AC84" s="51">
        <f t="shared" si="18"/>
        <v>37.624804385964907</v>
      </c>
      <c r="AD84" s="51">
        <f t="shared" si="18"/>
        <v>35.961046491228068</v>
      </c>
    </row>
    <row r="85" spans="1:30" x14ac:dyDescent="0.25">
      <c r="A85" s="1" t="s">
        <v>64</v>
      </c>
      <c r="B85" s="1"/>
      <c r="C85" s="1"/>
      <c r="D85" s="1"/>
      <c r="E85" s="1" t="s">
        <v>36</v>
      </c>
      <c r="F85" s="1"/>
      <c r="G85" s="1"/>
      <c r="H85" s="1"/>
      <c r="I85" s="1"/>
      <c r="J85" s="52"/>
      <c r="K85" s="52"/>
      <c r="L85" s="52"/>
      <c r="M85" s="52"/>
      <c r="N85" s="52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x14ac:dyDescent="0.25">
      <c r="A86" s="1"/>
      <c r="B86" s="1"/>
      <c r="C86" s="1"/>
      <c r="D86" s="1"/>
      <c r="E86" s="1"/>
      <c r="F86" s="1"/>
      <c r="G86" s="1"/>
      <c r="H86" s="1"/>
      <c r="I86" s="1"/>
      <c r="J86" s="52"/>
      <c r="K86" s="52"/>
      <c r="L86" s="52"/>
      <c r="M86" s="52"/>
      <c r="N86" s="52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x14ac:dyDescent="0.25">
      <c r="A87" s="1" t="s">
        <v>37</v>
      </c>
      <c r="B87" s="1"/>
      <c r="C87" s="1"/>
      <c r="D87" s="1"/>
      <c r="E87" s="1" t="s">
        <v>88</v>
      </c>
      <c r="F87" s="1"/>
      <c r="G87" s="1"/>
      <c r="H87" s="1"/>
      <c r="I87" s="1"/>
      <c r="J87" s="1"/>
      <c r="K87" s="1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x14ac:dyDescent="0.25">
      <c r="A88" s="1" t="s">
        <v>65</v>
      </c>
      <c r="B88" s="1"/>
      <c r="C88" s="1"/>
      <c r="D88" s="1"/>
      <c r="E88" s="1">
        <v>27.9</v>
      </c>
      <c r="F88" s="1"/>
      <c r="G88" s="1"/>
      <c r="H88" s="1"/>
      <c r="I88" s="1"/>
      <c r="J88" s="1"/>
      <c r="K88" s="1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Q89" s="29" t="s">
        <v>133</v>
      </c>
      <c r="R89" s="29"/>
      <c r="S89" s="29"/>
      <c r="T89" s="29"/>
      <c r="U89" s="29"/>
      <c r="V89" s="29"/>
      <c r="W89" s="29"/>
      <c r="X89" s="29"/>
    </row>
    <row r="90" spans="1:30" x14ac:dyDescent="0.25">
      <c r="A90" s="4" t="s">
        <v>66</v>
      </c>
      <c r="B90" s="4" t="s">
        <v>67</v>
      </c>
      <c r="C90" s="4" t="s">
        <v>68</v>
      </c>
      <c r="D90" s="4" t="s">
        <v>69</v>
      </c>
      <c r="E90" s="4" t="s">
        <v>70</v>
      </c>
      <c r="F90" s="4" t="s">
        <v>71</v>
      </c>
      <c r="G90" s="4" t="s">
        <v>72</v>
      </c>
      <c r="H90" s="4" t="s">
        <v>73</v>
      </c>
      <c r="I90" s="4" t="s">
        <v>74</v>
      </c>
      <c r="J90" s="4" t="s">
        <v>75</v>
      </c>
      <c r="K90" s="4" t="s">
        <v>76</v>
      </c>
      <c r="L90" s="4" t="s">
        <v>77</v>
      </c>
      <c r="M90" s="4" t="s">
        <v>78</v>
      </c>
      <c r="Q90" s="34" t="s">
        <v>125</v>
      </c>
      <c r="R90" s="34" t="s">
        <v>126</v>
      </c>
      <c r="S90" s="29" t="s">
        <v>127</v>
      </c>
      <c r="T90" s="29" t="s">
        <v>128</v>
      </c>
      <c r="U90" s="29"/>
      <c r="V90" s="29"/>
      <c r="W90" s="29"/>
      <c r="X90" s="29"/>
    </row>
    <row r="91" spans="1:30" x14ac:dyDescent="0.25">
      <c r="A91" s="4" t="s">
        <v>79</v>
      </c>
      <c r="B91" s="7">
        <v>35</v>
      </c>
      <c r="C91" s="7">
        <v>40</v>
      </c>
      <c r="D91" s="7">
        <v>39</v>
      </c>
      <c r="E91" s="7">
        <v>27728</v>
      </c>
      <c r="F91" s="7">
        <v>24914</v>
      </c>
      <c r="G91" s="7">
        <v>25526</v>
      </c>
      <c r="H91" s="7">
        <v>24221</v>
      </c>
      <c r="I91" s="7">
        <v>23959</v>
      </c>
      <c r="J91" s="7">
        <v>14400</v>
      </c>
      <c r="K91" s="40">
        <v>40637</v>
      </c>
      <c r="L91" s="7">
        <v>504</v>
      </c>
      <c r="M91" s="7">
        <v>36</v>
      </c>
      <c r="Q91" s="40">
        <v>40637</v>
      </c>
      <c r="R91" s="41">
        <v>100</v>
      </c>
      <c r="S91" s="29">
        <v>2.0999999999999999E-3</v>
      </c>
      <c r="T91" s="29">
        <v>-0.4511</v>
      </c>
      <c r="U91" s="33" t="s">
        <v>137</v>
      </c>
      <c r="V91" s="29"/>
      <c r="W91" s="29"/>
      <c r="X91" s="29"/>
    </row>
    <row r="92" spans="1:30" x14ac:dyDescent="0.25">
      <c r="A92" s="4" t="s">
        <v>80</v>
      </c>
      <c r="B92" s="40">
        <v>51</v>
      </c>
      <c r="C92" s="40">
        <v>54</v>
      </c>
      <c r="D92" s="40">
        <v>58</v>
      </c>
      <c r="E92" s="40">
        <v>56541</v>
      </c>
      <c r="F92" s="40">
        <v>57221</v>
      </c>
      <c r="G92" s="40">
        <v>53366</v>
      </c>
      <c r="H92" s="40">
        <v>53627</v>
      </c>
      <c r="I92" s="40">
        <v>51479</v>
      </c>
      <c r="J92" s="40">
        <v>5629</v>
      </c>
      <c r="K92" s="40">
        <v>23489</v>
      </c>
      <c r="L92" s="40">
        <v>399</v>
      </c>
      <c r="M92" s="40">
        <v>1594</v>
      </c>
      <c r="Q92" s="40">
        <v>23489</v>
      </c>
      <c r="R92" s="41">
        <v>50</v>
      </c>
      <c r="S92" s="29">
        <v>1.6000000000000001E-3</v>
      </c>
      <c r="T92" s="29">
        <v>0.6008</v>
      </c>
      <c r="U92" s="33" t="s">
        <v>138</v>
      </c>
      <c r="V92" s="29"/>
      <c r="W92" s="29"/>
      <c r="X92" s="29"/>
    </row>
    <row r="93" spans="1:30" x14ac:dyDescent="0.25">
      <c r="A93" s="4" t="s">
        <v>81</v>
      </c>
      <c r="B93" s="7">
        <v>56</v>
      </c>
      <c r="C93" s="7">
        <v>50</v>
      </c>
      <c r="D93" s="7">
        <v>50</v>
      </c>
      <c r="E93" s="7">
        <v>8262</v>
      </c>
      <c r="F93" s="7">
        <v>7906</v>
      </c>
      <c r="G93" s="7">
        <v>7836</v>
      </c>
      <c r="H93" s="7">
        <v>8031</v>
      </c>
      <c r="I93" s="7">
        <v>7375</v>
      </c>
      <c r="J93" s="7">
        <v>561</v>
      </c>
      <c r="K93" s="40">
        <v>5907</v>
      </c>
      <c r="L93" s="7">
        <v>814</v>
      </c>
      <c r="M93" s="7">
        <v>36</v>
      </c>
      <c r="Q93" s="40">
        <v>5907</v>
      </c>
      <c r="R93" s="41">
        <v>10</v>
      </c>
      <c r="S93" s="29">
        <v>1.8E-3</v>
      </c>
      <c r="T93" s="29">
        <v>8.2900000000000001E-2</v>
      </c>
      <c r="U93" s="33" t="s">
        <v>139</v>
      </c>
      <c r="V93" s="29"/>
      <c r="W93" s="29"/>
      <c r="X93" s="29"/>
    </row>
    <row r="94" spans="1:30" x14ac:dyDescent="0.25">
      <c r="A94" s="4" t="s">
        <v>82</v>
      </c>
      <c r="B94" s="7">
        <v>359</v>
      </c>
      <c r="C94" s="7">
        <v>53</v>
      </c>
      <c r="D94" s="7">
        <v>55</v>
      </c>
      <c r="E94" s="7">
        <v>2455</v>
      </c>
      <c r="F94" s="7">
        <v>2338</v>
      </c>
      <c r="G94" s="7">
        <v>2486</v>
      </c>
      <c r="H94" s="7">
        <v>2336</v>
      </c>
      <c r="I94" s="7">
        <v>2467</v>
      </c>
      <c r="J94" s="7">
        <v>279</v>
      </c>
      <c r="K94" s="40">
        <v>2500</v>
      </c>
      <c r="L94" s="7">
        <v>797</v>
      </c>
      <c r="M94" s="7">
        <v>44</v>
      </c>
      <c r="Q94" s="40">
        <v>2500</v>
      </c>
      <c r="R94" s="41">
        <v>5</v>
      </c>
      <c r="S94" s="29"/>
      <c r="T94" s="29"/>
      <c r="U94" s="29"/>
      <c r="V94" s="29"/>
      <c r="W94" s="29"/>
      <c r="X94" s="29"/>
    </row>
    <row r="95" spans="1:30" x14ac:dyDescent="0.25">
      <c r="A95" s="4" t="s">
        <v>83</v>
      </c>
      <c r="B95" s="7">
        <v>35</v>
      </c>
      <c r="C95" s="7">
        <v>49</v>
      </c>
      <c r="D95" s="7">
        <v>51</v>
      </c>
      <c r="E95" s="7">
        <v>44557</v>
      </c>
      <c r="F95" s="7">
        <v>43670</v>
      </c>
      <c r="G95" s="7">
        <v>43789</v>
      </c>
      <c r="H95" s="7">
        <v>41251</v>
      </c>
      <c r="I95" s="7">
        <v>43796</v>
      </c>
      <c r="J95" s="7">
        <v>165</v>
      </c>
      <c r="K95" s="40">
        <v>1359</v>
      </c>
      <c r="L95" s="7">
        <v>799</v>
      </c>
      <c r="M95" s="7">
        <v>50</v>
      </c>
      <c r="Q95" s="40">
        <v>1359</v>
      </c>
      <c r="R95" s="41">
        <v>2.5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x14ac:dyDescent="0.25">
      <c r="A96" s="4" t="s">
        <v>84</v>
      </c>
      <c r="B96" s="7">
        <v>51</v>
      </c>
      <c r="C96" s="7">
        <v>51</v>
      </c>
      <c r="D96" s="7">
        <v>54</v>
      </c>
      <c r="E96" s="7">
        <v>3596</v>
      </c>
      <c r="F96" s="7">
        <v>3501</v>
      </c>
      <c r="G96" s="7">
        <v>3159</v>
      </c>
      <c r="H96" s="7">
        <v>3217</v>
      </c>
      <c r="I96" s="7">
        <v>3033</v>
      </c>
      <c r="J96" s="7">
        <v>32</v>
      </c>
      <c r="K96" s="40">
        <v>204</v>
      </c>
      <c r="L96" s="7">
        <v>2080</v>
      </c>
      <c r="M96" s="7">
        <v>105</v>
      </c>
      <c r="Q96" s="40">
        <v>204</v>
      </c>
      <c r="R96" s="41">
        <v>0.5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x14ac:dyDescent="0.25">
      <c r="A97" s="4" t="s">
        <v>85</v>
      </c>
      <c r="B97" s="7">
        <v>19</v>
      </c>
      <c r="C97" s="7">
        <v>20</v>
      </c>
      <c r="D97" s="7">
        <v>29</v>
      </c>
      <c r="E97" s="7">
        <v>21</v>
      </c>
      <c r="F97" s="7">
        <v>39</v>
      </c>
      <c r="G97" s="7">
        <v>21</v>
      </c>
      <c r="H97" s="7">
        <v>21</v>
      </c>
      <c r="I97" s="7">
        <v>21</v>
      </c>
      <c r="J97" s="7">
        <v>24</v>
      </c>
      <c r="K97" s="40">
        <v>122</v>
      </c>
      <c r="L97" s="7">
        <v>9</v>
      </c>
      <c r="M97" s="7">
        <v>20</v>
      </c>
      <c r="Q97" s="40">
        <v>122</v>
      </c>
      <c r="R97" s="41">
        <v>0.25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x14ac:dyDescent="0.25">
      <c r="A98" s="4" t="s">
        <v>86</v>
      </c>
      <c r="B98" s="7">
        <v>10</v>
      </c>
      <c r="C98" s="7">
        <v>10</v>
      </c>
      <c r="D98" s="7">
        <v>9</v>
      </c>
      <c r="E98" s="7">
        <v>10</v>
      </c>
      <c r="F98" s="7">
        <v>10</v>
      </c>
      <c r="G98" s="7">
        <v>10</v>
      </c>
      <c r="H98" s="7">
        <v>9</v>
      </c>
      <c r="I98" s="7">
        <v>12</v>
      </c>
      <c r="J98" s="7">
        <v>18</v>
      </c>
      <c r="K98" s="40">
        <v>48</v>
      </c>
      <c r="L98" s="7">
        <v>10</v>
      </c>
      <c r="M98" s="7">
        <v>10</v>
      </c>
      <c r="Q98" s="40">
        <v>48</v>
      </c>
      <c r="R98" s="41">
        <v>0.1</v>
      </c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Q99" s="29">
        <v>0</v>
      </c>
      <c r="R99" s="29">
        <v>0</v>
      </c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Q100" s="29"/>
      <c r="R100" s="29" t="s">
        <v>129</v>
      </c>
      <c r="S100" s="29" t="s">
        <v>130</v>
      </c>
      <c r="T100" s="29" t="s">
        <v>132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x14ac:dyDescent="0.25">
      <c r="A101" s="1" t="s">
        <v>44</v>
      </c>
      <c r="B101" s="1"/>
      <c r="C101" s="1"/>
      <c r="D101" s="1"/>
      <c r="E101" s="1" t="s">
        <v>89</v>
      </c>
      <c r="F101" s="1"/>
      <c r="G101" s="1"/>
      <c r="H101" s="1"/>
      <c r="I101" s="1"/>
      <c r="J101" s="1"/>
      <c r="K101" t="s">
        <v>115</v>
      </c>
      <c r="L101">
        <f>54.917*0.3+11.753</f>
        <v>28.228100000000001</v>
      </c>
      <c r="Q101" s="29"/>
      <c r="R101" s="29">
        <v>1.2</v>
      </c>
      <c r="S101" s="35">
        <f>(R101-$T$93)/$S$93</f>
        <v>620.61111111111109</v>
      </c>
      <c r="T101" s="29">
        <f>S101/R101</f>
        <v>517.17592592592598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Q102" s="29"/>
      <c r="R102" s="29">
        <v>2.5</v>
      </c>
      <c r="S102" s="35">
        <f>(R102-$T$93)/$S$93</f>
        <v>1342.8333333333335</v>
      </c>
      <c r="T102" s="29">
        <f t="shared" ref="T102:T103" si="19">S102/R102</f>
        <v>537.13333333333344</v>
      </c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x14ac:dyDescent="0.25">
      <c r="A103" s="1" t="s">
        <v>46</v>
      </c>
      <c r="B103" s="1" t="s">
        <v>29</v>
      </c>
      <c r="C103" s="1"/>
      <c r="D103" s="1"/>
      <c r="E103" s="1"/>
      <c r="F103" s="1"/>
      <c r="G103" s="1"/>
      <c r="H103" s="1"/>
      <c r="I103" s="1"/>
      <c r="J103" s="1"/>
      <c r="K103" s="1"/>
      <c r="Q103" s="29"/>
      <c r="R103" s="29">
        <v>0.25</v>
      </c>
      <c r="S103" s="35">
        <f>(R103-$T$93)/$S$93</f>
        <v>92.833333333333329</v>
      </c>
      <c r="T103" s="29">
        <f t="shared" si="19"/>
        <v>371.33333333333331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x14ac:dyDescent="0.25">
      <c r="A104" s="1" t="s">
        <v>32</v>
      </c>
      <c r="B104" s="1" t="s">
        <v>30</v>
      </c>
      <c r="C104" s="1"/>
      <c r="D104" s="1"/>
      <c r="E104" s="1"/>
      <c r="F104" s="1"/>
      <c r="G104" s="1"/>
      <c r="H104" s="1"/>
      <c r="I104" s="1"/>
      <c r="J104" s="1"/>
      <c r="K104" s="1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x14ac:dyDescent="0.25">
      <c r="A105" s="1" t="s">
        <v>90</v>
      </c>
      <c r="B105" s="1"/>
      <c r="C105" s="1"/>
      <c r="D105" s="1"/>
      <c r="E105" s="1">
        <v>460</v>
      </c>
      <c r="F105" s="1"/>
      <c r="G105" s="1"/>
      <c r="H105" s="1"/>
      <c r="I105" s="1"/>
      <c r="J105" s="1"/>
      <c r="K105" s="1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x14ac:dyDescent="0.25">
      <c r="A106" s="1" t="s">
        <v>57</v>
      </c>
      <c r="B106" s="1"/>
      <c r="C106" s="1"/>
      <c r="D106" s="1"/>
      <c r="E106" s="1">
        <v>10</v>
      </c>
      <c r="F106" s="1"/>
      <c r="G106" s="1"/>
      <c r="H106" s="1"/>
      <c r="I106" s="1"/>
      <c r="J106" s="1"/>
      <c r="K106" s="1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x14ac:dyDescent="0.25">
      <c r="A107" s="1" t="s">
        <v>60</v>
      </c>
      <c r="B107" s="1"/>
      <c r="C107" s="1"/>
      <c r="D107" s="1"/>
      <c r="E107" s="1">
        <v>50</v>
      </c>
      <c r="F107" s="1"/>
      <c r="G107" s="1"/>
      <c r="H107" s="1"/>
      <c r="I107" s="1"/>
      <c r="J107" s="1"/>
      <c r="K107" s="1"/>
    </row>
    <row r="108" spans="1:30" x14ac:dyDescent="0.25">
      <c r="A108" s="1" t="s">
        <v>64</v>
      </c>
      <c r="B108" s="1"/>
      <c r="C108" s="1"/>
      <c r="D108" s="1"/>
      <c r="E108" s="1" t="s">
        <v>36</v>
      </c>
      <c r="F108" s="1"/>
      <c r="G108" s="1"/>
      <c r="H108" s="1"/>
      <c r="I108" s="1"/>
      <c r="J108" s="1"/>
      <c r="K108" s="1"/>
    </row>
    <row r="109" spans="1:3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30" x14ac:dyDescent="0.25">
      <c r="A110" s="1" t="s">
        <v>37</v>
      </c>
      <c r="B110" s="1"/>
      <c r="C110" s="1"/>
      <c r="D110" s="1"/>
      <c r="E110" s="1" t="s">
        <v>91</v>
      </c>
      <c r="F110" s="1"/>
      <c r="G110" s="1"/>
      <c r="H110" s="1"/>
      <c r="I110" s="1"/>
      <c r="J110" s="1"/>
      <c r="K110" s="1"/>
    </row>
    <row r="111" spans="1:30" x14ac:dyDescent="0.25">
      <c r="A111" s="1" t="s">
        <v>65</v>
      </c>
      <c r="B111" s="1"/>
      <c r="C111" s="1"/>
      <c r="D111" s="1"/>
      <c r="E111" s="1">
        <v>27.7</v>
      </c>
      <c r="F111" s="1"/>
      <c r="G111" s="1"/>
      <c r="H111" s="1"/>
      <c r="I111" s="1"/>
      <c r="J111" s="1"/>
      <c r="K111" s="1"/>
    </row>
    <row r="112" spans="1:3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Y112" s="43" t="s">
        <v>30</v>
      </c>
      <c r="Z112" s="43" t="s">
        <v>98</v>
      </c>
      <c r="AA112" s="43" t="s">
        <v>99</v>
      </c>
      <c r="AB112" s="43" t="s">
        <v>100</v>
      </c>
      <c r="AC112" s="43" t="s">
        <v>101</v>
      </c>
      <c r="AD112" s="43" t="s">
        <v>102</v>
      </c>
    </row>
    <row r="113" spans="1:30" x14ac:dyDescent="0.25">
      <c r="A113" s="4" t="s">
        <v>66</v>
      </c>
      <c r="B113" s="4" t="s">
        <v>67</v>
      </c>
      <c r="C113" s="4" t="s">
        <v>68</v>
      </c>
      <c r="D113" s="4" t="s">
        <v>69</v>
      </c>
      <c r="E113" s="4" t="s">
        <v>70</v>
      </c>
      <c r="F113" s="4" t="s">
        <v>71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76</v>
      </c>
      <c r="L113" s="4" t="s">
        <v>77</v>
      </c>
      <c r="M113" s="4" t="s">
        <v>78</v>
      </c>
      <c r="Y113" s="43" t="s">
        <v>103</v>
      </c>
      <c r="Z113" s="44">
        <f>AVERAGE(B120:D120)</f>
        <v>7.1033333333333337E-2</v>
      </c>
      <c r="AA113" s="43"/>
      <c r="AB113" s="43"/>
      <c r="AC113" s="43"/>
      <c r="AD113" s="43"/>
    </row>
    <row r="114" spans="1:30" x14ac:dyDescent="0.25">
      <c r="A114" s="4" t="s">
        <v>79</v>
      </c>
      <c r="B114" s="1">
        <v>9.64E-2</v>
      </c>
      <c r="C114" s="1">
        <v>8.0399999999999999E-2</v>
      </c>
      <c r="D114" s="1">
        <v>0.1119</v>
      </c>
      <c r="E114" s="1">
        <v>7.7499999999999999E-2</v>
      </c>
      <c r="F114" s="1">
        <v>7.1400000000000005E-2</v>
      </c>
      <c r="G114" s="1">
        <v>6.6100000000000006E-2</v>
      </c>
      <c r="H114" s="1">
        <v>6.8199999999999997E-2</v>
      </c>
      <c r="I114" s="1">
        <v>7.6499999999999999E-2</v>
      </c>
      <c r="J114" s="1">
        <v>5.9700000000000003E-2</v>
      </c>
      <c r="K114" s="1">
        <v>5.5E-2</v>
      </c>
      <c r="L114" s="1">
        <v>0.22259999999999999</v>
      </c>
      <c r="M114" s="1">
        <v>4.6899999999999997E-2</v>
      </c>
      <c r="Y114" s="43" t="s">
        <v>107</v>
      </c>
      <c r="Z114" s="45">
        <f>(E120-$Z$113)/1.66</f>
        <v>4.5763052208835336E-2</v>
      </c>
      <c r="AA114" s="45">
        <f t="shared" ref="AA114:AD114" si="20">(F120-$Z$113)/1.66</f>
        <v>0.10588353413654618</v>
      </c>
      <c r="AB114" s="45">
        <f>(G120-$Z$113)/1.66</f>
        <v>2.8112449799196201E-4</v>
      </c>
      <c r="AC114" s="45">
        <f t="shared" si="20"/>
        <v>1.0040160642570012E-4</v>
      </c>
      <c r="AD114" s="45">
        <f t="shared" si="20"/>
        <v>3.4738955823293109E-3</v>
      </c>
    </row>
    <row r="115" spans="1:30" x14ac:dyDescent="0.25">
      <c r="A115" s="4" t="s">
        <v>80</v>
      </c>
      <c r="B115" s="1">
        <v>8.6499999999999994E-2</v>
      </c>
      <c r="C115" s="1">
        <v>8.6400000000000005E-2</v>
      </c>
      <c r="D115" s="1">
        <v>0.12379999999999999</v>
      </c>
      <c r="E115" s="1">
        <v>7.1499999999999994E-2</v>
      </c>
      <c r="F115" s="1">
        <v>9.5299999999999996E-2</v>
      </c>
      <c r="G115" s="1">
        <v>7.7200000000000005E-2</v>
      </c>
      <c r="H115" s="1">
        <v>7.1599999999999997E-2</v>
      </c>
      <c r="I115" s="1">
        <v>7.3300000000000004E-2</v>
      </c>
      <c r="J115" s="1">
        <v>4.7899999999999998E-2</v>
      </c>
      <c r="K115" s="1">
        <v>4.6100000000000002E-2</v>
      </c>
      <c r="L115" s="1">
        <v>0.13150000000000001</v>
      </c>
      <c r="M115" s="1">
        <v>4.6100000000000002E-2</v>
      </c>
      <c r="Y115" s="23"/>
      <c r="Z115" s="24"/>
      <c r="AA115" s="24"/>
      <c r="AB115" s="24"/>
      <c r="AC115" s="24"/>
      <c r="AD115" s="24"/>
    </row>
    <row r="116" spans="1:30" x14ac:dyDescent="0.25">
      <c r="A116" s="4" t="s">
        <v>81</v>
      </c>
      <c r="B116" s="1">
        <v>0.12189999999999999</v>
      </c>
      <c r="C116" s="1">
        <v>8.6999999999999994E-2</v>
      </c>
      <c r="D116" s="1">
        <v>8.0100000000000005E-2</v>
      </c>
      <c r="E116" s="1">
        <v>7.1800000000000003E-2</v>
      </c>
      <c r="F116" s="1">
        <v>7.0400000000000004E-2</v>
      </c>
      <c r="G116" s="1">
        <v>7.2400000000000006E-2</v>
      </c>
      <c r="H116" s="1">
        <v>6.3899999999999998E-2</v>
      </c>
      <c r="I116" s="1">
        <v>6.4299999999999996E-2</v>
      </c>
      <c r="J116" s="1">
        <v>5.04E-2</v>
      </c>
      <c r="K116" s="1">
        <v>4.5699999999999998E-2</v>
      </c>
      <c r="L116" s="1">
        <v>0.14779999999999999</v>
      </c>
      <c r="M116" s="1">
        <v>4.7500000000000001E-2</v>
      </c>
      <c r="Y116" s="23"/>
      <c r="Z116" s="24"/>
      <c r="AA116" s="24"/>
      <c r="AB116" s="24"/>
      <c r="AC116" s="24"/>
      <c r="AD116" s="24"/>
    </row>
    <row r="117" spans="1:30" x14ac:dyDescent="0.25">
      <c r="A117" s="4" t="s">
        <v>82</v>
      </c>
      <c r="B117" s="1">
        <v>8.5699999999999998E-2</v>
      </c>
      <c r="C117" s="1">
        <v>7.7100000000000002E-2</v>
      </c>
      <c r="D117" s="1">
        <v>0.1138</v>
      </c>
      <c r="E117" s="1">
        <v>6.6100000000000006E-2</v>
      </c>
      <c r="F117" s="1">
        <v>8.2500000000000004E-2</v>
      </c>
      <c r="G117" s="1">
        <v>0.1172</v>
      </c>
      <c r="H117" s="1">
        <v>7.2700000000000001E-2</v>
      </c>
      <c r="I117" s="1">
        <v>7.0900000000000005E-2</v>
      </c>
      <c r="J117" s="1">
        <v>4.8099999999999997E-2</v>
      </c>
      <c r="K117" s="1">
        <v>4.5600000000000002E-2</v>
      </c>
      <c r="L117" s="1">
        <v>0.115</v>
      </c>
      <c r="M117" s="1">
        <v>5.2400000000000002E-2</v>
      </c>
    </row>
    <row r="118" spans="1:30" x14ac:dyDescent="0.25">
      <c r="A118" s="4" t="s">
        <v>83</v>
      </c>
      <c r="B118" s="1">
        <v>0.1179</v>
      </c>
      <c r="C118" s="1">
        <v>0.11409999999999999</v>
      </c>
      <c r="D118" s="1">
        <v>0.19189999999999999</v>
      </c>
      <c r="E118" s="1">
        <v>6.88E-2</v>
      </c>
      <c r="F118" s="1">
        <v>0.1258</v>
      </c>
      <c r="G118" s="1">
        <v>0.1047</v>
      </c>
      <c r="H118" s="1">
        <v>8.4500000000000006E-2</v>
      </c>
      <c r="I118" s="1">
        <v>7.6300000000000007E-2</v>
      </c>
      <c r="J118" s="1">
        <v>5.16E-2</v>
      </c>
      <c r="K118" s="1">
        <v>4.5999999999999999E-2</v>
      </c>
      <c r="L118" s="1">
        <v>0.1389</v>
      </c>
      <c r="M118" s="1">
        <v>5.1700000000000003E-2</v>
      </c>
    </row>
    <row r="119" spans="1:30" x14ac:dyDescent="0.25">
      <c r="A119" s="4" t="s">
        <v>84</v>
      </c>
      <c r="B119" s="7">
        <v>0.1079</v>
      </c>
      <c r="C119" s="7">
        <v>7.1300000000000002E-2</v>
      </c>
      <c r="D119" s="7">
        <v>0.1275</v>
      </c>
      <c r="E119" s="7">
        <v>7.9699999999999993E-2</v>
      </c>
      <c r="F119" s="7">
        <v>0.1177</v>
      </c>
      <c r="G119" s="7">
        <v>0.1052</v>
      </c>
      <c r="H119" s="7">
        <v>8.9200000000000002E-2</v>
      </c>
      <c r="I119" s="7">
        <v>7.1400000000000005E-2</v>
      </c>
      <c r="J119" s="1">
        <v>4.7699999999999999E-2</v>
      </c>
      <c r="K119" s="1">
        <v>4.7500000000000001E-2</v>
      </c>
      <c r="L119" s="1">
        <v>0.1396</v>
      </c>
      <c r="M119" s="7">
        <v>4.8300000000000003E-2</v>
      </c>
    </row>
    <row r="120" spans="1:30" x14ac:dyDescent="0.25">
      <c r="A120" s="4" t="s">
        <v>85</v>
      </c>
      <c r="B120" s="42">
        <v>7.4300000000000005E-2</v>
      </c>
      <c r="C120" s="42">
        <v>7.1300000000000002E-2</v>
      </c>
      <c r="D120" s="42">
        <v>6.7500000000000004E-2</v>
      </c>
      <c r="E120" s="42">
        <v>0.14699999999999999</v>
      </c>
      <c r="F120" s="42">
        <v>0.24679999999999999</v>
      </c>
      <c r="G120" s="42">
        <v>7.1499999999999994E-2</v>
      </c>
      <c r="H120" s="42">
        <v>7.1199999999999999E-2</v>
      </c>
      <c r="I120" s="42">
        <v>7.6799999999999993E-2</v>
      </c>
      <c r="J120" s="42">
        <v>4.6800000000000001E-2</v>
      </c>
      <c r="K120" s="42">
        <v>4.5900000000000003E-2</v>
      </c>
      <c r="L120" s="42">
        <v>5.8599999999999999E-2</v>
      </c>
      <c r="M120" s="42">
        <v>5.1999999999999998E-2</v>
      </c>
    </row>
    <row r="121" spans="1:30" x14ac:dyDescent="0.25">
      <c r="A121" s="4" t="s">
        <v>86</v>
      </c>
      <c r="B121" s="1">
        <v>6.1600000000000002E-2</v>
      </c>
      <c r="C121" s="1">
        <v>6.1199999999999997E-2</v>
      </c>
      <c r="D121" s="1">
        <v>6.0100000000000001E-2</v>
      </c>
      <c r="E121" s="1">
        <v>5.8299999999999998E-2</v>
      </c>
      <c r="F121" s="1">
        <v>6.1600000000000002E-2</v>
      </c>
      <c r="G121" s="1">
        <v>5.8400000000000001E-2</v>
      </c>
      <c r="H121" s="1">
        <v>5.8299999999999998E-2</v>
      </c>
      <c r="I121" s="1">
        <v>5.8999999999999997E-2</v>
      </c>
      <c r="J121" s="1">
        <v>5.8700000000000002E-2</v>
      </c>
      <c r="K121" s="1">
        <v>5.0099999999999999E-2</v>
      </c>
      <c r="L121" s="1">
        <v>5.8599999999999999E-2</v>
      </c>
      <c r="M121" s="1">
        <v>5.8099999999999999E-2</v>
      </c>
    </row>
    <row r="122" spans="1:3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3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30" x14ac:dyDescent="0.25">
      <c r="A124" s="1" t="s">
        <v>44</v>
      </c>
      <c r="B124" s="1"/>
      <c r="C124" s="1"/>
      <c r="D124" s="1"/>
      <c r="E124" s="1" t="s">
        <v>92</v>
      </c>
      <c r="F124" s="1"/>
      <c r="G124" s="1"/>
      <c r="H124" s="1"/>
      <c r="I124" s="1"/>
      <c r="J124" s="1"/>
      <c r="K124" s="1"/>
    </row>
    <row r="125" spans="1:3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R125" s="26"/>
      <c r="S125" s="26"/>
      <c r="T125" s="26"/>
    </row>
    <row r="126" spans="1:30" x14ac:dyDescent="0.25">
      <c r="A126" s="1" t="s">
        <v>37</v>
      </c>
      <c r="B126" s="1"/>
      <c r="C126" s="1"/>
      <c r="D126" s="1"/>
      <c r="E126" s="1" t="s">
        <v>93</v>
      </c>
      <c r="F126" s="1"/>
      <c r="G126" s="1"/>
      <c r="H126" s="1"/>
      <c r="I126" s="1"/>
      <c r="J126" s="1"/>
      <c r="K126" s="1"/>
      <c r="R126" s="25"/>
      <c r="S126" s="25"/>
      <c r="T126" s="25"/>
    </row>
    <row r="127" spans="1:30" x14ac:dyDescent="0.25">
      <c r="A127" s="1" t="s">
        <v>94</v>
      </c>
      <c r="B127" s="1"/>
      <c r="C127" s="1"/>
      <c r="D127" s="1"/>
      <c r="E127" s="1" t="s">
        <v>95</v>
      </c>
      <c r="F127" s="1"/>
      <c r="G127" s="1"/>
      <c r="H127" s="1"/>
      <c r="I127" s="1"/>
      <c r="J127" s="1"/>
      <c r="K127" s="1"/>
      <c r="R127" s="25"/>
      <c r="S127" s="25"/>
      <c r="T127" s="25"/>
    </row>
    <row r="128" spans="1:30" x14ac:dyDescent="0.25">
      <c r="A128" s="1" t="s">
        <v>44</v>
      </c>
      <c r="B128" s="1"/>
      <c r="C128" s="1"/>
      <c r="D128" s="1"/>
      <c r="E128" s="1" t="s">
        <v>96</v>
      </c>
      <c r="F128" s="1"/>
      <c r="G128" s="1"/>
      <c r="H128" s="1"/>
      <c r="I128" s="1"/>
      <c r="J128" s="1"/>
      <c r="K128" s="1"/>
      <c r="R128" s="25"/>
      <c r="S128" s="25"/>
      <c r="T128" s="25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R129" s="25"/>
      <c r="S129" s="25"/>
      <c r="T129" s="25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</sheetData>
  <mergeCells count="7">
    <mergeCell ref="V58:W58"/>
    <mergeCell ref="Q56:T56"/>
    <mergeCell ref="V50:W50"/>
    <mergeCell ref="V51:W51"/>
    <mergeCell ref="V53:W53"/>
    <mergeCell ref="V54:W54"/>
    <mergeCell ref="V52:W5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S19_B_C1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2022-06-07T14:50:55Z</dcterms:created>
  <dcterms:modified xsi:type="dcterms:W3CDTF">2023-02-13T23:44:33Z</dcterms:modified>
</cp:coreProperties>
</file>