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memin\Desktop\Emin\Ders\5. Dönem\Production and Operations Planning I\Proje\"/>
    </mc:Choice>
  </mc:AlternateContent>
  <xr:revisionPtr revIDLastSave="0" documentId="13_ncr:1_{6A03325D-39FB-4A4A-BB4C-449C6CC9F013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RA-Table1" sheetId="1" r:id="rId1"/>
    <sheet name="RA-Table2" sheetId="2" r:id="rId2"/>
    <sheet name="DRA-Table1" sheetId="3" r:id="rId3"/>
    <sheet name="DRA-Table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3" l="1"/>
  <c r="E2" i="1"/>
  <c r="L25" i="4"/>
  <c r="L24" i="4"/>
  <c r="L17" i="4"/>
  <c r="L14" i="4"/>
  <c r="L23" i="4"/>
  <c r="L22" i="4"/>
  <c r="L21" i="4"/>
  <c r="L20" i="4"/>
  <c r="L19" i="4"/>
  <c r="L18" i="4"/>
  <c r="L16" i="4"/>
  <c r="L15" i="4"/>
  <c r="O26" i="4"/>
  <c r="K26" i="4"/>
  <c r="Q25" i="4"/>
  <c r="Q24" i="4"/>
  <c r="Q23" i="4"/>
  <c r="Q22" i="4"/>
  <c r="Q21" i="4"/>
  <c r="Q20" i="4"/>
  <c r="Q19" i="4"/>
  <c r="Q18" i="4"/>
  <c r="Q17" i="4"/>
  <c r="Q16" i="4"/>
  <c r="D24" i="4"/>
  <c r="Q15" i="4"/>
  <c r="Q14" i="4"/>
  <c r="Q13" i="4"/>
  <c r="G13" i="4"/>
  <c r="L13" i="4" s="1"/>
  <c r="Q12" i="4"/>
  <c r="G12" i="4"/>
  <c r="L12" i="4" s="1"/>
  <c r="Q11" i="4"/>
  <c r="G11" i="4"/>
  <c r="L11" i="4" s="1"/>
  <c r="Q10" i="4"/>
  <c r="G10" i="4"/>
  <c r="L10" i="4" s="1"/>
  <c r="Q9" i="4"/>
  <c r="G9" i="4"/>
  <c r="L9" i="4" s="1"/>
  <c r="Q8" i="4"/>
  <c r="G8" i="4"/>
  <c r="L8" i="4" s="1"/>
  <c r="Q7" i="4"/>
  <c r="G7" i="4"/>
  <c r="L7" i="4" s="1"/>
  <c r="Q6" i="4"/>
  <c r="G6" i="4"/>
  <c r="L6" i="4" s="1"/>
  <c r="Q5" i="4"/>
  <c r="G5" i="4"/>
  <c r="L5" i="4" s="1"/>
  <c r="Q4" i="4"/>
  <c r="G4" i="4"/>
  <c r="L4" i="4" s="1"/>
  <c r="Q3" i="4"/>
  <c r="G3" i="4"/>
  <c r="L3" i="4" s="1"/>
  <c r="Q2" i="4"/>
  <c r="Q26" i="4" s="1"/>
  <c r="G2" i="4"/>
  <c r="L2" i="4" s="1"/>
  <c r="D16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O26" i="3"/>
  <c r="K26" i="3"/>
  <c r="M19" i="3" s="1"/>
  <c r="N19" i="3" s="1"/>
  <c r="P19" i="3" s="1"/>
  <c r="G3" i="3"/>
  <c r="L3" i="3" s="1"/>
  <c r="G4" i="3"/>
  <c r="L4" i="3" s="1"/>
  <c r="G5" i="3"/>
  <c r="L5" i="3" s="1"/>
  <c r="G6" i="3"/>
  <c r="L6" i="3" s="1"/>
  <c r="G7" i="3"/>
  <c r="L7" i="3" s="1"/>
  <c r="G8" i="3"/>
  <c r="L8" i="3" s="1"/>
  <c r="G9" i="3"/>
  <c r="L9" i="3" s="1"/>
  <c r="G10" i="3"/>
  <c r="L10" i="3" s="1"/>
  <c r="G11" i="3"/>
  <c r="L11" i="3" s="1"/>
  <c r="G12" i="3"/>
  <c r="L12" i="3" s="1"/>
  <c r="G13" i="3"/>
  <c r="L13" i="3" s="1"/>
  <c r="G2" i="3"/>
  <c r="L2" i="3" s="1"/>
  <c r="C26" i="2"/>
  <c r="D30" i="2" s="1"/>
  <c r="B26" i="2"/>
  <c r="D31" i="2" s="1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C26" i="1"/>
  <c r="D30" i="1" s="1"/>
  <c r="B26" i="1"/>
  <c r="D31" i="1" s="1"/>
  <c r="M17" i="4" l="1"/>
  <c r="N17" i="4" s="1"/>
  <c r="P17" i="4" s="1"/>
  <c r="M13" i="4"/>
  <c r="N13" i="4" s="1"/>
  <c r="P13" i="4" s="1"/>
  <c r="M7" i="4"/>
  <c r="N7" i="4" s="1"/>
  <c r="P7" i="4" s="1"/>
  <c r="L26" i="4"/>
  <c r="M23" i="4"/>
  <c r="N23" i="4" s="1"/>
  <c r="P23" i="4" s="1"/>
  <c r="M16" i="4"/>
  <c r="N16" i="4" s="1"/>
  <c r="P16" i="4" s="1"/>
  <c r="M20" i="4"/>
  <c r="N20" i="4" s="1"/>
  <c r="P20" i="4" s="1"/>
  <c r="M6" i="4"/>
  <c r="N6" i="4" s="1"/>
  <c r="P6" i="4" s="1"/>
  <c r="M12" i="4"/>
  <c r="N12" i="4" s="1"/>
  <c r="P12" i="4" s="1"/>
  <c r="M5" i="4"/>
  <c r="N5" i="4" s="1"/>
  <c r="P5" i="4" s="1"/>
  <c r="M11" i="4"/>
  <c r="N11" i="4" s="1"/>
  <c r="P11" i="4" s="1"/>
  <c r="M15" i="4"/>
  <c r="N15" i="4" s="1"/>
  <c r="P15" i="4" s="1"/>
  <c r="M19" i="4"/>
  <c r="N19" i="4" s="1"/>
  <c r="P19" i="4" s="1"/>
  <c r="M22" i="4"/>
  <c r="N22" i="4" s="1"/>
  <c r="P22" i="4" s="1"/>
  <c r="M25" i="4"/>
  <c r="N25" i="4" s="1"/>
  <c r="P25" i="4" s="1"/>
  <c r="M4" i="4"/>
  <c r="N4" i="4" s="1"/>
  <c r="P4" i="4" s="1"/>
  <c r="M10" i="4"/>
  <c r="N10" i="4" s="1"/>
  <c r="P10" i="4" s="1"/>
  <c r="M18" i="4"/>
  <c r="N18" i="4" s="1"/>
  <c r="P18" i="4" s="1"/>
  <c r="M9" i="4"/>
  <c r="N9" i="4" s="1"/>
  <c r="P9" i="4" s="1"/>
  <c r="M14" i="4"/>
  <c r="N14" i="4" s="1"/>
  <c r="P14" i="4" s="1"/>
  <c r="M21" i="4"/>
  <c r="N21" i="4" s="1"/>
  <c r="P21" i="4" s="1"/>
  <c r="M24" i="4"/>
  <c r="N24" i="4" s="1"/>
  <c r="P24" i="4" s="1"/>
  <c r="M3" i="4"/>
  <c r="N3" i="4" s="1"/>
  <c r="P3" i="4" s="1"/>
  <c r="M2" i="4"/>
  <c r="M8" i="4"/>
  <c r="N8" i="4" s="1"/>
  <c r="P8" i="4" s="1"/>
  <c r="Q26" i="3"/>
  <c r="L26" i="3"/>
  <c r="M6" i="3"/>
  <c r="N6" i="3" s="1"/>
  <c r="P6" i="3" s="1"/>
  <c r="M8" i="3"/>
  <c r="N8" i="3" s="1"/>
  <c r="P8" i="3" s="1"/>
  <c r="M5" i="3"/>
  <c r="N5" i="3" s="1"/>
  <c r="P5" i="3" s="1"/>
  <c r="M4" i="3"/>
  <c r="N4" i="3" s="1"/>
  <c r="P4" i="3" s="1"/>
  <c r="M3" i="3"/>
  <c r="N3" i="3" s="1"/>
  <c r="P3" i="3" s="1"/>
  <c r="M15" i="3"/>
  <c r="N15" i="3" s="1"/>
  <c r="P15" i="3" s="1"/>
  <c r="N2" i="3"/>
  <c r="M11" i="3"/>
  <c r="N11" i="3" s="1"/>
  <c r="P11" i="3" s="1"/>
  <c r="M18" i="3"/>
  <c r="N18" i="3" s="1"/>
  <c r="P18" i="3" s="1"/>
  <c r="M13" i="3"/>
  <c r="N13" i="3" s="1"/>
  <c r="P13" i="3" s="1"/>
  <c r="M7" i="3"/>
  <c r="N7" i="3" s="1"/>
  <c r="P7" i="3" s="1"/>
  <c r="M12" i="3"/>
  <c r="N12" i="3" s="1"/>
  <c r="P12" i="3" s="1"/>
  <c r="M17" i="3"/>
  <c r="N17" i="3" s="1"/>
  <c r="P17" i="3" s="1"/>
  <c r="M16" i="3"/>
  <c r="N16" i="3" s="1"/>
  <c r="P16" i="3" s="1"/>
  <c r="M14" i="3"/>
  <c r="N14" i="3" s="1"/>
  <c r="P14" i="3" s="1"/>
  <c r="M25" i="3"/>
  <c r="N25" i="3" s="1"/>
  <c r="P25" i="3" s="1"/>
  <c r="M24" i="3"/>
  <c r="N24" i="3" s="1"/>
  <c r="P24" i="3" s="1"/>
  <c r="M23" i="3"/>
  <c r="N23" i="3" s="1"/>
  <c r="P23" i="3" s="1"/>
  <c r="M22" i="3"/>
  <c r="N22" i="3" s="1"/>
  <c r="P22" i="3" s="1"/>
  <c r="M10" i="3"/>
  <c r="N10" i="3" s="1"/>
  <c r="P10" i="3" s="1"/>
  <c r="M21" i="3"/>
  <c r="N21" i="3" s="1"/>
  <c r="P21" i="3" s="1"/>
  <c r="M9" i="3"/>
  <c r="N9" i="3" s="1"/>
  <c r="P9" i="3" s="1"/>
  <c r="M20" i="3"/>
  <c r="N20" i="3" s="1"/>
  <c r="P20" i="3" s="1"/>
  <c r="D26" i="2"/>
  <c r="E26" i="2"/>
  <c r="D26" i="1"/>
  <c r="E26" i="1"/>
  <c r="D33" i="1"/>
  <c r="D32" i="1" s="1"/>
  <c r="M26" i="4" l="1"/>
  <c r="N2" i="4"/>
  <c r="P2" i="3"/>
  <c r="P26" i="3" s="1"/>
  <c r="N26" i="3"/>
  <c r="D17" i="3" s="1"/>
  <c r="M26" i="3"/>
  <c r="D33" i="2"/>
  <c r="D32" i="2" s="1"/>
  <c r="F15" i="2" s="1"/>
  <c r="G15" i="2" s="1"/>
  <c r="H15" i="2" s="1"/>
  <c r="F2" i="1"/>
  <c r="G2" i="1" s="1"/>
  <c r="H2" i="1" s="1"/>
  <c r="F14" i="1"/>
  <c r="G14" i="1" s="1"/>
  <c r="H14" i="1" s="1"/>
  <c r="F4" i="1"/>
  <c r="G4" i="1" s="1"/>
  <c r="H4" i="1" s="1"/>
  <c r="F16" i="1"/>
  <c r="G16" i="1" s="1"/>
  <c r="H16" i="1" s="1"/>
  <c r="F17" i="1"/>
  <c r="G17" i="1" s="1"/>
  <c r="H17" i="1" s="1"/>
  <c r="F6" i="1"/>
  <c r="G6" i="1" s="1"/>
  <c r="H6" i="1" s="1"/>
  <c r="F7" i="1"/>
  <c r="G7" i="1" s="1"/>
  <c r="H7" i="1" s="1"/>
  <c r="F20" i="1"/>
  <c r="G20" i="1" s="1"/>
  <c r="H20" i="1" s="1"/>
  <c r="F9" i="1"/>
  <c r="G9" i="1" s="1"/>
  <c r="H9" i="1" s="1"/>
  <c r="F12" i="1"/>
  <c r="G12" i="1" s="1"/>
  <c r="H12" i="1" s="1"/>
  <c r="F25" i="1"/>
  <c r="G25" i="1" s="1"/>
  <c r="H25" i="1" s="1"/>
  <c r="F3" i="1"/>
  <c r="G3" i="1" s="1"/>
  <c r="H3" i="1" s="1"/>
  <c r="F15" i="1"/>
  <c r="G15" i="1" s="1"/>
  <c r="H15" i="1" s="1"/>
  <c r="F5" i="1"/>
  <c r="G5" i="1" s="1"/>
  <c r="H5" i="1" s="1"/>
  <c r="F18" i="1"/>
  <c r="G18" i="1" s="1"/>
  <c r="H18" i="1" s="1"/>
  <c r="F19" i="1"/>
  <c r="G19" i="1" s="1"/>
  <c r="H19" i="1" s="1"/>
  <c r="F8" i="1"/>
  <c r="G8" i="1" s="1"/>
  <c r="H8" i="1" s="1"/>
  <c r="F21" i="1"/>
  <c r="G21" i="1" s="1"/>
  <c r="H21" i="1" s="1"/>
  <c r="F10" i="1"/>
  <c r="G10" i="1" s="1"/>
  <c r="H10" i="1" s="1"/>
  <c r="F11" i="1"/>
  <c r="G11" i="1" s="1"/>
  <c r="H11" i="1" s="1"/>
  <c r="F24" i="1"/>
  <c r="G24" i="1" s="1"/>
  <c r="H24" i="1" s="1"/>
  <c r="F13" i="1"/>
  <c r="G13" i="1" s="1"/>
  <c r="H13" i="1" s="1"/>
  <c r="F22" i="1"/>
  <c r="G22" i="1" s="1"/>
  <c r="H22" i="1" s="1"/>
  <c r="F23" i="1"/>
  <c r="G23" i="1" s="1"/>
  <c r="H23" i="1" s="1"/>
  <c r="H26" i="1" l="1"/>
  <c r="N26" i="4"/>
  <c r="D25" i="4" s="1"/>
  <c r="P2" i="4"/>
  <c r="P26" i="4" s="1"/>
  <c r="D19" i="3"/>
  <c r="D18" i="3" s="1"/>
  <c r="F13" i="2"/>
  <c r="G13" i="2" s="1"/>
  <c r="H13" i="2" s="1"/>
  <c r="F21" i="2"/>
  <c r="G21" i="2" s="1"/>
  <c r="H21" i="2" s="1"/>
  <c r="F18" i="2"/>
  <c r="G18" i="2" s="1"/>
  <c r="H18" i="2" s="1"/>
  <c r="F2" i="2"/>
  <c r="G2" i="2" s="1"/>
  <c r="H2" i="2" s="1"/>
  <c r="F25" i="2"/>
  <c r="G25" i="2" s="1"/>
  <c r="H25" i="2" s="1"/>
  <c r="F8" i="2"/>
  <c r="G8" i="2" s="1"/>
  <c r="H8" i="2" s="1"/>
  <c r="F12" i="2"/>
  <c r="G12" i="2" s="1"/>
  <c r="H12" i="2" s="1"/>
  <c r="F14" i="2"/>
  <c r="G14" i="2" s="1"/>
  <c r="H14" i="2" s="1"/>
  <c r="F22" i="2"/>
  <c r="G22" i="2" s="1"/>
  <c r="H22" i="2" s="1"/>
  <c r="F7" i="2"/>
  <c r="G7" i="2" s="1"/>
  <c r="H7" i="2" s="1"/>
  <c r="F23" i="2"/>
  <c r="G23" i="2" s="1"/>
  <c r="H23" i="2" s="1"/>
  <c r="F4" i="2"/>
  <c r="G4" i="2" s="1"/>
  <c r="H4" i="2" s="1"/>
  <c r="F24" i="2"/>
  <c r="G24" i="2" s="1"/>
  <c r="H24" i="2" s="1"/>
  <c r="F5" i="2"/>
  <c r="G5" i="2" s="1"/>
  <c r="H5" i="2" s="1"/>
  <c r="F10" i="2"/>
  <c r="G10" i="2" s="1"/>
  <c r="H10" i="2" s="1"/>
  <c r="F17" i="2"/>
  <c r="G17" i="2" s="1"/>
  <c r="H17" i="2" s="1"/>
  <c r="F6" i="2"/>
  <c r="G6" i="2" s="1"/>
  <c r="H6" i="2" s="1"/>
  <c r="F3" i="2"/>
  <c r="G3" i="2" s="1"/>
  <c r="H3" i="2" s="1"/>
  <c r="F20" i="2"/>
  <c r="G20" i="2" s="1"/>
  <c r="H20" i="2" s="1"/>
  <c r="F11" i="2"/>
  <c r="G11" i="2" s="1"/>
  <c r="H11" i="2" s="1"/>
  <c r="F16" i="2"/>
  <c r="G16" i="2" s="1"/>
  <c r="H16" i="2" s="1"/>
  <c r="F19" i="2"/>
  <c r="G19" i="2" s="1"/>
  <c r="H19" i="2" s="1"/>
  <c r="F9" i="2"/>
  <c r="G9" i="2" s="1"/>
  <c r="H9" i="2" s="1"/>
  <c r="D27" i="4" l="1"/>
  <c r="D26" i="4" s="1"/>
  <c r="R5" i="3"/>
  <c r="S5" i="3" s="1"/>
  <c r="T5" i="3" s="1"/>
  <c r="U5" i="3" s="1"/>
  <c r="R17" i="3"/>
  <c r="S17" i="3" s="1"/>
  <c r="T17" i="3" s="1"/>
  <c r="U17" i="3" s="1"/>
  <c r="R20" i="3"/>
  <c r="S20" i="3" s="1"/>
  <c r="T20" i="3" s="1"/>
  <c r="U20" i="3" s="1"/>
  <c r="R21" i="3"/>
  <c r="S21" i="3" s="1"/>
  <c r="T21" i="3" s="1"/>
  <c r="U21" i="3" s="1"/>
  <c r="R22" i="3"/>
  <c r="S22" i="3" s="1"/>
  <c r="T22" i="3" s="1"/>
  <c r="U22" i="3" s="1"/>
  <c r="R11" i="3"/>
  <c r="S11" i="3" s="1"/>
  <c r="T11" i="3" s="1"/>
  <c r="U11" i="3" s="1"/>
  <c r="R16" i="3"/>
  <c r="S16" i="3" s="1"/>
  <c r="T16" i="3" s="1"/>
  <c r="U16" i="3" s="1"/>
  <c r="R6" i="3"/>
  <c r="S6" i="3" s="1"/>
  <c r="T6" i="3" s="1"/>
  <c r="U6" i="3" s="1"/>
  <c r="R18" i="3"/>
  <c r="S18" i="3" s="1"/>
  <c r="T18" i="3" s="1"/>
  <c r="U18" i="3" s="1"/>
  <c r="R9" i="3"/>
  <c r="S9" i="3" s="1"/>
  <c r="T9" i="3" s="1"/>
  <c r="U9" i="3" s="1"/>
  <c r="R23" i="3"/>
  <c r="S23" i="3" s="1"/>
  <c r="T23" i="3" s="1"/>
  <c r="U23" i="3" s="1"/>
  <c r="R7" i="3"/>
  <c r="S7" i="3" s="1"/>
  <c r="T7" i="3" s="1"/>
  <c r="U7" i="3" s="1"/>
  <c r="R19" i="3"/>
  <c r="S19" i="3" s="1"/>
  <c r="T19" i="3" s="1"/>
  <c r="U19" i="3" s="1"/>
  <c r="R8" i="3"/>
  <c r="S8" i="3" s="1"/>
  <c r="T8" i="3" s="1"/>
  <c r="U8" i="3" s="1"/>
  <c r="R10" i="3"/>
  <c r="S10" i="3" s="1"/>
  <c r="T10" i="3" s="1"/>
  <c r="U10" i="3" s="1"/>
  <c r="R2" i="3"/>
  <c r="S2" i="3" s="1"/>
  <c r="T2" i="3" s="1"/>
  <c r="R3" i="3"/>
  <c r="S3" i="3" s="1"/>
  <c r="T3" i="3" s="1"/>
  <c r="U3" i="3" s="1"/>
  <c r="R12" i="3"/>
  <c r="S12" i="3" s="1"/>
  <c r="T12" i="3" s="1"/>
  <c r="U12" i="3" s="1"/>
  <c r="R24" i="3"/>
  <c r="S24" i="3" s="1"/>
  <c r="T24" i="3" s="1"/>
  <c r="U24" i="3" s="1"/>
  <c r="R13" i="3"/>
  <c r="S13" i="3" s="1"/>
  <c r="T13" i="3" s="1"/>
  <c r="U13" i="3" s="1"/>
  <c r="R25" i="3"/>
  <c r="S25" i="3" s="1"/>
  <c r="T25" i="3" s="1"/>
  <c r="U25" i="3" s="1"/>
  <c r="R14" i="3"/>
  <c r="S14" i="3" s="1"/>
  <c r="T14" i="3" s="1"/>
  <c r="U14" i="3" s="1"/>
  <c r="R15" i="3"/>
  <c r="S15" i="3" s="1"/>
  <c r="T15" i="3" s="1"/>
  <c r="U15" i="3" s="1"/>
  <c r="R4" i="3"/>
  <c r="S4" i="3" s="1"/>
  <c r="T4" i="3" s="1"/>
  <c r="U4" i="3" s="1"/>
  <c r="H26" i="2"/>
  <c r="R10" i="4" l="1"/>
  <c r="S10" i="4" s="1"/>
  <c r="T10" i="4" s="1"/>
  <c r="U10" i="4" s="1"/>
  <c r="R4" i="4"/>
  <c r="S4" i="4" s="1"/>
  <c r="T4" i="4" s="1"/>
  <c r="U4" i="4" s="1"/>
  <c r="R11" i="4"/>
  <c r="S11" i="4" s="1"/>
  <c r="T11" i="4" s="1"/>
  <c r="U11" i="4" s="1"/>
  <c r="R9" i="4"/>
  <c r="S9" i="4" s="1"/>
  <c r="T9" i="4" s="1"/>
  <c r="U9" i="4" s="1"/>
  <c r="R25" i="4"/>
  <c r="S25" i="4" s="1"/>
  <c r="T25" i="4" s="1"/>
  <c r="U25" i="4" s="1"/>
  <c r="R22" i="4"/>
  <c r="S22" i="4" s="1"/>
  <c r="T22" i="4" s="1"/>
  <c r="U22" i="4" s="1"/>
  <c r="R19" i="4"/>
  <c r="S19" i="4" s="1"/>
  <c r="T19" i="4" s="1"/>
  <c r="U19" i="4" s="1"/>
  <c r="R15" i="4"/>
  <c r="S15" i="4" s="1"/>
  <c r="T15" i="4" s="1"/>
  <c r="U15" i="4" s="1"/>
  <c r="R5" i="4"/>
  <c r="S5" i="4" s="1"/>
  <c r="T5" i="4" s="1"/>
  <c r="U5" i="4" s="1"/>
  <c r="R12" i="4"/>
  <c r="S12" i="4" s="1"/>
  <c r="T12" i="4" s="1"/>
  <c r="U12" i="4" s="1"/>
  <c r="R6" i="4"/>
  <c r="S6" i="4" s="1"/>
  <c r="T6" i="4" s="1"/>
  <c r="U6" i="4" s="1"/>
  <c r="R16" i="4"/>
  <c r="S16" i="4" s="1"/>
  <c r="T16" i="4" s="1"/>
  <c r="U16" i="4" s="1"/>
  <c r="R21" i="4"/>
  <c r="S21" i="4" s="1"/>
  <c r="T21" i="4" s="1"/>
  <c r="U21" i="4" s="1"/>
  <c r="R23" i="4"/>
  <c r="S23" i="4" s="1"/>
  <c r="T23" i="4" s="1"/>
  <c r="U23" i="4" s="1"/>
  <c r="R20" i="4"/>
  <c r="S20" i="4" s="1"/>
  <c r="T20" i="4" s="1"/>
  <c r="U20" i="4" s="1"/>
  <c r="R13" i="4"/>
  <c r="S13" i="4" s="1"/>
  <c r="T13" i="4" s="1"/>
  <c r="U13" i="4" s="1"/>
  <c r="R7" i="4"/>
  <c r="S7" i="4" s="1"/>
  <c r="T7" i="4" s="1"/>
  <c r="U7" i="4" s="1"/>
  <c r="R2" i="4"/>
  <c r="R14" i="4"/>
  <c r="S14" i="4" s="1"/>
  <c r="T14" i="4" s="1"/>
  <c r="U14" i="4" s="1"/>
  <c r="R17" i="4"/>
  <c r="S17" i="4" s="1"/>
  <c r="T17" i="4" s="1"/>
  <c r="U17" i="4" s="1"/>
  <c r="R8" i="4"/>
  <c r="S8" i="4" s="1"/>
  <c r="T8" i="4" s="1"/>
  <c r="U8" i="4" s="1"/>
  <c r="R24" i="4"/>
  <c r="S24" i="4" s="1"/>
  <c r="T24" i="4" s="1"/>
  <c r="U24" i="4" s="1"/>
  <c r="R3" i="4"/>
  <c r="S3" i="4" s="1"/>
  <c r="T3" i="4" s="1"/>
  <c r="U3" i="4" s="1"/>
  <c r="R18" i="4"/>
  <c r="S18" i="4" s="1"/>
  <c r="T18" i="4" s="1"/>
  <c r="U18" i="4" s="1"/>
  <c r="T26" i="3"/>
  <c r="U2" i="3"/>
  <c r="U26" i="3" s="1"/>
  <c r="S26" i="3"/>
  <c r="R26" i="3"/>
  <c r="R26" i="4" l="1"/>
  <c r="S2" i="4"/>
  <c r="S26" i="4" l="1"/>
  <c r="T2" i="4"/>
  <c r="T26" i="4" l="1"/>
  <c r="U2" i="4"/>
  <c r="U26" i="4" s="1"/>
</calcChain>
</file>

<file path=xl/sharedStrings.xml><?xml version="1.0" encoding="utf-8"?>
<sst xmlns="http://schemas.openxmlformats.org/spreadsheetml/2006/main" count="270" uniqueCount="69">
  <si>
    <t>Month</t>
  </si>
  <si>
    <t>Jan.</t>
  </si>
  <si>
    <t>Feb</t>
  </si>
  <si>
    <t>Mar.</t>
  </si>
  <si>
    <t>Apr.</t>
  </si>
  <si>
    <t>May.</t>
  </si>
  <si>
    <t>Jun.</t>
  </si>
  <si>
    <t>Jul</t>
  </si>
  <si>
    <t>Aug.</t>
  </si>
  <si>
    <t>Sep.</t>
  </si>
  <si>
    <t>Oct.</t>
  </si>
  <si>
    <t>Nov.</t>
  </si>
  <si>
    <t>Dec.</t>
  </si>
  <si>
    <t>Nis</t>
  </si>
  <si>
    <t>Haz</t>
  </si>
  <si>
    <t>Sum</t>
  </si>
  <si>
    <t>t^2</t>
  </si>
  <si>
    <t>y(demand)</t>
  </si>
  <si>
    <t>t(month)</t>
  </si>
  <si>
    <t>ty</t>
  </si>
  <si>
    <t>b=</t>
  </si>
  <si>
    <t>x̄=</t>
  </si>
  <si>
    <t>ȳ=</t>
  </si>
  <si>
    <t>a=</t>
  </si>
  <si>
    <t>y(t)</t>
  </si>
  <si>
    <t>error</t>
  </si>
  <si>
    <t>MSE</t>
  </si>
  <si>
    <t>-</t>
  </si>
  <si>
    <t>Months</t>
  </si>
  <si>
    <t>Cycle</t>
  </si>
  <si>
    <t>Demand</t>
  </si>
  <si>
    <t>Feb.</t>
  </si>
  <si>
    <t>Year1</t>
  </si>
  <si>
    <t>Year2</t>
  </si>
  <si>
    <t>A. Demand</t>
  </si>
  <si>
    <t>Period</t>
  </si>
  <si>
    <t>M1 01</t>
  </si>
  <si>
    <t>M2 01</t>
  </si>
  <si>
    <t>M1 02</t>
  </si>
  <si>
    <t>M2 02</t>
  </si>
  <si>
    <t>M3 01</t>
  </si>
  <si>
    <t>M4 01</t>
  </si>
  <si>
    <t>M5 01</t>
  </si>
  <si>
    <t>M6 01</t>
  </si>
  <si>
    <t>M7 01</t>
  </si>
  <si>
    <t>M8 01</t>
  </si>
  <si>
    <t>M9 01</t>
  </si>
  <si>
    <t>M10 01</t>
  </si>
  <si>
    <t>M11 01</t>
  </si>
  <si>
    <t>M12 01</t>
  </si>
  <si>
    <t>M3 02</t>
  </si>
  <si>
    <t>M4 02</t>
  </si>
  <si>
    <t>M5 02</t>
  </si>
  <si>
    <t>M6 02</t>
  </si>
  <si>
    <t>M7 02</t>
  </si>
  <si>
    <t>M8 02</t>
  </si>
  <si>
    <t>M9 02</t>
  </si>
  <si>
    <t>M10 02</t>
  </si>
  <si>
    <t>M11 02</t>
  </si>
  <si>
    <t>M12 02</t>
  </si>
  <si>
    <t>Average D.</t>
  </si>
  <si>
    <t>Period Avg.</t>
  </si>
  <si>
    <t>Period Factor</t>
  </si>
  <si>
    <t>Deason Demand(y)</t>
  </si>
  <si>
    <t>X*Y</t>
  </si>
  <si>
    <t>Period in (x)</t>
  </si>
  <si>
    <t>X^2</t>
  </si>
  <si>
    <t>y(x)</t>
  </si>
  <si>
    <t>Seasonal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</si>
</sst>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Arial Tur"/>
      <charset val="16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2" borderId="0" xfId="1"/>
    <xf numFmtId="0" fontId="4" fillId="0" borderId="0" xfId="0" applyFont="1"/>
    <xf numFmtId="0" fontId="0" fillId="0" borderId="0" xfId="0" applyNumberFormat="1"/>
    <xf numFmtId="0" fontId="1" fillId="2" borderId="0" xfId="1" applyNumberFormat="1"/>
    <xf numFmtId="0" fontId="1" fillId="2" borderId="0" xfId="1" applyAlignment="1">
      <alignment horizontal="center"/>
    </xf>
    <xf numFmtId="0" fontId="1" fillId="2" borderId="0" xfId="1" applyNumberFormat="1" applyAlignment="1">
      <alignment horizontal="center"/>
    </xf>
  </cellXfs>
  <cellStyles count="2">
    <cellStyle name="Normal" xfId="0" builtinId="0"/>
    <cellStyle name="Vurgu1" xfId="1" builtinId="29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Lineer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5.509995487916429E-2"/>
          <c:y val="0.11552712913611189"/>
          <c:w val="0.93548897792140406"/>
          <c:h val="0.74856119175579239"/>
        </c:manualLayout>
      </c:layout>
      <c:lineChart>
        <c:grouping val="standard"/>
        <c:varyColors val="0"/>
        <c:ser>
          <c:idx val="0"/>
          <c:order val="0"/>
          <c:tx>
            <c:strRef>
              <c:f>'RA-Table1'!$B$1</c:f>
              <c:strCache>
                <c:ptCount val="1"/>
                <c:pt idx="0">
                  <c:v>y(demand)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'RA-Table1'!$B$2:$B$25</c:f>
              <c:numCache>
                <c:formatCode>General</c:formatCode>
                <c:ptCount val="24"/>
                <c:pt idx="0">
                  <c:v>300</c:v>
                </c:pt>
                <c:pt idx="1">
                  <c:v>350</c:v>
                </c:pt>
                <c:pt idx="2">
                  <c:v>330</c:v>
                </c:pt>
                <c:pt idx="3">
                  <c:v>340</c:v>
                </c:pt>
                <c:pt idx="4">
                  <c:v>390</c:v>
                </c:pt>
                <c:pt idx="5">
                  <c:v>430</c:v>
                </c:pt>
                <c:pt idx="6">
                  <c:v>480</c:v>
                </c:pt>
                <c:pt idx="7">
                  <c:v>460</c:v>
                </c:pt>
                <c:pt idx="8">
                  <c:v>490</c:v>
                </c:pt>
                <c:pt idx="9">
                  <c:v>510</c:v>
                </c:pt>
                <c:pt idx="10">
                  <c:v>550</c:v>
                </c:pt>
                <c:pt idx="11">
                  <c:v>560</c:v>
                </c:pt>
                <c:pt idx="12">
                  <c:v>550</c:v>
                </c:pt>
                <c:pt idx="13">
                  <c:v>590</c:v>
                </c:pt>
                <c:pt idx="14">
                  <c:v>600</c:v>
                </c:pt>
                <c:pt idx="15">
                  <c:v>610</c:v>
                </c:pt>
                <c:pt idx="16">
                  <c:v>630</c:v>
                </c:pt>
                <c:pt idx="17">
                  <c:v>620</c:v>
                </c:pt>
                <c:pt idx="18">
                  <c:v>680</c:v>
                </c:pt>
                <c:pt idx="19">
                  <c:v>690</c:v>
                </c:pt>
                <c:pt idx="20">
                  <c:v>710</c:v>
                </c:pt>
                <c:pt idx="21">
                  <c:v>730</c:v>
                </c:pt>
                <c:pt idx="22">
                  <c:v>740</c:v>
                </c:pt>
                <c:pt idx="23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4-49BF-A568-2554ED5FBE7E}"/>
            </c:ext>
          </c:extLst>
        </c:ser>
        <c:ser>
          <c:idx val="1"/>
          <c:order val="1"/>
          <c:tx>
            <c:strRef>
              <c:f>'RA-Table1'!$F$1</c:f>
              <c:strCache>
                <c:ptCount val="1"/>
                <c:pt idx="0">
                  <c:v>y(t)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'RA-Table1'!$F$2:$F$25</c:f>
              <c:numCache>
                <c:formatCode>General</c:formatCode>
                <c:ptCount val="24"/>
                <c:pt idx="0">
                  <c:v>320.7</c:v>
                </c:pt>
                <c:pt idx="1">
                  <c:v>340.31304347826085</c:v>
                </c:pt>
                <c:pt idx="2">
                  <c:v>359.92608695652171</c:v>
                </c:pt>
                <c:pt idx="3">
                  <c:v>379.53913043478258</c:v>
                </c:pt>
                <c:pt idx="4">
                  <c:v>399.1521739130435</c:v>
                </c:pt>
                <c:pt idx="5">
                  <c:v>418.76521739130436</c:v>
                </c:pt>
                <c:pt idx="6">
                  <c:v>438.37826086956522</c:v>
                </c:pt>
                <c:pt idx="7">
                  <c:v>457.99130434782609</c:v>
                </c:pt>
                <c:pt idx="8">
                  <c:v>477.60434782608695</c:v>
                </c:pt>
                <c:pt idx="9">
                  <c:v>497.21739130434781</c:v>
                </c:pt>
                <c:pt idx="10">
                  <c:v>516.83043478260868</c:v>
                </c:pt>
                <c:pt idx="11">
                  <c:v>536.4434782608696</c:v>
                </c:pt>
                <c:pt idx="12">
                  <c:v>556.0565217391304</c:v>
                </c:pt>
                <c:pt idx="13">
                  <c:v>575.66956521739132</c:v>
                </c:pt>
                <c:pt idx="14">
                  <c:v>595.28260869565224</c:v>
                </c:pt>
                <c:pt idx="15">
                  <c:v>614.89565217391305</c:v>
                </c:pt>
                <c:pt idx="16">
                  <c:v>634.50869565217386</c:v>
                </c:pt>
                <c:pt idx="17">
                  <c:v>654.12173913043478</c:v>
                </c:pt>
                <c:pt idx="18">
                  <c:v>673.7347826086957</c:v>
                </c:pt>
                <c:pt idx="19">
                  <c:v>693.3478260869565</c:v>
                </c:pt>
                <c:pt idx="20">
                  <c:v>712.96086956521742</c:v>
                </c:pt>
                <c:pt idx="21">
                  <c:v>732.57391304347834</c:v>
                </c:pt>
                <c:pt idx="22">
                  <c:v>752.18695652173915</c:v>
                </c:pt>
                <c:pt idx="23">
                  <c:v>771.8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4-49BF-A568-2554ED5FB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722527"/>
        <c:axId val="1025727519"/>
      </c:lineChart>
      <c:catAx>
        <c:axId val="102572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25727519"/>
        <c:crosses val="autoZero"/>
        <c:auto val="1"/>
        <c:lblAlgn val="ctr"/>
        <c:lblOffset val="100"/>
        <c:noMultiLvlLbl val="0"/>
      </c:catAx>
      <c:valAx>
        <c:axId val="10257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2572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'RA-Table2'!$B$2:$B$25</c:f>
              <c:numCache>
                <c:formatCode>General</c:formatCode>
                <c:ptCount val="24"/>
                <c:pt idx="0">
                  <c:v>200</c:v>
                </c:pt>
                <c:pt idx="1">
                  <c:v>300</c:v>
                </c:pt>
                <c:pt idx="2">
                  <c:v>250</c:v>
                </c:pt>
                <c:pt idx="3">
                  <c:v>600</c:v>
                </c:pt>
                <c:pt idx="4">
                  <c:v>650</c:v>
                </c:pt>
                <c:pt idx="5">
                  <c:v>670</c:v>
                </c:pt>
                <c:pt idx="6">
                  <c:v>400</c:v>
                </c:pt>
                <c:pt idx="7">
                  <c:v>440</c:v>
                </c:pt>
                <c:pt idx="8">
                  <c:v>430</c:v>
                </c:pt>
                <c:pt idx="9">
                  <c:v>900</c:v>
                </c:pt>
                <c:pt idx="10">
                  <c:v>980</c:v>
                </c:pt>
                <c:pt idx="11">
                  <c:v>990</c:v>
                </c:pt>
                <c:pt idx="12">
                  <c:v>300</c:v>
                </c:pt>
                <c:pt idx="13">
                  <c:v>370</c:v>
                </c:pt>
                <c:pt idx="14">
                  <c:v>380</c:v>
                </c:pt>
                <c:pt idx="15">
                  <c:v>710</c:v>
                </c:pt>
                <c:pt idx="16">
                  <c:v>730</c:v>
                </c:pt>
                <c:pt idx="17">
                  <c:v>790</c:v>
                </c:pt>
                <c:pt idx="18">
                  <c:v>450</c:v>
                </c:pt>
                <c:pt idx="19">
                  <c:v>480</c:v>
                </c:pt>
                <c:pt idx="20">
                  <c:v>490</c:v>
                </c:pt>
                <c:pt idx="21">
                  <c:v>930</c:v>
                </c:pt>
                <c:pt idx="22">
                  <c:v>960</c:v>
                </c:pt>
                <c:pt idx="23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5-4549-81B0-5A64BBC515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'RA-Table2'!$F$2:$F$25</c:f>
              <c:numCache>
                <c:formatCode>General</c:formatCode>
                <c:ptCount val="24"/>
                <c:pt idx="0">
                  <c:v>393.26666666666665</c:v>
                </c:pt>
                <c:pt idx="1">
                  <c:v>411.17101449275361</c:v>
                </c:pt>
                <c:pt idx="2">
                  <c:v>429.07536231884058</c:v>
                </c:pt>
                <c:pt idx="3">
                  <c:v>446.97971014492748</c:v>
                </c:pt>
                <c:pt idx="4">
                  <c:v>464.8840579710145</c:v>
                </c:pt>
                <c:pt idx="5">
                  <c:v>482.7884057971014</c:v>
                </c:pt>
                <c:pt idx="6">
                  <c:v>500.69275362318837</c:v>
                </c:pt>
                <c:pt idx="7">
                  <c:v>518.59710144927533</c:v>
                </c:pt>
                <c:pt idx="8">
                  <c:v>536.50144927536235</c:v>
                </c:pt>
                <c:pt idx="9">
                  <c:v>554.40579710144925</c:v>
                </c:pt>
                <c:pt idx="10">
                  <c:v>572.31014492753616</c:v>
                </c:pt>
                <c:pt idx="11">
                  <c:v>590.21449275362318</c:v>
                </c:pt>
                <c:pt idx="12">
                  <c:v>608.11884057971008</c:v>
                </c:pt>
                <c:pt idx="13">
                  <c:v>626.0231884057971</c:v>
                </c:pt>
                <c:pt idx="14">
                  <c:v>643.92753623188401</c:v>
                </c:pt>
                <c:pt idx="15">
                  <c:v>661.83188405797091</c:v>
                </c:pt>
                <c:pt idx="16">
                  <c:v>679.73623188405793</c:v>
                </c:pt>
                <c:pt idx="17">
                  <c:v>697.64057971014495</c:v>
                </c:pt>
                <c:pt idx="18">
                  <c:v>715.54492753623185</c:v>
                </c:pt>
                <c:pt idx="19">
                  <c:v>733.44927536231876</c:v>
                </c:pt>
                <c:pt idx="20">
                  <c:v>751.35362318840566</c:v>
                </c:pt>
                <c:pt idx="21">
                  <c:v>769.25797101449268</c:v>
                </c:pt>
                <c:pt idx="22">
                  <c:v>787.1623188405797</c:v>
                </c:pt>
                <c:pt idx="23">
                  <c:v>805.06666666666661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5-4549-81B0-5A64BBC51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437839"/>
        <c:axId val="1530443247"/>
      </c:lineChart>
      <c:catAx>
        <c:axId val="15304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30443247"/>
        <c:crosses val="autoZero"/>
        <c:auto val="1"/>
        <c:lblAlgn val="ctr"/>
        <c:lblOffset val="100"/>
        <c:noMultiLvlLbl val="0"/>
      </c:catAx>
      <c:valAx>
        <c:axId val="15304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304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'DRA-Table1'!$K$1</c:f>
              <c:strCache>
                <c:ptCount val="1"/>
                <c:pt idx="0">
                  <c:v>A.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'DRA-Table1'!$K$2:$K$25</c:f>
              <c:numCache>
                <c:formatCode>General</c:formatCode>
                <c:ptCount val="24"/>
                <c:pt idx="0">
                  <c:v>300</c:v>
                </c:pt>
                <c:pt idx="1">
                  <c:v>350</c:v>
                </c:pt>
                <c:pt idx="2">
                  <c:v>330</c:v>
                </c:pt>
                <c:pt idx="3">
                  <c:v>340</c:v>
                </c:pt>
                <c:pt idx="4">
                  <c:v>390</c:v>
                </c:pt>
                <c:pt idx="5">
                  <c:v>430</c:v>
                </c:pt>
                <c:pt idx="6">
                  <c:v>480</c:v>
                </c:pt>
                <c:pt idx="7">
                  <c:v>460</c:v>
                </c:pt>
                <c:pt idx="8">
                  <c:v>490</c:v>
                </c:pt>
                <c:pt idx="9">
                  <c:v>510</c:v>
                </c:pt>
                <c:pt idx="10">
                  <c:v>550</c:v>
                </c:pt>
                <c:pt idx="11">
                  <c:v>560</c:v>
                </c:pt>
                <c:pt idx="12">
                  <c:v>550</c:v>
                </c:pt>
                <c:pt idx="13">
                  <c:v>590</c:v>
                </c:pt>
                <c:pt idx="14">
                  <c:v>600</c:v>
                </c:pt>
                <c:pt idx="15">
                  <c:v>610</c:v>
                </c:pt>
                <c:pt idx="16">
                  <c:v>630</c:v>
                </c:pt>
                <c:pt idx="17">
                  <c:v>620</c:v>
                </c:pt>
                <c:pt idx="18">
                  <c:v>680</c:v>
                </c:pt>
                <c:pt idx="19">
                  <c:v>690</c:v>
                </c:pt>
                <c:pt idx="20">
                  <c:v>710</c:v>
                </c:pt>
                <c:pt idx="21">
                  <c:v>730</c:v>
                </c:pt>
                <c:pt idx="22">
                  <c:v>740</c:v>
                </c:pt>
                <c:pt idx="23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6-4827-B206-B71C5F0D0FE6}"/>
            </c:ext>
          </c:extLst>
        </c:ser>
        <c:ser>
          <c:idx val="1"/>
          <c:order val="1"/>
          <c:tx>
            <c:strRef>
              <c:f>'DRA-Table1'!$S$1</c:f>
              <c:strCache>
                <c:ptCount val="1"/>
                <c:pt idx="0">
                  <c:v>Seasonal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'DRA-Table1'!$S$2:$S$25</c:f>
              <c:numCache>
                <c:formatCode>General</c:formatCode>
                <c:ptCount val="24"/>
                <c:pt idx="0">
                  <c:v>293.49321348970165</c:v>
                </c:pt>
                <c:pt idx="1">
                  <c:v>337.21514241875758</c:v>
                </c:pt>
                <c:pt idx="2">
                  <c:v>346.13939040220095</c:v>
                </c:pt>
                <c:pt idx="3">
                  <c:v>366.36395896975353</c:v>
                </c:pt>
                <c:pt idx="4">
                  <c:v>407.08164533976651</c:v>
                </c:pt>
                <c:pt idx="5">
                  <c:v>433.18068358743875</c:v>
                </c:pt>
                <c:pt idx="6">
                  <c:v>494.16743755133467</c:v>
                </c:pt>
                <c:pt idx="7">
                  <c:v>505.37876008278329</c:v>
                </c:pt>
                <c:pt idx="8">
                  <c:v>543.49580528457773</c:v>
                </c:pt>
                <c:pt idx="9">
                  <c:v>578.29452294814064</c:v>
                </c:pt>
                <c:pt idx="10">
                  <c:v>618.96771029182344</c:v>
                </c:pt>
                <c:pt idx="11">
                  <c:v>656.05350250339154</c:v>
                </c:pt>
                <c:pt idx="12">
                  <c:v>430.71768637001304</c:v>
                </c:pt>
                <c:pt idx="13">
                  <c:v>488.96926536874901</c:v>
                </c:pt>
                <c:pt idx="14">
                  <c:v>496.27910778889458</c:v>
                </c:pt>
                <c:pt idx="15">
                  <c:v>519.73248748304275</c:v>
                </c:pt>
                <c:pt idx="16">
                  <c:v>571.75101279614023</c:v>
                </c:pt>
                <c:pt idx="17">
                  <c:v>602.69326773370574</c:v>
                </c:pt>
                <c:pt idx="18">
                  <c:v>681.43848289387745</c:v>
                </c:pt>
                <c:pt idx="19">
                  <c:v>691.03539986202816</c:v>
                </c:pt>
                <c:pt idx="20">
                  <c:v>737.22447288031151</c:v>
                </c:pt>
                <c:pt idx="21">
                  <c:v>778.48081279706571</c:v>
                </c:pt>
                <c:pt idx="22">
                  <c:v>827.22602795723719</c:v>
                </c:pt>
                <c:pt idx="23">
                  <c:v>870.76944242199647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6-4827-B206-B71C5F0D0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304623"/>
        <c:axId val="1523305871"/>
      </c:lineChart>
      <c:catAx>
        <c:axId val="152330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3305871"/>
        <c:crosses val="autoZero"/>
        <c:auto val="1"/>
        <c:lblAlgn val="ctr"/>
        <c:lblOffset val="100"/>
        <c:noMultiLvlLbl val="0"/>
      </c:catAx>
      <c:valAx>
        <c:axId val="15233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330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'DRA-Table2'!$K$2:$K$25</c:f>
              <c:numCache>
                <c:formatCode>General</c:formatCode>
                <c:ptCount val="24"/>
                <c:pt idx="0">
                  <c:v>200</c:v>
                </c:pt>
                <c:pt idx="1">
                  <c:v>300</c:v>
                </c:pt>
                <c:pt idx="2">
                  <c:v>250</c:v>
                </c:pt>
                <c:pt idx="3">
                  <c:v>600</c:v>
                </c:pt>
                <c:pt idx="4">
                  <c:v>650</c:v>
                </c:pt>
                <c:pt idx="5">
                  <c:v>670</c:v>
                </c:pt>
                <c:pt idx="6">
                  <c:v>400</c:v>
                </c:pt>
                <c:pt idx="7">
                  <c:v>440</c:v>
                </c:pt>
                <c:pt idx="8">
                  <c:v>430</c:v>
                </c:pt>
                <c:pt idx="9">
                  <c:v>900</c:v>
                </c:pt>
                <c:pt idx="10">
                  <c:v>980</c:v>
                </c:pt>
                <c:pt idx="11">
                  <c:v>990</c:v>
                </c:pt>
                <c:pt idx="12">
                  <c:v>300</c:v>
                </c:pt>
                <c:pt idx="13">
                  <c:v>370</c:v>
                </c:pt>
                <c:pt idx="14">
                  <c:v>380</c:v>
                </c:pt>
                <c:pt idx="15">
                  <c:v>710</c:v>
                </c:pt>
                <c:pt idx="16">
                  <c:v>730</c:v>
                </c:pt>
                <c:pt idx="17">
                  <c:v>790</c:v>
                </c:pt>
                <c:pt idx="18">
                  <c:v>450</c:v>
                </c:pt>
                <c:pt idx="19">
                  <c:v>480</c:v>
                </c:pt>
                <c:pt idx="20">
                  <c:v>490</c:v>
                </c:pt>
                <c:pt idx="21">
                  <c:v>930</c:v>
                </c:pt>
                <c:pt idx="22">
                  <c:v>960</c:v>
                </c:pt>
                <c:pt idx="23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4-4296-9B25-787CA4F8D5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'DRA-Table2'!$S$2:$S$25</c:f>
              <c:numCache>
                <c:formatCode>General</c:formatCode>
                <c:ptCount val="24"/>
                <c:pt idx="0">
                  <c:v>222.89541151062505</c:v>
                </c:pt>
                <c:pt idx="1">
                  <c:v>301.83812521343435</c:v>
                </c:pt>
                <c:pt idx="2">
                  <c:v>286.78765876366799</c:v>
                </c:pt>
                <c:pt idx="3">
                  <c:v>602.51137516014091</c:v>
                </c:pt>
                <c:pt idx="4">
                  <c:v>641.21174071912515</c:v>
                </c:pt>
                <c:pt idx="5">
                  <c:v>685.26564438884043</c:v>
                </c:pt>
                <c:pt idx="6">
                  <c:v>402.96279109776913</c:v>
                </c:pt>
                <c:pt idx="7">
                  <c:v>440.48469628765008</c:v>
                </c:pt>
                <c:pt idx="8">
                  <c:v>444.82143044595006</c:v>
                </c:pt>
                <c:pt idx="9">
                  <c:v>893.43417524541053</c:v>
                </c:pt>
                <c:pt idx="10">
                  <c:v>956.28272130363803</c:v>
                </c:pt>
                <c:pt idx="11">
                  <c:v>980.35686614573308</c:v>
                </c:pt>
                <c:pt idx="12">
                  <c:v>251.17846036910328</c:v>
                </c:pt>
                <c:pt idx="13">
                  <c:v>339.73741068379508</c:v>
                </c:pt>
                <c:pt idx="14">
                  <c:v>322.42430032535054</c:v>
                </c:pt>
                <c:pt idx="15">
                  <c:v>676.61296316935375</c:v>
                </c:pt>
                <c:pt idx="16">
                  <c:v>719.27295556852505</c:v>
                </c:pt>
                <c:pt idx="17">
                  <c:v>767.85214705559667</c:v>
                </c:pt>
                <c:pt idx="18">
                  <c:v>451.04397415718205</c:v>
                </c:pt>
                <c:pt idx="19">
                  <c:v>492.5255061872499</c:v>
                </c:pt>
                <c:pt idx="20">
                  <c:v>496.86224034554994</c:v>
                </c:pt>
                <c:pt idx="21">
                  <c:v>996.95013406744056</c:v>
                </c:pt>
                <c:pt idx="22">
                  <c:v>1066.0209508745334</c:v>
                </c:pt>
                <c:pt idx="23">
                  <c:v>1091.7920786481372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4-4296-9B25-787CA4F8D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264015"/>
        <c:axId val="1422267343"/>
      </c:lineChart>
      <c:catAx>
        <c:axId val="14222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22267343"/>
        <c:crosses val="autoZero"/>
        <c:auto val="1"/>
        <c:lblAlgn val="ctr"/>
        <c:lblOffset val="100"/>
        <c:noMultiLvlLbl val="0"/>
      </c:catAx>
      <c:valAx>
        <c:axId val="14222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222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457200</xdr:colOff>
      <xdr:row>19</xdr:row>
      <xdr:rowOff>204787</xdr:rowOff>
    </xdr:from>
    <xdr:ext cx="65" cy="172227"/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BFCBE7EF-514B-4CDA-90A4-E0B548FEFA53}"/>
            </a:ext>
          </a:extLst>
        </xdr:cNvPr>
        <xdr:cNvSpPr txBox="1"/>
      </xdr:nvSpPr>
      <xdr:spPr>
        <a:xfrm>
          <a:off x="8458200" y="3824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12</xdr:col>
      <xdr:colOff>457200</xdr:colOff>
      <xdr:row>19</xdr:row>
      <xdr:rowOff>204787</xdr:rowOff>
    </xdr:from>
    <xdr:ext cx="65" cy="172227"/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9FF346DE-07C7-4BC0-ADD4-03A8DD2A6D69}"/>
            </a:ext>
          </a:extLst>
        </xdr:cNvPr>
        <xdr:cNvSpPr txBox="1"/>
      </xdr:nvSpPr>
      <xdr:spPr>
        <a:xfrm>
          <a:off x="8458200" y="3824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twoCellAnchor>
    <xdr:from>
      <xdr:col>11</xdr:col>
      <xdr:colOff>33617</xdr:colOff>
      <xdr:row>1</xdr:row>
      <xdr:rowOff>152400</xdr:rowOff>
    </xdr:from>
    <xdr:to>
      <xdr:col>23</xdr:col>
      <xdr:colOff>500342</xdr:colOff>
      <xdr:row>24</xdr:row>
      <xdr:rowOff>133349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68429795-73B2-434E-B61F-E46F89C8C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1</xdr:row>
      <xdr:rowOff>4761</xdr:rowOff>
    </xdr:from>
    <xdr:to>
      <xdr:col>19</xdr:col>
      <xdr:colOff>514349</xdr:colOff>
      <xdr:row>24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60D5282-12CA-4AE3-9ED6-8A606B7EB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21</xdr:row>
      <xdr:rowOff>157162</xdr:rowOff>
    </xdr:from>
    <xdr:to>
      <xdr:col>8</xdr:col>
      <xdr:colOff>428625</xdr:colOff>
      <xdr:row>38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AFD64EB-2277-406A-A110-2F2D8E3A8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31</xdr:row>
      <xdr:rowOff>185737</xdr:rowOff>
    </xdr:from>
    <xdr:to>
      <xdr:col>8</xdr:col>
      <xdr:colOff>390524</xdr:colOff>
      <xdr:row>50</xdr:row>
      <xdr:rowOff>28575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603526C-0DA7-43E0-8C9B-905B3C321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413545-0761-4D0A-B1C0-FCA2E8C7D42C}" name="Tablo1" displayName="Tablo1" ref="A1:H26" totalsRowShown="0">
  <autoFilter ref="A1:H26" xr:uid="{73413545-0761-4D0A-B1C0-FCA2E8C7D42C}"/>
  <tableColumns count="8">
    <tableColumn id="1" xr3:uid="{4A17313B-FAAA-4A61-86C4-D3662F98868E}" name="Month"/>
    <tableColumn id="2" xr3:uid="{6689CE65-9524-47FC-98EE-7BEBB04889C4}" name="y(demand)"/>
    <tableColumn id="3" xr3:uid="{5E34BF6F-AEEA-4F7F-A400-7A3B85BE319A}" name="t(month)"/>
    <tableColumn id="4" xr3:uid="{0B565EF6-3D4A-42EA-AD11-06CE77F9FDE6}" name="t^2" dataDxfId="25">
      <calculatedColumnFormula>C2^2</calculatedColumnFormula>
    </tableColumn>
    <tableColumn id="5" xr3:uid="{F5E8AF27-7BE4-49A2-AF49-594133332E50}" name="ty" dataDxfId="24">
      <calculatedColumnFormula>Tablo1[[#This Row],[y(demand)]]*Tablo1[[#This Row],[t(month)]]</calculatedColumnFormula>
    </tableColumn>
    <tableColumn id="6" xr3:uid="{0570CBF7-2AE7-4424-BE5B-5EE1452B5288}" name="y(t)" dataDxfId="23">
      <calculatedColumnFormula>D$32+D$33*Tablo1[[#This Row],[t(month)]]</calculatedColumnFormula>
    </tableColumn>
    <tableColumn id="7" xr3:uid="{CE800FB3-3594-40CF-99C8-6B3BFE8B3D00}" name="error" dataDxfId="22">
      <calculatedColumnFormula>Tablo1[[#This Row],[y(t)]]-Tablo1[[#This Row],[y(demand)]]</calculatedColumnFormula>
    </tableColumn>
    <tableColumn id="8" xr3:uid="{1FE27501-C048-4A46-9519-FDD7677C4962}" name="MSE" dataDxfId="21">
      <calculatedColumnFormula>Tablo1[[#This Row],[error]]^2/C$25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7C2AE3-6519-4BA0-8893-FBB8A5503D48}" name="Tablo13" displayName="Tablo13" ref="A1:H25" totalsRowShown="0">
  <autoFilter ref="A1:H25" xr:uid="{647C2AE3-6519-4BA0-8893-FBB8A5503D48}"/>
  <tableColumns count="8">
    <tableColumn id="1" xr3:uid="{4240478C-FBDC-407C-9D77-EBF552CDA98E}" name="Month"/>
    <tableColumn id="2" xr3:uid="{53BA4987-04F9-4239-AC87-D16EB3BF227B}" name="y(demand)"/>
    <tableColumn id="3" xr3:uid="{C6F3E310-F416-4290-937C-475360136E60}" name="t(month)"/>
    <tableColumn id="4" xr3:uid="{300044B8-B5D7-4E65-A8C0-1519A356052E}" name="t^2" dataDxfId="20">
      <calculatedColumnFormula>C2^2</calculatedColumnFormula>
    </tableColumn>
    <tableColumn id="5" xr3:uid="{DED2327F-810A-477E-A6D9-8D38A79BDFCF}" name="ty" dataDxfId="19">
      <calculatedColumnFormula>Tablo13[[#This Row],[y(demand)]]*Tablo13[[#This Row],[t(month)]]</calculatedColumnFormula>
    </tableColumn>
    <tableColumn id="6" xr3:uid="{63DAB93C-D1E2-4135-94BB-DCD15991F13D}" name="y(t)" dataDxfId="18">
      <calculatedColumnFormula>D$32+D$33*Tablo13[[#This Row],[t(month)]]</calculatedColumnFormula>
    </tableColumn>
    <tableColumn id="7" xr3:uid="{56322C20-3ECD-44D0-A6CD-37C9CB4D7C35}" name="error" dataDxfId="17">
      <calculatedColumnFormula>Tablo13[[#This Row],[y(t)]]-Tablo13[[#This Row],[y(demand)]]</calculatedColumnFormula>
    </tableColumn>
    <tableColumn id="8" xr3:uid="{131E8532-6664-4B4F-9FBB-C83A21AE3EC6}" name="MSE" dataDxfId="16">
      <calculatedColumnFormula>Tablo13[[#This Row],[error]]^2/C$25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C0409A-0A12-4540-A05A-3031F6BAC990}" name="Tablo4" displayName="Tablo4" ref="J1:U25" totalsRowShown="0">
  <autoFilter ref="J1:U25" xr:uid="{25C0409A-0A12-4540-A05A-3031F6BAC990}"/>
  <tableColumns count="12">
    <tableColumn id="1" xr3:uid="{AEB4F385-64A8-43AC-9DED-FF2F44964B31}" name="Period"/>
    <tableColumn id="2" xr3:uid="{B2F8DD0B-392C-4587-94AC-DCF7D789FBA6}" name="A. Demand"/>
    <tableColumn id="3" xr3:uid="{59C0A974-7F30-4FA7-8062-E5BE447EBF7D}" name="Period Avg."/>
    <tableColumn id="4" xr3:uid="{9FA8EC5B-9532-463F-A773-AAC55697B8E5}" name="Period Factor" dataDxfId="15">
      <calculatedColumnFormula>Tablo4[[#This Row],[Period Avg.]]/(K$26/24)</calculatedColumnFormula>
    </tableColumn>
    <tableColumn id="5" xr3:uid="{B885F3BB-DC8B-4AA0-A97D-AB3543009630}" name="Deason Demand(y)" dataDxfId="14">
      <calculatedColumnFormula>Tablo4[[#This Row],[A. Demand]]/Tablo4[[#This Row],[Period Factor]]</calculatedColumnFormula>
    </tableColumn>
    <tableColumn id="6" xr3:uid="{CA25B97C-3B3B-46A6-A36C-6D4FEC442777}" name="Period in (x)"/>
    <tableColumn id="7" xr3:uid="{234B0295-7598-4E59-B118-61A2B1230A91}" name="X*Y" dataDxfId="13">
      <calculatedColumnFormula>Tablo4[[#This Row],[Deason Demand(y)]]*Tablo4[[#This Row],[Period in (x)]]</calculatedColumnFormula>
    </tableColumn>
    <tableColumn id="8" xr3:uid="{CBE62989-BAE0-4ED1-AE3F-71A02672A603}" name="X^2" dataDxfId="12">
      <calculatedColumnFormula>Tablo4[[#This Row],[Period in (x)]]^2</calculatedColumnFormula>
    </tableColumn>
    <tableColumn id="9" xr3:uid="{A8E1007D-E5FB-4C21-9DC0-E43E4B4AC98A}" name="y(x)" dataDxfId="11">
      <calculatedColumnFormula>D$18+D$19*Tablo4[[#This Row],[Period in (x)]]</calculatedColumnFormula>
    </tableColumn>
    <tableColumn id="10" xr3:uid="{8BA6932E-1AC3-4DC8-9F0E-5ACD1D0CBF41}" name="Seasonal Regression" dataDxfId="10">
      <calculatedColumnFormula>Tablo4[[#This Row],[y(x)]]*Tablo4[[#This Row],[Period Factor]]</calculatedColumnFormula>
    </tableColumn>
    <tableColumn id="11" xr3:uid="{7C301C85-D7A2-483C-B2A6-2F1AF1FFD8AA}" name="error" dataDxfId="9">
      <calculatedColumnFormula>Tablo4[[#This Row],[Seasonal Regression]]-Tablo4[[#This Row],[A. Demand]]</calculatedColumnFormula>
    </tableColumn>
    <tableColumn id="12" xr3:uid="{7F2691FA-7237-42C6-BD6D-5B5863B4EBA2}" name="MSE" dataDxfId="8">
      <calculatedColumnFormula>Tablo4[[#This Row],[error]]^2/O$25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D372C1-064D-4A53-BA25-353703D48DA4}" name="Tablo44" displayName="Tablo44" ref="J1:U25" totalsRowShown="0">
  <autoFilter ref="J1:U25" xr:uid="{A3D372C1-064D-4A53-BA25-353703D48DA4}"/>
  <tableColumns count="12">
    <tableColumn id="1" xr3:uid="{6F0120FE-14EF-4169-AAA5-FFA2084A948A}" name="Period"/>
    <tableColumn id="2" xr3:uid="{B7EB0ED4-91D3-4A39-B76E-7AB1A08E04E9}" name="A. Demand"/>
    <tableColumn id="3" xr3:uid="{CA18458B-25E5-4189-A578-65B3F81B69C4}" name="Period Avg."/>
    <tableColumn id="4" xr3:uid="{7B7317F8-E8EA-4709-94ED-4BA96963B350}" name="Period Factor" dataDxfId="7">
      <calculatedColumnFormula>Tablo44[[#This Row],[Period Avg.]]/(K$26/24)</calculatedColumnFormula>
    </tableColumn>
    <tableColumn id="5" xr3:uid="{E7F142BD-BC91-412E-89D5-B873938B4122}" name="Deason Demand(y)" dataDxfId="6">
      <calculatedColumnFormula>Tablo44[[#This Row],[A. Demand]]/Tablo44[[#This Row],[Period Factor]]</calculatedColumnFormula>
    </tableColumn>
    <tableColumn id="6" xr3:uid="{D001D1F8-8275-43E3-AEFC-77155F8A947A}" name="Period in (x)"/>
    <tableColumn id="7" xr3:uid="{D9D21C60-B7D5-4691-8228-5DEFDC2DCBF3}" name="X*Y" dataDxfId="5">
      <calculatedColumnFormula>Tablo44[[#This Row],[Deason Demand(y)]]*Tablo44[[#This Row],[Period in (x)]]</calculatedColumnFormula>
    </tableColumn>
    <tableColumn id="8" xr3:uid="{F0B27DE9-A273-4BDA-B748-7341D92589EE}" name="X^2" dataDxfId="4">
      <calculatedColumnFormula>Tablo44[[#This Row],[Period in (x)]]^2</calculatedColumnFormula>
    </tableColumn>
    <tableColumn id="9" xr3:uid="{082116C9-E501-4A72-8CAD-138FF2B5AF42}" name="y(x)" dataDxfId="3">
      <calculatedColumnFormula>D$26+D$27*Tablo44[[#This Row],[Period in (x)]]</calculatedColumnFormula>
    </tableColumn>
    <tableColumn id="10" xr3:uid="{821F87BD-C750-431E-B042-331D89FD9DE6}" name="Seasonal Regression" dataDxfId="2">
      <calculatedColumnFormula>Tablo44[[#This Row],[y(x)]]*Tablo44[[#This Row],[Period Factor]]</calculatedColumnFormula>
    </tableColumn>
    <tableColumn id="11" xr3:uid="{FFF4CA83-F2DA-4B12-9A52-0AD70267B2A5}" name="error" dataDxfId="1">
      <calculatedColumnFormula>Tablo44[[#This Row],[Seasonal Regression]]-Tablo44[[#This Row],[A. Demand]]</calculatedColumnFormula>
    </tableColumn>
    <tableColumn id="12" xr3:uid="{0DF7326C-9554-4B24-B40A-BE5E105428BC}" name="MSE" dataDxfId="0">
      <calculatedColumnFormula>Tablo44[[#This Row],[error]]^2/O$25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A1:R33"/>
  <sheetViews>
    <sheetView zoomScaleNormal="100" workbookViewId="0">
      <selection activeCell="J25" sqref="J25"/>
    </sheetView>
  </sheetViews>
  <sheetFormatPr defaultRowHeight="15" x14ac:dyDescent="0.25"/>
  <cols>
    <col min="2" max="3" width="14.28515625" bestFit="1" customWidth="1"/>
  </cols>
  <sheetData>
    <row r="1" spans="1:8" x14ac:dyDescent="0.25">
      <c r="A1" t="s">
        <v>0</v>
      </c>
      <c r="B1" t="s">
        <v>17</v>
      </c>
      <c r="C1" t="s">
        <v>18</v>
      </c>
      <c r="D1" t="s">
        <v>16</v>
      </c>
      <c r="E1" t="s">
        <v>19</v>
      </c>
      <c r="F1" t="s">
        <v>24</v>
      </c>
      <c r="G1" t="s">
        <v>25</v>
      </c>
      <c r="H1" t="s">
        <v>26</v>
      </c>
    </row>
    <row r="2" spans="1:8" x14ac:dyDescent="0.25">
      <c r="A2" t="s">
        <v>1</v>
      </c>
      <c r="B2">
        <v>300</v>
      </c>
      <c r="C2">
        <v>1</v>
      </c>
      <c r="D2">
        <f t="shared" ref="D2:D25" si="0">C2^2</f>
        <v>1</v>
      </c>
      <c r="E2">
        <f>Tablo1[[#This Row],[y(demand)]]*Tablo1[[#This Row],[t(month)]]</f>
        <v>300</v>
      </c>
      <c r="F2">
        <f>D$32+D$33*Tablo1[[#This Row],[t(month)]]</f>
        <v>320.7</v>
      </c>
      <c r="G2" s="4">
        <f>Tablo1[[#This Row],[y(t)]]-Tablo1[[#This Row],[y(demand)]]</f>
        <v>20.699999999999989</v>
      </c>
      <c r="H2" s="4">
        <f>Tablo1[[#This Row],[error]]^2/C$25</f>
        <v>17.85374999999998</v>
      </c>
    </row>
    <row r="3" spans="1:8" x14ac:dyDescent="0.25">
      <c r="A3" t="s">
        <v>2</v>
      </c>
      <c r="B3">
        <v>350</v>
      </c>
      <c r="C3">
        <v>2</v>
      </c>
      <c r="D3">
        <f t="shared" si="0"/>
        <v>4</v>
      </c>
      <c r="E3">
        <f>Tablo1[[#This Row],[y(demand)]]*Tablo1[[#This Row],[t(month)]]</f>
        <v>700</v>
      </c>
      <c r="F3">
        <f>D$32+D$33*Tablo1[[#This Row],[t(month)]]</f>
        <v>340.31304347826085</v>
      </c>
      <c r="G3" s="4">
        <f>Tablo1[[#This Row],[y(t)]]-Tablo1[[#This Row],[y(demand)]]</f>
        <v>-9.6869565217391482</v>
      </c>
      <c r="H3" s="4">
        <f>Tablo1[[#This Row],[error]]^2/C$25</f>
        <v>3.9098802772526926</v>
      </c>
    </row>
    <row r="4" spans="1:8" x14ac:dyDescent="0.25">
      <c r="A4" t="s">
        <v>3</v>
      </c>
      <c r="B4">
        <v>330</v>
      </c>
      <c r="C4">
        <v>3</v>
      </c>
      <c r="D4">
        <f t="shared" si="0"/>
        <v>9</v>
      </c>
      <c r="E4">
        <f>Tablo1[[#This Row],[y(demand)]]*Tablo1[[#This Row],[t(month)]]</f>
        <v>990</v>
      </c>
      <c r="F4">
        <f>D$32+D$33*Tablo1[[#This Row],[t(month)]]</f>
        <v>359.92608695652171</v>
      </c>
      <c r="G4" s="4">
        <f>Tablo1[[#This Row],[y(t)]]-Tablo1[[#This Row],[y(demand)]]</f>
        <v>29.926086956521715</v>
      </c>
      <c r="H4" s="4">
        <f>Tablo1[[#This Row],[error]]^2/C$25</f>
        <v>37.315445022054128</v>
      </c>
    </row>
    <row r="5" spans="1:8" x14ac:dyDescent="0.25">
      <c r="A5" t="s">
        <v>4</v>
      </c>
      <c r="B5">
        <v>340</v>
      </c>
      <c r="C5">
        <v>4</v>
      </c>
      <c r="D5">
        <f t="shared" si="0"/>
        <v>16</v>
      </c>
      <c r="E5">
        <f>Tablo1[[#This Row],[y(demand)]]*Tablo1[[#This Row],[t(month)]]</f>
        <v>1360</v>
      </c>
      <c r="F5">
        <f>D$32+D$33*Tablo1[[#This Row],[t(month)]]</f>
        <v>379.53913043478258</v>
      </c>
      <c r="G5" s="4">
        <f>Tablo1[[#This Row],[y(t)]]-Tablo1[[#This Row],[y(demand)]]</f>
        <v>39.539130434782578</v>
      </c>
      <c r="H5" s="4">
        <f>Tablo1[[#This Row],[error]]^2/C$25</f>
        <v>65.139284814114589</v>
      </c>
    </row>
    <row r="6" spans="1:8" x14ac:dyDescent="0.25">
      <c r="A6" t="s">
        <v>5</v>
      </c>
      <c r="B6">
        <v>390</v>
      </c>
      <c r="C6">
        <v>5</v>
      </c>
      <c r="D6">
        <f t="shared" si="0"/>
        <v>25</v>
      </c>
      <c r="E6">
        <f>Tablo1[[#This Row],[y(demand)]]*Tablo1[[#This Row],[t(month)]]</f>
        <v>1950</v>
      </c>
      <c r="F6">
        <f>D$32+D$33*Tablo1[[#This Row],[t(month)]]</f>
        <v>399.1521739130435</v>
      </c>
      <c r="G6" s="4">
        <f>Tablo1[[#This Row],[y(t)]]-Tablo1[[#This Row],[y(demand)]]</f>
        <v>9.152173913043498</v>
      </c>
      <c r="H6" s="4">
        <f>Tablo1[[#This Row],[error]]^2/C$25</f>
        <v>3.4900953056080808</v>
      </c>
    </row>
    <row r="7" spans="1:8" x14ac:dyDescent="0.25">
      <c r="A7" t="s">
        <v>6</v>
      </c>
      <c r="B7">
        <v>430</v>
      </c>
      <c r="C7">
        <v>6</v>
      </c>
      <c r="D7">
        <f t="shared" si="0"/>
        <v>36</v>
      </c>
      <c r="E7">
        <f>Tablo1[[#This Row],[y(demand)]]*Tablo1[[#This Row],[t(month)]]</f>
        <v>2580</v>
      </c>
      <c r="F7">
        <f>D$32+D$33*Tablo1[[#This Row],[t(month)]]</f>
        <v>418.76521739130436</v>
      </c>
      <c r="G7" s="4">
        <f>Tablo1[[#This Row],[y(t)]]-Tablo1[[#This Row],[y(demand)]]</f>
        <v>-11.234782608695639</v>
      </c>
      <c r="H7" s="4">
        <f>Tablo1[[#This Row],[error]]^2/C$25</f>
        <v>5.259180844360416</v>
      </c>
    </row>
    <row r="8" spans="1:8" x14ac:dyDescent="0.25">
      <c r="A8" t="s">
        <v>7</v>
      </c>
      <c r="B8">
        <v>480</v>
      </c>
      <c r="C8">
        <v>7</v>
      </c>
      <c r="D8">
        <f t="shared" si="0"/>
        <v>49</v>
      </c>
      <c r="E8">
        <f>Tablo1[[#This Row],[y(demand)]]*Tablo1[[#This Row],[t(month)]]</f>
        <v>3360</v>
      </c>
      <c r="F8">
        <f>D$32+D$33*Tablo1[[#This Row],[t(month)]]</f>
        <v>438.37826086956522</v>
      </c>
      <c r="G8" s="4">
        <f>Tablo1[[#This Row],[y(t)]]-Tablo1[[#This Row],[y(demand)]]</f>
        <v>-41.621739130434776</v>
      </c>
      <c r="H8" s="4">
        <f>Tablo1[[#This Row],[error]]^2/C$25</f>
        <v>72.182048676748551</v>
      </c>
    </row>
    <row r="9" spans="1:8" x14ac:dyDescent="0.25">
      <c r="A9" t="s">
        <v>8</v>
      </c>
      <c r="B9">
        <v>460</v>
      </c>
      <c r="C9">
        <v>8</v>
      </c>
      <c r="D9">
        <f t="shared" si="0"/>
        <v>64</v>
      </c>
      <c r="E9">
        <f>Tablo1[[#This Row],[y(demand)]]*Tablo1[[#This Row],[t(month)]]</f>
        <v>3680</v>
      </c>
      <c r="F9">
        <f>D$32+D$33*Tablo1[[#This Row],[t(month)]]</f>
        <v>457.99130434782609</v>
      </c>
      <c r="G9" s="4">
        <f>Tablo1[[#This Row],[y(t)]]-Tablo1[[#This Row],[y(demand)]]</f>
        <v>-2.0086956521739125</v>
      </c>
      <c r="H9" s="4">
        <f>Tablo1[[#This Row],[error]]^2/C$25</f>
        <v>0.16811909262759916</v>
      </c>
    </row>
    <row r="10" spans="1:8" x14ac:dyDescent="0.25">
      <c r="A10" t="s">
        <v>9</v>
      </c>
      <c r="B10">
        <v>490</v>
      </c>
      <c r="C10">
        <v>9</v>
      </c>
      <c r="D10">
        <f t="shared" si="0"/>
        <v>81</v>
      </c>
      <c r="E10">
        <f>Tablo1[[#This Row],[y(demand)]]*Tablo1[[#This Row],[t(month)]]</f>
        <v>4410</v>
      </c>
      <c r="F10">
        <f>D$32+D$33*Tablo1[[#This Row],[t(month)]]</f>
        <v>477.60434782608695</v>
      </c>
      <c r="G10" s="4">
        <f>Tablo1[[#This Row],[y(t)]]-Tablo1[[#This Row],[y(demand)]]</f>
        <v>-12.395652173913049</v>
      </c>
      <c r="H10" s="4">
        <f>Tablo1[[#This Row],[error]]^2/C$25</f>
        <v>6.4021747006931378</v>
      </c>
    </row>
    <row r="11" spans="1:8" x14ac:dyDescent="0.25">
      <c r="A11" t="s">
        <v>10</v>
      </c>
      <c r="B11">
        <v>510</v>
      </c>
      <c r="C11">
        <v>10</v>
      </c>
      <c r="D11">
        <f t="shared" si="0"/>
        <v>100</v>
      </c>
      <c r="E11">
        <f>Tablo1[[#This Row],[y(demand)]]*Tablo1[[#This Row],[t(month)]]</f>
        <v>5100</v>
      </c>
      <c r="F11">
        <f>D$32+D$33*Tablo1[[#This Row],[t(month)]]</f>
        <v>497.21739130434781</v>
      </c>
      <c r="G11" s="4">
        <f>Tablo1[[#This Row],[y(t)]]-Tablo1[[#This Row],[y(demand)]]</f>
        <v>-12.782608695652186</v>
      </c>
      <c r="H11" s="4">
        <f>Tablo1[[#This Row],[error]]^2/C$25</f>
        <v>6.8081285444234538</v>
      </c>
    </row>
    <row r="12" spans="1:8" x14ac:dyDescent="0.25">
      <c r="A12" t="s">
        <v>11</v>
      </c>
      <c r="B12">
        <v>550</v>
      </c>
      <c r="C12">
        <v>11</v>
      </c>
      <c r="D12">
        <f t="shared" si="0"/>
        <v>121</v>
      </c>
      <c r="E12">
        <f>Tablo1[[#This Row],[y(demand)]]*Tablo1[[#This Row],[t(month)]]</f>
        <v>6050</v>
      </c>
      <c r="F12">
        <f>D$32+D$33*Tablo1[[#This Row],[t(month)]]</f>
        <v>516.83043478260868</v>
      </c>
      <c r="G12" s="4">
        <f>Tablo1[[#This Row],[y(t)]]-Tablo1[[#This Row],[y(demand)]]</f>
        <v>-33.169565217391323</v>
      </c>
      <c r="H12" s="4">
        <f>Tablo1[[#This Row],[error]]^2/C$25</f>
        <v>45.842502362949013</v>
      </c>
    </row>
    <row r="13" spans="1:8" x14ac:dyDescent="0.25">
      <c r="A13" t="s">
        <v>12</v>
      </c>
      <c r="B13">
        <v>560</v>
      </c>
      <c r="C13">
        <v>12</v>
      </c>
      <c r="D13">
        <f t="shared" si="0"/>
        <v>144</v>
      </c>
      <c r="E13">
        <f>Tablo1[[#This Row],[y(demand)]]*Tablo1[[#This Row],[t(month)]]</f>
        <v>6720</v>
      </c>
      <c r="F13">
        <f>D$32+D$33*Tablo1[[#This Row],[t(month)]]</f>
        <v>536.4434782608696</v>
      </c>
      <c r="G13" s="4">
        <f>Tablo1[[#This Row],[y(t)]]-Tablo1[[#This Row],[y(demand)]]</f>
        <v>-23.556521739130403</v>
      </c>
      <c r="H13" s="4">
        <f>Tablo1[[#This Row],[error]]^2/C$25</f>
        <v>23.121238185255137</v>
      </c>
    </row>
    <row r="14" spans="1:8" x14ac:dyDescent="0.25">
      <c r="A14" t="s">
        <v>1</v>
      </c>
      <c r="B14">
        <v>550</v>
      </c>
      <c r="C14">
        <v>13</v>
      </c>
      <c r="D14">
        <f t="shared" si="0"/>
        <v>169</v>
      </c>
      <c r="E14">
        <f>Tablo1[[#This Row],[y(demand)]]*Tablo1[[#This Row],[t(month)]]</f>
        <v>7150</v>
      </c>
      <c r="F14">
        <f>D$32+D$33*Tablo1[[#This Row],[t(month)]]</f>
        <v>556.0565217391304</v>
      </c>
      <c r="G14" s="4">
        <f>Tablo1[[#This Row],[y(t)]]-Tablo1[[#This Row],[y(demand)]]</f>
        <v>6.0565217391304031</v>
      </c>
      <c r="H14" s="4">
        <f>Tablo1[[#This Row],[error]]^2/C$25</f>
        <v>1.5283939823566319</v>
      </c>
    </row>
    <row r="15" spans="1:8" x14ac:dyDescent="0.25">
      <c r="A15" t="s">
        <v>2</v>
      </c>
      <c r="B15">
        <v>590</v>
      </c>
      <c r="C15">
        <v>14</v>
      </c>
      <c r="D15">
        <f t="shared" si="0"/>
        <v>196</v>
      </c>
      <c r="E15">
        <f>Tablo1[[#This Row],[y(demand)]]*Tablo1[[#This Row],[t(month)]]</f>
        <v>8260</v>
      </c>
      <c r="F15">
        <f>D$32+D$33*Tablo1[[#This Row],[t(month)]]</f>
        <v>575.66956521739132</v>
      </c>
      <c r="G15" s="4">
        <f>Tablo1[[#This Row],[y(t)]]-Tablo1[[#This Row],[y(demand)]]</f>
        <v>-14.330434782608677</v>
      </c>
      <c r="H15" s="4">
        <f>Tablo1[[#This Row],[error]]^2/C$25</f>
        <v>8.556723377441692</v>
      </c>
    </row>
    <row r="16" spans="1:8" x14ac:dyDescent="0.25">
      <c r="A16" t="s">
        <v>13</v>
      </c>
      <c r="B16">
        <v>600</v>
      </c>
      <c r="C16">
        <v>15</v>
      </c>
      <c r="D16">
        <f t="shared" si="0"/>
        <v>225</v>
      </c>
      <c r="E16">
        <f>Tablo1[[#This Row],[y(demand)]]*Tablo1[[#This Row],[t(month)]]</f>
        <v>9000</v>
      </c>
      <c r="F16">
        <f>D$32+D$33*Tablo1[[#This Row],[t(month)]]</f>
        <v>595.28260869565224</v>
      </c>
      <c r="G16" s="4">
        <f>Tablo1[[#This Row],[y(t)]]-Tablo1[[#This Row],[y(demand)]]</f>
        <v>-4.7173913043477569</v>
      </c>
      <c r="H16" s="4">
        <f>Tablo1[[#This Row],[error]]^2/C$25</f>
        <v>0.92724086326399302</v>
      </c>
    </row>
    <row r="17" spans="1:18" x14ac:dyDescent="0.25">
      <c r="A17" t="s">
        <v>4</v>
      </c>
      <c r="B17">
        <v>610</v>
      </c>
      <c r="C17">
        <v>16</v>
      </c>
      <c r="D17">
        <f t="shared" si="0"/>
        <v>256</v>
      </c>
      <c r="E17">
        <f>Tablo1[[#This Row],[y(demand)]]*Tablo1[[#This Row],[t(month)]]</f>
        <v>9760</v>
      </c>
      <c r="F17">
        <f>D$32+D$33*Tablo1[[#This Row],[t(month)]]</f>
        <v>614.89565217391305</v>
      </c>
      <c r="G17" s="4">
        <f>Tablo1[[#This Row],[y(t)]]-Tablo1[[#This Row],[y(demand)]]</f>
        <v>4.8956521739130494</v>
      </c>
      <c r="H17" s="4">
        <f>Tablo1[[#This Row],[error]]^2/C$25</f>
        <v>0.99864209199748188</v>
      </c>
    </row>
    <row r="18" spans="1:18" x14ac:dyDescent="0.25">
      <c r="A18" t="s">
        <v>14</v>
      </c>
      <c r="B18">
        <v>630</v>
      </c>
      <c r="C18">
        <v>17</v>
      </c>
      <c r="D18">
        <f t="shared" si="0"/>
        <v>289</v>
      </c>
      <c r="E18">
        <f>Tablo1[[#This Row],[y(demand)]]*Tablo1[[#This Row],[t(month)]]</f>
        <v>10710</v>
      </c>
      <c r="F18">
        <f>D$32+D$33*Tablo1[[#This Row],[t(month)]]</f>
        <v>634.50869565217386</v>
      </c>
      <c r="G18" s="4">
        <f>Tablo1[[#This Row],[y(t)]]-Tablo1[[#This Row],[y(demand)]]</f>
        <v>4.5086956521738557</v>
      </c>
      <c r="H18" s="4">
        <f>Tablo1[[#This Row],[error]]^2/C$25</f>
        <v>0.84701402016380956</v>
      </c>
    </row>
    <row r="19" spans="1:18" x14ac:dyDescent="0.25">
      <c r="A19" t="s">
        <v>6</v>
      </c>
      <c r="B19">
        <v>620</v>
      </c>
      <c r="C19">
        <v>18</v>
      </c>
      <c r="D19">
        <f t="shared" si="0"/>
        <v>324</v>
      </c>
      <c r="E19">
        <f>Tablo1[[#This Row],[y(demand)]]*Tablo1[[#This Row],[t(month)]]</f>
        <v>11160</v>
      </c>
      <c r="F19">
        <f>D$32+D$33*Tablo1[[#This Row],[t(month)]]</f>
        <v>654.12173913043478</v>
      </c>
      <c r="G19" s="4">
        <f>Tablo1[[#This Row],[y(t)]]-Tablo1[[#This Row],[y(demand)]]</f>
        <v>34.121739130434776</v>
      </c>
      <c r="H19" s="4">
        <f>Tablo1[[#This Row],[error]]^2/C$25</f>
        <v>48.512211720226823</v>
      </c>
    </row>
    <row r="20" spans="1:18" ht="18" x14ac:dyDescent="0.35">
      <c r="A20" t="s">
        <v>7</v>
      </c>
      <c r="B20">
        <v>680</v>
      </c>
      <c r="C20">
        <v>19</v>
      </c>
      <c r="D20">
        <f t="shared" si="0"/>
        <v>361</v>
      </c>
      <c r="E20">
        <f>Tablo1[[#This Row],[y(demand)]]*Tablo1[[#This Row],[t(month)]]</f>
        <v>12920</v>
      </c>
      <c r="F20">
        <f>D$32+D$33*Tablo1[[#This Row],[t(month)]]</f>
        <v>673.7347826086957</v>
      </c>
      <c r="G20" s="4">
        <f>Tablo1[[#This Row],[y(t)]]-Tablo1[[#This Row],[y(demand)]]</f>
        <v>-6.2652173913043043</v>
      </c>
      <c r="H20" s="4">
        <f>Tablo1[[#This Row],[error]]^2/C$25</f>
        <v>1.6355395400125798</v>
      </c>
      <c r="J20" s="1"/>
    </row>
    <row r="21" spans="1:18" x14ac:dyDescent="0.25">
      <c r="A21" t="s">
        <v>8</v>
      </c>
      <c r="B21">
        <v>690</v>
      </c>
      <c r="C21">
        <v>20</v>
      </c>
      <c r="D21">
        <f t="shared" si="0"/>
        <v>400</v>
      </c>
      <c r="E21">
        <f>Tablo1[[#This Row],[y(demand)]]*Tablo1[[#This Row],[t(month)]]</f>
        <v>13800</v>
      </c>
      <c r="F21">
        <f>D$32+D$33*Tablo1[[#This Row],[t(month)]]</f>
        <v>693.3478260869565</v>
      </c>
      <c r="G21" s="4">
        <f>Tablo1[[#This Row],[y(t)]]-Tablo1[[#This Row],[y(demand)]]</f>
        <v>3.347826086956502</v>
      </c>
      <c r="H21" s="4">
        <f>Tablo1[[#This Row],[error]]^2/C$25</f>
        <v>0.46699747952110354</v>
      </c>
    </row>
    <row r="22" spans="1:18" x14ac:dyDescent="0.25">
      <c r="A22" t="s">
        <v>9</v>
      </c>
      <c r="B22">
        <v>710</v>
      </c>
      <c r="C22">
        <v>21</v>
      </c>
      <c r="D22">
        <f t="shared" si="0"/>
        <v>441</v>
      </c>
      <c r="E22">
        <f>Tablo1[[#This Row],[y(demand)]]*Tablo1[[#This Row],[t(month)]]</f>
        <v>14910</v>
      </c>
      <c r="F22">
        <f>D$32+D$33*Tablo1[[#This Row],[t(month)]]</f>
        <v>712.96086956521742</v>
      </c>
      <c r="G22" s="4">
        <f>Tablo1[[#This Row],[y(t)]]-Tablo1[[#This Row],[y(demand)]]</f>
        <v>2.960869565217422</v>
      </c>
      <c r="H22" s="4">
        <f>Tablo1[[#This Row],[error]]^2/C$25</f>
        <v>0.36528119092628358</v>
      </c>
    </row>
    <row r="23" spans="1:18" x14ac:dyDescent="0.25">
      <c r="A23" t="s">
        <v>10</v>
      </c>
      <c r="B23">
        <v>730</v>
      </c>
      <c r="C23">
        <v>22</v>
      </c>
      <c r="D23">
        <f t="shared" si="0"/>
        <v>484</v>
      </c>
      <c r="E23">
        <f>Tablo1[[#This Row],[y(demand)]]*Tablo1[[#This Row],[t(month)]]</f>
        <v>16060</v>
      </c>
      <c r="F23">
        <f>D$32+D$33*Tablo1[[#This Row],[t(month)]]</f>
        <v>732.57391304347834</v>
      </c>
      <c r="G23" s="4">
        <f>Tablo1[[#This Row],[y(t)]]-Tablo1[[#This Row],[y(demand)]]</f>
        <v>2.5739130434783419</v>
      </c>
      <c r="H23" s="4">
        <f>Tablo1[[#This Row],[error]]^2/C$25</f>
        <v>0.2760428481411642</v>
      </c>
      <c r="R23" s="3"/>
    </row>
    <row r="24" spans="1:18" x14ac:dyDescent="0.25">
      <c r="A24" t="s">
        <v>11</v>
      </c>
      <c r="B24">
        <v>740</v>
      </c>
      <c r="C24">
        <v>23</v>
      </c>
      <c r="D24">
        <f t="shared" si="0"/>
        <v>529</v>
      </c>
      <c r="E24">
        <f>Tablo1[[#This Row],[y(demand)]]*Tablo1[[#This Row],[t(month)]]</f>
        <v>17020</v>
      </c>
      <c r="F24">
        <f>D$32+D$33*Tablo1[[#This Row],[t(month)]]</f>
        <v>752.18695652173915</v>
      </c>
      <c r="G24" s="4">
        <f>Tablo1[[#This Row],[y(t)]]-Tablo1[[#This Row],[y(demand)]]</f>
        <v>12.186956521739148</v>
      </c>
      <c r="H24" s="4">
        <f>Tablo1[[#This Row],[error]]^2/C$25</f>
        <v>6.188412885948348</v>
      </c>
    </row>
    <row r="25" spans="1:18" x14ac:dyDescent="0.25">
      <c r="A25" t="s">
        <v>12</v>
      </c>
      <c r="B25">
        <v>770</v>
      </c>
      <c r="C25">
        <v>24</v>
      </c>
      <c r="D25">
        <f t="shared" si="0"/>
        <v>576</v>
      </c>
      <c r="E25">
        <f>Tablo1[[#This Row],[y(demand)]]*Tablo1[[#This Row],[t(month)]]</f>
        <v>18480</v>
      </c>
      <c r="F25">
        <f>D$32+D$33*Tablo1[[#This Row],[t(month)]]</f>
        <v>771.8</v>
      </c>
      <c r="G25" s="4">
        <f>Tablo1[[#This Row],[y(t)]]-Tablo1[[#This Row],[y(demand)]]</f>
        <v>1.7999999999999545</v>
      </c>
      <c r="H25" s="4">
        <f>Tablo1[[#This Row],[error]]^2/C$25</f>
        <v>0.13499999999999318</v>
      </c>
    </row>
    <row r="26" spans="1:18" x14ac:dyDescent="0.25">
      <c r="A26" s="2" t="s">
        <v>15</v>
      </c>
      <c r="B26" s="2">
        <f>SUM(B2:B25)</f>
        <v>13110</v>
      </c>
      <c r="C26" s="2">
        <f>SUM(C2:C25)</f>
        <v>300</v>
      </c>
      <c r="D26" s="2">
        <f>SUM(D2:D25)</f>
        <v>4900</v>
      </c>
      <c r="E26" s="2">
        <f>SUM(E2:E25)</f>
        <v>186430</v>
      </c>
      <c r="F26" s="6" t="s">
        <v>27</v>
      </c>
      <c r="G26" s="7" t="s">
        <v>27</v>
      </c>
      <c r="H26" s="5">
        <f>SUM(H2:H25)</f>
        <v>357.92934782608677</v>
      </c>
    </row>
    <row r="30" spans="1:18" x14ac:dyDescent="0.25">
      <c r="C30" t="s">
        <v>21</v>
      </c>
      <c r="D30">
        <f>C26/C25</f>
        <v>12.5</v>
      </c>
    </row>
    <row r="31" spans="1:18" x14ac:dyDescent="0.25">
      <c r="C31" t="s">
        <v>22</v>
      </c>
      <c r="D31">
        <f>B26/C25</f>
        <v>546.25</v>
      </c>
    </row>
    <row r="32" spans="1:18" x14ac:dyDescent="0.25">
      <c r="C32" t="s">
        <v>23</v>
      </c>
      <c r="D32">
        <f>D31-D33*D30</f>
        <v>301.08695652173913</v>
      </c>
    </row>
    <row r="33" spans="3:4" x14ac:dyDescent="0.25">
      <c r="C33" t="s">
        <v>20</v>
      </c>
      <c r="D33">
        <f>(C25*E26-(B26*C26))/(C25*D26-C26^2)</f>
        <v>19.61304347826087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B32D-0658-4C17-8778-EBD0949FBBB7}">
  <sheetPr codeName="Sayfa2"/>
  <dimension ref="A1:H33"/>
  <sheetViews>
    <sheetView zoomScaleNormal="100" workbookViewId="0">
      <selection activeCell="G33" sqref="G33:G34"/>
    </sheetView>
  </sheetViews>
  <sheetFormatPr defaultRowHeight="15" x14ac:dyDescent="0.25"/>
  <cols>
    <col min="2" max="2" width="13" bestFit="1" customWidth="1"/>
    <col min="3" max="3" width="11.28515625" bestFit="1" customWidth="1"/>
  </cols>
  <sheetData>
    <row r="1" spans="1:8" x14ac:dyDescent="0.25">
      <c r="A1" t="s">
        <v>0</v>
      </c>
      <c r="B1" t="s">
        <v>17</v>
      </c>
      <c r="C1" t="s">
        <v>18</v>
      </c>
      <c r="D1" t="s">
        <v>16</v>
      </c>
      <c r="E1" t="s">
        <v>19</v>
      </c>
      <c r="F1" t="s">
        <v>24</v>
      </c>
      <c r="G1" t="s">
        <v>25</v>
      </c>
      <c r="H1" t="s">
        <v>26</v>
      </c>
    </row>
    <row r="2" spans="1:8" x14ac:dyDescent="0.25">
      <c r="A2" t="s">
        <v>1</v>
      </c>
      <c r="B2">
        <v>200</v>
      </c>
      <c r="C2">
        <v>1</v>
      </c>
      <c r="D2">
        <f t="shared" ref="D2:D25" si="0">C2^2</f>
        <v>1</v>
      </c>
      <c r="E2">
        <f>Tablo13[[#This Row],[y(demand)]]*Tablo13[[#This Row],[t(month)]]</f>
        <v>200</v>
      </c>
      <c r="F2">
        <f>D$32+D$33*Tablo13[[#This Row],[t(month)]]</f>
        <v>393.26666666666665</v>
      </c>
      <c r="G2" s="4">
        <f>Tablo13[[#This Row],[y(t)]]-Tablo13[[#This Row],[y(demand)]]</f>
        <v>193.26666666666665</v>
      </c>
      <c r="H2" s="4">
        <f>Tablo13[[#This Row],[error]]^2/C$25</f>
        <v>1556.3335185185181</v>
      </c>
    </row>
    <row r="3" spans="1:8" x14ac:dyDescent="0.25">
      <c r="A3" t="s">
        <v>2</v>
      </c>
      <c r="B3">
        <v>300</v>
      </c>
      <c r="C3">
        <v>2</v>
      </c>
      <c r="D3">
        <f t="shared" si="0"/>
        <v>4</v>
      </c>
      <c r="E3">
        <f>Tablo13[[#This Row],[y(demand)]]*Tablo13[[#This Row],[t(month)]]</f>
        <v>600</v>
      </c>
      <c r="F3">
        <f>D$32+D$33*Tablo13[[#This Row],[t(month)]]</f>
        <v>411.17101449275361</v>
      </c>
      <c r="G3" s="4">
        <f>Tablo13[[#This Row],[y(t)]]-Tablo13[[#This Row],[y(demand)]]</f>
        <v>111.17101449275361</v>
      </c>
      <c r="H3" s="4">
        <f>Tablo13[[#This Row],[error]]^2/C$25</f>
        <v>514.95810263950136</v>
      </c>
    </row>
    <row r="4" spans="1:8" x14ac:dyDescent="0.25">
      <c r="A4" t="s">
        <v>3</v>
      </c>
      <c r="B4">
        <v>250</v>
      </c>
      <c r="C4">
        <v>3</v>
      </c>
      <c r="D4">
        <f t="shared" si="0"/>
        <v>9</v>
      </c>
      <c r="E4">
        <f>Tablo13[[#This Row],[y(demand)]]*Tablo13[[#This Row],[t(month)]]</f>
        <v>750</v>
      </c>
      <c r="F4">
        <f>D$32+D$33*Tablo13[[#This Row],[t(month)]]</f>
        <v>429.07536231884058</v>
      </c>
      <c r="G4" s="4">
        <f>Tablo13[[#This Row],[y(t)]]-Tablo13[[#This Row],[y(demand)]]</f>
        <v>179.07536231884058</v>
      </c>
      <c r="H4" s="4">
        <f>Tablo13[[#This Row],[error]]^2/C$25</f>
        <v>1336.1660579010011</v>
      </c>
    </row>
    <row r="5" spans="1:8" x14ac:dyDescent="0.25">
      <c r="A5" t="s">
        <v>4</v>
      </c>
      <c r="B5">
        <v>600</v>
      </c>
      <c r="C5">
        <v>4</v>
      </c>
      <c r="D5">
        <f t="shared" si="0"/>
        <v>16</v>
      </c>
      <c r="E5">
        <f>Tablo13[[#This Row],[y(demand)]]*Tablo13[[#This Row],[t(month)]]</f>
        <v>2400</v>
      </c>
      <c r="F5">
        <f>D$32+D$33*Tablo13[[#This Row],[t(month)]]</f>
        <v>446.97971014492748</v>
      </c>
      <c r="G5" s="4">
        <f>Tablo13[[#This Row],[y(t)]]-Tablo13[[#This Row],[y(demand)]]</f>
        <v>-153.02028985507252</v>
      </c>
      <c r="H5" s="4">
        <f>Tablo13[[#This Row],[error]]^2/C$25</f>
        <v>975.63371280543379</v>
      </c>
    </row>
    <row r="6" spans="1:8" x14ac:dyDescent="0.25">
      <c r="A6" t="s">
        <v>5</v>
      </c>
      <c r="B6">
        <v>650</v>
      </c>
      <c r="C6">
        <v>5</v>
      </c>
      <c r="D6">
        <f t="shared" si="0"/>
        <v>25</v>
      </c>
      <c r="E6">
        <f>Tablo13[[#This Row],[y(demand)]]*Tablo13[[#This Row],[t(month)]]</f>
        <v>3250</v>
      </c>
      <c r="F6">
        <f>D$32+D$33*Tablo13[[#This Row],[t(month)]]</f>
        <v>464.8840579710145</v>
      </c>
      <c r="G6" s="4">
        <f>Tablo13[[#This Row],[y(t)]]-Tablo13[[#This Row],[y(demand)]]</f>
        <v>-185.1159420289855</v>
      </c>
      <c r="H6" s="4">
        <f>Tablo13[[#This Row],[error]]^2/C$25</f>
        <v>1427.8296663866133</v>
      </c>
    </row>
    <row r="7" spans="1:8" x14ac:dyDescent="0.25">
      <c r="A7" t="s">
        <v>6</v>
      </c>
      <c r="B7">
        <v>670</v>
      </c>
      <c r="C7">
        <v>6</v>
      </c>
      <c r="D7">
        <f t="shared" si="0"/>
        <v>36</v>
      </c>
      <c r="E7">
        <f>Tablo13[[#This Row],[y(demand)]]*Tablo13[[#This Row],[t(month)]]</f>
        <v>4020</v>
      </c>
      <c r="F7">
        <f>D$32+D$33*Tablo13[[#This Row],[t(month)]]</f>
        <v>482.7884057971014</v>
      </c>
      <c r="G7" s="4">
        <f>Tablo13[[#This Row],[y(t)]]-Tablo13[[#This Row],[y(demand)]]</f>
        <v>-187.2115942028986</v>
      </c>
      <c r="H7" s="4">
        <f>Tablo13[[#This Row],[error]]^2/C$25</f>
        <v>1460.3408751662821</v>
      </c>
    </row>
    <row r="8" spans="1:8" x14ac:dyDescent="0.25">
      <c r="A8" t="s">
        <v>7</v>
      </c>
      <c r="B8">
        <v>400</v>
      </c>
      <c r="C8">
        <v>7</v>
      </c>
      <c r="D8">
        <f t="shared" si="0"/>
        <v>49</v>
      </c>
      <c r="E8">
        <f>Tablo13[[#This Row],[y(demand)]]*Tablo13[[#This Row],[t(month)]]</f>
        <v>2800</v>
      </c>
      <c r="F8">
        <f>D$32+D$33*Tablo13[[#This Row],[t(month)]]</f>
        <v>500.69275362318837</v>
      </c>
      <c r="G8" s="4">
        <f>Tablo13[[#This Row],[y(t)]]-Tablo13[[#This Row],[y(demand)]]</f>
        <v>100.69275362318837</v>
      </c>
      <c r="H8" s="4">
        <f>Tablo13[[#This Row],[error]]^2/C$25</f>
        <v>422.45960967583807</v>
      </c>
    </row>
    <row r="9" spans="1:8" x14ac:dyDescent="0.25">
      <c r="A9" t="s">
        <v>8</v>
      </c>
      <c r="B9">
        <v>440</v>
      </c>
      <c r="C9">
        <v>8</v>
      </c>
      <c r="D9">
        <f t="shared" si="0"/>
        <v>64</v>
      </c>
      <c r="E9">
        <f>Tablo13[[#This Row],[y(demand)]]*Tablo13[[#This Row],[t(month)]]</f>
        <v>3520</v>
      </c>
      <c r="F9">
        <f>D$32+D$33*Tablo13[[#This Row],[t(month)]]</f>
        <v>518.59710144927533</v>
      </c>
      <c r="G9" s="4">
        <f>Tablo13[[#This Row],[y(t)]]-Tablo13[[#This Row],[y(demand)]]</f>
        <v>78.597101449275328</v>
      </c>
      <c r="H9" s="4">
        <f>Tablo13[[#This Row],[error]]^2/C$25</f>
        <v>257.39601484281991</v>
      </c>
    </row>
    <row r="10" spans="1:8" x14ac:dyDescent="0.25">
      <c r="A10" t="s">
        <v>9</v>
      </c>
      <c r="B10">
        <v>430</v>
      </c>
      <c r="C10">
        <v>9</v>
      </c>
      <c r="D10">
        <f t="shared" si="0"/>
        <v>81</v>
      </c>
      <c r="E10">
        <f>Tablo13[[#This Row],[y(demand)]]*Tablo13[[#This Row],[t(month)]]</f>
        <v>3870</v>
      </c>
      <c r="F10">
        <f>D$32+D$33*Tablo13[[#This Row],[t(month)]]</f>
        <v>536.50144927536235</v>
      </c>
      <c r="G10" s="4">
        <f>Tablo13[[#This Row],[y(t)]]-Tablo13[[#This Row],[y(demand)]]</f>
        <v>106.50144927536235</v>
      </c>
      <c r="H10" s="4">
        <f>Tablo13[[#This Row],[error]]^2/C$25</f>
        <v>472.60661240635744</v>
      </c>
    </row>
    <row r="11" spans="1:8" x14ac:dyDescent="0.25">
      <c r="A11" t="s">
        <v>10</v>
      </c>
      <c r="B11">
        <v>900</v>
      </c>
      <c r="C11">
        <v>10</v>
      </c>
      <c r="D11">
        <f t="shared" si="0"/>
        <v>100</v>
      </c>
      <c r="E11">
        <f>Tablo13[[#This Row],[y(demand)]]*Tablo13[[#This Row],[t(month)]]</f>
        <v>9000</v>
      </c>
      <c r="F11">
        <f>D$32+D$33*Tablo13[[#This Row],[t(month)]]</f>
        <v>554.40579710144925</v>
      </c>
      <c r="G11" s="4">
        <f>Tablo13[[#This Row],[y(t)]]-Tablo13[[#This Row],[y(demand)]]</f>
        <v>-345.59420289855075</v>
      </c>
      <c r="H11" s="4">
        <f>Tablo13[[#This Row],[error]]^2/C$25</f>
        <v>4976.4730448785276</v>
      </c>
    </row>
    <row r="12" spans="1:8" x14ac:dyDescent="0.25">
      <c r="A12" t="s">
        <v>11</v>
      </c>
      <c r="B12">
        <v>980</v>
      </c>
      <c r="C12">
        <v>11</v>
      </c>
      <c r="D12">
        <f t="shared" si="0"/>
        <v>121</v>
      </c>
      <c r="E12">
        <f>Tablo13[[#This Row],[y(demand)]]*Tablo13[[#This Row],[t(month)]]</f>
        <v>10780</v>
      </c>
      <c r="F12">
        <f>D$32+D$33*Tablo13[[#This Row],[t(month)]]</f>
        <v>572.31014492753616</v>
      </c>
      <c r="G12" s="4">
        <f>Tablo13[[#This Row],[y(t)]]-Tablo13[[#This Row],[y(demand)]]</f>
        <v>-407.68985507246384</v>
      </c>
      <c r="H12" s="4">
        <f>Tablo13[[#This Row],[error]]^2/C$25</f>
        <v>6925.4590803752735</v>
      </c>
    </row>
    <row r="13" spans="1:8" x14ac:dyDescent="0.25">
      <c r="A13" t="s">
        <v>12</v>
      </c>
      <c r="B13">
        <v>990</v>
      </c>
      <c r="C13">
        <v>12</v>
      </c>
      <c r="D13">
        <f t="shared" si="0"/>
        <v>144</v>
      </c>
      <c r="E13">
        <f>Tablo13[[#This Row],[y(demand)]]*Tablo13[[#This Row],[t(month)]]</f>
        <v>11880</v>
      </c>
      <c r="F13">
        <f>D$32+D$33*Tablo13[[#This Row],[t(month)]]</f>
        <v>590.21449275362318</v>
      </c>
      <c r="G13" s="4">
        <f>Tablo13[[#This Row],[y(t)]]-Tablo13[[#This Row],[y(demand)]]</f>
        <v>-399.78550724637682</v>
      </c>
      <c r="H13" s="4">
        <f>Tablo13[[#This Row],[error]]^2/C$25</f>
        <v>6659.518825176784</v>
      </c>
    </row>
    <row r="14" spans="1:8" x14ac:dyDescent="0.25">
      <c r="A14" t="s">
        <v>1</v>
      </c>
      <c r="B14">
        <v>300</v>
      </c>
      <c r="C14">
        <v>13</v>
      </c>
      <c r="D14">
        <f t="shared" si="0"/>
        <v>169</v>
      </c>
      <c r="E14">
        <f>Tablo13[[#This Row],[y(demand)]]*Tablo13[[#This Row],[t(month)]]</f>
        <v>3900</v>
      </c>
      <c r="F14">
        <f>D$32+D$33*Tablo13[[#This Row],[t(month)]]</f>
        <v>608.11884057971008</v>
      </c>
      <c r="G14" s="4">
        <f>Tablo13[[#This Row],[y(t)]]-Tablo13[[#This Row],[y(demand)]]</f>
        <v>308.11884057971008</v>
      </c>
      <c r="H14" s="4">
        <f>Tablo13[[#This Row],[error]]^2/C$25</f>
        <v>3955.7174966743664</v>
      </c>
    </row>
    <row r="15" spans="1:8" x14ac:dyDescent="0.25">
      <c r="A15" t="s">
        <v>2</v>
      </c>
      <c r="B15">
        <v>370</v>
      </c>
      <c r="C15">
        <v>14</v>
      </c>
      <c r="D15">
        <f t="shared" si="0"/>
        <v>196</v>
      </c>
      <c r="E15">
        <f>Tablo13[[#This Row],[y(demand)]]*Tablo13[[#This Row],[t(month)]]</f>
        <v>5180</v>
      </c>
      <c r="F15">
        <f>D$32+D$33*Tablo13[[#This Row],[t(month)]]</f>
        <v>626.0231884057971</v>
      </c>
      <c r="G15" s="4">
        <f>Tablo13[[#This Row],[y(t)]]-Tablo13[[#This Row],[y(demand)]]</f>
        <v>256.0231884057971</v>
      </c>
      <c r="H15" s="4">
        <f>Tablo13[[#This Row],[error]]^2/C$25</f>
        <v>2731.1613750612614</v>
      </c>
    </row>
    <row r="16" spans="1:8" x14ac:dyDescent="0.25">
      <c r="A16" t="s">
        <v>13</v>
      </c>
      <c r="B16">
        <v>380</v>
      </c>
      <c r="C16">
        <v>15</v>
      </c>
      <c r="D16">
        <f t="shared" si="0"/>
        <v>225</v>
      </c>
      <c r="E16">
        <f>Tablo13[[#This Row],[y(demand)]]*Tablo13[[#This Row],[t(month)]]</f>
        <v>5700</v>
      </c>
      <c r="F16">
        <f>D$32+D$33*Tablo13[[#This Row],[t(month)]]</f>
        <v>643.92753623188401</v>
      </c>
      <c r="G16" s="4">
        <f>Tablo13[[#This Row],[y(t)]]-Tablo13[[#This Row],[y(demand)]]</f>
        <v>263.92753623188401</v>
      </c>
      <c r="H16" s="4">
        <f>Tablo13[[#This Row],[error]]^2/C$25</f>
        <v>2902.4060158930188</v>
      </c>
    </row>
    <row r="17" spans="1:8" x14ac:dyDescent="0.25">
      <c r="A17" t="s">
        <v>4</v>
      </c>
      <c r="B17">
        <v>710</v>
      </c>
      <c r="C17">
        <v>16</v>
      </c>
      <c r="D17">
        <f t="shared" si="0"/>
        <v>256</v>
      </c>
      <c r="E17">
        <f>Tablo13[[#This Row],[y(demand)]]*Tablo13[[#This Row],[t(month)]]</f>
        <v>11360</v>
      </c>
      <c r="F17">
        <f>D$32+D$33*Tablo13[[#This Row],[t(month)]]</f>
        <v>661.83188405797091</v>
      </c>
      <c r="G17" s="4">
        <f>Tablo13[[#This Row],[y(t)]]-Tablo13[[#This Row],[y(demand)]]</f>
        <v>-48.16811594202909</v>
      </c>
      <c r="H17" s="4">
        <f>Tablo13[[#This Row],[error]]^2/C$25</f>
        <v>96.673641391864876</v>
      </c>
    </row>
    <row r="18" spans="1:8" x14ac:dyDescent="0.25">
      <c r="A18" t="s">
        <v>14</v>
      </c>
      <c r="B18">
        <v>730</v>
      </c>
      <c r="C18">
        <v>17</v>
      </c>
      <c r="D18">
        <f t="shared" si="0"/>
        <v>289</v>
      </c>
      <c r="E18">
        <f>Tablo13[[#This Row],[y(demand)]]*Tablo13[[#This Row],[t(month)]]</f>
        <v>12410</v>
      </c>
      <c r="F18">
        <f>D$32+D$33*Tablo13[[#This Row],[t(month)]]</f>
        <v>679.73623188405793</v>
      </c>
      <c r="G18" s="4">
        <f>Tablo13[[#This Row],[y(t)]]-Tablo13[[#This Row],[y(demand)]]</f>
        <v>-50.263768115942071</v>
      </c>
      <c r="H18" s="4">
        <f>Tablo13[[#This Row],[error]]^2/C$25</f>
        <v>105.26859938388311</v>
      </c>
    </row>
    <row r="19" spans="1:8" x14ac:dyDescent="0.25">
      <c r="A19" t="s">
        <v>6</v>
      </c>
      <c r="B19">
        <v>790</v>
      </c>
      <c r="C19">
        <v>18</v>
      </c>
      <c r="D19">
        <f t="shared" si="0"/>
        <v>324</v>
      </c>
      <c r="E19">
        <f>Tablo13[[#This Row],[y(demand)]]*Tablo13[[#This Row],[t(month)]]</f>
        <v>14220</v>
      </c>
      <c r="F19">
        <f>D$32+D$33*Tablo13[[#This Row],[t(month)]]</f>
        <v>697.64057971014495</v>
      </c>
      <c r="G19" s="4">
        <f>Tablo13[[#This Row],[y(t)]]-Tablo13[[#This Row],[y(demand)]]</f>
        <v>-92.359420289855052</v>
      </c>
      <c r="H19" s="4">
        <f>Tablo13[[#This Row],[error]]^2/C$25</f>
        <v>355.42760484492038</v>
      </c>
    </row>
    <row r="20" spans="1:8" x14ac:dyDescent="0.25">
      <c r="A20" t="s">
        <v>7</v>
      </c>
      <c r="B20">
        <v>450</v>
      </c>
      <c r="C20">
        <v>19</v>
      </c>
      <c r="D20">
        <f t="shared" si="0"/>
        <v>361</v>
      </c>
      <c r="E20">
        <f>Tablo13[[#This Row],[y(demand)]]*Tablo13[[#This Row],[t(month)]]</f>
        <v>8550</v>
      </c>
      <c r="F20">
        <f>D$32+D$33*Tablo13[[#This Row],[t(month)]]</f>
        <v>715.54492753623185</v>
      </c>
      <c r="G20" s="4">
        <f>Tablo13[[#This Row],[y(t)]]-Tablo13[[#This Row],[y(demand)]]</f>
        <v>265.54492753623185</v>
      </c>
      <c r="H20" s="4">
        <f>Tablo13[[#This Row],[error]]^2/C$25</f>
        <v>2938.0878558426098</v>
      </c>
    </row>
    <row r="21" spans="1:8" x14ac:dyDescent="0.25">
      <c r="A21" t="s">
        <v>8</v>
      </c>
      <c r="B21">
        <v>480</v>
      </c>
      <c r="C21">
        <v>20</v>
      </c>
      <c r="D21">
        <f t="shared" si="0"/>
        <v>400</v>
      </c>
      <c r="E21">
        <f>Tablo13[[#This Row],[y(demand)]]*Tablo13[[#This Row],[t(month)]]</f>
        <v>9600</v>
      </c>
      <c r="F21">
        <f>D$32+D$33*Tablo13[[#This Row],[t(month)]]</f>
        <v>733.44927536231876</v>
      </c>
      <c r="G21" s="4">
        <f>Tablo13[[#This Row],[y(t)]]-Tablo13[[#This Row],[y(demand)]]</f>
        <v>253.44927536231876</v>
      </c>
      <c r="H21" s="4">
        <f>Tablo13[[#This Row],[error]]^2/C$25</f>
        <v>2676.5222992368531</v>
      </c>
    </row>
    <row r="22" spans="1:8" x14ac:dyDescent="0.25">
      <c r="A22" t="s">
        <v>9</v>
      </c>
      <c r="B22">
        <v>490</v>
      </c>
      <c r="C22">
        <v>21</v>
      </c>
      <c r="D22">
        <f t="shared" si="0"/>
        <v>441</v>
      </c>
      <c r="E22">
        <f>Tablo13[[#This Row],[y(demand)]]*Tablo13[[#This Row],[t(month)]]</f>
        <v>10290</v>
      </c>
      <c r="F22">
        <f>D$32+D$33*Tablo13[[#This Row],[t(month)]]</f>
        <v>751.35362318840566</v>
      </c>
      <c r="G22" s="4">
        <f>Tablo13[[#This Row],[y(t)]]-Tablo13[[#This Row],[y(demand)]]</f>
        <v>261.35362318840566</v>
      </c>
      <c r="H22" s="4">
        <f>Tablo13[[#This Row],[error]]^2/C$25</f>
        <v>2846.0715147377973</v>
      </c>
    </row>
    <row r="23" spans="1:8" x14ac:dyDescent="0.25">
      <c r="A23" t="s">
        <v>10</v>
      </c>
      <c r="B23">
        <v>930</v>
      </c>
      <c r="C23">
        <v>22</v>
      </c>
      <c r="D23">
        <f t="shared" si="0"/>
        <v>484</v>
      </c>
      <c r="E23">
        <f>Tablo13[[#This Row],[y(demand)]]*Tablo13[[#This Row],[t(month)]]</f>
        <v>20460</v>
      </c>
      <c r="F23">
        <f>D$32+D$33*Tablo13[[#This Row],[t(month)]]</f>
        <v>769.25797101449268</v>
      </c>
      <c r="G23" s="4">
        <f>Tablo13[[#This Row],[y(t)]]-Tablo13[[#This Row],[y(demand)]]</f>
        <v>-160.74202898550732</v>
      </c>
      <c r="H23" s="4">
        <f>Tablo13[[#This Row],[error]]^2/C$25</f>
        <v>1076.5833284324031</v>
      </c>
    </row>
    <row r="24" spans="1:8" x14ac:dyDescent="0.25">
      <c r="A24" t="s">
        <v>11</v>
      </c>
      <c r="B24">
        <v>960</v>
      </c>
      <c r="C24">
        <v>23</v>
      </c>
      <c r="D24">
        <f t="shared" si="0"/>
        <v>529</v>
      </c>
      <c r="E24">
        <f>Tablo13[[#This Row],[y(demand)]]*Tablo13[[#This Row],[t(month)]]</f>
        <v>22080</v>
      </c>
      <c r="F24">
        <f>D$32+D$33*Tablo13[[#This Row],[t(month)]]</f>
        <v>787.1623188405797</v>
      </c>
      <c r="G24" s="4">
        <f>Tablo13[[#This Row],[y(t)]]-Tablo13[[#This Row],[y(demand)]]</f>
        <v>-172.8376811594203</v>
      </c>
      <c r="H24" s="4">
        <f>Tablo13[[#This Row],[error]]^2/C$25</f>
        <v>1244.702667856893</v>
      </c>
    </row>
    <row r="25" spans="1:8" x14ac:dyDescent="0.25">
      <c r="A25" t="s">
        <v>12</v>
      </c>
      <c r="B25">
        <v>980</v>
      </c>
      <c r="C25">
        <v>24</v>
      </c>
      <c r="D25">
        <f t="shared" si="0"/>
        <v>576</v>
      </c>
      <c r="E25">
        <f>Tablo13[[#This Row],[y(demand)]]*Tablo13[[#This Row],[t(month)]]</f>
        <v>23520</v>
      </c>
      <c r="F25">
        <f>D$32+D$33*Tablo13[[#This Row],[t(month)]]</f>
        <v>805.06666666666661</v>
      </c>
      <c r="G25" s="4">
        <f>Tablo13[[#This Row],[y(t)]]-Tablo13[[#This Row],[y(demand)]]</f>
        <v>-174.93333333333339</v>
      </c>
      <c r="H25" s="4">
        <f>Tablo13[[#This Row],[error]]^2/C$25</f>
        <v>1275.0696296296305</v>
      </c>
    </row>
    <row r="26" spans="1:8" x14ac:dyDescent="0.25">
      <c r="A26" s="2" t="s">
        <v>15</v>
      </c>
      <c r="B26" s="2">
        <f>SUM(B2:B25)</f>
        <v>14380</v>
      </c>
      <c r="C26" s="2">
        <f>SUM(C2:C25)</f>
        <v>300</v>
      </c>
      <c r="D26" s="2">
        <f>SUM(D2:D25)</f>
        <v>4900</v>
      </c>
      <c r="E26" s="2">
        <f>SUM(E2:E25)</f>
        <v>200340</v>
      </c>
      <c r="F26" s="6" t="s">
        <v>27</v>
      </c>
      <c r="G26" s="7" t="s">
        <v>27</v>
      </c>
      <c r="H26" s="5">
        <f>SUM(H2:H25)</f>
        <v>49188.867149758451</v>
      </c>
    </row>
    <row r="30" spans="1:8" x14ac:dyDescent="0.25">
      <c r="C30" t="s">
        <v>21</v>
      </c>
      <c r="D30">
        <f>C26/C25</f>
        <v>12.5</v>
      </c>
    </row>
    <row r="31" spans="1:8" x14ac:dyDescent="0.25">
      <c r="C31" t="s">
        <v>22</v>
      </c>
      <c r="D31">
        <f>B26/C25</f>
        <v>599.16666666666663</v>
      </c>
    </row>
    <row r="32" spans="1:8" x14ac:dyDescent="0.25">
      <c r="C32" t="s">
        <v>23</v>
      </c>
      <c r="D32">
        <f>D31-D33*D30</f>
        <v>375.36231884057969</v>
      </c>
    </row>
    <row r="33" spans="3:4" x14ac:dyDescent="0.25">
      <c r="C33" t="s">
        <v>20</v>
      </c>
      <c r="D33">
        <f>(C25*E26-(B26*C26))/(C25*D26-C26^2)</f>
        <v>17.904347826086955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C7B0-344B-47B5-BF51-FCAACF1714AD}">
  <sheetPr codeName="Sayfa3"/>
  <dimension ref="A1:U26"/>
  <sheetViews>
    <sheetView workbookViewId="0">
      <selection activeCell="L33" sqref="L33"/>
    </sheetView>
  </sheetViews>
  <sheetFormatPr defaultRowHeight="15" x14ac:dyDescent="0.25"/>
  <cols>
    <col min="7" max="7" width="10.5703125" bestFit="1" customWidth="1"/>
    <col min="10" max="10" width="9.140625" customWidth="1"/>
    <col min="11" max="11" width="12.85546875" customWidth="1"/>
    <col min="12" max="12" width="13.28515625" customWidth="1"/>
    <col min="13" max="13" width="15" bestFit="1" customWidth="1"/>
    <col min="14" max="14" width="20.42578125" bestFit="1" customWidth="1"/>
    <col min="15" max="15" width="14.140625" bestFit="1" customWidth="1"/>
    <col min="16" max="16" width="12" bestFit="1" customWidth="1"/>
    <col min="19" max="19" width="21.5703125" bestFit="1" customWidth="1"/>
    <col min="20" max="20" width="15.7109375" bestFit="1" customWidth="1"/>
    <col min="21" max="21" width="12.140625" bestFit="1" customWidth="1"/>
    <col min="22" max="22" width="20.42578125" bestFit="1" customWidth="1"/>
  </cols>
  <sheetData>
    <row r="1" spans="1:21" x14ac:dyDescent="0.25">
      <c r="A1" t="s">
        <v>28</v>
      </c>
      <c r="B1" t="s">
        <v>29</v>
      </c>
      <c r="C1" t="s">
        <v>30</v>
      </c>
      <c r="D1" t="s">
        <v>28</v>
      </c>
      <c r="E1" t="s">
        <v>29</v>
      </c>
      <c r="F1" t="s">
        <v>30</v>
      </c>
      <c r="G1" t="s">
        <v>60</v>
      </c>
      <c r="J1" t="s">
        <v>35</v>
      </c>
      <c r="K1" t="s">
        <v>34</v>
      </c>
      <c r="L1" t="s">
        <v>61</v>
      </c>
      <c r="M1" t="s">
        <v>62</v>
      </c>
      <c r="N1" t="s">
        <v>63</v>
      </c>
      <c r="O1" t="s">
        <v>65</v>
      </c>
      <c r="P1" t="s">
        <v>64</v>
      </c>
      <c r="Q1" t="s">
        <v>66</v>
      </c>
      <c r="R1" t="s">
        <v>67</v>
      </c>
      <c r="S1" t="s">
        <v>68</v>
      </c>
      <c r="T1" t="s">
        <v>25</v>
      </c>
      <c r="U1" t="s">
        <v>26</v>
      </c>
    </row>
    <row r="2" spans="1:21" x14ac:dyDescent="0.25">
      <c r="A2" t="s">
        <v>1</v>
      </c>
      <c r="B2" t="s">
        <v>32</v>
      </c>
      <c r="C2">
        <v>300</v>
      </c>
      <c r="D2" t="s">
        <v>1</v>
      </c>
      <c r="E2" t="s">
        <v>33</v>
      </c>
      <c r="F2">
        <v>550</v>
      </c>
      <c r="G2">
        <f>(C2+F2)/2</f>
        <v>425</v>
      </c>
      <c r="J2" t="s">
        <v>36</v>
      </c>
      <c r="K2">
        <v>300</v>
      </c>
      <c r="L2">
        <f t="shared" ref="L2:L13" si="0">G2</f>
        <v>425</v>
      </c>
      <c r="M2">
        <f>Tablo4[[#This Row],[Period Avg.]]/(K$26/24)</f>
        <v>0.77803203661327236</v>
      </c>
      <c r="N2">
        <f>Tablo4[[#This Row],[A. Demand]]/Tablo4[[#This Row],[Period Factor]]</f>
        <v>385.58823529411762</v>
      </c>
      <c r="O2">
        <v>1</v>
      </c>
      <c r="P2">
        <f>Tablo4[[#This Row],[Deason Demand(y)]]*Tablo4[[#This Row],[Period in (x)]]</f>
        <v>385.58823529411762</v>
      </c>
      <c r="Q2" s="4">
        <f>Tablo4[[#This Row],[Period in (x)]]^2</f>
        <v>1</v>
      </c>
      <c r="R2" s="4">
        <f>D$18+D$19*Tablo4[[#This Row],[Period in (x)]]</f>
        <v>377.22510086764589</v>
      </c>
      <c r="S2" s="4">
        <f>Tablo4[[#This Row],[y(x)]]*Tablo4[[#This Row],[Period Factor]]</f>
        <v>293.49321348970165</v>
      </c>
      <c r="T2" s="4">
        <f>Tablo4[[#This Row],[Seasonal Regression]]-Tablo4[[#This Row],[A. Demand]]</f>
        <v>-6.5067865102983546</v>
      </c>
      <c r="U2" s="4">
        <f>Tablo4[[#This Row],[error]]^2/O$25</f>
        <v>1.7640946121083598</v>
      </c>
    </row>
    <row r="3" spans="1:21" x14ac:dyDescent="0.25">
      <c r="A3" t="s">
        <v>31</v>
      </c>
      <c r="B3" t="s">
        <v>32</v>
      </c>
      <c r="C3">
        <v>350</v>
      </c>
      <c r="D3" t="s">
        <v>31</v>
      </c>
      <c r="E3" t="s">
        <v>33</v>
      </c>
      <c r="F3">
        <v>590</v>
      </c>
      <c r="G3">
        <f t="shared" ref="G3:G13" si="1">(C3+F3)/2</f>
        <v>470</v>
      </c>
      <c r="J3" t="s">
        <v>37</v>
      </c>
      <c r="K3">
        <v>350</v>
      </c>
      <c r="L3">
        <f t="shared" si="0"/>
        <v>470</v>
      </c>
      <c r="M3">
        <f>Tablo4[[#This Row],[Period Avg.]]/(K$26/24)</f>
        <v>0.86041189931350115</v>
      </c>
      <c r="N3">
        <f>Tablo4[[#This Row],[A. Demand]]/Tablo4[[#This Row],[Period Factor]]</f>
        <v>406.781914893617</v>
      </c>
      <c r="O3">
        <v>2</v>
      </c>
      <c r="P3">
        <f>Tablo4[[#This Row],[Deason Demand(y)]]*Tablo4[[#This Row],[Period in (x)]]</f>
        <v>813.563829787234</v>
      </c>
      <c r="Q3" s="4">
        <f>Tablo4[[#This Row],[Period in (x)]]^2</f>
        <v>4</v>
      </c>
      <c r="R3" s="4">
        <f>D$18+D$19*Tablo4[[#This Row],[Period in (x)]]</f>
        <v>391.92291818350282</v>
      </c>
      <c r="S3" s="4">
        <f>Tablo4[[#This Row],[y(x)]]*Tablo4[[#This Row],[Period Factor]]</f>
        <v>337.21514241875758</v>
      </c>
      <c r="T3" s="4">
        <f>Tablo4[[#This Row],[Seasonal Regression]]-Tablo4[[#This Row],[A. Demand]]</f>
        <v>-12.78485758124242</v>
      </c>
      <c r="U3" s="4">
        <f>Tablo4[[#This Row],[error]]^2/O$25</f>
        <v>6.8105243071938242</v>
      </c>
    </row>
    <row r="4" spans="1:21" x14ac:dyDescent="0.25">
      <c r="A4" t="s">
        <v>3</v>
      </c>
      <c r="B4" t="s">
        <v>32</v>
      </c>
      <c r="C4">
        <v>330</v>
      </c>
      <c r="D4" t="s">
        <v>3</v>
      </c>
      <c r="E4" t="s">
        <v>33</v>
      </c>
      <c r="F4">
        <v>600</v>
      </c>
      <c r="G4">
        <f t="shared" si="1"/>
        <v>465</v>
      </c>
      <c r="J4" t="s">
        <v>40</v>
      </c>
      <c r="K4">
        <v>330</v>
      </c>
      <c r="L4">
        <f t="shared" si="0"/>
        <v>465</v>
      </c>
      <c r="M4">
        <f>Tablo4[[#This Row],[Period Avg.]]/(K$26/24)</f>
        <v>0.85125858123569798</v>
      </c>
      <c r="N4">
        <f>Tablo4[[#This Row],[A. Demand]]/Tablo4[[#This Row],[Period Factor]]</f>
        <v>387.66129032258061</v>
      </c>
      <c r="O4">
        <v>3</v>
      </c>
      <c r="P4">
        <f>Tablo4[[#This Row],[Deason Demand(y)]]*Tablo4[[#This Row],[Period in (x)]]</f>
        <v>1162.983870967742</v>
      </c>
      <c r="Q4" s="4">
        <f>Tablo4[[#This Row],[Period in (x)]]^2</f>
        <v>9</v>
      </c>
      <c r="R4" s="4">
        <f>D$18+D$19*Tablo4[[#This Row],[Period in (x)]]</f>
        <v>406.62073549935968</v>
      </c>
      <c r="S4" s="4">
        <f>Tablo4[[#This Row],[y(x)]]*Tablo4[[#This Row],[Period Factor]]</f>
        <v>346.13939040220095</v>
      </c>
      <c r="T4" s="4">
        <f>Tablo4[[#This Row],[Seasonal Regression]]-Tablo4[[#This Row],[A. Demand]]</f>
        <v>16.139390402200945</v>
      </c>
      <c r="U4" s="4">
        <f>Tablo4[[#This Row],[error]]^2/O$25</f>
        <v>10.853330106443998</v>
      </c>
    </row>
    <row r="5" spans="1:21" x14ac:dyDescent="0.25">
      <c r="A5" t="s">
        <v>4</v>
      </c>
      <c r="B5" t="s">
        <v>32</v>
      </c>
      <c r="C5">
        <v>340</v>
      </c>
      <c r="D5" t="s">
        <v>4</v>
      </c>
      <c r="E5" t="s">
        <v>33</v>
      </c>
      <c r="F5">
        <v>610</v>
      </c>
      <c r="G5">
        <f t="shared" si="1"/>
        <v>475</v>
      </c>
      <c r="J5" t="s">
        <v>41</v>
      </c>
      <c r="K5">
        <v>340</v>
      </c>
      <c r="L5">
        <f t="shared" si="0"/>
        <v>475</v>
      </c>
      <c r="M5">
        <f>Tablo4[[#This Row],[Period Avg.]]/(K$26/24)</f>
        <v>0.86956521739130432</v>
      </c>
      <c r="N5">
        <f>Tablo4[[#This Row],[A. Demand]]/Tablo4[[#This Row],[Period Factor]]</f>
        <v>391</v>
      </c>
      <c r="O5">
        <v>4</v>
      </c>
      <c r="P5">
        <f>Tablo4[[#This Row],[Deason Demand(y)]]*Tablo4[[#This Row],[Period in (x)]]</f>
        <v>1564</v>
      </c>
      <c r="Q5" s="4">
        <f>Tablo4[[#This Row],[Period in (x)]]^2</f>
        <v>16</v>
      </c>
      <c r="R5" s="4">
        <f>D$18+D$19*Tablo4[[#This Row],[Period in (x)]]</f>
        <v>421.31855281521655</v>
      </c>
      <c r="S5" s="4">
        <f>Tablo4[[#This Row],[y(x)]]*Tablo4[[#This Row],[Period Factor]]</f>
        <v>366.36395896975353</v>
      </c>
      <c r="T5" s="4">
        <f>Tablo4[[#This Row],[Seasonal Regression]]-Tablo4[[#This Row],[A. Demand]]</f>
        <v>26.363958969753526</v>
      </c>
      <c r="U5" s="4">
        <f>Tablo4[[#This Row],[error]]^2/O$25</f>
        <v>28.960763856618641</v>
      </c>
    </row>
    <row r="6" spans="1:21" x14ac:dyDescent="0.25">
      <c r="A6" t="s">
        <v>5</v>
      </c>
      <c r="B6" t="s">
        <v>32</v>
      </c>
      <c r="C6">
        <v>390</v>
      </c>
      <c r="D6" t="s">
        <v>5</v>
      </c>
      <c r="E6" t="s">
        <v>33</v>
      </c>
      <c r="F6">
        <v>630</v>
      </c>
      <c r="G6">
        <f t="shared" si="1"/>
        <v>510</v>
      </c>
      <c r="J6" t="s">
        <v>42</v>
      </c>
      <c r="K6">
        <v>390</v>
      </c>
      <c r="L6">
        <f t="shared" si="0"/>
        <v>510</v>
      </c>
      <c r="M6">
        <f>Tablo4[[#This Row],[Period Avg.]]/(K$26/24)</f>
        <v>0.93363844393592677</v>
      </c>
      <c r="N6">
        <f>Tablo4[[#This Row],[A. Demand]]/Tablo4[[#This Row],[Period Factor]]</f>
        <v>417.72058823529414</v>
      </c>
      <c r="O6">
        <v>5</v>
      </c>
      <c r="P6">
        <f>Tablo4[[#This Row],[Deason Demand(y)]]*Tablo4[[#This Row],[Period in (x)]]</f>
        <v>2088.6029411764707</v>
      </c>
      <c r="Q6" s="4">
        <f>Tablo4[[#This Row],[Period in (x)]]^2</f>
        <v>25</v>
      </c>
      <c r="R6" s="4">
        <f>D$18+D$19*Tablo4[[#This Row],[Period in (x)]]</f>
        <v>436.01637013107347</v>
      </c>
      <c r="S6" s="4">
        <f>Tablo4[[#This Row],[y(x)]]*Tablo4[[#This Row],[Period Factor]]</f>
        <v>407.08164533976651</v>
      </c>
      <c r="T6" s="4">
        <f>Tablo4[[#This Row],[Seasonal Regression]]-Tablo4[[#This Row],[A. Demand]]</f>
        <v>17.08164533976651</v>
      </c>
      <c r="U6" s="4">
        <f>Tablo4[[#This Row],[error]]^2/O$25</f>
        <v>12.157608646398621</v>
      </c>
    </row>
    <row r="7" spans="1:21" x14ac:dyDescent="0.25">
      <c r="A7" t="s">
        <v>6</v>
      </c>
      <c r="B7" t="s">
        <v>32</v>
      </c>
      <c r="C7">
        <v>430</v>
      </c>
      <c r="D7" t="s">
        <v>6</v>
      </c>
      <c r="E7" t="s">
        <v>33</v>
      </c>
      <c r="F7">
        <v>620</v>
      </c>
      <c r="G7">
        <f t="shared" si="1"/>
        <v>525</v>
      </c>
      <c r="J7" t="s">
        <v>43</v>
      </c>
      <c r="K7">
        <v>430</v>
      </c>
      <c r="L7">
        <f t="shared" si="0"/>
        <v>525</v>
      </c>
      <c r="M7">
        <f>Tablo4[[#This Row],[Period Avg.]]/(K$26/24)</f>
        <v>0.9610983981693364</v>
      </c>
      <c r="N7">
        <f>Tablo4[[#This Row],[A. Demand]]/Tablo4[[#This Row],[Period Factor]]</f>
        <v>447.40476190476193</v>
      </c>
      <c r="O7">
        <v>6</v>
      </c>
      <c r="P7">
        <f>Tablo4[[#This Row],[Deason Demand(y)]]*Tablo4[[#This Row],[Period in (x)]]</f>
        <v>2684.4285714285716</v>
      </c>
      <c r="Q7" s="4">
        <f>Tablo4[[#This Row],[Period in (x)]]^2</f>
        <v>36</v>
      </c>
      <c r="R7" s="4">
        <f>D$18+D$19*Tablo4[[#This Row],[Period in (x)]]</f>
        <v>450.71418744693034</v>
      </c>
      <c r="S7" s="4">
        <f>Tablo4[[#This Row],[y(x)]]*Tablo4[[#This Row],[Period Factor]]</f>
        <v>433.18068358743875</v>
      </c>
      <c r="T7" s="4">
        <f>Tablo4[[#This Row],[Seasonal Regression]]-Tablo4[[#This Row],[A. Demand]]</f>
        <v>3.1806835874387502</v>
      </c>
      <c r="U7" s="4">
        <f>Tablo4[[#This Row],[error]]^2/O$25</f>
        <v>0.42153117014175989</v>
      </c>
    </row>
    <row r="8" spans="1:21" x14ac:dyDescent="0.25">
      <c r="A8" t="s">
        <v>7</v>
      </c>
      <c r="B8" t="s">
        <v>32</v>
      </c>
      <c r="C8">
        <v>480</v>
      </c>
      <c r="D8" t="s">
        <v>7</v>
      </c>
      <c r="E8" t="s">
        <v>33</v>
      </c>
      <c r="F8">
        <v>680</v>
      </c>
      <c r="G8">
        <f t="shared" si="1"/>
        <v>580</v>
      </c>
      <c r="J8" t="s">
        <v>44</v>
      </c>
      <c r="K8">
        <v>480</v>
      </c>
      <c r="L8">
        <f t="shared" si="0"/>
        <v>580</v>
      </c>
      <c r="M8">
        <f>Tablo4[[#This Row],[Period Avg.]]/(K$26/24)</f>
        <v>1.0617848970251715</v>
      </c>
      <c r="N8">
        <f>Tablo4[[#This Row],[A. Demand]]/Tablo4[[#This Row],[Period Factor]]</f>
        <v>452.06896551724139</v>
      </c>
      <c r="O8">
        <v>7</v>
      </c>
      <c r="P8">
        <f>Tablo4[[#This Row],[Deason Demand(y)]]*Tablo4[[#This Row],[Period in (x)]]</f>
        <v>3164.4827586206898</v>
      </c>
      <c r="Q8" s="4">
        <f>Tablo4[[#This Row],[Period in (x)]]^2</f>
        <v>49</v>
      </c>
      <c r="R8" s="4">
        <f>D$18+D$19*Tablo4[[#This Row],[Period in (x)]]</f>
        <v>465.41200476278721</v>
      </c>
      <c r="S8" s="4">
        <f>Tablo4[[#This Row],[y(x)]]*Tablo4[[#This Row],[Period Factor]]</f>
        <v>494.16743755133467</v>
      </c>
      <c r="T8" s="4">
        <f>Tablo4[[#This Row],[Seasonal Regression]]-Tablo4[[#This Row],[A. Demand]]</f>
        <v>14.167437551334672</v>
      </c>
      <c r="U8" s="4">
        <f>Tablo4[[#This Row],[error]]^2/O$25</f>
        <v>8.3631786154569898</v>
      </c>
    </row>
    <row r="9" spans="1:21" x14ac:dyDescent="0.25">
      <c r="A9" t="s">
        <v>8</v>
      </c>
      <c r="B9" t="s">
        <v>32</v>
      </c>
      <c r="C9">
        <v>460</v>
      </c>
      <c r="D9" t="s">
        <v>8</v>
      </c>
      <c r="E9" t="s">
        <v>33</v>
      </c>
      <c r="F9">
        <v>690</v>
      </c>
      <c r="G9">
        <f t="shared" si="1"/>
        <v>575</v>
      </c>
      <c r="J9" t="s">
        <v>45</v>
      </c>
      <c r="K9">
        <v>460</v>
      </c>
      <c r="L9">
        <f t="shared" si="0"/>
        <v>575</v>
      </c>
      <c r="M9">
        <f>Tablo4[[#This Row],[Period Avg.]]/(K$26/24)</f>
        <v>1.0526315789473684</v>
      </c>
      <c r="N9">
        <f>Tablo4[[#This Row],[A. Demand]]/Tablo4[[#This Row],[Period Factor]]</f>
        <v>437</v>
      </c>
      <c r="O9">
        <v>8</v>
      </c>
      <c r="P9">
        <f>Tablo4[[#This Row],[Deason Demand(y)]]*Tablo4[[#This Row],[Period in (x)]]</f>
        <v>3496</v>
      </c>
      <c r="Q9" s="4">
        <f>Tablo4[[#This Row],[Period in (x)]]^2</f>
        <v>64</v>
      </c>
      <c r="R9" s="4">
        <f>D$18+D$19*Tablo4[[#This Row],[Period in (x)]]</f>
        <v>480.10982207864413</v>
      </c>
      <c r="S9" s="4">
        <f>Tablo4[[#This Row],[y(x)]]*Tablo4[[#This Row],[Period Factor]]</f>
        <v>505.37876008278329</v>
      </c>
      <c r="T9" s="4">
        <f>Tablo4[[#This Row],[Seasonal Regression]]-Tablo4[[#This Row],[A. Demand]]</f>
        <v>45.378760082783288</v>
      </c>
      <c r="U9" s="4">
        <f>Tablo4[[#This Row],[error]]^2/O$25</f>
        <v>85.80132777711691</v>
      </c>
    </row>
    <row r="10" spans="1:21" x14ac:dyDescent="0.25">
      <c r="A10" t="s">
        <v>9</v>
      </c>
      <c r="B10" t="s">
        <v>32</v>
      </c>
      <c r="C10">
        <v>490</v>
      </c>
      <c r="D10" t="s">
        <v>9</v>
      </c>
      <c r="E10" t="s">
        <v>33</v>
      </c>
      <c r="F10">
        <v>710</v>
      </c>
      <c r="G10">
        <f t="shared" si="1"/>
        <v>600</v>
      </c>
      <c r="J10" t="s">
        <v>46</v>
      </c>
      <c r="K10">
        <v>490</v>
      </c>
      <c r="L10">
        <f t="shared" si="0"/>
        <v>600</v>
      </c>
      <c r="M10">
        <f>Tablo4[[#This Row],[Period Avg.]]/(K$26/24)</f>
        <v>1.0983981693363845</v>
      </c>
      <c r="N10">
        <f>Tablo4[[#This Row],[A. Demand]]/Tablo4[[#This Row],[Period Factor]]</f>
        <v>446.10416666666669</v>
      </c>
      <c r="O10">
        <v>9</v>
      </c>
      <c r="P10">
        <f>Tablo4[[#This Row],[Deason Demand(y)]]*Tablo4[[#This Row],[Period in (x)]]</f>
        <v>4014.9375</v>
      </c>
      <c r="Q10" s="4">
        <f>Tablo4[[#This Row],[Period in (x)]]^2</f>
        <v>81</v>
      </c>
      <c r="R10" s="4">
        <f>D$18+D$19*Tablo4[[#This Row],[Period in (x)]]</f>
        <v>494.807639394501</v>
      </c>
      <c r="S10" s="4">
        <f>Tablo4[[#This Row],[y(x)]]*Tablo4[[#This Row],[Period Factor]]</f>
        <v>543.49580528457773</v>
      </c>
      <c r="T10" s="4">
        <f>Tablo4[[#This Row],[Seasonal Regression]]-Tablo4[[#This Row],[A. Demand]]</f>
        <v>53.495805284577727</v>
      </c>
      <c r="U10" s="4">
        <f>Tablo4[[#This Row],[error]]^2/O$25</f>
        <v>119.24171596022727</v>
      </c>
    </row>
    <row r="11" spans="1:21" x14ac:dyDescent="0.25">
      <c r="A11" t="s">
        <v>10</v>
      </c>
      <c r="B11" t="s">
        <v>32</v>
      </c>
      <c r="C11">
        <v>510</v>
      </c>
      <c r="D11" t="s">
        <v>10</v>
      </c>
      <c r="E11" t="s">
        <v>33</v>
      </c>
      <c r="F11">
        <v>730</v>
      </c>
      <c r="G11">
        <f t="shared" si="1"/>
        <v>620</v>
      </c>
      <c r="J11" t="s">
        <v>47</v>
      </c>
      <c r="K11">
        <v>510</v>
      </c>
      <c r="L11">
        <f t="shared" si="0"/>
        <v>620</v>
      </c>
      <c r="M11">
        <f>Tablo4[[#This Row],[Period Avg.]]/(K$26/24)</f>
        <v>1.1350114416475972</v>
      </c>
      <c r="N11">
        <f>Tablo4[[#This Row],[A. Demand]]/Tablo4[[#This Row],[Period Factor]]</f>
        <v>449.33467741935488</v>
      </c>
      <c r="O11">
        <v>10</v>
      </c>
      <c r="P11">
        <f>Tablo4[[#This Row],[Deason Demand(y)]]*Tablo4[[#This Row],[Period in (x)]]</f>
        <v>4493.3467741935492</v>
      </c>
      <c r="Q11" s="4">
        <f>Tablo4[[#This Row],[Period in (x)]]^2</f>
        <v>100</v>
      </c>
      <c r="R11" s="4">
        <f>D$18+D$19*Tablo4[[#This Row],[Period in (x)]]</f>
        <v>509.50545671035786</v>
      </c>
      <c r="S11" s="4">
        <f>Tablo4[[#This Row],[y(x)]]*Tablo4[[#This Row],[Period Factor]]</f>
        <v>578.29452294814064</v>
      </c>
      <c r="T11" s="4">
        <f>Tablo4[[#This Row],[Seasonal Regression]]-Tablo4[[#This Row],[A. Demand]]</f>
        <v>68.294522948140639</v>
      </c>
      <c r="U11" s="4">
        <f>Tablo4[[#This Row],[error]]^2/O$25</f>
        <v>194.33924436308783</v>
      </c>
    </row>
    <row r="12" spans="1:21" x14ac:dyDescent="0.25">
      <c r="A12" t="s">
        <v>11</v>
      </c>
      <c r="B12" t="s">
        <v>32</v>
      </c>
      <c r="C12">
        <v>550</v>
      </c>
      <c r="D12" t="s">
        <v>11</v>
      </c>
      <c r="E12" t="s">
        <v>33</v>
      </c>
      <c r="F12">
        <v>740</v>
      </c>
      <c r="G12">
        <f t="shared" si="1"/>
        <v>645</v>
      </c>
      <c r="J12" t="s">
        <v>48</v>
      </c>
      <c r="K12">
        <v>550</v>
      </c>
      <c r="L12">
        <f t="shared" si="0"/>
        <v>645</v>
      </c>
      <c r="M12">
        <f>Tablo4[[#This Row],[Period Avg.]]/(K$26/24)</f>
        <v>1.1807780320366132</v>
      </c>
      <c r="N12">
        <f>Tablo4[[#This Row],[A. Demand]]/Tablo4[[#This Row],[Period Factor]]</f>
        <v>465.79457364341084</v>
      </c>
      <c r="O12">
        <v>11</v>
      </c>
      <c r="P12">
        <f>Tablo4[[#This Row],[Deason Demand(y)]]*Tablo4[[#This Row],[Period in (x)]]</f>
        <v>5123.7403100775191</v>
      </c>
      <c r="Q12" s="4">
        <f>Tablo4[[#This Row],[Period in (x)]]^2</f>
        <v>121</v>
      </c>
      <c r="R12" s="4">
        <f>D$18+D$19*Tablo4[[#This Row],[Period in (x)]]</f>
        <v>524.20327402621479</v>
      </c>
      <c r="S12" s="4">
        <f>Tablo4[[#This Row],[y(x)]]*Tablo4[[#This Row],[Period Factor]]</f>
        <v>618.96771029182344</v>
      </c>
      <c r="T12" s="4">
        <f>Tablo4[[#This Row],[Seasonal Regression]]-Tablo4[[#This Row],[A. Demand]]</f>
        <v>68.967710291823437</v>
      </c>
      <c r="U12" s="4">
        <f>Tablo4[[#This Row],[error]]^2/O$25</f>
        <v>198.18937762070368</v>
      </c>
    </row>
    <row r="13" spans="1:21" x14ac:dyDescent="0.25">
      <c r="A13" t="s">
        <v>12</v>
      </c>
      <c r="B13" t="s">
        <v>32</v>
      </c>
      <c r="C13">
        <v>560</v>
      </c>
      <c r="D13" t="s">
        <v>12</v>
      </c>
      <c r="E13" t="s">
        <v>33</v>
      </c>
      <c r="F13">
        <v>770</v>
      </c>
      <c r="G13">
        <f t="shared" si="1"/>
        <v>665</v>
      </c>
      <c r="J13" t="s">
        <v>49</v>
      </c>
      <c r="K13">
        <v>560</v>
      </c>
      <c r="L13">
        <f t="shared" si="0"/>
        <v>665</v>
      </c>
      <c r="M13">
        <f>Tablo4[[#This Row],[Period Avg.]]/(K$26/24)</f>
        <v>1.2173913043478262</v>
      </c>
      <c r="N13">
        <f>Tablo4[[#This Row],[A. Demand]]/Tablo4[[#This Row],[Period Factor]]</f>
        <v>459.99999999999994</v>
      </c>
      <c r="O13">
        <v>12</v>
      </c>
      <c r="P13">
        <f>Tablo4[[#This Row],[Deason Demand(y)]]*Tablo4[[#This Row],[Period in (x)]]</f>
        <v>5519.9999999999991</v>
      </c>
      <c r="Q13" s="4">
        <f>Tablo4[[#This Row],[Period in (x)]]^2</f>
        <v>144</v>
      </c>
      <c r="R13" s="4">
        <f>D$18+D$19*Tablo4[[#This Row],[Period in (x)]]</f>
        <v>538.9010913420716</v>
      </c>
      <c r="S13" s="4">
        <f>Tablo4[[#This Row],[y(x)]]*Tablo4[[#This Row],[Period Factor]]</f>
        <v>656.05350250339154</v>
      </c>
      <c r="T13" s="4">
        <f>Tablo4[[#This Row],[Seasonal Regression]]-Tablo4[[#This Row],[A. Demand]]</f>
        <v>96.053502503391542</v>
      </c>
      <c r="U13" s="4">
        <f>Tablo4[[#This Row],[error]]^2/O$25</f>
        <v>384.42813929871022</v>
      </c>
    </row>
    <row r="14" spans="1:21" x14ac:dyDescent="0.25">
      <c r="J14" t="s">
        <v>38</v>
      </c>
      <c r="K14">
        <v>550</v>
      </c>
      <c r="L14">
        <v>425</v>
      </c>
      <c r="M14">
        <f>Tablo4[[#This Row],[Period Avg.]]/(K$26/24)</f>
        <v>0.77803203661327236</v>
      </c>
      <c r="N14">
        <f>Tablo4[[#This Row],[A. Demand]]/Tablo4[[#This Row],[Period Factor]]</f>
        <v>706.91176470588232</v>
      </c>
      <c r="O14">
        <v>13</v>
      </c>
      <c r="P14">
        <f>Tablo4[[#This Row],[Deason Demand(y)]]*Tablo4[[#This Row],[Period in (x)]]</f>
        <v>9189.8529411764703</v>
      </c>
      <c r="Q14" s="4">
        <f>Tablo4[[#This Row],[Period in (x)]]^2</f>
        <v>169</v>
      </c>
      <c r="R14" s="4">
        <f>D$18+D$19*Tablo4[[#This Row],[Period in (x)]]</f>
        <v>553.59890865792852</v>
      </c>
      <c r="S14" s="4">
        <f>Tablo4[[#This Row],[y(x)]]*Tablo4[[#This Row],[Period Factor]]</f>
        <v>430.71768637001304</v>
      </c>
      <c r="T14" s="4">
        <f>Tablo4[[#This Row],[Seasonal Regression]]-Tablo4[[#This Row],[A. Demand]]</f>
        <v>-119.28231362998696</v>
      </c>
      <c r="U14" s="4">
        <f>Tablo4[[#This Row],[error]]^2/O$25</f>
        <v>592.84459770510716</v>
      </c>
    </row>
    <row r="15" spans="1:21" x14ac:dyDescent="0.25">
      <c r="J15" t="s">
        <v>39</v>
      </c>
      <c r="K15">
        <v>590</v>
      </c>
      <c r="L15">
        <v>470</v>
      </c>
      <c r="M15">
        <f>Tablo4[[#This Row],[Period Avg.]]/(K$26/24)</f>
        <v>0.86041189931350115</v>
      </c>
      <c r="N15">
        <f>Tablo4[[#This Row],[A. Demand]]/Tablo4[[#This Row],[Period Factor]]</f>
        <v>685.718085106383</v>
      </c>
      <c r="O15">
        <v>14</v>
      </c>
      <c r="P15">
        <f>Tablo4[[#This Row],[Deason Demand(y)]]*Tablo4[[#This Row],[Period in (x)]]</f>
        <v>9600.0531914893618</v>
      </c>
      <c r="Q15" s="4">
        <f>Tablo4[[#This Row],[Period in (x)]]^2</f>
        <v>196</v>
      </c>
      <c r="R15" s="4">
        <f>D$18+D$19*Tablo4[[#This Row],[Period in (x)]]</f>
        <v>568.29672597378544</v>
      </c>
      <c r="S15" s="4">
        <f>Tablo4[[#This Row],[y(x)]]*Tablo4[[#This Row],[Period Factor]]</f>
        <v>488.96926536874901</v>
      </c>
      <c r="T15" s="4">
        <f>Tablo4[[#This Row],[Seasonal Regression]]-Tablo4[[#This Row],[A. Demand]]</f>
        <v>-101.03073463125099</v>
      </c>
      <c r="U15" s="4">
        <f>Tablo4[[#This Row],[error]]^2/O$25</f>
        <v>425.30038917209413</v>
      </c>
    </row>
    <row r="16" spans="1:21" x14ac:dyDescent="0.25">
      <c r="C16" t="s">
        <v>21</v>
      </c>
      <c r="D16">
        <f>O26/O25</f>
        <v>12.5</v>
      </c>
      <c r="J16" t="s">
        <v>50</v>
      </c>
      <c r="K16">
        <v>600</v>
      </c>
      <c r="L16">
        <v>465</v>
      </c>
      <c r="M16">
        <f>Tablo4[[#This Row],[Period Avg.]]/(K$26/24)</f>
        <v>0.85125858123569798</v>
      </c>
      <c r="N16">
        <f>Tablo4[[#This Row],[A. Demand]]/Tablo4[[#This Row],[Period Factor]]</f>
        <v>704.83870967741927</v>
      </c>
      <c r="O16">
        <v>15</v>
      </c>
      <c r="P16">
        <f>Tablo4[[#This Row],[Deason Demand(y)]]*Tablo4[[#This Row],[Period in (x)]]</f>
        <v>10572.58064516129</v>
      </c>
      <c r="Q16" s="4">
        <f>Tablo4[[#This Row],[Period in (x)]]^2</f>
        <v>225</v>
      </c>
      <c r="R16" s="4">
        <f>D$18+D$19*Tablo4[[#This Row],[Period in (x)]]</f>
        <v>582.99454328964225</v>
      </c>
      <c r="S16" s="4">
        <f>Tablo4[[#This Row],[y(x)]]*Tablo4[[#This Row],[Period Factor]]</f>
        <v>496.27910778889458</v>
      </c>
      <c r="T16" s="4">
        <f>Tablo4[[#This Row],[Seasonal Regression]]-Tablo4[[#This Row],[A. Demand]]</f>
        <v>-103.72089221110542</v>
      </c>
      <c r="U16" s="4">
        <f>Tablo4[[#This Row],[error]]^2/O$25</f>
        <v>448.25097837782295</v>
      </c>
    </row>
    <row r="17" spans="3:21" x14ac:dyDescent="0.25">
      <c r="C17" t="s">
        <v>22</v>
      </c>
      <c r="D17">
        <f>N26/O25</f>
        <v>546.25000000000011</v>
      </c>
      <c r="J17" t="s">
        <v>51</v>
      </c>
      <c r="K17">
        <v>610</v>
      </c>
      <c r="L17">
        <v>475</v>
      </c>
      <c r="M17">
        <f>Tablo4[[#This Row],[Period Avg.]]/(K$26/24)</f>
        <v>0.86956521739130432</v>
      </c>
      <c r="N17">
        <f>Tablo4[[#This Row],[A. Demand]]/Tablo4[[#This Row],[Period Factor]]</f>
        <v>701.5</v>
      </c>
      <c r="O17">
        <v>16</v>
      </c>
      <c r="P17">
        <f>Tablo4[[#This Row],[Deason Demand(y)]]*Tablo4[[#This Row],[Period in (x)]]</f>
        <v>11224</v>
      </c>
      <c r="Q17" s="4">
        <f>Tablo4[[#This Row],[Period in (x)]]^2</f>
        <v>256</v>
      </c>
      <c r="R17" s="4">
        <f>D$18+D$19*Tablo4[[#This Row],[Period in (x)]]</f>
        <v>597.69236060549918</v>
      </c>
      <c r="S17" s="4">
        <f>Tablo4[[#This Row],[y(x)]]*Tablo4[[#This Row],[Period Factor]]</f>
        <v>519.73248748304275</v>
      </c>
      <c r="T17" s="4">
        <f>Tablo4[[#This Row],[Seasonal Regression]]-Tablo4[[#This Row],[A. Demand]]</f>
        <v>-90.267512516957254</v>
      </c>
      <c r="U17" s="4">
        <f>Tablo4[[#This Row],[error]]^2/O$25</f>
        <v>339.50932566662647</v>
      </c>
    </row>
    <row r="18" spans="3:21" x14ac:dyDescent="0.25">
      <c r="C18" t="s">
        <v>23</v>
      </c>
      <c r="D18">
        <f>D17-D19*D16</f>
        <v>362.52728355178903</v>
      </c>
      <c r="J18" t="s">
        <v>52</v>
      </c>
      <c r="K18">
        <v>630</v>
      </c>
      <c r="L18">
        <v>510</v>
      </c>
      <c r="M18">
        <f>Tablo4[[#This Row],[Period Avg.]]/(K$26/24)</f>
        <v>0.93363844393592677</v>
      </c>
      <c r="N18">
        <f>Tablo4[[#This Row],[A. Demand]]/Tablo4[[#This Row],[Period Factor]]</f>
        <v>674.77941176470586</v>
      </c>
      <c r="O18">
        <v>17</v>
      </c>
      <c r="P18">
        <f>Tablo4[[#This Row],[Deason Demand(y)]]*Tablo4[[#This Row],[Period in (x)]]</f>
        <v>11471.25</v>
      </c>
      <c r="Q18" s="4">
        <f>Tablo4[[#This Row],[Period in (x)]]^2</f>
        <v>289</v>
      </c>
      <c r="R18" s="4">
        <f>D$18+D$19*Tablo4[[#This Row],[Period in (x)]]</f>
        <v>612.3901779213561</v>
      </c>
      <c r="S18" s="4">
        <f>Tablo4[[#This Row],[y(x)]]*Tablo4[[#This Row],[Period Factor]]</f>
        <v>571.75101279614023</v>
      </c>
      <c r="T18" s="4">
        <f>Tablo4[[#This Row],[Seasonal Regression]]-Tablo4[[#This Row],[A. Demand]]</f>
        <v>-58.24898720385977</v>
      </c>
      <c r="U18" s="4">
        <f>Tablo4[[#This Row],[error]]^2/O$25</f>
        <v>141.37268792814248</v>
      </c>
    </row>
    <row r="19" spans="3:21" x14ac:dyDescent="0.25">
      <c r="C19" t="s">
        <v>20</v>
      </c>
      <c r="D19">
        <f>(O25*P26-N26*O26)/(O25*Q26-O26^2)</f>
        <v>14.697817315856886</v>
      </c>
      <c r="J19" t="s">
        <v>53</v>
      </c>
      <c r="K19">
        <v>620</v>
      </c>
      <c r="L19">
        <v>525</v>
      </c>
      <c r="M19">
        <f>Tablo4[[#This Row],[Period Avg.]]/(K$26/24)</f>
        <v>0.9610983981693364</v>
      </c>
      <c r="N19">
        <f>Tablo4[[#This Row],[A. Demand]]/Tablo4[[#This Row],[Period Factor]]</f>
        <v>645.09523809523807</v>
      </c>
      <c r="O19">
        <v>18</v>
      </c>
      <c r="P19">
        <f>Tablo4[[#This Row],[Deason Demand(y)]]*Tablo4[[#This Row],[Period in (x)]]</f>
        <v>11611.714285714286</v>
      </c>
      <c r="Q19" s="4">
        <f>Tablo4[[#This Row],[Period in (x)]]^2</f>
        <v>324</v>
      </c>
      <c r="R19" s="4">
        <f>D$18+D$19*Tablo4[[#This Row],[Period in (x)]]</f>
        <v>627.08799523721291</v>
      </c>
      <c r="S19" s="4">
        <f>Tablo4[[#This Row],[y(x)]]*Tablo4[[#This Row],[Period Factor]]</f>
        <v>602.69326773370574</v>
      </c>
      <c r="T19" s="4">
        <f>Tablo4[[#This Row],[Seasonal Regression]]-Tablo4[[#This Row],[A. Demand]]</f>
        <v>-17.306732266294262</v>
      </c>
      <c r="U19" s="4">
        <f>Tablo4[[#This Row],[error]]^2/O$25</f>
        <v>12.480124239049621</v>
      </c>
    </row>
    <row r="20" spans="3:21" x14ac:dyDescent="0.25">
      <c r="J20" t="s">
        <v>54</v>
      </c>
      <c r="K20">
        <v>680</v>
      </c>
      <c r="L20">
        <v>580</v>
      </c>
      <c r="M20">
        <f>Tablo4[[#This Row],[Period Avg.]]/(K$26/24)</f>
        <v>1.0617848970251715</v>
      </c>
      <c r="N20">
        <f>Tablo4[[#This Row],[A. Demand]]/Tablo4[[#This Row],[Period Factor]]</f>
        <v>640.43103448275872</v>
      </c>
      <c r="O20">
        <v>19</v>
      </c>
      <c r="P20">
        <f>Tablo4[[#This Row],[Deason Demand(y)]]*Tablo4[[#This Row],[Period in (x)]]</f>
        <v>12168.189655172415</v>
      </c>
      <c r="Q20" s="4">
        <f>Tablo4[[#This Row],[Period in (x)]]^2</f>
        <v>361</v>
      </c>
      <c r="R20" s="4">
        <f>D$18+D$19*Tablo4[[#This Row],[Period in (x)]]</f>
        <v>641.78581255306995</v>
      </c>
      <c r="S20" s="4">
        <f>Tablo4[[#This Row],[y(x)]]*Tablo4[[#This Row],[Period Factor]]</f>
        <v>681.43848289387745</v>
      </c>
      <c r="T20" s="4">
        <f>Tablo4[[#This Row],[Seasonal Regression]]-Tablo4[[#This Row],[A. Demand]]</f>
        <v>1.438482893877449</v>
      </c>
      <c r="U20" s="4">
        <f>Tablo4[[#This Row],[error]]^2/O$25</f>
        <v>8.621804316575167E-2</v>
      </c>
    </row>
    <row r="21" spans="3:21" x14ac:dyDescent="0.25">
      <c r="J21" t="s">
        <v>55</v>
      </c>
      <c r="K21">
        <v>690</v>
      </c>
      <c r="L21">
        <v>575</v>
      </c>
      <c r="M21">
        <f>Tablo4[[#This Row],[Period Avg.]]/(K$26/24)</f>
        <v>1.0526315789473684</v>
      </c>
      <c r="N21">
        <f>Tablo4[[#This Row],[A. Demand]]/Tablo4[[#This Row],[Period Factor]]</f>
        <v>655.5</v>
      </c>
      <c r="O21">
        <v>20</v>
      </c>
      <c r="P21">
        <f>Tablo4[[#This Row],[Deason Demand(y)]]*Tablo4[[#This Row],[Period in (x)]]</f>
        <v>13110</v>
      </c>
      <c r="Q21" s="4">
        <f>Tablo4[[#This Row],[Period in (x)]]^2</f>
        <v>400</v>
      </c>
      <c r="R21" s="4">
        <f>D$18+D$19*Tablo4[[#This Row],[Period in (x)]]</f>
        <v>656.48362986892676</v>
      </c>
      <c r="S21" s="4">
        <f>Tablo4[[#This Row],[y(x)]]*Tablo4[[#This Row],[Period Factor]]</f>
        <v>691.03539986202816</v>
      </c>
      <c r="T21" s="4">
        <f>Tablo4[[#This Row],[Seasonal Regression]]-Tablo4[[#This Row],[A. Demand]]</f>
        <v>1.0353998620281573</v>
      </c>
      <c r="U21" s="4">
        <f>Tablo4[[#This Row],[error]]^2/O$25</f>
        <v>4.4668869761996965E-2</v>
      </c>
    </row>
    <row r="22" spans="3:21" x14ac:dyDescent="0.25">
      <c r="J22" t="s">
        <v>56</v>
      </c>
      <c r="K22">
        <v>710</v>
      </c>
      <c r="L22">
        <v>600</v>
      </c>
      <c r="M22">
        <f>Tablo4[[#This Row],[Period Avg.]]/(K$26/24)</f>
        <v>1.0983981693363845</v>
      </c>
      <c r="N22">
        <f>Tablo4[[#This Row],[A. Demand]]/Tablo4[[#This Row],[Period Factor]]</f>
        <v>646.39583333333337</v>
      </c>
      <c r="O22">
        <v>21</v>
      </c>
      <c r="P22">
        <f>Tablo4[[#This Row],[Deason Demand(y)]]*Tablo4[[#This Row],[Period in (x)]]</f>
        <v>13574.3125</v>
      </c>
      <c r="Q22" s="4">
        <f>Tablo4[[#This Row],[Period in (x)]]^2</f>
        <v>441</v>
      </c>
      <c r="R22" s="4">
        <f>D$18+D$19*Tablo4[[#This Row],[Period in (x)]]</f>
        <v>671.18144718478356</v>
      </c>
      <c r="S22" s="4">
        <f>Tablo4[[#This Row],[y(x)]]*Tablo4[[#This Row],[Period Factor]]</f>
        <v>737.22447288031151</v>
      </c>
      <c r="T22" s="4">
        <f>Tablo4[[#This Row],[Seasonal Regression]]-Tablo4[[#This Row],[A. Demand]]</f>
        <v>27.224472880311509</v>
      </c>
      <c r="U22" s="4">
        <f>Tablo4[[#This Row],[error]]^2/O$25</f>
        <v>30.882163483784037</v>
      </c>
    </row>
    <row r="23" spans="3:21" x14ac:dyDescent="0.25">
      <c r="J23" t="s">
        <v>57</v>
      </c>
      <c r="K23">
        <v>730</v>
      </c>
      <c r="L23">
        <v>620</v>
      </c>
      <c r="M23">
        <f>Tablo4[[#This Row],[Period Avg.]]/(K$26/24)</f>
        <v>1.1350114416475972</v>
      </c>
      <c r="N23">
        <f>Tablo4[[#This Row],[A. Demand]]/Tablo4[[#This Row],[Period Factor]]</f>
        <v>643.16532258064524</v>
      </c>
      <c r="O23">
        <v>22</v>
      </c>
      <c r="P23">
        <f>Tablo4[[#This Row],[Deason Demand(y)]]*Tablo4[[#This Row],[Period in (x)]]</f>
        <v>14149.637096774195</v>
      </c>
      <c r="Q23" s="4">
        <f>Tablo4[[#This Row],[Period in (x)]]^2</f>
        <v>484</v>
      </c>
      <c r="R23" s="4">
        <f>D$18+D$19*Tablo4[[#This Row],[Period in (x)]]</f>
        <v>685.8792645006406</v>
      </c>
      <c r="S23" s="4">
        <f>Tablo4[[#This Row],[y(x)]]*Tablo4[[#This Row],[Period Factor]]</f>
        <v>778.48081279706571</v>
      </c>
      <c r="T23" s="4">
        <f>Tablo4[[#This Row],[Seasonal Regression]]-Tablo4[[#This Row],[A. Demand]]</f>
        <v>48.48081279706571</v>
      </c>
      <c r="U23" s="4">
        <f>Tablo4[[#This Row],[error]]^2/O$25</f>
        <v>97.932883727672092</v>
      </c>
    </row>
    <row r="24" spans="3:21" x14ac:dyDescent="0.25">
      <c r="J24" t="s">
        <v>58</v>
      </c>
      <c r="K24">
        <v>740</v>
      </c>
      <c r="L24">
        <v>645</v>
      </c>
      <c r="M24">
        <f>Tablo4[[#This Row],[Period Avg.]]/(K$26/24)</f>
        <v>1.1807780320366132</v>
      </c>
      <c r="N24">
        <f>Tablo4[[#This Row],[A. Demand]]/Tablo4[[#This Row],[Period Factor]]</f>
        <v>626.70542635658921</v>
      </c>
      <c r="O24">
        <v>23</v>
      </c>
      <c r="P24">
        <f>Tablo4[[#This Row],[Deason Demand(y)]]*Tablo4[[#This Row],[Period in (x)]]</f>
        <v>14414.224806201551</v>
      </c>
      <c r="Q24" s="4">
        <f>Tablo4[[#This Row],[Period in (x)]]^2</f>
        <v>529</v>
      </c>
      <c r="R24" s="4">
        <f>D$18+D$19*Tablo4[[#This Row],[Period in (x)]]</f>
        <v>700.57708181649741</v>
      </c>
      <c r="S24" s="4">
        <f>Tablo4[[#This Row],[y(x)]]*Tablo4[[#This Row],[Period Factor]]</f>
        <v>827.22602795723719</v>
      </c>
      <c r="T24" s="4">
        <f>Tablo4[[#This Row],[Seasonal Regression]]-Tablo4[[#This Row],[A. Demand]]</f>
        <v>87.226027957237193</v>
      </c>
      <c r="U24" s="4">
        <f>Tablo4[[#This Row],[error]]^2/O$25</f>
        <v>317.01583138319683</v>
      </c>
    </row>
    <row r="25" spans="3:21" x14ac:dyDescent="0.25">
      <c r="J25" t="s">
        <v>59</v>
      </c>
      <c r="K25">
        <v>770</v>
      </c>
      <c r="L25">
        <v>665</v>
      </c>
      <c r="M25">
        <f>Tablo4[[#This Row],[Period Avg.]]/(K$26/24)</f>
        <v>1.2173913043478262</v>
      </c>
      <c r="N25">
        <f>Tablo4[[#This Row],[A. Demand]]/Tablo4[[#This Row],[Period Factor]]</f>
        <v>632.5</v>
      </c>
      <c r="O25">
        <v>24</v>
      </c>
      <c r="P25">
        <f>Tablo4[[#This Row],[Deason Demand(y)]]*Tablo4[[#This Row],[Period in (x)]]</f>
        <v>15180</v>
      </c>
      <c r="Q25" s="4">
        <f>Tablo4[[#This Row],[Period in (x)]]^2</f>
        <v>576</v>
      </c>
      <c r="R25" s="4">
        <f>D$18+D$19*Tablo4[[#This Row],[Period in (x)]]</f>
        <v>715.27489913235422</v>
      </c>
      <c r="S25" s="4">
        <f>Tablo4[[#This Row],[y(x)]]*Tablo4[[#This Row],[Period Factor]]</f>
        <v>870.76944242199647</v>
      </c>
      <c r="T25" s="4">
        <f>Tablo4[[#This Row],[Seasonal Regression]]-Tablo4[[#This Row],[A. Demand]]</f>
        <v>100.76944242199647</v>
      </c>
      <c r="U25" s="4">
        <f>Tablo4[[#This Row],[error]]^2/O$25</f>
        <v>423.10335525166926</v>
      </c>
    </row>
    <row r="26" spans="3:21" x14ac:dyDescent="0.25">
      <c r="J26" t="s">
        <v>15</v>
      </c>
      <c r="K26">
        <f>SUM(Tablo4[A. Demand])</f>
        <v>13110</v>
      </c>
      <c r="L26">
        <f>SUM(Tablo4[Period Avg.])</f>
        <v>13110</v>
      </c>
      <c r="M26">
        <f>SUM(Tablo4[Period Factor])</f>
        <v>24</v>
      </c>
      <c r="N26">
        <f>SUM(Tablo4[Deason Demand(y)])</f>
        <v>13110.000000000004</v>
      </c>
      <c r="O26">
        <f>SUM(Tablo4[Period in (x)])</f>
        <v>300</v>
      </c>
      <c r="P26">
        <f>SUM(Tablo4[X*Y])</f>
        <v>180777.48991323545</v>
      </c>
      <c r="Q26">
        <f>SUM(Tablo4[X^2])</f>
        <v>4900</v>
      </c>
      <c r="R26">
        <f>SUM(Tablo4[y(x)])</f>
        <v>13109.999999999996</v>
      </c>
      <c r="S26">
        <f>SUM(Tablo4[Seasonal Regression])</f>
        <v>13276.149239222732</v>
      </c>
      <c r="T26">
        <f>SUM(Tablo4[error])</f>
        <v>166.14923922273209</v>
      </c>
      <c r="U26">
        <f>SUM(Tablo4[MSE])</f>
        <v>3880.1540601823003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2E95B-859C-4309-8023-EFADACEE819F}">
  <sheetPr codeName="Sayfa4"/>
  <dimension ref="A1:U27"/>
  <sheetViews>
    <sheetView tabSelected="1" zoomScale="85" zoomScaleNormal="85" workbookViewId="0">
      <selection activeCell="U32" sqref="U32"/>
    </sheetView>
  </sheetViews>
  <sheetFormatPr defaultRowHeight="15" x14ac:dyDescent="0.25"/>
  <cols>
    <col min="11" max="11" width="13" bestFit="1" customWidth="1"/>
    <col min="12" max="12" width="13.42578125" bestFit="1" customWidth="1"/>
    <col min="13" max="13" width="15" bestFit="1" customWidth="1"/>
    <col min="14" max="14" width="20.42578125" bestFit="1" customWidth="1"/>
    <col min="15" max="15" width="14.140625" bestFit="1" customWidth="1"/>
    <col min="16" max="16" width="12" bestFit="1" customWidth="1"/>
    <col min="17" max="17" width="6.42578125" bestFit="1" customWidth="1"/>
    <col min="18" max="18" width="12" bestFit="1" customWidth="1"/>
    <col min="19" max="19" width="21.5703125" bestFit="1" customWidth="1"/>
    <col min="20" max="20" width="12.7109375" bestFit="1" customWidth="1"/>
    <col min="21" max="21" width="12" bestFit="1" customWidth="1"/>
  </cols>
  <sheetData>
    <row r="1" spans="1:21" x14ac:dyDescent="0.25">
      <c r="A1" t="s">
        <v>28</v>
      </c>
      <c r="B1" t="s">
        <v>29</v>
      </c>
      <c r="C1" t="s">
        <v>30</v>
      </c>
      <c r="D1" t="s">
        <v>28</v>
      </c>
      <c r="E1" t="s">
        <v>29</v>
      </c>
      <c r="F1" t="s">
        <v>30</v>
      </c>
      <c r="G1" t="s">
        <v>60</v>
      </c>
      <c r="J1" t="s">
        <v>35</v>
      </c>
      <c r="K1" t="s">
        <v>34</v>
      </c>
      <c r="L1" t="s">
        <v>61</v>
      </c>
      <c r="M1" t="s">
        <v>62</v>
      </c>
      <c r="N1" t="s">
        <v>63</v>
      </c>
      <c r="O1" t="s">
        <v>65</v>
      </c>
      <c r="P1" t="s">
        <v>64</v>
      </c>
      <c r="Q1" t="s">
        <v>66</v>
      </c>
      <c r="R1" t="s">
        <v>67</v>
      </c>
      <c r="S1" t="s">
        <v>68</v>
      </c>
      <c r="T1" t="s">
        <v>25</v>
      </c>
      <c r="U1" t="s">
        <v>26</v>
      </c>
    </row>
    <row r="2" spans="1:21" x14ac:dyDescent="0.25">
      <c r="A2" t="s">
        <v>1</v>
      </c>
      <c r="B2" t="s">
        <v>32</v>
      </c>
      <c r="C2">
        <v>200</v>
      </c>
      <c r="D2" t="s">
        <v>1</v>
      </c>
      <c r="E2" t="s">
        <v>33</v>
      </c>
      <c r="F2">
        <v>300</v>
      </c>
      <c r="G2">
        <f>(C2+F2)/2</f>
        <v>250</v>
      </c>
      <c r="J2" t="s">
        <v>36</v>
      </c>
      <c r="K2">
        <v>200</v>
      </c>
      <c r="L2">
        <f t="shared" ref="L2:L25" si="0">G2</f>
        <v>250</v>
      </c>
      <c r="M2">
        <f>Tablo44[[#This Row],[Period Avg.]]/(K$26/24)</f>
        <v>0.41724617524339364</v>
      </c>
      <c r="N2">
        <f>Tablo44[[#This Row],[A. Demand]]/Tablo44[[#This Row],[Period Factor]]</f>
        <v>479.33333333333331</v>
      </c>
      <c r="O2">
        <v>1</v>
      </c>
      <c r="P2">
        <f>Tablo44[[#This Row],[Deason Demand(y)]]*Tablo44[[#This Row],[Period in (x)]]</f>
        <v>479.33333333333331</v>
      </c>
      <c r="Q2" s="4">
        <f>Tablo44[[#This Row],[Period in (x)]]^2</f>
        <v>1</v>
      </c>
      <c r="R2" s="4">
        <f>D$26+D$27*Tablo44[[#This Row],[Period in (x)]]</f>
        <v>534.2060029204647</v>
      </c>
      <c r="S2" s="4">
        <f>Tablo44[[#This Row],[y(x)]]*Tablo44[[#This Row],[Period Factor]]</f>
        <v>222.89541151062505</v>
      </c>
      <c r="T2" s="4">
        <f>Tablo44[[#This Row],[Seasonal Regression]]-Tablo44[[#This Row],[A. Demand]]</f>
        <v>22.895411510625053</v>
      </c>
      <c r="U2" s="4">
        <f>Tablo44[[#This Row],[error]]^2/O$25</f>
        <v>21.841661176702591</v>
      </c>
    </row>
    <row r="3" spans="1:21" x14ac:dyDescent="0.25">
      <c r="A3" t="s">
        <v>31</v>
      </c>
      <c r="B3" t="s">
        <v>32</v>
      </c>
      <c r="C3">
        <v>300</v>
      </c>
      <c r="D3" t="s">
        <v>31</v>
      </c>
      <c r="E3" t="s">
        <v>33</v>
      </c>
      <c r="F3">
        <v>370</v>
      </c>
      <c r="G3">
        <f t="shared" ref="G3:G13" si="1">(C3+F3)/2</f>
        <v>335</v>
      </c>
      <c r="J3" t="s">
        <v>37</v>
      </c>
      <c r="K3">
        <v>300</v>
      </c>
      <c r="L3">
        <f t="shared" si="0"/>
        <v>335</v>
      </c>
      <c r="M3">
        <f>Tablo44[[#This Row],[Period Avg.]]/(K$26/24)</f>
        <v>0.55910987482614749</v>
      </c>
      <c r="N3">
        <f>Tablo44[[#This Row],[A. Demand]]/Tablo44[[#This Row],[Period Factor]]</f>
        <v>536.56716417910445</v>
      </c>
      <c r="O3">
        <v>2</v>
      </c>
      <c r="P3">
        <f>Tablo44[[#This Row],[Deason Demand(y)]]*Tablo44[[#This Row],[Period in (x)]]</f>
        <v>1073.1343283582089</v>
      </c>
      <c r="Q3" s="4">
        <f>Tablo44[[#This Row],[Period in (x)]]^2</f>
        <v>4</v>
      </c>
      <c r="R3" s="4">
        <f>D$26+D$27*Tablo44[[#This Row],[Period in (x)]]</f>
        <v>539.85475628969971</v>
      </c>
      <c r="S3" s="4">
        <f>Tablo44[[#This Row],[y(x)]]*Tablo44[[#This Row],[Period Factor]]</f>
        <v>301.83812521343435</v>
      </c>
      <c r="T3" s="4">
        <f>Tablo44[[#This Row],[Seasonal Regression]]-Tablo44[[#This Row],[A. Demand]]</f>
        <v>1.8381252134343526</v>
      </c>
      <c r="U3" s="4">
        <f>Tablo44[[#This Row],[error]]^2/O$25</f>
        <v>0.14077934584429519</v>
      </c>
    </row>
    <row r="4" spans="1:21" x14ac:dyDescent="0.25">
      <c r="A4" t="s">
        <v>3</v>
      </c>
      <c r="B4" t="s">
        <v>32</v>
      </c>
      <c r="C4">
        <v>250</v>
      </c>
      <c r="D4" t="s">
        <v>3</v>
      </c>
      <c r="E4" t="s">
        <v>33</v>
      </c>
      <c r="F4">
        <v>380</v>
      </c>
      <c r="G4">
        <f t="shared" si="1"/>
        <v>315</v>
      </c>
      <c r="J4" t="s">
        <v>40</v>
      </c>
      <c r="K4">
        <v>250</v>
      </c>
      <c r="L4">
        <f t="shared" si="0"/>
        <v>315</v>
      </c>
      <c r="M4">
        <f>Tablo44[[#This Row],[Period Avg.]]/(K$26/24)</f>
        <v>0.525730180806676</v>
      </c>
      <c r="N4">
        <f>Tablo44[[#This Row],[A. Demand]]/Tablo44[[#This Row],[Period Factor]]</f>
        <v>475.5291005291005</v>
      </c>
      <c r="O4">
        <v>3</v>
      </c>
      <c r="P4">
        <f>Tablo44[[#This Row],[Deason Demand(y)]]*Tablo44[[#This Row],[Period in (x)]]</f>
        <v>1426.5873015873015</v>
      </c>
      <c r="Q4" s="4">
        <f>Tablo44[[#This Row],[Period in (x)]]^2</f>
        <v>9</v>
      </c>
      <c r="R4" s="4">
        <f>D$26+D$27*Tablo44[[#This Row],[Period in (x)]]</f>
        <v>545.5035096589346</v>
      </c>
      <c r="S4" s="4">
        <f>Tablo44[[#This Row],[y(x)]]*Tablo44[[#This Row],[Period Factor]]</f>
        <v>286.78765876366799</v>
      </c>
      <c r="T4" s="4">
        <f>Tablo44[[#This Row],[Seasonal Regression]]-Tablo44[[#This Row],[A. Demand]]</f>
        <v>36.787658763667991</v>
      </c>
      <c r="U4" s="4">
        <f>Tablo44[[#This Row],[error]]^2/O$25</f>
        <v>56.388826554669926</v>
      </c>
    </row>
    <row r="5" spans="1:21" x14ac:dyDescent="0.25">
      <c r="A5" t="s">
        <v>4</v>
      </c>
      <c r="B5" t="s">
        <v>32</v>
      </c>
      <c r="C5">
        <v>600</v>
      </c>
      <c r="D5" t="s">
        <v>4</v>
      </c>
      <c r="E5" t="s">
        <v>33</v>
      </c>
      <c r="F5">
        <v>710</v>
      </c>
      <c r="G5">
        <f t="shared" si="1"/>
        <v>655</v>
      </c>
      <c r="J5" t="s">
        <v>41</v>
      </c>
      <c r="K5">
        <v>600</v>
      </c>
      <c r="L5">
        <f t="shared" si="0"/>
        <v>655</v>
      </c>
      <c r="M5">
        <f>Tablo44[[#This Row],[Period Avg.]]/(K$26/24)</f>
        <v>1.0931849791376913</v>
      </c>
      <c r="N5">
        <f>Tablo44[[#This Row],[A. Demand]]/Tablo44[[#This Row],[Period Factor]]</f>
        <v>548.85496183206101</v>
      </c>
      <c r="O5">
        <v>4</v>
      </c>
      <c r="P5">
        <f>Tablo44[[#This Row],[Deason Demand(y)]]*Tablo44[[#This Row],[Period in (x)]]</f>
        <v>2195.419847328244</v>
      </c>
      <c r="Q5" s="4">
        <f>Tablo44[[#This Row],[Period in (x)]]^2</f>
        <v>16</v>
      </c>
      <c r="R5" s="4">
        <f>D$26+D$27*Tablo44[[#This Row],[Period in (x)]]</f>
        <v>551.15226302816961</v>
      </c>
      <c r="S5" s="4">
        <f>Tablo44[[#This Row],[y(x)]]*Tablo44[[#This Row],[Period Factor]]</f>
        <v>602.51137516014091</v>
      </c>
      <c r="T5" s="4">
        <f>Tablo44[[#This Row],[Seasonal Regression]]-Tablo44[[#This Row],[A. Demand]]</f>
        <v>2.5113751601409149</v>
      </c>
      <c r="U5" s="4">
        <f>Tablo44[[#This Row],[error]]^2/O$25</f>
        <v>0.26279188312386692</v>
      </c>
    </row>
    <row r="6" spans="1:21" x14ac:dyDescent="0.25">
      <c r="A6" t="s">
        <v>5</v>
      </c>
      <c r="B6" t="s">
        <v>32</v>
      </c>
      <c r="C6">
        <v>650</v>
      </c>
      <c r="D6" t="s">
        <v>5</v>
      </c>
      <c r="E6" t="s">
        <v>33</v>
      </c>
      <c r="F6">
        <v>730</v>
      </c>
      <c r="G6">
        <f t="shared" si="1"/>
        <v>690</v>
      </c>
      <c r="J6" t="s">
        <v>42</v>
      </c>
      <c r="K6">
        <v>650</v>
      </c>
      <c r="L6">
        <f t="shared" si="0"/>
        <v>690</v>
      </c>
      <c r="M6">
        <f>Tablo44[[#This Row],[Period Avg.]]/(K$26/24)</f>
        <v>1.1515994436717665</v>
      </c>
      <c r="N6">
        <f>Tablo44[[#This Row],[A. Demand]]/Tablo44[[#This Row],[Period Factor]]</f>
        <v>564.43236714975842</v>
      </c>
      <c r="O6">
        <v>5</v>
      </c>
      <c r="P6">
        <f>Tablo44[[#This Row],[Deason Demand(y)]]*Tablo44[[#This Row],[Period in (x)]]</f>
        <v>2822.1618357487923</v>
      </c>
      <c r="Q6" s="4">
        <f>Tablo44[[#This Row],[Period in (x)]]^2</f>
        <v>25</v>
      </c>
      <c r="R6" s="4">
        <f>D$26+D$27*Tablo44[[#This Row],[Period in (x)]]</f>
        <v>556.80101639740451</v>
      </c>
      <c r="S6" s="4">
        <f>Tablo44[[#This Row],[y(x)]]*Tablo44[[#This Row],[Period Factor]]</f>
        <v>641.21174071912515</v>
      </c>
      <c r="T6" s="4">
        <f>Tablo44[[#This Row],[Seasonal Regression]]-Tablo44[[#This Row],[A. Demand]]</f>
        <v>-8.7882592808748541</v>
      </c>
      <c r="U6" s="4">
        <f>Tablo44[[#This Row],[error]]^2/O$25</f>
        <v>3.2180625494951252</v>
      </c>
    </row>
    <row r="7" spans="1:21" x14ac:dyDescent="0.25">
      <c r="A7" t="s">
        <v>6</v>
      </c>
      <c r="B7" t="s">
        <v>32</v>
      </c>
      <c r="C7">
        <v>670</v>
      </c>
      <c r="D7" t="s">
        <v>6</v>
      </c>
      <c r="E7" t="s">
        <v>33</v>
      </c>
      <c r="F7">
        <v>790</v>
      </c>
      <c r="G7">
        <f t="shared" si="1"/>
        <v>730</v>
      </c>
      <c r="J7" t="s">
        <v>43</v>
      </c>
      <c r="K7">
        <v>670</v>
      </c>
      <c r="L7">
        <f t="shared" si="0"/>
        <v>730</v>
      </c>
      <c r="M7">
        <f>Tablo44[[#This Row],[Period Avg.]]/(K$26/24)</f>
        <v>1.2183588317107095</v>
      </c>
      <c r="N7">
        <f>Tablo44[[#This Row],[A. Demand]]/Tablo44[[#This Row],[Period Factor]]</f>
        <v>549.92009132420083</v>
      </c>
      <c r="O7">
        <v>6</v>
      </c>
      <c r="P7">
        <f>Tablo44[[#This Row],[Deason Demand(y)]]*Tablo44[[#This Row],[Period in (x)]]</f>
        <v>3299.5205479452052</v>
      </c>
      <c r="Q7" s="4">
        <f>Tablo44[[#This Row],[Period in (x)]]^2</f>
        <v>36</v>
      </c>
      <c r="R7" s="4">
        <f>D$26+D$27*Tablo44[[#This Row],[Period in (x)]]</f>
        <v>562.44976976663952</v>
      </c>
      <c r="S7" s="4">
        <f>Tablo44[[#This Row],[y(x)]]*Tablo44[[#This Row],[Period Factor]]</f>
        <v>685.26564438884043</v>
      </c>
      <c r="T7" s="4">
        <f>Tablo44[[#This Row],[Seasonal Regression]]-Tablo44[[#This Row],[A. Demand]]</f>
        <v>15.265644388840428</v>
      </c>
      <c r="U7" s="4">
        <f>Tablo44[[#This Row],[error]]^2/O$25</f>
        <v>9.7099957752723025</v>
      </c>
    </row>
    <row r="8" spans="1:21" x14ac:dyDescent="0.25">
      <c r="A8" t="s">
        <v>7</v>
      </c>
      <c r="B8" t="s">
        <v>32</v>
      </c>
      <c r="C8">
        <v>400</v>
      </c>
      <c r="D8" t="s">
        <v>7</v>
      </c>
      <c r="E8" t="s">
        <v>33</v>
      </c>
      <c r="F8">
        <v>450</v>
      </c>
      <c r="G8">
        <f t="shared" si="1"/>
        <v>425</v>
      </c>
      <c r="J8" t="s">
        <v>44</v>
      </c>
      <c r="K8">
        <v>400</v>
      </c>
      <c r="L8">
        <f t="shared" si="0"/>
        <v>425</v>
      </c>
      <c r="M8">
        <f>Tablo44[[#This Row],[Period Avg.]]/(K$26/24)</f>
        <v>0.70931849791376922</v>
      </c>
      <c r="N8">
        <f>Tablo44[[#This Row],[A. Demand]]/Tablo44[[#This Row],[Period Factor]]</f>
        <v>563.92156862745094</v>
      </c>
      <c r="O8">
        <v>7</v>
      </c>
      <c r="P8">
        <f>Tablo44[[#This Row],[Deason Demand(y)]]*Tablo44[[#This Row],[Period in (x)]]</f>
        <v>3947.4509803921565</v>
      </c>
      <c r="Q8" s="4">
        <f>Tablo44[[#This Row],[Period in (x)]]^2</f>
        <v>49</v>
      </c>
      <c r="R8" s="4">
        <f>D$26+D$27*Tablo44[[#This Row],[Period in (x)]]</f>
        <v>568.09852313587442</v>
      </c>
      <c r="S8" s="4">
        <f>Tablo44[[#This Row],[y(x)]]*Tablo44[[#This Row],[Period Factor]]</f>
        <v>402.96279109776913</v>
      </c>
      <c r="T8" s="4">
        <f>Tablo44[[#This Row],[Seasonal Regression]]-Tablo44[[#This Row],[A. Demand]]</f>
        <v>2.9627910977691272</v>
      </c>
      <c r="U8" s="4">
        <f>Tablo44[[#This Row],[error]]^2/O$25</f>
        <v>0.36575546204249959</v>
      </c>
    </row>
    <row r="9" spans="1:21" x14ac:dyDescent="0.25">
      <c r="A9" t="s">
        <v>8</v>
      </c>
      <c r="B9" t="s">
        <v>32</v>
      </c>
      <c r="C9">
        <v>440</v>
      </c>
      <c r="D9" t="s">
        <v>8</v>
      </c>
      <c r="E9" t="s">
        <v>33</v>
      </c>
      <c r="F9">
        <v>480</v>
      </c>
      <c r="G9">
        <f t="shared" si="1"/>
        <v>460</v>
      </c>
      <c r="J9" t="s">
        <v>45</v>
      </c>
      <c r="K9">
        <v>440</v>
      </c>
      <c r="L9">
        <f t="shared" si="0"/>
        <v>460</v>
      </c>
      <c r="M9">
        <f>Tablo44[[#This Row],[Period Avg.]]/(K$26/24)</f>
        <v>0.76773296244784428</v>
      </c>
      <c r="N9">
        <f>Tablo44[[#This Row],[A. Demand]]/Tablo44[[#This Row],[Period Factor]]</f>
        <v>573.1159420289855</v>
      </c>
      <c r="O9">
        <v>8</v>
      </c>
      <c r="P9">
        <f>Tablo44[[#This Row],[Deason Demand(y)]]*Tablo44[[#This Row],[Period in (x)]]</f>
        <v>4584.927536231884</v>
      </c>
      <c r="Q9" s="4">
        <f>Tablo44[[#This Row],[Period in (x)]]^2</f>
        <v>64</v>
      </c>
      <c r="R9" s="4">
        <f>D$26+D$27*Tablo44[[#This Row],[Period in (x)]]</f>
        <v>573.74727650510943</v>
      </c>
      <c r="S9" s="4">
        <f>Tablo44[[#This Row],[y(x)]]*Tablo44[[#This Row],[Period Factor]]</f>
        <v>440.48469628765008</v>
      </c>
      <c r="T9" s="4">
        <f>Tablo44[[#This Row],[Seasonal Regression]]-Tablo44[[#This Row],[A. Demand]]</f>
        <v>0.4846962876500811</v>
      </c>
      <c r="U9" s="4">
        <f>Tablo44[[#This Row],[error]]^2/O$25</f>
        <v>9.788770469240423E-3</v>
      </c>
    </row>
    <row r="10" spans="1:21" x14ac:dyDescent="0.25">
      <c r="A10" t="s">
        <v>9</v>
      </c>
      <c r="B10" t="s">
        <v>32</v>
      </c>
      <c r="C10">
        <v>430</v>
      </c>
      <c r="D10" t="s">
        <v>9</v>
      </c>
      <c r="E10" t="s">
        <v>33</v>
      </c>
      <c r="F10">
        <v>490</v>
      </c>
      <c r="G10">
        <f t="shared" si="1"/>
        <v>460</v>
      </c>
      <c r="J10" t="s">
        <v>46</v>
      </c>
      <c r="K10">
        <v>430</v>
      </c>
      <c r="L10">
        <f t="shared" si="0"/>
        <v>460</v>
      </c>
      <c r="M10">
        <f>Tablo44[[#This Row],[Period Avg.]]/(K$26/24)</f>
        <v>0.76773296244784428</v>
      </c>
      <c r="N10">
        <f>Tablo44[[#This Row],[A. Demand]]/Tablo44[[#This Row],[Period Factor]]</f>
        <v>560.09057971014488</v>
      </c>
      <c r="O10">
        <v>9</v>
      </c>
      <c r="P10">
        <f>Tablo44[[#This Row],[Deason Demand(y)]]*Tablo44[[#This Row],[Period in (x)]]</f>
        <v>5040.815217391304</v>
      </c>
      <c r="Q10" s="4">
        <f>Tablo44[[#This Row],[Period in (x)]]^2</f>
        <v>81</v>
      </c>
      <c r="R10" s="4">
        <f>D$26+D$27*Tablo44[[#This Row],[Period in (x)]]</f>
        <v>579.39602987434432</v>
      </c>
      <c r="S10" s="4">
        <f>Tablo44[[#This Row],[y(x)]]*Tablo44[[#This Row],[Period Factor]]</f>
        <v>444.82143044595006</v>
      </c>
      <c r="T10" s="4">
        <f>Tablo44[[#This Row],[Seasonal Regression]]-Tablo44[[#This Row],[A. Demand]]</f>
        <v>14.821430445950057</v>
      </c>
      <c r="U10" s="4">
        <f>Tablo44[[#This Row],[error]]^2/O$25</f>
        <v>9.153116686005637</v>
      </c>
    </row>
    <row r="11" spans="1:21" x14ac:dyDescent="0.25">
      <c r="A11" t="s">
        <v>10</v>
      </c>
      <c r="B11" t="s">
        <v>32</v>
      </c>
      <c r="C11">
        <v>900</v>
      </c>
      <c r="D11" t="s">
        <v>10</v>
      </c>
      <c r="E11" t="s">
        <v>33</v>
      </c>
      <c r="F11">
        <v>930</v>
      </c>
      <c r="G11">
        <f t="shared" si="1"/>
        <v>915</v>
      </c>
      <c r="J11" t="s">
        <v>47</v>
      </c>
      <c r="K11">
        <v>900</v>
      </c>
      <c r="L11">
        <f t="shared" si="0"/>
        <v>915</v>
      </c>
      <c r="M11">
        <f>Tablo44[[#This Row],[Period Avg.]]/(K$26/24)</f>
        <v>1.5271210013908207</v>
      </c>
      <c r="N11">
        <f>Tablo44[[#This Row],[A. Demand]]/Tablo44[[#This Row],[Period Factor]]</f>
        <v>589.34426229508188</v>
      </c>
      <c r="O11">
        <v>10</v>
      </c>
      <c r="P11">
        <f>Tablo44[[#This Row],[Deason Demand(y)]]*Tablo44[[#This Row],[Period in (x)]]</f>
        <v>5893.442622950819</v>
      </c>
      <c r="Q11" s="4">
        <f>Tablo44[[#This Row],[Period in (x)]]^2</f>
        <v>100</v>
      </c>
      <c r="R11" s="4">
        <f>D$26+D$27*Tablo44[[#This Row],[Period in (x)]]</f>
        <v>585.04478324357933</v>
      </c>
      <c r="S11" s="4">
        <f>Tablo44[[#This Row],[y(x)]]*Tablo44[[#This Row],[Period Factor]]</f>
        <v>893.43417524541053</v>
      </c>
      <c r="T11" s="4">
        <f>Tablo44[[#This Row],[Seasonal Regression]]-Tablo44[[#This Row],[A. Demand]]</f>
        <v>-6.565824754589471</v>
      </c>
      <c r="U11" s="4">
        <f>Tablo44[[#This Row],[error]]^2/O$25</f>
        <v>1.7962522794991618</v>
      </c>
    </row>
    <row r="12" spans="1:21" x14ac:dyDescent="0.25">
      <c r="A12" t="s">
        <v>11</v>
      </c>
      <c r="B12" t="s">
        <v>32</v>
      </c>
      <c r="C12">
        <v>980</v>
      </c>
      <c r="D12" t="s">
        <v>11</v>
      </c>
      <c r="E12" t="s">
        <v>33</v>
      </c>
      <c r="F12">
        <v>960</v>
      </c>
      <c r="G12">
        <f t="shared" si="1"/>
        <v>970</v>
      </c>
      <c r="J12" t="s">
        <v>48</v>
      </c>
      <c r="K12">
        <v>980</v>
      </c>
      <c r="L12">
        <f t="shared" si="0"/>
        <v>970</v>
      </c>
      <c r="M12">
        <f>Tablo44[[#This Row],[Period Avg.]]/(K$26/24)</f>
        <v>1.6189151599443672</v>
      </c>
      <c r="N12">
        <f>Tablo44[[#This Row],[A. Demand]]/Tablo44[[#This Row],[Period Factor]]</f>
        <v>605.34364261168389</v>
      </c>
      <c r="O12">
        <v>11</v>
      </c>
      <c r="P12">
        <f>Tablo44[[#This Row],[Deason Demand(y)]]*Tablo44[[#This Row],[Period in (x)]]</f>
        <v>6658.7800687285226</v>
      </c>
      <c r="Q12" s="4">
        <f>Tablo44[[#This Row],[Period in (x)]]^2</f>
        <v>121</v>
      </c>
      <c r="R12" s="4">
        <f>D$26+D$27*Tablo44[[#This Row],[Period in (x)]]</f>
        <v>590.69353661281423</v>
      </c>
      <c r="S12" s="4">
        <f>Tablo44[[#This Row],[y(x)]]*Tablo44[[#This Row],[Period Factor]]</f>
        <v>956.28272130363803</v>
      </c>
      <c r="T12" s="4">
        <f>Tablo44[[#This Row],[Seasonal Regression]]-Tablo44[[#This Row],[A. Demand]]</f>
        <v>-23.717278696361973</v>
      </c>
      <c r="U12" s="4">
        <f>Tablo44[[#This Row],[error]]^2/O$25</f>
        <v>23.437887865037727</v>
      </c>
    </row>
    <row r="13" spans="1:21" x14ac:dyDescent="0.25">
      <c r="A13" t="s">
        <v>12</v>
      </c>
      <c r="B13" t="s">
        <v>32</v>
      </c>
      <c r="C13">
        <v>990</v>
      </c>
      <c r="D13" t="s">
        <v>12</v>
      </c>
      <c r="E13" t="s">
        <v>33</v>
      </c>
      <c r="F13">
        <v>980</v>
      </c>
      <c r="G13">
        <f t="shared" si="1"/>
        <v>985</v>
      </c>
      <c r="J13" t="s">
        <v>49</v>
      </c>
      <c r="K13">
        <v>990</v>
      </c>
      <c r="L13">
        <f t="shared" si="0"/>
        <v>985</v>
      </c>
      <c r="M13">
        <f>Tablo44[[#This Row],[Period Avg.]]/(K$26/24)</f>
        <v>1.6439499304589709</v>
      </c>
      <c r="N13">
        <f>Tablo44[[#This Row],[A. Demand]]/Tablo44[[#This Row],[Period Factor]]</f>
        <v>602.20812182741111</v>
      </c>
      <c r="O13">
        <v>12</v>
      </c>
      <c r="P13">
        <f>Tablo44[[#This Row],[Deason Demand(y)]]*Tablo44[[#This Row],[Period in (x)]]</f>
        <v>7226.4974619289333</v>
      </c>
      <c r="Q13" s="4">
        <f>Tablo44[[#This Row],[Period in (x)]]^2</f>
        <v>144</v>
      </c>
      <c r="R13" s="4">
        <f>D$26+D$27*Tablo44[[#This Row],[Period in (x)]]</f>
        <v>596.34228998204912</v>
      </c>
      <c r="S13" s="4">
        <f>Tablo44[[#This Row],[y(x)]]*Tablo44[[#This Row],[Period Factor]]</f>
        <v>980.35686614573308</v>
      </c>
      <c r="T13" s="4">
        <f>Tablo44[[#This Row],[Seasonal Regression]]-Tablo44[[#This Row],[A. Demand]]</f>
        <v>-9.6431338542669209</v>
      </c>
      <c r="U13" s="4">
        <f>Tablo44[[#This Row],[error]]^2/O$25</f>
        <v>3.8745846054712003</v>
      </c>
    </row>
    <row r="14" spans="1:21" x14ac:dyDescent="0.25">
      <c r="G14">
        <v>250</v>
      </c>
      <c r="J14" t="s">
        <v>38</v>
      </c>
      <c r="K14">
        <v>300</v>
      </c>
      <c r="L14">
        <f t="shared" si="0"/>
        <v>250</v>
      </c>
      <c r="M14">
        <f>Tablo44[[#This Row],[Period Avg.]]/(K$26/24)</f>
        <v>0.41724617524339364</v>
      </c>
      <c r="N14">
        <f>Tablo44[[#This Row],[A. Demand]]/Tablo44[[#This Row],[Period Factor]]</f>
        <v>718.99999999999989</v>
      </c>
      <c r="O14">
        <v>13</v>
      </c>
      <c r="P14">
        <f>Tablo44[[#This Row],[Deason Demand(y)]]*Tablo44[[#This Row],[Period in (x)]]</f>
        <v>9346.9999999999982</v>
      </c>
      <c r="Q14" s="4">
        <f>Tablo44[[#This Row],[Period in (x)]]^2</f>
        <v>169</v>
      </c>
      <c r="R14" s="4">
        <f>D$26+D$27*Tablo44[[#This Row],[Period in (x)]]</f>
        <v>601.99104335128413</v>
      </c>
      <c r="S14" s="4">
        <f>Tablo44[[#This Row],[y(x)]]*Tablo44[[#This Row],[Period Factor]]</f>
        <v>251.17846036910328</v>
      </c>
      <c r="T14" s="4">
        <f>Tablo44[[#This Row],[Seasonal Regression]]-Tablo44[[#This Row],[A. Demand]]</f>
        <v>-48.821539630896723</v>
      </c>
      <c r="U14" s="4">
        <f>Tablo44[[#This Row],[error]]^2/O$25</f>
        <v>99.314280497134135</v>
      </c>
    </row>
    <row r="15" spans="1:21" x14ac:dyDescent="0.25">
      <c r="G15">
        <v>335</v>
      </c>
      <c r="J15" t="s">
        <v>39</v>
      </c>
      <c r="K15">
        <v>370</v>
      </c>
      <c r="L15">
        <f t="shared" si="0"/>
        <v>335</v>
      </c>
      <c r="M15">
        <f>Tablo44[[#This Row],[Period Avg.]]/(K$26/24)</f>
        <v>0.55910987482614749</v>
      </c>
      <c r="N15">
        <f>Tablo44[[#This Row],[A. Demand]]/Tablo44[[#This Row],[Period Factor]]</f>
        <v>661.76616915422881</v>
      </c>
      <c r="O15">
        <v>14</v>
      </c>
      <c r="P15">
        <f>Tablo44[[#This Row],[Deason Demand(y)]]*Tablo44[[#This Row],[Period in (x)]]</f>
        <v>9264.726368159203</v>
      </c>
      <c r="Q15" s="4">
        <f>Tablo44[[#This Row],[Period in (x)]]^2</f>
        <v>196</v>
      </c>
      <c r="R15" s="4">
        <f>D$26+D$27*Tablo44[[#This Row],[Period in (x)]]</f>
        <v>607.63979672051903</v>
      </c>
      <c r="S15" s="4">
        <f>Tablo44[[#This Row],[y(x)]]*Tablo44[[#This Row],[Period Factor]]</f>
        <v>339.73741068379508</v>
      </c>
      <c r="T15" s="4">
        <f>Tablo44[[#This Row],[Seasonal Regression]]-Tablo44[[#This Row],[A. Demand]]</f>
        <v>-30.262589316204924</v>
      </c>
      <c r="U15" s="4">
        <f>Tablo44[[#This Row],[error]]^2/O$25</f>
        <v>38.159346338386683</v>
      </c>
    </row>
    <row r="16" spans="1:21" x14ac:dyDescent="0.25">
      <c r="G16">
        <v>315</v>
      </c>
      <c r="J16" t="s">
        <v>50</v>
      </c>
      <c r="K16">
        <v>380</v>
      </c>
      <c r="L16">
        <f t="shared" si="0"/>
        <v>315</v>
      </c>
      <c r="M16">
        <f>Tablo44[[#This Row],[Period Avg.]]/(K$26/24)</f>
        <v>0.525730180806676</v>
      </c>
      <c r="N16">
        <f>Tablo44[[#This Row],[A. Demand]]/Tablo44[[#This Row],[Period Factor]]</f>
        <v>722.8042328042327</v>
      </c>
      <c r="O16">
        <v>15</v>
      </c>
      <c r="P16">
        <f>Tablo44[[#This Row],[Deason Demand(y)]]*Tablo44[[#This Row],[Period in (x)]]</f>
        <v>10842.063492063491</v>
      </c>
      <c r="Q16" s="4">
        <f>Tablo44[[#This Row],[Period in (x)]]^2</f>
        <v>225</v>
      </c>
      <c r="R16" s="4">
        <f>D$26+D$27*Tablo44[[#This Row],[Period in (x)]]</f>
        <v>613.28855008975404</v>
      </c>
      <c r="S16" s="4">
        <f>Tablo44[[#This Row],[y(x)]]*Tablo44[[#This Row],[Period Factor]]</f>
        <v>322.42430032535054</v>
      </c>
      <c r="T16" s="4">
        <f>Tablo44[[#This Row],[Seasonal Regression]]-Tablo44[[#This Row],[A. Demand]]</f>
        <v>-57.575699674649456</v>
      </c>
      <c r="U16" s="4">
        <f>Tablo44[[#This Row],[error]]^2/O$25</f>
        <v>138.12338304272623</v>
      </c>
    </row>
    <row r="17" spans="3:21" x14ac:dyDescent="0.25">
      <c r="G17">
        <v>655</v>
      </c>
      <c r="J17" t="s">
        <v>51</v>
      </c>
      <c r="K17">
        <v>710</v>
      </c>
      <c r="L17">
        <f t="shared" si="0"/>
        <v>655</v>
      </c>
      <c r="M17">
        <f>Tablo44[[#This Row],[Period Avg.]]/(K$26/24)</f>
        <v>1.0931849791376913</v>
      </c>
      <c r="N17">
        <f>Tablo44[[#This Row],[A. Demand]]/Tablo44[[#This Row],[Period Factor]]</f>
        <v>649.47837150127225</v>
      </c>
      <c r="O17">
        <v>16</v>
      </c>
      <c r="P17">
        <f>Tablo44[[#This Row],[Deason Demand(y)]]*Tablo44[[#This Row],[Period in (x)]]</f>
        <v>10391.653944020356</v>
      </c>
      <c r="Q17" s="4">
        <f>Tablo44[[#This Row],[Period in (x)]]^2</f>
        <v>256</v>
      </c>
      <c r="R17" s="4">
        <f>D$26+D$27*Tablo44[[#This Row],[Period in (x)]]</f>
        <v>618.93730345898894</v>
      </c>
      <c r="S17" s="4">
        <f>Tablo44[[#This Row],[y(x)]]*Tablo44[[#This Row],[Period Factor]]</f>
        <v>676.61296316935375</v>
      </c>
      <c r="T17" s="4">
        <f>Tablo44[[#This Row],[Seasonal Regression]]-Tablo44[[#This Row],[A. Demand]]</f>
        <v>-33.387036830646252</v>
      </c>
      <c r="U17" s="4">
        <f>Tablo44[[#This Row],[error]]^2/O$25</f>
        <v>46.44559284712205</v>
      </c>
    </row>
    <row r="18" spans="3:21" x14ac:dyDescent="0.25">
      <c r="G18">
        <v>690</v>
      </c>
      <c r="J18" t="s">
        <v>52</v>
      </c>
      <c r="K18">
        <v>730</v>
      </c>
      <c r="L18">
        <f t="shared" si="0"/>
        <v>690</v>
      </c>
      <c r="M18">
        <f>Tablo44[[#This Row],[Period Avg.]]/(K$26/24)</f>
        <v>1.1515994436717665</v>
      </c>
      <c r="N18">
        <f>Tablo44[[#This Row],[A. Demand]]/Tablo44[[#This Row],[Period Factor]]</f>
        <v>633.90096618357484</v>
      </c>
      <c r="O18">
        <v>17</v>
      </c>
      <c r="P18">
        <f>Tablo44[[#This Row],[Deason Demand(y)]]*Tablo44[[#This Row],[Period in (x)]]</f>
        <v>10776.316425120773</v>
      </c>
      <c r="Q18" s="4">
        <f>Tablo44[[#This Row],[Period in (x)]]^2</f>
        <v>289</v>
      </c>
      <c r="R18" s="4">
        <f>D$26+D$27*Tablo44[[#This Row],[Period in (x)]]</f>
        <v>624.58605682822395</v>
      </c>
      <c r="S18" s="4">
        <f>Tablo44[[#This Row],[y(x)]]*Tablo44[[#This Row],[Period Factor]]</f>
        <v>719.27295556852505</v>
      </c>
      <c r="T18" s="4">
        <f>Tablo44[[#This Row],[Seasonal Regression]]-Tablo44[[#This Row],[A. Demand]]</f>
        <v>-10.727044431474951</v>
      </c>
      <c r="U18" s="4">
        <f>Tablo44[[#This Row],[error]]^2/O$25</f>
        <v>4.7945617597849068</v>
      </c>
    </row>
    <row r="19" spans="3:21" x14ac:dyDescent="0.25">
      <c r="G19">
        <v>730</v>
      </c>
      <c r="J19" t="s">
        <v>53</v>
      </c>
      <c r="K19">
        <v>790</v>
      </c>
      <c r="L19">
        <f t="shared" si="0"/>
        <v>730</v>
      </c>
      <c r="M19">
        <f>Tablo44[[#This Row],[Period Avg.]]/(K$26/24)</f>
        <v>1.2183588317107095</v>
      </c>
      <c r="N19">
        <f>Tablo44[[#This Row],[A. Demand]]/Tablo44[[#This Row],[Period Factor]]</f>
        <v>648.41324200913232</v>
      </c>
      <c r="O19">
        <v>18</v>
      </c>
      <c r="P19">
        <f>Tablo44[[#This Row],[Deason Demand(y)]]*Tablo44[[#This Row],[Period in (x)]]</f>
        <v>11671.438356164381</v>
      </c>
      <c r="Q19" s="4">
        <f>Tablo44[[#This Row],[Period in (x)]]^2</f>
        <v>324</v>
      </c>
      <c r="R19" s="4">
        <f>D$26+D$27*Tablo44[[#This Row],[Period in (x)]]</f>
        <v>630.23481019745884</v>
      </c>
      <c r="S19" s="4">
        <f>Tablo44[[#This Row],[y(x)]]*Tablo44[[#This Row],[Period Factor]]</f>
        <v>767.85214705559667</v>
      </c>
      <c r="T19" s="4">
        <f>Tablo44[[#This Row],[Seasonal Regression]]-Tablo44[[#This Row],[A. Demand]]</f>
        <v>-22.147852944403326</v>
      </c>
      <c r="U19" s="4">
        <f>Tablo44[[#This Row],[error]]^2/O$25</f>
        <v>20.438641251954795</v>
      </c>
    </row>
    <row r="20" spans="3:21" x14ac:dyDescent="0.25">
      <c r="G20">
        <v>425</v>
      </c>
      <c r="J20" t="s">
        <v>54</v>
      </c>
      <c r="K20">
        <v>450</v>
      </c>
      <c r="L20">
        <f t="shared" si="0"/>
        <v>425</v>
      </c>
      <c r="M20">
        <f>Tablo44[[#This Row],[Period Avg.]]/(K$26/24)</f>
        <v>0.70931849791376922</v>
      </c>
      <c r="N20">
        <f>Tablo44[[#This Row],[A. Demand]]/Tablo44[[#This Row],[Period Factor]]</f>
        <v>634.41176470588232</v>
      </c>
      <c r="O20">
        <v>19</v>
      </c>
      <c r="P20">
        <f>Tablo44[[#This Row],[Deason Demand(y)]]*Tablo44[[#This Row],[Period in (x)]]</f>
        <v>12053.823529411764</v>
      </c>
      <c r="Q20" s="4">
        <f>Tablo44[[#This Row],[Period in (x)]]^2</f>
        <v>361</v>
      </c>
      <c r="R20" s="4">
        <f>D$26+D$27*Tablo44[[#This Row],[Period in (x)]]</f>
        <v>635.88356356669385</v>
      </c>
      <c r="S20" s="4">
        <f>Tablo44[[#This Row],[y(x)]]*Tablo44[[#This Row],[Period Factor]]</f>
        <v>451.04397415718205</v>
      </c>
      <c r="T20" s="4">
        <f>Tablo44[[#This Row],[Seasonal Regression]]-Tablo44[[#This Row],[A. Demand]]</f>
        <v>1.0439741571820491</v>
      </c>
      <c r="U20" s="4">
        <f>Tablo44[[#This Row],[error]]^2/O$25</f>
        <v>4.5411751702665405E-2</v>
      </c>
    </row>
    <row r="21" spans="3:21" x14ac:dyDescent="0.25">
      <c r="G21">
        <v>460</v>
      </c>
      <c r="J21" t="s">
        <v>55</v>
      </c>
      <c r="K21">
        <v>480</v>
      </c>
      <c r="L21">
        <f t="shared" si="0"/>
        <v>460</v>
      </c>
      <c r="M21">
        <f>Tablo44[[#This Row],[Period Avg.]]/(K$26/24)</f>
        <v>0.76773296244784428</v>
      </c>
      <c r="N21">
        <f>Tablo44[[#This Row],[A. Demand]]/Tablo44[[#This Row],[Period Factor]]</f>
        <v>625.21739130434776</v>
      </c>
      <c r="O21">
        <v>20</v>
      </c>
      <c r="P21">
        <f>Tablo44[[#This Row],[Deason Demand(y)]]*Tablo44[[#This Row],[Period in (x)]]</f>
        <v>12504.347826086956</v>
      </c>
      <c r="Q21" s="4">
        <f>Tablo44[[#This Row],[Period in (x)]]^2</f>
        <v>400</v>
      </c>
      <c r="R21" s="4">
        <f>D$26+D$27*Tablo44[[#This Row],[Period in (x)]]</f>
        <v>641.53231693592875</v>
      </c>
      <c r="S21" s="4">
        <f>Tablo44[[#This Row],[y(x)]]*Tablo44[[#This Row],[Period Factor]]</f>
        <v>492.5255061872499</v>
      </c>
      <c r="T21" s="4">
        <f>Tablo44[[#This Row],[Seasonal Regression]]-Tablo44[[#This Row],[A. Demand]]</f>
        <v>12.525506187249903</v>
      </c>
      <c r="U21" s="4">
        <f>Tablo44[[#This Row],[error]]^2/O$25</f>
        <v>6.5370127186181497</v>
      </c>
    </row>
    <row r="22" spans="3:21" x14ac:dyDescent="0.25">
      <c r="G22">
        <v>460</v>
      </c>
      <c r="J22" t="s">
        <v>56</v>
      </c>
      <c r="K22">
        <v>490</v>
      </c>
      <c r="L22">
        <f t="shared" si="0"/>
        <v>460</v>
      </c>
      <c r="M22">
        <f>Tablo44[[#This Row],[Period Avg.]]/(K$26/24)</f>
        <v>0.76773296244784428</v>
      </c>
      <c r="N22">
        <f>Tablo44[[#This Row],[A. Demand]]/Tablo44[[#This Row],[Period Factor]]</f>
        <v>638.24275362318838</v>
      </c>
      <c r="O22">
        <v>21</v>
      </c>
      <c r="P22">
        <f>Tablo44[[#This Row],[Deason Demand(y)]]*Tablo44[[#This Row],[Period in (x)]]</f>
        <v>13403.097826086956</v>
      </c>
      <c r="Q22" s="4">
        <f>Tablo44[[#This Row],[Period in (x)]]^2</f>
        <v>441</v>
      </c>
      <c r="R22" s="4">
        <f>D$26+D$27*Tablo44[[#This Row],[Period in (x)]]</f>
        <v>647.18107030516376</v>
      </c>
      <c r="S22" s="4">
        <f>Tablo44[[#This Row],[y(x)]]*Tablo44[[#This Row],[Period Factor]]</f>
        <v>496.86224034554994</v>
      </c>
      <c r="T22" s="4">
        <f>Tablo44[[#This Row],[Seasonal Regression]]-Tablo44[[#This Row],[A. Demand]]</f>
        <v>6.8622403455499352</v>
      </c>
      <c r="U22" s="4">
        <f>Tablo44[[#This Row],[error]]^2/O$25</f>
        <v>1.962097606670554</v>
      </c>
    </row>
    <row r="23" spans="3:21" x14ac:dyDescent="0.25">
      <c r="G23">
        <v>915</v>
      </c>
      <c r="J23" t="s">
        <v>57</v>
      </c>
      <c r="K23">
        <v>930</v>
      </c>
      <c r="L23">
        <f t="shared" si="0"/>
        <v>915</v>
      </c>
      <c r="M23">
        <f>Tablo44[[#This Row],[Period Avg.]]/(K$26/24)</f>
        <v>1.5271210013908207</v>
      </c>
      <c r="N23">
        <f>Tablo44[[#This Row],[A. Demand]]/Tablo44[[#This Row],[Period Factor]]</f>
        <v>608.98907103825127</v>
      </c>
      <c r="O23">
        <v>22</v>
      </c>
      <c r="P23">
        <f>Tablo44[[#This Row],[Deason Demand(y)]]*Tablo44[[#This Row],[Period in (x)]]</f>
        <v>13397.759562841527</v>
      </c>
      <c r="Q23" s="4">
        <f>Tablo44[[#This Row],[Period in (x)]]^2</f>
        <v>484</v>
      </c>
      <c r="R23" s="4">
        <f>D$26+D$27*Tablo44[[#This Row],[Period in (x)]]</f>
        <v>652.82982367439865</v>
      </c>
      <c r="S23" s="4">
        <f>Tablo44[[#This Row],[y(x)]]*Tablo44[[#This Row],[Period Factor]]</f>
        <v>996.95013406744056</v>
      </c>
      <c r="T23" s="4">
        <f>Tablo44[[#This Row],[Seasonal Regression]]-Tablo44[[#This Row],[A. Demand]]</f>
        <v>66.950134067440558</v>
      </c>
      <c r="U23" s="4">
        <f>Tablo44[[#This Row],[error]]^2/O$25</f>
        <v>186.76335215201104</v>
      </c>
    </row>
    <row r="24" spans="3:21" x14ac:dyDescent="0.25">
      <c r="C24" t="s">
        <v>21</v>
      </c>
      <c r="D24">
        <f>O26/O25</f>
        <v>12.5</v>
      </c>
      <c r="G24">
        <v>970</v>
      </c>
      <c r="J24" t="s">
        <v>58</v>
      </c>
      <c r="K24">
        <v>960</v>
      </c>
      <c r="L24">
        <f t="shared" si="0"/>
        <v>970</v>
      </c>
      <c r="M24">
        <f>Tablo44[[#This Row],[Period Avg.]]/(K$26/24)</f>
        <v>1.6189151599443672</v>
      </c>
      <c r="N24">
        <f>Tablo44[[#This Row],[A. Demand]]/Tablo44[[#This Row],[Period Factor]]</f>
        <v>592.98969072164948</v>
      </c>
      <c r="O24">
        <v>23</v>
      </c>
      <c r="P24">
        <f>Tablo44[[#This Row],[Deason Demand(y)]]*Tablo44[[#This Row],[Period in (x)]]</f>
        <v>13638.762886597939</v>
      </c>
      <c r="Q24" s="4">
        <f>Tablo44[[#This Row],[Period in (x)]]^2</f>
        <v>529</v>
      </c>
      <c r="R24" s="4">
        <f>D$26+D$27*Tablo44[[#This Row],[Period in (x)]]</f>
        <v>658.47857704363355</v>
      </c>
      <c r="S24" s="4">
        <f>Tablo44[[#This Row],[y(x)]]*Tablo44[[#This Row],[Period Factor]]</f>
        <v>1066.0209508745334</v>
      </c>
      <c r="T24" s="4">
        <f>Tablo44[[#This Row],[Seasonal Regression]]-Tablo44[[#This Row],[A. Demand]]</f>
        <v>106.02095087453336</v>
      </c>
      <c r="U24" s="4">
        <f>Tablo44[[#This Row],[error]]^2/O$25</f>
        <v>468.35175101417559</v>
      </c>
    </row>
    <row r="25" spans="3:21" x14ac:dyDescent="0.25">
      <c r="C25" t="s">
        <v>22</v>
      </c>
      <c r="D25">
        <f>N26/O25</f>
        <v>599.16666666666663</v>
      </c>
      <c r="G25">
        <v>985</v>
      </c>
      <c r="J25" t="s">
        <v>59</v>
      </c>
      <c r="K25">
        <v>980</v>
      </c>
      <c r="L25">
        <f t="shared" si="0"/>
        <v>985</v>
      </c>
      <c r="M25">
        <f>Tablo44[[#This Row],[Period Avg.]]/(K$26/24)</f>
        <v>1.6439499304589709</v>
      </c>
      <c r="N25">
        <f>Tablo44[[#This Row],[A. Demand]]/Tablo44[[#This Row],[Period Factor]]</f>
        <v>596.12521150592215</v>
      </c>
      <c r="O25">
        <v>24</v>
      </c>
      <c r="P25">
        <f>Tablo44[[#This Row],[Deason Demand(y)]]*Tablo44[[#This Row],[Period in (x)]]</f>
        <v>14307.005076142132</v>
      </c>
      <c r="Q25" s="4">
        <f>Tablo44[[#This Row],[Period in (x)]]^2</f>
        <v>576</v>
      </c>
      <c r="R25" s="4">
        <f>D$26+D$27*Tablo44[[#This Row],[Period in (x)]]</f>
        <v>664.12733041286856</v>
      </c>
      <c r="S25" s="4">
        <f>Tablo44[[#This Row],[y(x)]]*Tablo44[[#This Row],[Period Factor]]</f>
        <v>1091.7920786481372</v>
      </c>
      <c r="T25" s="4">
        <f>Tablo44[[#This Row],[Seasonal Regression]]-Tablo44[[#This Row],[A. Demand]]</f>
        <v>111.79207864813725</v>
      </c>
      <c r="U25" s="4">
        <f>Tablo44[[#This Row],[error]]^2/O$25</f>
        <v>520.7278686863043</v>
      </c>
    </row>
    <row r="26" spans="3:21" x14ac:dyDescent="0.25">
      <c r="C26" t="s">
        <v>23</v>
      </c>
      <c r="D26">
        <f>D25-D27*D24</f>
        <v>528.5572495512298</v>
      </c>
      <c r="J26" t="s">
        <v>15</v>
      </c>
      <c r="K26">
        <f>SUM(Tablo44[A. Demand])</f>
        <v>14380</v>
      </c>
      <c r="L26">
        <f>SUM(Tablo44[Period Avg.])</f>
        <v>14380</v>
      </c>
      <c r="M26">
        <f>SUM(Tablo44[Period Factor])</f>
        <v>24.000000000000004</v>
      </c>
      <c r="N26">
        <f>SUM(Tablo44[Deason Demand(y)])</f>
        <v>14380</v>
      </c>
      <c r="O26">
        <f>SUM(Tablo44[Period in (x)])</f>
        <v>300</v>
      </c>
      <c r="P26">
        <f>SUM(Tablo44[X*Y])</f>
        <v>186246.06637462019</v>
      </c>
      <c r="Q26">
        <f>SUM(Tablo44[X^2])</f>
        <v>4900</v>
      </c>
      <c r="R26">
        <f>SUM(Tablo44[y(x)])</f>
        <v>14380.000000000002</v>
      </c>
      <c r="S26">
        <f>SUM(Tablo44[Seasonal Regression])</f>
        <v>14531.125757733806</v>
      </c>
      <c r="T26">
        <f>SUM(Tablo44[error])</f>
        <v>151.1257577338022</v>
      </c>
      <c r="U26">
        <f>SUM(Tablo44[MSE])</f>
        <v>1661.8628026202246</v>
      </c>
    </row>
    <row r="27" spans="3:21" x14ac:dyDescent="0.25">
      <c r="C27" t="s">
        <v>20</v>
      </c>
      <c r="D27">
        <f>(O25*P26-N26*O26)/(O25*Q26-O26^2)</f>
        <v>5.6487533692349476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RA-Table1</vt:lpstr>
      <vt:lpstr>RA-Table2</vt:lpstr>
      <vt:lpstr>DRA-Table1</vt:lpstr>
      <vt:lpstr>DRA-Table2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Emin AYDIN</dc:creator>
  <cp:lastModifiedBy>Mehmet Emin AYDIN</cp:lastModifiedBy>
  <dcterms:created xsi:type="dcterms:W3CDTF">2015-06-05T18:19:34Z</dcterms:created>
  <dcterms:modified xsi:type="dcterms:W3CDTF">2021-12-20T19:26:25Z</dcterms:modified>
</cp:coreProperties>
</file>